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tables/table1.xml" ContentType="application/vnd.openxmlformats-officedocument.spreadsheetml.tab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1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tables/table5.xml" ContentType="application/vnd.openxmlformats-officedocument.spreadsheetml.table+xml"/>
  <Override PartName="/xl/namedSheetViews/namedSheetView1.xml" ContentType="application/vnd.ms-excel.namedsheetviews+xml"/>
  <Override PartName="/xl/drawings/drawing17.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media/image24.tmp" ContentType="image/jpeg"/>
  <Override PartName="/xl/drawings/drawing18.xml" ContentType="application/vnd.openxmlformats-officedocument.drawing+xml"/>
  <Override PartName="/xl/tables/table6.xml" ContentType="application/vnd.openxmlformats-officedocument.spreadsheetml.table+xml"/>
  <Override PartName="/xl/comments5.xml" ContentType="application/vnd.openxmlformats-officedocument.spreadsheetml.comments+xml"/>
  <Override PartName="/xl/threadedComments/threadedComment4.xml" ContentType="application/vnd.ms-excel.threadedcomments+xml"/>
  <Override PartName="/xl/drawings/drawing19.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0.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21.xml" ContentType="application/vnd.openxmlformats-officedocument.drawing+xml"/>
  <Override PartName="/xl/drawings/drawing22.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23.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24.xml" ContentType="application/vnd.openxmlformats-officedocument.drawing+xml"/>
  <Override PartName="/xl/drawings/drawing25.xml" ContentType="application/vnd.openxmlformats-officedocument.drawing+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26.xml" ContentType="application/vnd.openxmlformats-officedocument.drawingml.chartshapes+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tables/table7.xml" ContentType="application/vnd.openxmlformats-officedocument.spreadsheetml.table+xml"/>
  <Override PartName="/xl/tables/table8.xml" ContentType="application/vnd.openxmlformats-officedocument.spreadsheetml.table+xml"/>
  <Override PartName="/xl/drawings/drawing27.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28.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429"/>
  <workbookPr codeName="ThisWorkbook"/>
  <mc:AlternateContent xmlns:mc="http://schemas.openxmlformats.org/markup-compatibility/2006">
    <mc:Choice Requires="x15">
      <x15ac:absPath xmlns:x15ac="http://schemas.microsoft.com/office/spreadsheetml/2010/11/ac" url="https://myerauedu.sharepoint.com/sites/BA328BoeingConsulting/Shared Documents/Engineer Page/"/>
    </mc:Choice>
  </mc:AlternateContent>
  <xr:revisionPtr revIDLastSave="0" documentId="8_{C80C82EE-E0C5-406E-AE90-D1A57CE721FF}" xr6:coauthVersionLast="47" xr6:coauthVersionMax="47" xr10:uidLastSave="{00000000-0000-0000-0000-000000000000}"/>
  <bookViews>
    <workbookView minimized="1" xWindow="20" yWindow="1520" windowWidth="29740" windowHeight="16640" firstSheet="25" activeTab="25" xr2:uid="{CC9B634D-0C5F-4E07-AB19-D09537C7243B}"/>
  </bookViews>
  <sheets>
    <sheet name="General" sheetId="1" r:id="rId1"/>
    <sheet name="V-N Diagram" sheetId="9" r:id="rId2"/>
    <sheet name="Quick Pass Calcs" sheetId="21" r:id="rId3"/>
    <sheet name="Geometry (1)" sheetId="25" state="hidden" r:id="rId4"/>
    <sheet name="Geometry" sheetId="27" r:id="rId5"/>
    <sheet name="FE-Performance Analysis" sheetId="32" r:id="rId6"/>
    <sheet name="Lift" sheetId="20" r:id="rId7"/>
    <sheet name="Lift (new)" sheetId="28" state="hidden" r:id="rId8"/>
    <sheet name="Drag (new)" sheetId="29" state="hidden" r:id="rId9"/>
    <sheet name="Envelope" sheetId="33" r:id="rId10"/>
    <sheet name="Drag" sheetId="6" r:id="rId11"/>
    <sheet name="Constraint Diagrams (2)" sheetId="34" r:id="rId12"/>
    <sheet name="Constraint Diagrams" sheetId="22" r:id="rId13"/>
    <sheet name="Constraint" sheetId="3" r:id="rId14"/>
    <sheet name="Tail" sheetId="5" r:id="rId15"/>
    <sheet name="Airfoil Selection" sheetId="12" r:id="rId16"/>
    <sheet name="Total Costs" sheetId="30" r:id="rId17"/>
    <sheet name="Weight" sheetId="4" r:id="rId18"/>
    <sheet name="Stability and Control" sheetId="17" r:id="rId19"/>
    <sheet name="S&amp;C Matrices" sheetId="23" r:id="rId20"/>
    <sheet name="Thrust" sheetId="24" r:id="rId21"/>
    <sheet name="Performance Analysis" sheetId="16" r:id="rId22"/>
    <sheet name="Performance T_O" sheetId="7" r:id="rId23"/>
    <sheet name="Performance CLB" sheetId="13" r:id="rId24"/>
    <sheet name="Performance Cruise" sheetId="14" r:id="rId25"/>
    <sheet name="Performance Landing" sheetId="19" r:id="rId26"/>
    <sheet name="Performance Electrical" sheetId="10" r:id="rId27"/>
    <sheet name="Random Notes" sheetId="2" r:id="rId28"/>
    <sheet name="Cost " sheetId="11" r:id="rId29"/>
    <sheet name="Trade Study - More Props" sheetId="26" r:id="rId30"/>
  </sheet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5" i="17" l="1"/>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13" i="6"/>
  <c r="C95" i="6"/>
  <c r="L116"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29" i="6"/>
  <c r="J228" i="6"/>
  <c r="J227"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144" i="6"/>
  <c r="C42" i="1"/>
  <c r="C19" i="1" s="1"/>
  <c r="C18" i="1"/>
  <c r="C104" i="11" l="1"/>
  <c r="F97" i="24"/>
  <c r="F98" i="24"/>
  <c r="F99" i="24"/>
  <c r="F100" i="24"/>
  <c r="F101" i="24"/>
  <c r="F102" i="24"/>
  <c r="F103" i="24"/>
  <c r="F104" i="24"/>
  <c r="F105" i="24"/>
  <c r="F106" i="24"/>
  <c r="F107" i="24"/>
  <c r="F108" i="24"/>
  <c r="F109" i="24"/>
  <c r="F110" i="24"/>
  <c r="F111" i="24"/>
  <c r="F112" i="24"/>
  <c r="F113" i="24"/>
  <c r="F114" i="24"/>
  <c r="F115" i="24"/>
  <c r="F116" i="24"/>
  <c r="F117" i="24"/>
  <c r="F118" i="24"/>
  <c r="F119" i="24"/>
  <c r="F120" i="24"/>
  <c r="F121" i="24"/>
  <c r="F122" i="24"/>
  <c r="F123" i="24"/>
  <c r="F124" i="24"/>
  <c r="F125" i="24"/>
  <c r="F126" i="24"/>
  <c r="F127" i="24"/>
  <c r="F128" i="24"/>
  <c r="F129" i="24"/>
  <c r="F130" i="24"/>
  <c r="F131" i="24"/>
  <c r="F132" i="24"/>
  <c r="F133" i="24"/>
  <c r="F134" i="24"/>
  <c r="F135" i="24"/>
  <c r="F136" i="24"/>
  <c r="F137" i="24"/>
  <c r="F138" i="24"/>
  <c r="F139" i="24"/>
  <c r="F140" i="24"/>
  <c r="F141" i="24"/>
  <c r="F142" i="24"/>
  <c r="F143" i="24"/>
  <c r="F144" i="24"/>
  <c r="F145" i="24"/>
  <c r="F146" i="24"/>
  <c r="F147" i="24"/>
  <c r="F148" i="24"/>
  <c r="F149" i="24"/>
  <c r="F150" i="24"/>
  <c r="J121" i="33"/>
  <c r="L145" i="6"/>
  <c r="C65" i="33"/>
  <c r="Q118" i="33"/>
  <c r="Q119" i="33"/>
  <c r="Q120" i="33"/>
  <c r="Q121" i="33"/>
  <c r="Q122" i="33"/>
  <c r="Q123" i="33"/>
  <c r="Q124" i="33"/>
  <c r="Q125" i="33"/>
  <c r="Q126" i="33"/>
  <c r="Q127" i="33"/>
  <c r="Q128" i="33"/>
  <c r="Q129" i="33"/>
  <c r="Q130" i="33"/>
  <c r="Q131" i="33"/>
  <c r="Q132" i="33"/>
  <c r="Q133" i="33"/>
  <c r="Q134" i="33"/>
  <c r="Q135" i="33"/>
  <c r="Q136" i="33"/>
  <c r="Q137" i="33"/>
  <c r="Q138" i="33"/>
  <c r="Q139" i="33"/>
  <c r="Q140" i="33"/>
  <c r="Q141" i="33"/>
  <c r="Q142" i="33"/>
  <c r="Q143" i="33"/>
  <c r="Q144" i="33"/>
  <c r="Q145" i="33"/>
  <c r="Q146" i="33"/>
  <c r="Q147" i="33"/>
  <c r="Q148" i="33"/>
  <c r="Q149" i="33"/>
  <c r="Q150" i="33"/>
  <c r="Q151" i="33"/>
  <c r="Q152" i="33"/>
  <c r="Q153" i="33"/>
  <c r="Q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17" i="33"/>
  <c r="C118" i="33"/>
  <c r="C119" i="33"/>
  <c r="C120" i="33"/>
  <c r="C121" i="33"/>
  <c r="C122" i="33"/>
  <c r="C123" i="33"/>
  <c r="C124" i="33"/>
  <c r="C125" i="33"/>
  <c r="C126" i="33"/>
  <c r="C127" i="33"/>
  <c r="C128" i="33"/>
  <c r="C129" i="33"/>
  <c r="C130" i="33"/>
  <c r="C131" i="33"/>
  <c r="C132" i="33"/>
  <c r="C133" i="33"/>
  <c r="C134" i="33"/>
  <c r="C135" i="33"/>
  <c r="C136" i="33"/>
  <c r="C137" i="33"/>
  <c r="C138" i="33"/>
  <c r="C139" i="33"/>
  <c r="C140" i="33"/>
  <c r="C141" i="33"/>
  <c r="C142" i="33"/>
  <c r="C143" i="33"/>
  <c r="C144" i="33"/>
  <c r="C145" i="33"/>
  <c r="C146" i="33"/>
  <c r="C147" i="33"/>
  <c r="C148" i="33"/>
  <c r="C149" i="33"/>
  <c r="C150" i="33"/>
  <c r="C151" i="33"/>
  <c r="C152" i="33"/>
  <c r="C153" i="33"/>
  <c r="C117" i="33"/>
  <c r="B118" i="33"/>
  <c r="B119" i="33"/>
  <c r="B120" i="33"/>
  <c r="B121" i="33"/>
  <c r="B122" i="33"/>
  <c r="B123" i="33"/>
  <c r="B124" i="33"/>
  <c r="B125" i="33"/>
  <c r="B126" i="33"/>
  <c r="B127" i="33"/>
  <c r="B128" i="33"/>
  <c r="B129" i="33"/>
  <c r="B130" i="33"/>
  <c r="B131" i="33"/>
  <c r="B132" i="33"/>
  <c r="B133" i="33"/>
  <c r="B134" i="33"/>
  <c r="B135" i="33"/>
  <c r="B136" i="33"/>
  <c r="B137" i="33"/>
  <c r="B138" i="33"/>
  <c r="B139" i="33"/>
  <c r="B140" i="33"/>
  <c r="B141" i="33"/>
  <c r="B142" i="33"/>
  <c r="B143" i="33"/>
  <c r="B144" i="33"/>
  <c r="B145" i="33"/>
  <c r="B146" i="33"/>
  <c r="B147" i="33"/>
  <c r="B148" i="33"/>
  <c r="B149" i="33"/>
  <c r="B150" i="33"/>
  <c r="B151" i="33"/>
  <c r="B152" i="33"/>
  <c r="B153" i="33"/>
  <c r="B117" i="33"/>
  <c r="B65" i="33"/>
  <c r="C83" i="33"/>
  <c r="B66" i="33"/>
  <c r="C66" i="33" s="1"/>
  <c r="AD2" i="34"/>
  <c r="C12" i="34"/>
  <c r="C15" i="34" s="1"/>
  <c r="C13" i="34"/>
  <c r="C21" i="34"/>
  <c r="C23" i="34"/>
  <c r="C31" i="34"/>
  <c r="C38" i="34"/>
  <c r="C43" i="34"/>
  <c r="T62" i="11"/>
  <c r="T64" i="11"/>
  <c r="T65" i="11"/>
  <c r="T68" i="11"/>
  <c r="T70" i="11"/>
  <c r="T73" i="11"/>
  <c r="T74" i="11"/>
  <c r="T75" i="11"/>
  <c r="T77" i="11"/>
  <c r="T78" i="11"/>
  <c r="T80" i="11"/>
  <c r="T81" i="11"/>
  <c r="T83" i="11"/>
  <c r="T84" i="11"/>
  <c r="T59" i="11"/>
  <c r="S60" i="11"/>
  <c r="S64" i="11"/>
  <c r="S65" i="11"/>
  <c r="S67" i="11"/>
  <c r="S68" i="11"/>
  <c r="S70" i="11"/>
  <c r="S72" i="11"/>
  <c r="S73" i="11"/>
  <c r="S75" i="11"/>
  <c r="S76" i="11"/>
  <c r="S80" i="11"/>
  <c r="S81" i="11"/>
  <c r="S83" i="11"/>
  <c r="S84" i="11"/>
  <c r="R60" i="11"/>
  <c r="R65" i="11"/>
  <c r="R66" i="11"/>
  <c r="R73" i="11"/>
  <c r="R74" i="11"/>
  <c r="R76" i="11"/>
  <c r="R81" i="11"/>
  <c r="R82" i="11"/>
  <c r="T58" i="11"/>
  <c r="T66" i="11" s="1"/>
  <c r="S58" i="11"/>
  <c r="S71" i="11" s="1"/>
  <c r="R58" i="11"/>
  <c r="R61" i="11" s="1"/>
  <c r="I38" i="11"/>
  <c r="C161" i="20"/>
  <c r="C94" i="1" s="1"/>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54" i="20"/>
  <c r="C71" i="20"/>
  <c r="D66" i="33"/>
  <c r="E66" i="33" s="1"/>
  <c r="D67" i="33"/>
  <c r="E67" i="33" s="1"/>
  <c r="D68" i="33"/>
  <c r="E68" i="33" s="1"/>
  <c r="D69" i="33"/>
  <c r="E69" i="33" s="1"/>
  <c r="D70" i="33"/>
  <c r="E70" i="33" s="1"/>
  <c r="D71" i="33"/>
  <c r="E71" i="33" s="1"/>
  <c r="D72" i="33"/>
  <c r="E72" i="33" s="1"/>
  <c r="D73" i="33"/>
  <c r="E73" i="33" s="1"/>
  <c r="D74" i="33"/>
  <c r="E74" i="33"/>
  <c r="D75" i="33"/>
  <c r="E75" i="33" s="1"/>
  <c r="D76" i="33"/>
  <c r="E76" i="33" s="1"/>
  <c r="D77" i="33"/>
  <c r="E77" i="33" s="1"/>
  <c r="D78" i="33"/>
  <c r="E78" i="33" s="1"/>
  <c r="D79" i="33"/>
  <c r="E79" i="33"/>
  <c r="D80" i="33"/>
  <c r="E80" i="33" s="1"/>
  <c r="D81" i="33"/>
  <c r="E81" i="33" s="1"/>
  <c r="D82" i="33"/>
  <c r="E82" i="33" s="1"/>
  <c r="D83" i="33"/>
  <c r="E83" i="33"/>
  <c r="D84" i="33"/>
  <c r="E84" i="33" s="1"/>
  <c r="D85" i="33"/>
  <c r="E85" i="33" s="1"/>
  <c r="D86" i="33"/>
  <c r="E86" i="33" s="1"/>
  <c r="D87" i="33"/>
  <c r="E87" i="33"/>
  <c r="D88" i="33"/>
  <c r="E88" i="33" s="1"/>
  <c r="D89" i="33"/>
  <c r="E89" i="33" s="1"/>
  <c r="D90" i="33"/>
  <c r="E90" i="33"/>
  <c r="D91" i="33"/>
  <c r="E91" i="33" s="1"/>
  <c r="D92" i="33"/>
  <c r="E92" i="33" s="1"/>
  <c r="D93" i="33"/>
  <c r="E93" i="33"/>
  <c r="D94" i="33"/>
  <c r="E94" i="33" s="1"/>
  <c r="D95" i="33"/>
  <c r="E95" i="33" s="1"/>
  <c r="D96" i="33"/>
  <c r="E96" i="33" s="1"/>
  <c r="D97" i="33"/>
  <c r="E97" i="33"/>
  <c r="D98" i="33"/>
  <c r="E98" i="33" s="1"/>
  <c r="D99" i="33"/>
  <c r="E99" i="33" s="1"/>
  <c r="D100" i="33"/>
  <c r="E100" i="33" s="1"/>
  <c r="D101" i="33"/>
  <c r="E101" i="33"/>
  <c r="D65" i="33"/>
  <c r="E65" i="33" s="1"/>
  <c r="F66" i="33"/>
  <c r="B67" i="33"/>
  <c r="C67" i="33"/>
  <c r="F67" i="33"/>
  <c r="B68" i="33"/>
  <c r="C68" i="33" s="1"/>
  <c r="F68" i="33"/>
  <c r="B69" i="33"/>
  <c r="C69" i="33" s="1"/>
  <c r="F69" i="33"/>
  <c r="B70" i="33"/>
  <c r="C70" i="33" s="1"/>
  <c r="F70" i="33"/>
  <c r="B71" i="33"/>
  <c r="C71" i="33"/>
  <c r="F71" i="33"/>
  <c r="B72" i="33"/>
  <c r="C72" i="33" s="1"/>
  <c r="F72" i="33"/>
  <c r="B73" i="33"/>
  <c r="C73" i="33"/>
  <c r="F73" i="33"/>
  <c r="B74" i="33"/>
  <c r="C74" i="33" s="1"/>
  <c r="F74" i="33"/>
  <c r="B75" i="33"/>
  <c r="C75" i="33" s="1"/>
  <c r="F75" i="33"/>
  <c r="B76" i="33"/>
  <c r="C76" i="33"/>
  <c r="F76" i="33"/>
  <c r="B77" i="33"/>
  <c r="C77" i="33" s="1"/>
  <c r="F77" i="33"/>
  <c r="B78" i="33"/>
  <c r="C78" i="33" s="1"/>
  <c r="F78" i="33"/>
  <c r="B79" i="33"/>
  <c r="C79" i="33" s="1"/>
  <c r="F79" i="33"/>
  <c r="B80" i="33"/>
  <c r="C80" i="33"/>
  <c r="F80" i="33"/>
  <c r="B81" i="33"/>
  <c r="C81" i="33" s="1"/>
  <c r="F81" i="33"/>
  <c r="B82" i="33"/>
  <c r="C82" i="33" s="1"/>
  <c r="F82" i="33"/>
  <c r="B83" i="33"/>
  <c r="F83" i="33"/>
  <c r="B84" i="33"/>
  <c r="C84" i="33" s="1"/>
  <c r="F84" i="33"/>
  <c r="B85" i="33"/>
  <c r="C85" i="33" s="1"/>
  <c r="F85" i="33"/>
  <c r="B86" i="33"/>
  <c r="C86" i="33" s="1"/>
  <c r="F86" i="33"/>
  <c r="B87" i="33"/>
  <c r="C87" i="33"/>
  <c r="F87" i="33"/>
  <c r="B88" i="33"/>
  <c r="C88" i="33" s="1"/>
  <c r="F88" i="33"/>
  <c r="B89" i="33"/>
  <c r="C89" i="33" s="1"/>
  <c r="F89" i="33"/>
  <c r="B90" i="33"/>
  <c r="C90" i="33" s="1"/>
  <c r="F90" i="33"/>
  <c r="B91" i="33"/>
  <c r="C91" i="33" s="1"/>
  <c r="F91" i="33"/>
  <c r="B92" i="33"/>
  <c r="C92" i="33"/>
  <c r="F92" i="33"/>
  <c r="B93" i="33"/>
  <c r="C93" i="33" s="1"/>
  <c r="F93" i="33"/>
  <c r="B94" i="33"/>
  <c r="C94" i="33" s="1"/>
  <c r="F94" i="33"/>
  <c r="B95" i="33"/>
  <c r="C95" i="33" s="1"/>
  <c r="F95" i="33"/>
  <c r="B96" i="33"/>
  <c r="C96" i="33" s="1"/>
  <c r="F96" i="33"/>
  <c r="B97" i="33"/>
  <c r="C97" i="33"/>
  <c r="F97" i="33"/>
  <c r="B98" i="33"/>
  <c r="C98" i="33" s="1"/>
  <c r="F98" i="33"/>
  <c r="B99" i="33"/>
  <c r="C99" i="33" s="1"/>
  <c r="F99" i="33"/>
  <c r="B100" i="33"/>
  <c r="C100" i="33" s="1"/>
  <c r="F100" i="33"/>
  <c r="B101" i="33"/>
  <c r="C101" i="33" s="1"/>
  <c r="F101" i="33"/>
  <c r="F65" i="33"/>
  <c r="C10" i="6"/>
  <c r="C13" i="6" s="1"/>
  <c r="C59" i="33"/>
  <c r="F52" i="24"/>
  <c r="C54" i="33"/>
  <c r="L53" i="14"/>
  <c r="L54" i="14" s="1"/>
  <c r="L55" i="14" s="1"/>
  <c r="L56" i="14" s="1"/>
  <c r="L57" i="14" s="1"/>
  <c r="L58" i="14" s="1"/>
  <c r="L59" i="14" s="1"/>
  <c r="L60" i="14" s="1"/>
  <c r="L61" i="14" s="1"/>
  <c r="L62" i="14" s="1"/>
  <c r="L63" i="14" s="1"/>
  <c r="L64" i="14" s="1"/>
  <c r="L65" i="14" s="1"/>
  <c r="L66" i="14" s="1"/>
  <c r="L67" i="14" s="1"/>
  <c r="L68" i="14" s="1"/>
  <c r="L69" i="14" s="1"/>
  <c r="L70" i="14" s="1"/>
  <c r="L71" i="14" s="1"/>
  <c r="L72" i="14" s="1"/>
  <c r="L73" i="14" s="1"/>
  <c r="L74" i="14" s="1"/>
  <c r="L75" i="14" s="1"/>
  <c r="L76" i="14" s="1"/>
  <c r="L77" i="14" s="1"/>
  <c r="L78" i="14" s="1"/>
  <c r="L79" i="14" s="1"/>
  <c r="L80" i="14" s="1"/>
  <c r="L81" i="14" s="1"/>
  <c r="L82" i="14" s="1"/>
  <c r="L83" i="14" s="1"/>
  <c r="L84" i="14" s="1"/>
  <c r="L85" i="14" s="1"/>
  <c r="M85" i="14"/>
  <c r="M83" i="14"/>
  <c r="D21" i="32"/>
  <c r="D12" i="32"/>
  <c r="D13" i="32" s="1"/>
  <c r="J12" i="32"/>
  <c r="AQ213" i="32" s="1"/>
  <c r="J13" i="32"/>
  <c r="J14" i="32"/>
  <c r="J17" i="32"/>
  <c r="B27" i="32"/>
  <c r="B28" i="32"/>
  <c r="AN28" i="32"/>
  <c r="B29" i="32"/>
  <c r="AN29" i="32"/>
  <c r="B30" i="32"/>
  <c r="AN30" i="32"/>
  <c r="B31" i="32"/>
  <c r="AN31" i="32"/>
  <c r="B32" i="32"/>
  <c r="AN32" i="32"/>
  <c r="B33" i="32"/>
  <c r="AN33" i="32"/>
  <c r="B34" i="32"/>
  <c r="AN34" i="32"/>
  <c r="B35" i="32"/>
  <c r="AN35" i="32"/>
  <c r="B36" i="32"/>
  <c r="AN36" i="32"/>
  <c r="B37" i="32"/>
  <c r="AN37" i="32"/>
  <c r="B38" i="32"/>
  <c r="AN38" i="32"/>
  <c r="B39" i="32"/>
  <c r="AN39" i="32"/>
  <c r="B40" i="32"/>
  <c r="B41" i="32"/>
  <c r="B42" i="32"/>
  <c r="B43" i="32"/>
  <c r="B44" i="32"/>
  <c r="B45" i="32"/>
  <c r="B46" i="32"/>
  <c r="B47" i="32"/>
  <c r="B48" i="32"/>
  <c r="B49" i="32"/>
  <c r="B50" i="32"/>
  <c r="B51" i="32"/>
  <c r="B52" i="32"/>
  <c r="B53" i="32"/>
  <c r="B54" i="32"/>
  <c r="B55" i="32"/>
  <c r="B56" i="32"/>
  <c r="B57" i="32"/>
  <c r="B58" i="32"/>
  <c r="B59" i="32"/>
  <c r="B60" i="32"/>
  <c r="B61" i="32"/>
  <c r="B62" i="32"/>
  <c r="B63" i="32"/>
  <c r="B64" i="32"/>
  <c r="B65" i="32"/>
  <c r="B66" i="32"/>
  <c r="B67" i="32"/>
  <c r="B68" i="32"/>
  <c r="B69" i="32"/>
  <c r="B70" i="32"/>
  <c r="B71" i="32"/>
  <c r="B72" i="32"/>
  <c r="B73" i="32"/>
  <c r="B74" i="32"/>
  <c r="B75" i="32"/>
  <c r="B76" i="32"/>
  <c r="B77" i="32"/>
  <c r="B78" i="32"/>
  <c r="B79" i="32"/>
  <c r="B80" i="32"/>
  <c r="B81" i="32"/>
  <c r="B82" i="32"/>
  <c r="B83" i="32"/>
  <c r="B84" i="32"/>
  <c r="B85" i="32"/>
  <c r="B86" i="32"/>
  <c r="B87" i="32"/>
  <c r="B88" i="32"/>
  <c r="B89" i="32"/>
  <c r="B90" i="32"/>
  <c r="B91" i="32"/>
  <c r="B92" i="32"/>
  <c r="B93" i="32"/>
  <c r="B94" i="32"/>
  <c r="B95" i="32"/>
  <c r="B96" i="32"/>
  <c r="B97" i="32"/>
  <c r="B98" i="32"/>
  <c r="B99" i="32"/>
  <c r="B100" i="32"/>
  <c r="B101" i="32"/>
  <c r="B102" i="32"/>
  <c r="B103" i="32"/>
  <c r="B104" i="32"/>
  <c r="B105" i="32"/>
  <c r="B106" i="32"/>
  <c r="B107" i="32"/>
  <c r="B108" i="32"/>
  <c r="B109" i="32"/>
  <c r="B110" i="32"/>
  <c r="B111" i="32"/>
  <c r="B112" i="32"/>
  <c r="B113" i="32"/>
  <c r="B114" i="32"/>
  <c r="B115" i="32"/>
  <c r="B116" i="32"/>
  <c r="B117" i="32"/>
  <c r="B118" i="32"/>
  <c r="B119" i="32"/>
  <c r="B120" i="32"/>
  <c r="B121" i="32"/>
  <c r="B122" i="32"/>
  <c r="B123" i="32"/>
  <c r="B124" i="32"/>
  <c r="B125" i="32"/>
  <c r="B126" i="32"/>
  <c r="B127" i="32"/>
  <c r="B128" i="32"/>
  <c r="B129" i="32"/>
  <c r="B130" i="32"/>
  <c r="B131" i="32"/>
  <c r="B132" i="32"/>
  <c r="B133" i="32"/>
  <c r="B134" i="32"/>
  <c r="B135" i="32"/>
  <c r="B136" i="32"/>
  <c r="B137" i="32"/>
  <c r="B138" i="32"/>
  <c r="B139" i="32"/>
  <c r="B140" i="32"/>
  <c r="B141" i="32"/>
  <c r="B142" i="32"/>
  <c r="B143" i="32"/>
  <c r="B144" i="32"/>
  <c r="B145" i="32"/>
  <c r="B146" i="32"/>
  <c r="B147" i="32"/>
  <c r="B148" i="32"/>
  <c r="B149" i="32"/>
  <c r="B150" i="32"/>
  <c r="B151" i="32"/>
  <c r="B152" i="32"/>
  <c r="B153" i="32"/>
  <c r="B154" i="32"/>
  <c r="B155" i="32"/>
  <c r="B156" i="32"/>
  <c r="B157" i="32"/>
  <c r="B158" i="32"/>
  <c r="B159" i="32"/>
  <c r="B160" i="32"/>
  <c r="B161" i="32"/>
  <c r="B162" i="32"/>
  <c r="B163" i="32"/>
  <c r="B164" i="32"/>
  <c r="B165" i="32"/>
  <c r="B166" i="32"/>
  <c r="B167" i="32"/>
  <c r="B168" i="32"/>
  <c r="B169" i="32"/>
  <c r="B170" i="32"/>
  <c r="B171" i="32"/>
  <c r="B172" i="32"/>
  <c r="B173" i="32"/>
  <c r="B174" i="32"/>
  <c r="B175" i="32"/>
  <c r="B176" i="32"/>
  <c r="B177" i="32"/>
  <c r="B178" i="32"/>
  <c r="B179" i="32"/>
  <c r="B180" i="32"/>
  <c r="B181" i="32"/>
  <c r="B182" i="32"/>
  <c r="B183" i="32"/>
  <c r="B184" i="32"/>
  <c r="B185" i="32"/>
  <c r="B186" i="32"/>
  <c r="B187" i="32"/>
  <c r="B188" i="32"/>
  <c r="B189" i="32"/>
  <c r="B190" i="32"/>
  <c r="B191" i="32"/>
  <c r="B192" i="32"/>
  <c r="B193" i="32"/>
  <c r="B194" i="32"/>
  <c r="B195" i="32"/>
  <c r="B196" i="32"/>
  <c r="B197" i="32"/>
  <c r="B198" i="32"/>
  <c r="B199" i="32"/>
  <c r="B200" i="32"/>
  <c r="B201" i="32"/>
  <c r="B202" i="32"/>
  <c r="B203" i="32"/>
  <c r="B204" i="32"/>
  <c r="B205" i="32"/>
  <c r="B206" i="32"/>
  <c r="B207" i="32"/>
  <c r="B208" i="32"/>
  <c r="B209" i="32"/>
  <c r="B210" i="32"/>
  <c r="B211" i="32"/>
  <c r="B212" i="32"/>
  <c r="B213" i="32"/>
  <c r="B214" i="32"/>
  <c r="B215" i="32"/>
  <c r="B216" i="32"/>
  <c r="B217" i="32"/>
  <c r="B218" i="32"/>
  <c r="B219" i="32"/>
  <c r="B220" i="32"/>
  <c r="B221" i="32"/>
  <c r="B222" i="32"/>
  <c r="B223" i="32"/>
  <c r="B224" i="32"/>
  <c r="B225" i="32"/>
  <c r="AN225" i="32"/>
  <c r="B226" i="32"/>
  <c r="AN226" i="32"/>
  <c r="B227" i="32"/>
  <c r="AN227" i="32"/>
  <c r="B228" i="32"/>
  <c r="AN228" i="32"/>
  <c r="B229" i="32"/>
  <c r="AN229" i="32"/>
  <c r="B230" i="32"/>
  <c r="AN230" i="32"/>
  <c r="B231" i="32"/>
  <c r="AN231" i="32"/>
  <c r="B232" i="32"/>
  <c r="AN232" i="32"/>
  <c r="B233" i="32"/>
  <c r="AN233" i="32"/>
  <c r="B234" i="32"/>
  <c r="AN234" i="32"/>
  <c r="B235" i="32"/>
  <c r="AN235" i="32"/>
  <c r="B236" i="32"/>
  <c r="AN236" i="32"/>
  <c r="B237" i="32"/>
  <c r="AN237" i="32"/>
  <c r="B238" i="32"/>
  <c r="AN238" i="32"/>
  <c r="B239" i="32"/>
  <c r="AN239" i="32"/>
  <c r="B240" i="32"/>
  <c r="AN240" i="32"/>
  <c r="B241" i="32"/>
  <c r="AN241" i="32"/>
  <c r="B242" i="32"/>
  <c r="AN242" i="32"/>
  <c r="B243" i="32"/>
  <c r="AN243" i="32"/>
  <c r="B244" i="32"/>
  <c r="AN244" i="32"/>
  <c r="B245" i="32"/>
  <c r="AN245" i="32"/>
  <c r="B246" i="32"/>
  <c r="AN246" i="32"/>
  <c r="B247" i="32"/>
  <c r="AN247" i="32"/>
  <c r="B248" i="32"/>
  <c r="AN248" i="32"/>
  <c r="B249" i="32"/>
  <c r="AN249" i="32"/>
  <c r="B250" i="32"/>
  <c r="AN250" i="32"/>
  <c r="B251" i="32"/>
  <c r="AN251" i="32"/>
  <c r="B252" i="32"/>
  <c r="AN252" i="32"/>
  <c r="B253" i="32"/>
  <c r="AN253" i="32"/>
  <c r="B254" i="32"/>
  <c r="AN254" i="32"/>
  <c r="B255" i="32"/>
  <c r="AN255" i="32"/>
  <c r="B256" i="32"/>
  <c r="AN256" i="32"/>
  <c r="B257" i="32"/>
  <c r="AN257" i="32"/>
  <c r="B258" i="32"/>
  <c r="AN258" i="32"/>
  <c r="B259" i="32"/>
  <c r="AN259" i="32"/>
  <c r="B260" i="32"/>
  <c r="AN260" i="32"/>
  <c r="B261" i="32"/>
  <c r="AN261" i="32"/>
  <c r="B262" i="32"/>
  <c r="AN262" i="32"/>
  <c r="B263" i="32"/>
  <c r="AN263" i="32"/>
  <c r="B264" i="32"/>
  <c r="AN264" i="32"/>
  <c r="B265" i="32"/>
  <c r="AN265" i="32"/>
  <c r="B266" i="32"/>
  <c r="AN266" i="32"/>
  <c r="B267" i="32"/>
  <c r="AN267" i="32"/>
  <c r="B268" i="32"/>
  <c r="AN268" i="32"/>
  <c r="B269" i="32"/>
  <c r="AN269" i="32"/>
  <c r="B270" i="32"/>
  <c r="AN270" i="32"/>
  <c r="B271" i="32"/>
  <c r="AN271" i="32"/>
  <c r="B272" i="32"/>
  <c r="AN272" i="32"/>
  <c r="B273" i="32"/>
  <c r="AN273" i="32"/>
  <c r="B274" i="32"/>
  <c r="AN274" i="32"/>
  <c r="B275" i="32"/>
  <c r="AN275" i="32"/>
  <c r="B276" i="32"/>
  <c r="AN276" i="32"/>
  <c r="B277" i="32"/>
  <c r="AN277" i="32"/>
  <c r="B278" i="32"/>
  <c r="AN278" i="32"/>
  <c r="B279" i="32"/>
  <c r="AN279" i="32"/>
  <c r="B280" i="32"/>
  <c r="AN280" i="32"/>
  <c r="B281" i="32"/>
  <c r="AN281" i="32"/>
  <c r="B282" i="32"/>
  <c r="AN282" i="32"/>
  <c r="B283" i="32"/>
  <c r="AN283" i="32"/>
  <c r="B284" i="32"/>
  <c r="AN284" i="32"/>
  <c r="B285" i="32"/>
  <c r="AN285" i="32"/>
  <c r="B286" i="32"/>
  <c r="AN286" i="32"/>
  <c r="B287" i="32"/>
  <c r="AN287" i="32"/>
  <c r="B288" i="32"/>
  <c r="AN288" i="32"/>
  <c r="B289" i="32"/>
  <c r="AN289" i="32"/>
  <c r="B290" i="32"/>
  <c r="AN290" i="32"/>
  <c r="B291" i="32"/>
  <c r="AN291" i="32"/>
  <c r="B292" i="32"/>
  <c r="AN292" i="32"/>
  <c r="B293" i="32"/>
  <c r="AN293" i="32"/>
  <c r="B294" i="32"/>
  <c r="AN294" i="32"/>
  <c r="B295" i="32"/>
  <c r="AN295" i="32"/>
  <c r="B296" i="32"/>
  <c r="AN296" i="32"/>
  <c r="B297" i="32"/>
  <c r="AN297" i="32"/>
  <c r="B298" i="32"/>
  <c r="AN298" i="32"/>
  <c r="B299" i="32"/>
  <c r="AN299" i="32"/>
  <c r="B300" i="32"/>
  <c r="AN300" i="32"/>
  <c r="B301" i="32"/>
  <c r="AN301" i="32"/>
  <c r="B302" i="32"/>
  <c r="AN302" i="32"/>
  <c r="B303" i="32"/>
  <c r="AN303" i="32"/>
  <c r="B304" i="32"/>
  <c r="AN304" i="32"/>
  <c r="B305" i="32"/>
  <c r="AN305" i="32"/>
  <c r="B306" i="32"/>
  <c r="AN306" i="32"/>
  <c r="B307" i="32"/>
  <c r="AN307" i="32"/>
  <c r="B308" i="32"/>
  <c r="AN308" i="32"/>
  <c r="B309" i="32"/>
  <c r="AN309" i="32"/>
  <c r="B310" i="32"/>
  <c r="AN310" i="32"/>
  <c r="B311" i="32"/>
  <c r="AN311" i="32"/>
  <c r="B312" i="32"/>
  <c r="AN312" i="32"/>
  <c r="E220" i="20"/>
  <c r="E221" i="20"/>
  <c r="E229" i="20"/>
  <c r="E230" i="20"/>
  <c r="E251" i="20"/>
  <c r="E252" i="20"/>
  <c r="E253" i="20"/>
  <c r="E261" i="20"/>
  <c r="E275" i="20"/>
  <c r="E283" i="20"/>
  <c r="E284" i="20"/>
  <c r="E285" i="20"/>
  <c r="E304" i="20"/>
  <c r="E307" i="20"/>
  <c r="E315" i="20"/>
  <c r="E316" i="20"/>
  <c r="B320" i="20"/>
  <c r="B321" i="20"/>
  <c r="B322" i="20"/>
  <c r="B323" i="20"/>
  <c r="B324" i="20"/>
  <c r="B325" i="20"/>
  <c r="B311" i="20"/>
  <c r="B312" i="20"/>
  <c r="B313" i="20"/>
  <c r="B314" i="20"/>
  <c r="B315" i="20"/>
  <c r="B316" i="20"/>
  <c r="B317" i="20"/>
  <c r="B318" i="20"/>
  <c r="B319" i="20"/>
  <c r="B303" i="20"/>
  <c r="B304" i="20"/>
  <c r="B305" i="20"/>
  <c r="B306" i="20"/>
  <c r="B307" i="20"/>
  <c r="B308" i="20"/>
  <c r="B309" i="20"/>
  <c r="B310" i="20"/>
  <c r="K324" i="20"/>
  <c r="K325" i="20"/>
  <c r="K326" i="20"/>
  <c r="K327" i="20"/>
  <c r="C217" i="20"/>
  <c r="K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217" i="20"/>
  <c r="J217" i="20"/>
  <c r="L146" i="6"/>
  <c r="C219" i="20" s="1"/>
  <c r="L147" i="6"/>
  <c r="C220" i="20" s="1"/>
  <c r="L148" i="6"/>
  <c r="C221" i="20" s="1"/>
  <c r="L149" i="6"/>
  <c r="C222" i="20" s="1"/>
  <c r="L150" i="6"/>
  <c r="C223" i="20" s="1"/>
  <c r="L151" i="6"/>
  <c r="C224" i="20" s="1"/>
  <c r="L152" i="6"/>
  <c r="C225" i="20" s="1"/>
  <c r="L153" i="6"/>
  <c r="C226" i="20" s="1"/>
  <c r="L154" i="6"/>
  <c r="C227" i="20" s="1"/>
  <c r="L155" i="6"/>
  <c r="C228" i="20" s="1"/>
  <c r="L156" i="6"/>
  <c r="C229" i="20" s="1"/>
  <c r="L157" i="6"/>
  <c r="C230" i="20" s="1"/>
  <c r="L158" i="6"/>
  <c r="C231" i="20" s="1"/>
  <c r="L159" i="6"/>
  <c r="C232" i="20" s="1"/>
  <c r="L160" i="6"/>
  <c r="C233" i="20" s="1"/>
  <c r="L161" i="6"/>
  <c r="C234" i="20" s="1"/>
  <c r="L162" i="6"/>
  <c r="C235" i="20" s="1"/>
  <c r="L163" i="6"/>
  <c r="C236" i="20" s="1"/>
  <c r="L164" i="6"/>
  <c r="C237" i="20" s="1"/>
  <c r="L165" i="6"/>
  <c r="C238" i="20" s="1"/>
  <c r="L166" i="6"/>
  <c r="C239" i="20" s="1"/>
  <c r="L167" i="6"/>
  <c r="C240" i="20" s="1"/>
  <c r="L168" i="6"/>
  <c r="C241" i="20" s="1"/>
  <c r="L169" i="6"/>
  <c r="C242" i="20" s="1"/>
  <c r="L170" i="6"/>
  <c r="C243" i="20" s="1"/>
  <c r="L171" i="6"/>
  <c r="C244" i="20" s="1"/>
  <c r="L172" i="6"/>
  <c r="C245" i="20" s="1"/>
  <c r="L173" i="6"/>
  <c r="C246" i="20" s="1"/>
  <c r="L174" i="6"/>
  <c r="C247" i="20" s="1"/>
  <c r="L175" i="6"/>
  <c r="C248" i="20" s="1"/>
  <c r="L176" i="6"/>
  <c r="C249" i="20" s="1"/>
  <c r="L177" i="6"/>
  <c r="C250" i="20" s="1"/>
  <c r="L178" i="6"/>
  <c r="C251" i="20" s="1"/>
  <c r="L179" i="6"/>
  <c r="C252" i="20" s="1"/>
  <c r="L180" i="6"/>
  <c r="C253" i="20" s="1"/>
  <c r="L181" i="6"/>
  <c r="C254" i="20" s="1"/>
  <c r="L182" i="6"/>
  <c r="C255" i="20" s="1"/>
  <c r="L183" i="6"/>
  <c r="C256" i="20" s="1"/>
  <c r="L184" i="6"/>
  <c r="C257" i="20" s="1"/>
  <c r="L185" i="6"/>
  <c r="C258" i="20" s="1"/>
  <c r="L186" i="6"/>
  <c r="C259" i="20" s="1"/>
  <c r="L187" i="6"/>
  <c r="C260" i="20" s="1"/>
  <c r="L188" i="6"/>
  <c r="C261" i="20" s="1"/>
  <c r="L189" i="6"/>
  <c r="C262" i="20" s="1"/>
  <c r="L190" i="6"/>
  <c r="C263" i="20" s="1"/>
  <c r="L191" i="6"/>
  <c r="C264" i="20" s="1"/>
  <c r="L192" i="6"/>
  <c r="C265" i="20" s="1"/>
  <c r="L193" i="6"/>
  <c r="C266" i="20" s="1"/>
  <c r="L194" i="6"/>
  <c r="C267" i="20" s="1"/>
  <c r="L195" i="6"/>
  <c r="C268" i="20" s="1"/>
  <c r="L196" i="6"/>
  <c r="C269" i="20" s="1"/>
  <c r="L197" i="6"/>
  <c r="C270" i="20" s="1"/>
  <c r="L198" i="6"/>
  <c r="C271" i="20" s="1"/>
  <c r="L199" i="6"/>
  <c r="C272" i="20" s="1"/>
  <c r="L200" i="6"/>
  <c r="C273" i="20" s="1"/>
  <c r="L201" i="6"/>
  <c r="C274" i="20" s="1"/>
  <c r="L202" i="6"/>
  <c r="C275" i="20" s="1"/>
  <c r="L203" i="6"/>
  <c r="C276" i="20" s="1"/>
  <c r="L204" i="6"/>
  <c r="C277" i="20" s="1"/>
  <c r="L205" i="6"/>
  <c r="C278" i="20" s="1"/>
  <c r="L206" i="6"/>
  <c r="C279" i="20" s="1"/>
  <c r="L207" i="6"/>
  <c r="C280" i="20" s="1"/>
  <c r="L208" i="6"/>
  <c r="C281" i="20" s="1"/>
  <c r="L209" i="6"/>
  <c r="C282" i="20" s="1"/>
  <c r="L210" i="6"/>
  <c r="C283" i="20" s="1"/>
  <c r="L211" i="6"/>
  <c r="C284" i="20" s="1"/>
  <c r="L212" i="6"/>
  <c r="C285" i="20" s="1"/>
  <c r="L213" i="6"/>
  <c r="C286" i="20" s="1"/>
  <c r="L214" i="6"/>
  <c r="C287" i="20" s="1"/>
  <c r="L215" i="6"/>
  <c r="C288" i="20" s="1"/>
  <c r="L216" i="6"/>
  <c r="C289" i="20" s="1"/>
  <c r="L217" i="6"/>
  <c r="C290" i="20" s="1"/>
  <c r="L218" i="6"/>
  <c r="C291" i="20" s="1"/>
  <c r="L219" i="6"/>
  <c r="C292" i="20" s="1"/>
  <c r="L220" i="6"/>
  <c r="C293" i="20" s="1"/>
  <c r="L221" i="6"/>
  <c r="C294" i="20" s="1"/>
  <c r="L222" i="6"/>
  <c r="C295" i="20" s="1"/>
  <c r="L223" i="6"/>
  <c r="C296" i="20" s="1"/>
  <c r="L224" i="6"/>
  <c r="C297" i="20" s="1"/>
  <c r="L225" i="6"/>
  <c r="C298" i="20" s="1"/>
  <c r="L226" i="6"/>
  <c r="L227" i="6"/>
  <c r="C300" i="20" s="1"/>
  <c r="L228" i="6"/>
  <c r="K301" i="20" s="1"/>
  <c r="L229" i="6"/>
  <c r="C302" i="20" s="1"/>
  <c r="L230" i="6"/>
  <c r="C303" i="20" s="1"/>
  <c r="L231" i="6"/>
  <c r="C304" i="20" s="1"/>
  <c r="L232" i="6"/>
  <c r="L305" i="20" s="1"/>
  <c r="L233" i="6"/>
  <c r="C306" i="20" s="1"/>
  <c r="L234" i="6"/>
  <c r="C307" i="20" s="1"/>
  <c r="L235" i="6"/>
  <c r="L308" i="20" s="1"/>
  <c r="L236" i="6"/>
  <c r="L309" i="20" s="1"/>
  <c r="L237" i="6"/>
  <c r="C310" i="20" s="1"/>
  <c r="L238" i="6"/>
  <c r="C311" i="20" s="1"/>
  <c r="L239" i="6"/>
  <c r="C312" i="20" s="1"/>
  <c r="L240" i="6"/>
  <c r="C313" i="20" s="1"/>
  <c r="L241" i="6"/>
  <c r="C314" i="20" s="1"/>
  <c r="L242" i="6"/>
  <c r="C315" i="20" s="1"/>
  <c r="L243" i="6"/>
  <c r="C316" i="20" s="1"/>
  <c r="L244" i="6"/>
  <c r="L317" i="20" s="1"/>
  <c r="L245" i="6"/>
  <c r="C318" i="20" s="1"/>
  <c r="L246" i="6"/>
  <c r="C319" i="20" s="1"/>
  <c r="L247" i="6"/>
  <c r="C320" i="20" s="1"/>
  <c r="L248" i="6"/>
  <c r="L321" i="20" s="1"/>
  <c r="L249" i="6"/>
  <c r="L322" i="20" s="1"/>
  <c r="L250" i="6"/>
  <c r="C323" i="20" s="1"/>
  <c r="L251" i="6"/>
  <c r="C324" i="20" s="1"/>
  <c r="L252" i="6"/>
  <c r="C325" i="20" s="1"/>
  <c r="L253" i="6"/>
  <c r="L326" i="20" s="1"/>
  <c r="L254" i="6"/>
  <c r="L327" i="20" s="1"/>
  <c r="L255" i="6"/>
  <c r="L256" i="6"/>
  <c r="L257" i="6"/>
  <c r="L258" i="6"/>
  <c r="L259" i="6"/>
  <c r="L260" i="6"/>
  <c r="C218" i="20"/>
  <c r="K321" i="20"/>
  <c r="K322" i="20"/>
  <c r="K323" i="20"/>
  <c r="J295" i="20"/>
  <c r="J296" i="20"/>
  <c r="J297" i="20"/>
  <c r="J298" i="20"/>
  <c r="J299" i="20"/>
  <c r="J300" i="20"/>
  <c r="J301" i="20"/>
  <c r="J302" i="20"/>
  <c r="K303" i="20"/>
  <c r="K304" i="20"/>
  <c r="K305" i="20"/>
  <c r="K306" i="20"/>
  <c r="K307" i="20"/>
  <c r="K308" i="20"/>
  <c r="K309" i="20"/>
  <c r="K310" i="20"/>
  <c r="K311" i="20"/>
  <c r="K312" i="20"/>
  <c r="K313" i="20"/>
  <c r="K314" i="20"/>
  <c r="K315" i="20"/>
  <c r="K316" i="20"/>
  <c r="K317" i="20"/>
  <c r="K318" i="20"/>
  <c r="K319" i="20"/>
  <c r="K320" i="20"/>
  <c r="AP260" i="16"/>
  <c r="AP284" i="16"/>
  <c r="AP285" i="16"/>
  <c r="AP302" i="16"/>
  <c r="AP305" i="16"/>
  <c r="AM86" i="16"/>
  <c r="AM87" i="16"/>
  <c r="AM88" i="16"/>
  <c r="AM89" i="16"/>
  <c r="AM90" i="16"/>
  <c r="AM91" i="16"/>
  <c r="AM92" i="16"/>
  <c r="AM93" i="16"/>
  <c r="AM94" i="16"/>
  <c r="AM95" i="16"/>
  <c r="AM96" i="16"/>
  <c r="AM282" i="16"/>
  <c r="AM283" i="16"/>
  <c r="AM284" i="16"/>
  <c r="AM285" i="16"/>
  <c r="AM286" i="16"/>
  <c r="AM287" i="16"/>
  <c r="AM288" i="16"/>
  <c r="AM289" i="16"/>
  <c r="AM290" i="16"/>
  <c r="AM291" i="16"/>
  <c r="AM292" i="16"/>
  <c r="AM293" i="16"/>
  <c r="AM294" i="16"/>
  <c r="AM295" i="16"/>
  <c r="AM296" i="16"/>
  <c r="AM297" i="16"/>
  <c r="AM298" i="16"/>
  <c r="AM299" i="16"/>
  <c r="AM300" i="16"/>
  <c r="AM301" i="16"/>
  <c r="AM302" i="16"/>
  <c r="AM303" i="16"/>
  <c r="AM304" i="16"/>
  <c r="AM305" i="16"/>
  <c r="AM306" i="16"/>
  <c r="AM307" i="16"/>
  <c r="AM308" i="16"/>
  <c r="AM309" i="16"/>
  <c r="AM310" i="16"/>
  <c r="AM311" i="16"/>
  <c r="AM312" i="16"/>
  <c r="AM313" i="16"/>
  <c r="AM314" i="16"/>
  <c r="AM315" i="16"/>
  <c r="AM316" i="16"/>
  <c r="AM317" i="16"/>
  <c r="AM318" i="16"/>
  <c r="AM319" i="16"/>
  <c r="AM320" i="16"/>
  <c r="AM321" i="16"/>
  <c r="AM322" i="16"/>
  <c r="AM323" i="16"/>
  <c r="AM324" i="16"/>
  <c r="AM325" i="16"/>
  <c r="AM326" i="16"/>
  <c r="AM327" i="16"/>
  <c r="AM328" i="16"/>
  <c r="AM329" i="16"/>
  <c r="AM330" i="16"/>
  <c r="AM331" i="16"/>
  <c r="AM332" i="16"/>
  <c r="AM333" i="16"/>
  <c r="AM334" i="16"/>
  <c r="AM335" i="16"/>
  <c r="AM336" i="16"/>
  <c r="AM337" i="16"/>
  <c r="AM338" i="16"/>
  <c r="AM339" i="16"/>
  <c r="AM340" i="16"/>
  <c r="AM341" i="16"/>
  <c r="AM342" i="16"/>
  <c r="AM343" i="16"/>
  <c r="AM344" i="16"/>
  <c r="AM345" i="16"/>
  <c r="AM346" i="16"/>
  <c r="AM347" i="16"/>
  <c r="AM348" i="16"/>
  <c r="AM349" i="16"/>
  <c r="AM350" i="16"/>
  <c r="AM351" i="16"/>
  <c r="AM352" i="16"/>
  <c r="AM353" i="16"/>
  <c r="AM354" i="16"/>
  <c r="AM355" i="16"/>
  <c r="AM356" i="16"/>
  <c r="AM357" i="16"/>
  <c r="AM358" i="16"/>
  <c r="AM359" i="16"/>
  <c r="AM360" i="16"/>
  <c r="AM361" i="16"/>
  <c r="AM362" i="16"/>
  <c r="AM363" i="16"/>
  <c r="AM364" i="16"/>
  <c r="AM365" i="16"/>
  <c r="AM366" i="16"/>
  <c r="AM367" i="16"/>
  <c r="AM368" i="16"/>
  <c r="AM369" i="16"/>
  <c r="AM85" i="16"/>
  <c r="O21" i="4"/>
  <c r="O23" i="4"/>
  <c r="O25" i="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D75" i="16"/>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35" i="10"/>
  <c r="J218" i="20"/>
  <c r="J219" i="20"/>
  <c r="J220" i="20"/>
  <c r="J221" i="20"/>
  <c r="J222" i="20"/>
  <c r="J223" i="20"/>
  <c r="J224" i="20"/>
  <c r="J225" i="20"/>
  <c r="J226" i="20"/>
  <c r="J227" i="20"/>
  <c r="J228" i="20"/>
  <c r="J229" i="20"/>
  <c r="J230" i="20"/>
  <c r="J231" i="20"/>
  <c r="J232" i="20"/>
  <c r="J233" i="20"/>
  <c r="J234" i="20"/>
  <c r="J235" i="20"/>
  <c r="J236" i="20"/>
  <c r="J237" i="20"/>
  <c r="J238" i="20"/>
  <c r="J239" i="20"/>
  <c r="J240" i="20"/>
  <c r="J241" i="20"/>
  <c r="J242" i="20"/>
  <c r="J243" i="20"/>
  <c r="J244" i="20"/>
  <c r="J245" i="20"/>
  <c r="J246" i="20"/>
  <c r="J247" i="20"/>
  <c r="J248" i="20"/>
  <c r="J249" i="20"/>
  <c r="J250" i="20"/>
  <c r="J251" i="20"/>
  <c r="J252" i="20"/>
  <c r="J253" i="20"/>
  <c r="J254" i="20"/>
  <c r="J255" i="20"/>
  <c r="J256" i="20"/>
  <c r="J257" i="20"/>
  <c r="J258" i="20"/>
  <c r="J259" i="20"/>
  <c r="J260"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C85" i="20"/>
  <c r="C86" i="20" s="1"/>
  <c r="C8" i="1"/>
  <c r="O19" i="4" s="1"/>
  <c r="C11" i="1"/>
  <c r="O22" i="4" s="1"/>
  <c r="B327" i="16"/>
  <c r="B328" i="16"/>
  <c r="B329" i="16"/>
  <c r="B330" i="16"/>
  <c r="B331" i="16"/>
  <c r="B332" i="16"/>
  <c r="B333" i="16"/>
  <c r="B334" i="16"/>
  <c r="B335" i="16"/>
  <c r="B336" i="16"/>
  <c r="B337" i="16"/>
  <c r="B338" i="16"/>
  <c r="B339" i="16"/>
  <c r="B340" i="16"/>
  <c r="B341" i="16"/>
  <c r="B342" i="16"/>
  <c r="B343" i="16"/>
  <c r="B344" i="16"/>
  <c r="B345" i="16"/>
  <c r="B346" i="16"/>
  <c r="B347" i="16"/>
  <c r="B348" i="16"/>
  <c r="B349" i="16"/>
  <c r="B350" i="16"/>
  <c r="B351" i="16"/>
  <c r="B352" i="16"/>
  <c r="B353" i="16"/>
  <c r="B354" i="16"/>
  <c r="B355" i="16"/>
  <c r="B356" i="16"/>
  <c r="B357" i="16"/>
  <c r="B358" i="16"/>
  <c r="B359" i="16"/>
  <c r="B360" i="16"/>
  <c r="B361" i="16"/>
  <c r="B362" i="16"/>
  <c r="B363" i="16"/>
  <c r="B364" i="16"/>
  <c r="B365" i="16"/>
  <c r="B366" i="16"/>
  <c r="B367" i="16"/>
  <c r="B368" i="16"/>
  <c r="B369" i="16"/>
  <c r="J74" i="16"/>
  <c r="AP263" i="16" s="1"/>
  <c r="H201" i="24"/>
  <c r="I201" i="24" s="1"/>
  <c r="J201" i="24" s="1"/>
  <c r="C69" i="20"/>
  <c r="E75" i="11"/>
  <c r="E76" i="11"/>
  <c r="E77" i="11"/>
  <c r="E78" i="11"/>
  <c r="E79" i="11"/>
  <c r="E80" i="11"/>
  <c r="E81" i="11"/>
  <c r="E82" i="11"/>
  <c r="E83" i="11"/>
  <c r="D75" i="11"/>
  <c r="D76" i="11"/>
  <c r="D77" i="11"/>
  <c r="D78" i="11"/>
  <c r="D79" i="11"/>
  <c r="D80" i="11"/>
  <c r="D81" i="11"/>
  <c r="D82" i="11"/>
  <c r="D83" i="11"/>
  <c r="C75" i="11"/>
  <c r="C76" i="11"/>
  <c r="C77" i="11"/>
  <c r="C78" i="11"/>
  <c r="C79" i="11"/>
  <c r="C80" i="11"/>
  <c r="C81" i="11"/>
  <c r="C82" i="11"/>
  <c r="C83" i="11"/>
  <c r="E72" i="11"/>
  <c r="E73" i="11"/>
  <c r="E74" i="11"/>
  <c r="D72" i="11"/>
  <c r="D73" i="11"/>
  <c r="D74" i="11"/>
  <c r="C72" i="11"/>
  <c r="C73" i="11"/>
  <c r="C74" i="11"/>
  <c r="C43" i="20"/>
  <c r="C44" i="20" s="1"/>
  <c r="BM40" i="9"/>
  <c r="BN40" i="9" s="1"/>
  <c r="BO40" i="9"/>
  <c r="BP40" i="9" s="1"/>
  <c r="BI39" i="9"/>
  <c r="AO60" i="9"/>
  <c r="AO68" i="9"/>
  <c r="AO76" i="9"/>
  <c r="AO84" i="9"/>
  <c r="AM41" i="9"/>
  <c r="T130" i="6"/>
  <c r="C106" i="6"/>
  <c r="T114" i="6"/>
  <c r="T115" i="6"/>
  <c r="T116" i="6"/>
  <c r="T117" i="6"/>
  <c r="T118" i="6"/>
  <c r="T119" i="6"/>
  <c r="T120" i="6"/>
  <c r="T121" i="6"/>
  <c r="T122" i="6"/>
  <c r="T123" i="6"/>
  <c r="T124" i="6"/>
  <c r="T125" i="6"/>
  <c r="T126" i="6"/>
  <c r="T127" i="6"/>
  <c r="T128" i="6"/>
  <c r="T129" i="6"/>
  <c r="T131" i="6"/>
  <c r="T132" i="6"/>
  <c r="T133" i="6"/>
  <c r="T134" i="6"/>
  <c r="T135" i="6"/>
  <c r="T136" i="6"/>
  <c r="T137" i="6"/>
  <c r="T138" i="6"/>
  <c r="T139" i="6"/>
  <c r="T113" i="6"/>
  <c r="C9" i="1"/>
  <c r="C28" i="17"/>
  <c r="C23" i="10"/>
  <c r="C17" i="14"/>
  <c r="D29" i="9"/>
  <c r="J76" i="9" s="1"/>
  <c r="D26" i="9"/>
  <c r="D28" i="9" s="1"/>
  <c r="D30" i="9" s="1"/>
  <c r="K73" i="9" s="1"/>
  <c r="C15" i="1"/>
  <c r="O9" i="27"/>
  <c r="P9" i="27"/>
  <c r="Q9" i="27"/>
  <c r="R9" i="27"/>
  <c r="S9" i="27"/>
  <c r="T9" i="27"/>
  <c r="U9" i="27"/>
  <c r="V9" i="27"/>
  <c r="W9" i="27"/>
  <c r="X9" i="27"/>
  <c r="Y9" i="27"/>
  <c r="Z9" i="27"/>
  <c r="AA9" i="27"/>
  <c r="AB9" i="27"/>
  <c r="AC9" i="27"/>
  <c r="AD9" i="27"/>
  <c r="AE9" i="27"/>
  <c r="AF9" i="27"/>
  <c r="AG9" i="27"/>
  <c r="AH9" i="27"/>
  <c r="AI9" i="27"/>
  <c r="AJ9" i="27"/>
  <c r="N9" i="27"/>
  <c r="F49" i="4"/>
  <c r="H49" i="4"/>
  <c r="J49" i="4"/>
  <c r="F50" i="4"/>
  <c r="J50" i="4"/>
  <c r="J51" i="4"/>
  <c r="J52" i="4"/>
  <c r="J57" i="4"/>
  <c r="J58" i="4"/>
  <c r="J61" i="4"/>
  <c r="J62" i="4"/>
  <c r="C172" i="17"/>
  <c r="K23" i="10"/>
  <c r="M21" i="10"/>
  <c r="M20" i="10"/>
  <c r="K21" i="10"/>
  <c r="K20" i="10"/>
  <c r="K13" i="10"/>
  <c r="K11" i="10"/>
  <c r="L7" i="10"/>
  <c r="C52" i="6"/>
  <c r="C103" i="20"/>
  <c r="C118" i="20" s="1"/>
  <c r="C16" i="20"/>
  <c r="C38" i="27"/>
  <c r="C30" i="27" s="1"/>
  <c r="C7" i="20"/>
  <c r="C73" i="20" s="1"/>
  <c r="C93" i="20"/>
  <c r="C31" i="27"/>
  <c r="N163" i="24"/>
  <c r="L163" i="24" s="1"/>
  <c r="N164" i="24"/>
  <c r="L164" i="24" s="1"/>
  <c r="N165" i="24"/>
  <c r="L165" i="24" s="1"/>
  <c r="N166" i="24"/>
  <c r="L166" i="24" s="1"/>
  <c r="N167" i="24"/>
  <c r="L167" i="24" s="1"/>
  <c r="N168" i="24"/>
  <c r="L168" i="24" s="1"/>
  <c r="N169" i="24"/>
  <c r="L169" i="24" s="1"/>
  <c r="N170" i="24"/>
  <c r="L170" i="24" s="1"/>
  <c r="N171" i="24"/>
  <c r="L171" i="24" s="1"/>
  <c r="N172" i="24"/>
  <c r="L172" i="24" s="1"/>
  <c r="N173" i="24"/>
  <c r="L173" i="24" s="1"/>
  <c r="N174" i="24"/>
  <c r="L174" i="24" s="1"/>
  <c r="N175" i="24"/>
  <c r="L175" i="24" s="1"/>
  <c r="N176" i="24"/>
  <c r="L176" i="24" s="1"/>
  <c r="N177" i="24"/>
  <c r="L177" i="24" s="1"/>
  <c r="N178" i="24"/>
  <c r="L178" i="24" s="1"/>
  <c r="N179" i="24"/>
  <c r="L179" i="24" s="1"/>
  <c r="N180" i="24"/>
  <c r="L180" i="24" s="1"/>
  <c r="N181" i="24"/>
  <c r="L181" i="24" s="1"/>
  <c r="N182" i="24"/>
  <c r="L182" i="24" s="1"/>
  <c r="N183" i="24"/>
  <c r="L183" i="24" s="1"/>
  <c r="N184" i="24"/>
  <c r="L184" i="24" s="1"/>
  <c r="N185" i="24"/>
  <c r="L185" i="24" s="1"/>
  <c r="N186" i="24"/>
  <c r="L186" i="24" s="1"/>
  <c r="N187" i="24"/>
  <c r="L187" i="24" s="1"/>
  <c r="N188" i="24"/>
  <c r="L188" i="24" s="1"/>
  <c r="N189" i="24"/>
  <c r="L189" i="24" s="1"/>
  <c r="N190" i="24"/>
  <c r="L190" i="24" s="1"/>
  <c r="N191" i="24"/>
  <c r="L191" i="24" s="1"/>
  <c r="N192" i="24"/>
  <c r="L192" i="24" s="1"/>
  <c r="N193" i="24"/>
  <c r="L193" i="24" s="1"/>
  <c r="N194" i="24"/>
  <c r="L194" i="24" s="1"/>
  <c r="N195" i="24"/>
  <c r="L195" i="24" s="1"/>
  <c r="N196" i="24"/>
  <c r="L196" i="24" s="1"/>
  <c r="N197" i="24"/>
  <c r="L197" i="24" s="1"/>
  <c r="N198" i="24"/>
  <c r="L198" i="24" s="1"/>
  <c r="N199" i="24"/>
  <c r="L199" i="24" s="1"/>
  <c r="N200" i="24"/>
  <c r="L200" i="24" s="1"/>
  <c r="N201" i="24"/>
  <c r="L201" i="24" s="1"/>
  <c r="N202" i="24"/>
  <c r="L202" i="24" s="1"/>
  <c r="N203" i="24"/>
  <c r="L203" i="24" s="1"/>
  <c r="N204" i="24"/>
  <c r="L204" i="24" s="1"/>
  <c r="N205" i="24"/>
  <c r="L205" i="24" s="1"/>
  <c r="N206" i="24"/>
  <c r="L206" i="24" s="1"/>
  <c r="N207" i="24"/>
  <c r="L207" i="24" s="1"/>
  <c r="N208" i="24"/>
  <c r="L208" i="24" s="1"/>
  <c r="N209" i="24"/>
  <c r="L209" i="24" s="1"/>
  <c r="N210" i="24"/>
  <c r="L210" i="24" s="1"/>
  <c r="N211" i="24"/>
  <c r="L211" i="24" s="1"/>
  <c r="N212" i="24"/>
  <c r="L212" i="24" s="1"/>
  <c r="N213" i="24"/>
  <c r="L213" i="24" s="1"/>
  <c r="N214" i="24"/>
  <c r="L214" i="24" s="1"/>
  <c r="N215" i="24"/>
  <c r="L215" i="24" s="1"/>
  <c r="N216" i="24"/>
  <c r="L216" i="24" s="1"/>
  <c r="N217" i="24"/>
  <c r="L217" i="24" s="1"/>
  <c r="N218" i="24"/>
  <c r="L218" i="24" s="1"/>
  <c r="N219" i="24"/>
  <c r="L219" i="24" s="1"/>
  <c r="N220" i="24"/>
  <c r="L220" i="24" s="1"/>
  <c r="N221" i="24"/>
  <c r="L221" i="24" s="1"/>
  <c r="N222" i="24"/>
  <c r="L222" i="24" s="1"/>
  <c r="N223" i="24"/>
  <c r="L223" i="24" s="1"/>
  <c r="N224" i="24"/>
  <c r="L224" i="24" s="1"/>
  <c r="N225" i="24"/>
  <c r="L225" i="24" s="1"/>
  <c r="N226" i="24"/>
  <c r="L226" i="24" s="1"/>
  <c r="N227" i="24"/>
  <c r="L227" i="24" s="1"/>
  <c r="N228" i="24"/>
  <c r="L228" i="24" s="1"/>
  <c r="N229" i="24"/>
  <c r="L229" i="24" s="1"/>
  <c r="N230" i="24"/>
  <c r="L230" i="24" s="1"/>
  <c r="N231" i="24"/>
  <c r="L231" i="24" s="1"/>
  <c r="N232" i="24"/>
  <c r="L232" i="24" s="1"/>
  <c r="N233" i="24"/>
  <c r="L233" i="24" s="1"/>
  <c r="N234" i="24"/>
  <c r="L234" i="24" s="1"/>
  <c r="N235" i="24"/>
  <c r="L235" i="24" s="1"/>
  <c r="N236" i="24"/>
  <c r="L236" i="24" s="1"/>
  <c r="N237" i="24"/>
  <c r="L237" i="24" s="1"/>
  <c r="N238" i="24"/>
  <c r="L238" i="24" s="1"/>
  <c r="N239" i="24"/>
  <c r="L239" i="24" s="1"/>
  <c r="N240" i="24"/>
  <c r="L240" i="24" s="1"/>
  <c r="N241" i="24"/>
  <c r="L241" i="24" s="1"/>
  <c r="N242" i="24"/>
  <c r="L242" i="24" s="1"/>
  <c r="N243" i="24"/>
  <c r="L243" i="24" s="1"/>
  <c r="N244" i="24"/>
  <c r="L244" i="24" s="1"/>
  <c r="N245" i="24"/>
  <c r="L245" i="24" s="1"/>
  <c r="N246" i="24"/>
  <c r="L246" i="24" s="1"/>
  <c r="N247" i="24"/>
  <c r="L247" i="24" s="1"/>
  <c r="N248" i="24"/>
  <c r="L248" i="24" s="1"/>
  <c r="N249" i="24"/>
  <c r="L249" i="24" s="1"/>
  <c r="N250" i="24"/>
  <c r="L250" i="24" s="1"/>
  <c r="N251" i="24"/>
  <c r="L251" i="24" s="1"/>
  <c r="N252" i="24"/>
  <c r="L252" i="24" s="1"/>
  <c r="N253" i="24"/>
  <c r="L253" i="24" s="1"/>
  <c r="N254" i="24"/>
  <c r="L254" i="24" s="1"/>
  <c r="N255" i="24"/>
  <c r="L255" i="24" s="1"/>
  <c r="N256" i="24"/>
  <c r="L256" i="24" s="1"/>
  <c r="N257" i="24"/>
  <c r="N258" i="24"/>
  <c r="L258" i="24" s="1"/>
  <c r="N259" i="24"/>
  <c r="L259" i="24" s="1"/>
  <c r="N260" i="24"/>
  <c r="L260" i="24" s="1"/>
  <c r="N261" i="24"/>
  <c r="L261" i="24" s="1"/>
  <c r="N262" i="24"/>
  <c r="L262" i="24" s="1"/>
  <c r="N263" i="24"/>
  <c r="L263" i="24" s="1"/>
  <c r="N264" i="24"/>
  <c r="L264" i="24" s="1"/>
  <c r="N265" i="24"/>
  <c r="L265" i="24" s="1"/>
  <c r="N266" i="24"/>
  <c r="L266" i="24" s="1"/>
  <c r="N267" i="24"/>
  <c r="L267" i="24" s="1"/>
  <c r="N268" i="24"/>
  <c r="L268" i="24" s="1"/>
  <c r="N269" i="24"/>
  <c r="L269" i="24" s="1"/>
  <c r="N270" i="24"/>
  <c r="L270" i="24" s="1"/>
  <c r="N271" i="24"/>
  <c r="L271" i="24" s="1"/>
  <c r="N272" i="24"/>
  <c r="L272" i="24" s="1"/>
  <c r="N273" i="24"/>
  <c r="L273" i="24" s="1"/>
  <c r="N274" i="24"/>
  <c r="L274" i="24" s="1"/>
  <c r="N275" i="24"/>
  <c r="L275" i="24" s="1"/>
  <c r="N276" i="24"/>
  <c r="L276" i="24" s="1"/>
  <c r="N277" i="24"/>
  <c r="L277" i="24" s="1"/>
  <c r="N278" i="24"/>
  <c r="L278" i="24" s="1"/>
  <c r="N279" i="24"/>
  <c r="L279" i="24" s="1"/>
  <c r="N280" i="24"/>
  <c r="L280" i="24" s="1"/>
  <c r="N281" i="24"/>
  <c r="L281" i="24" s="1"/>
  <c r="N282" i="24"/>
  <c r="L282" i="24" s="1"/>
  <c r="N283" i="24"/>
  <c r="L283" i="24" s="1"/>
  <c r="N284" i="24"/>
  <c r="L284" i="24" s="1"/>
  <c r="N285" i="24"/>
  <c r="L285" i="24" s="1"/>
  <c r="N286" i="24"/>
  <c r="L286" i="24" s="1"/>
  <c r="N287" i="24"/>
  <c r="L287" i="24" s="1"/>
  <c r="N288" i="24"/>
  <c r="L288" i="24" s="1"/>
  <c r="N289" i="24"/>
  <c r="L289" i="24" s="1"/>
  <c r="N290" i="24"/>
  <c r="L290" i="24" s="1"/>
  <c r="N291" i="24"/>
  <c r="L291" i="24" s="1"/>
  <c r="N292" i="24"/>
  <c r="L292" i="24" s="1"/>
  <c r="N293" i="24"/>
  <c r="L293" i="24" s="1"/>
  <c r="N294" i="24"/>
  <c r="L294" i="24" s="1"/>
  <c r="N295" i="24"/>
  <c r="L295" i="24" s="1"/>
  <c r="N296" i="24"/>
  <c r="L296" i="24" s="1"/>
  <c r="N297" i="24"/>
  <c r="L297" i="24" s="1"/>
  <c r="N298" i="24"/>
  <c r="L298" i="24" s="1"/>
  <c r="N299" i="24"/>
  <c r="L299" i="24" s="1"/>
  <c r="N300" i="24"/>
  <c r="L300" i="24" s="1"/>
  <c r="N301" i="24"/>
  <c r="L301" i="24" s="1"/>
  <c r="N302" i="24"/>
  <c r="L302" i="24" s="1"/>
  <c r="N303" i="24"/>
  <c r="L303" i="24" s="1"/>
  <c r="N304" i="24"/>
  <c r="L304" i="24" s="1"/>
  <c r="N305" i="24"/>
  <c r="L305" i="24" s="1"/>
  <c r="N306" i="24"/>
  <c r="L306" i="24" s="1"/>
  <c r="N307" i="24"/>
  <c r="L307" i="24" s="1"/>
  <c r="N308" i="24"/>
  <c r="L308" i="24" s="1"/>
  <c r="N309" i="24"/>
  <c r="L309" i="24" s="1"/>
  <c r="N310" i="24"/>
  <c r="L310" i="24" s="1"/>
  <c r="N311" i="24"/>
  <c r="L311" i="24" s="1"/>
  <c r="N312" i="24"/>
  <c r="L312" i="24" s="1"/>
  <c r="N313" i="24"/>
  <c r="L313" i="24" s="1"/>
  <c r="N314" i="24"/>
  <c r="L314" i="24" s="1"/>
  <c r="N315" i="24"/>
  <c r="L315" i="24" s="1"/>
  <c r="N316" i="24"/>
  <c r="L316" i="24" s="1"/>
  <c r="N317" i="24"/>
  <c r="L317" i="24" s="1"/>
  <c r="N318" i="24"/>
  <c r="L318" i="24" s="1"/>
  <c r="N319" i="24"/>
  <c r="L319" i="24" s="1"/>
  <c r="N320" i="24"/>
  <c r="L320" i="24" s="1"/>
  <c r="N321" i="24"/>
  <c r="L321" i="24" s="1"/>
  <c r="N322" i="24"/>
  <c r="L322" i="24" s="1"/>
  <c r="N323" i="24"/>
  <c r="L323" i="24" s="1"/>
  <c r="N324" i="24"/>
  <c r="L324" i="24" s="1"/>
  <c r="N325" i="24"/>
  <c r="L325" i="24" s="1"/>
  <c r="N326" i="24"/>
  <c r="L326" i="24" s="1"/>
  <c r="N327" i="24"/>
  <c r="L327" i="24" s="1"/>
  <c r="N328" i="24"/>
  <c r="L328" i="24" s="1"/>
  <c r="N329" i="24"/>
  <c r="L329" i="24" s="1"/>
  <c r="N330" i="24"/>
  <c r="L330" i="24" s="1"/>
  <c r="N331" i="24"/>
  <c r="L331" i="24" s="1"/>
  <c r="N332" i="24"/>
  <c r="L332" i="24" s="1"/>
  <c r="N333" i="24"/>
  <c r="L333" i="24" s="1"/>
  <c r="N334" i="24"/>
  <c r="L334" i="24" s="1"/>
  <c r="N335" i="24"/>
  <c r="L335" i="24" s="1"/>
  <c r="N336" i="24"/>
  <c r="L336" i="24" s="1"/>
  <c r="N337" i="24"/>
  <c r="L337" i="24" s="1"/>
  <c r="N338" i="24"/>
  <c r="L338" i="24" s="1"/>
  <c r="N339" i="24"/>
  <c r="L339" i="24" s="1"/>
  <c r="N340" i="24"/>
  <c r="L340" i="24" s="1"/>
  <c r="N341" i="24"/>
  <c r="L341" i="24" s="1"/>
  <c r="N342" i="24"/>
  <c r="L342" i="24" s="1"/>
  <c r="N343" i="24"/>
  <c r="L343" i="24" s="1"/>
  <c r="N344" i="24"/>
  <c r="L344" i="24" s="1"/>
  <c r="N345" i="24"/>
  <c r="L345" i="24" s="1"/>
  <c r="N346" i="24"/>
  <c r="L346" i="24" s="1"/>
  <c r="N347" i="24"/>
  <c r="L347" i="24" s="1"/>
  <c r="N348" i="24"/>
  <c r="L348" i="24" s="1"/>
  <c r="N349" i="24"/>
  <c r="L349" i="24" s="1"/>
  <c r="N350" i="24"/>
  <c r="L350" i="24" s="1"/>
  <c r="N351" i="24"/>
  <c r="L351" i="24" s="1"/>
  <c r="N352" i="24"/>
  <c r="L352" i="24" s="1"/>
  <c r="N353" i="24"/>
  <c r="L353" i="24" s="1"/>
  <c r="N354" i="24"/>
  <c r="L354" i="24" s="1"/>
  <c r="N355" i="24"/>
  <c r="L355" i="24" s="1"/>
  <c r="N356" i="24"/>
  <c r="L356" i="24" s="1"/>
  <c r="N357" i="24"/>
  <c r="L357" i="24" s="1"/>
  <c r="N358" i="24"/>
  <c r="L358" i="24" s="1"/>
  <c r="N359" i="24"/>
  <c r="L359" i="24" s="1"/>
  <c r="N360" i="24"/>
  <c r="L360" i="24" s="1"/>
  <c r="N361" i="24"/>
  <c r="L361" i="24" s="1"/>
  <c r="N162" i="24"/>
  <c r="L162" i="24" s="1"/>
  <c r="AG48" i="24"/>
  <c r="AH48" i="24" s="1"/>
  <c r="AI48" i="24" s="1"/>
  <c r="D163" i="24"/>
  <c r="G163" i="24" s="1"/>
  <c r="D164" i="24"/>
  <c r="G164" i="24" s="1"/>
  <c r="D165" i="24"/>
  <c r="G165" i="24" s="1"/>
  <c r="D166" i="24"/>
  <c r="G166" i="24" s="1"/>
  <c r="D167" i="24"/>
  <c r="G167" i="24" s="1"/>
  <c r="D168" i="24"/>
  <c r="G168" i="24" s="1"/>
  <c r="D169" i="24"/>
  <c r="G169" i="24" s="1"/>
  <c r="D170" i="24"/>
  <c r="G170" i="24" s="1"/>
  <c r="D171" i="24"/>
  <c r="G171" i="24" s="1"/>
  <c r="D172" i="24"/>
  <c r="G172" i="24" s="1"/>
  <c r="D173" i="24"/>
  <c r="G173" i="24" s="1"/>
  <c r="D174" i="24"/>
  <c r="G174" i="24" s="1"/>
  <c r="D175" i="24"/>
  <c r="G175" i="24" s="1"/>
  <c r="D176" i="24"/>
  <c r="G176" i="24" s="1"/>
  <c r="D177" i="24"/>
  <c r="G177" i="24" s="1"/>
  <c r="D178" i="24"/>
  <c r="D179" i="24"/>
  <c r="G179" i="24" s="1"/>
  <c r="D180" i="24"/>
  <c r="G180" i="24" s="1"/>
  <c r="D181" i="24"/>
  <c r="G181" i="24" s="1"/>
  <c r="D182" i="24"/>
  <c r="G182" i="24" s="1"/>
  <c r="D183" i="24"/>
  <c r="G183" i="24" s="1"/>
  <c r="D184" i="24"/>
  <c r="G184" i="24" s="1"/>
  <c r="D185" i="24"/>
  <c r="G185" i="24" s="1"/>
  <c r="D186" i="24"/>
  <c r="D187" i="24"/>
  <c r="G187" i="24" s="1"/>
  <c r="D188" i="24"/>
  <c r="G188" i="24" s="1"/>
  <c r="D189" i="24"/>
  <c r="G189" i="24" s="1"/>
  <c r="D190" i="24"/>
  <c r="G190" i="24" s="1"/>
  <c r="D191" i="24"/>
  <c r="G191" i="24" s="1"/>
  <c r="D192" i="24"/>
  <c r="G192" i="24" s="1"/>
  <c r="D193" i="24"/>
  <c r="G193" i="24" s="1"/>
  <c r="D194" i="24"/>
  <c r="D195" i="24"/>
  <c r="G195" i="24" s="1"/>
  <c r="D196" i="24"/>
  <c r="G196" i="24" s="1"/>
  <c r="D197" i="24"/>
  <c r="G197" i="24" s="1"/>
  <c r="D198" i="24"/>
  <c r="G198" i="24" s="1"/>
  <c r="D199" i="24"/>
  <c r="G199" i="24" s="1"/>
  <c r="D200" i="24"/>
  <c r="G200" i="24" s="1"/>
  <c r="D201" i="24"/>
  <c r="G201" i="24" s="1"/>
  <c r="D202" i="24"/>
  <c r="D203" i="24"/>
  <c r="G203" i="24" s="1"/>
  <c r="D204" i="24"/>
  <c r="G204" i="24" s="1"/>
  <c r="D205" i="24"/>
  <c r="G205" i="24" s="1"/>
  <c r="D206" i="24"/>
  <c r="G206" i="24" s="1"/>
  <c r="D207" i="24"/>
  <c r="G207" i="24" s="1"/>
  <c r="D208" i="24"/>
  <c r="G208" i="24" s="1"/>
  <c r="D209" i="24"/>
  <c r="G209" i="24" s="1"/>
  <c r="D210" i="24"/>
  <c r="G210" i="24" s="1"/>
  <c r="D211" i="24"/>
  <c r="G211" i="24" s="1"/>
  <c r="D212" i="24"/>
  <c r="G212" i="24" s="1"/>
  <c r="D213" i="24"/>
  <c r="G213" i="24" s="1"/>
  <c r="D214" i="24"/>
  <c r="G214" i="24" s="1"/>
  <c r="D215" i="24"/>
  <c r="G215" i="24" s="1"/>
  <c r="D216" i="24"/>
  <c r="G216" i="24" s="1"/>
  <c r="D217" i="24"/>
  <c r="D218" i="24"/>
  <c r="D219" i="24"/>
  <c r="G219" i="24" s="1"/>
  <c r="D220" i="24"/>
  <c r="G220" i="24" s="1"/>
  <c r="D221" i="24"/>
  <c r="G221" i="24" s="1"/>
  <c r="D222" i="24"/>
  <c r="G222" i="24" s="1"/>
  <c r="D223" i="24"/>
  <c r="G223" i="24" s="1"/>
  <c r="D224" i="24"/>
  <c r="G224" i="24" s="1"/>
  <c r="D225" i="24"/>
  <c r="G225" i="24" s="1"/>
  <c r="D226" i="24"/>
  <c r="D227" i="24"/>
  <c r="G227" i="24" s="1"/>
  <c r="D228" i="24"/>
  <c r="G228" i="24" s="1"/>
  <c r="D229" i="24"/>
  <c r="G229" i="24" s="1"/>
  <c r="D230" i="24"/>
  <c r="G230" i="24" s="1"/>
  <c r="D231" i="24"/>
  <c r="G231" i="24" s="1"/>
  <c r="D232" i="24"/>
  <c r="G232" i="24" s="1"/>
  <c r="D233" i="24"/>
  <c r="G233" i="24" s="1"/>
  <c r="D234" i="24"/>
  <c r="G234" i="24" s="1"/>
  <c r="D235" i="24"/>
  <c r="G235" i="24" s="1"/>
  <c r="D236" i="24"/>
  <c r="G236" i="24" s="1"/>
  <c r="D237" i="24"/>
  <c r="G237" i="24" s="1"/>
  <c r="D238" i="24"/>
  <c r="D239" i="24"/>
  <c r="G239" i="24" s="1"/>
  <c r="D240" i="24"/>
  <c r="G240" i="24" s="1"/>
  <c r="D241" i="24"/>
  <c r="G241" i="24" s="1"/>
  <c r="D242" i="24"/>
  <c r="G242" i="24" s="1"/>
  <c r="D243" i="24"/>
  <c r="G243" i="24" s="1"/>
  <c r="D244" i="24"/>
  <c r="G244" i="24" s="1"/>
  <c r="D245" i="24"/>
  <c r="G245" i="24" s="1"/>
  <c r="D246" i="24"/>
  <c r="G246" i="24" s="1"/>
  <c r="D247" i="24"/>
  <c r="G247" i="24" s="1"/>
  <c r="D248" i="24"/>
  <c r="G248" i="24" s="1"/>
  <c r="D249" i="24"/>
  <c r="G249" i="24" s="1"/>
  <c r="D250" i="24"/>
  <c r="D251" i="24"/>
  <c r="G251" i="24" s="1"/>
  <c r="D252" i="24"/>
  <c r="G252" i="24" s="1"/>
  <c r="D253" i="24"/>
  <c r="G253" i="24" s="1"/>
  <c r="D254" i="24"/>
  <c r="G254" i="24" s="1"/>
  <c r="D255" i="24"/>
  <c r="G255" i="24" s="1"/>
  <c r="D256" i="24"/>
  <c r="G256" i="24" s="1"/>
  <c r="D257" i="24"/>
  <c r="G257" i="24" s="1"/>
  <c r="D258" i="24"/>
  <c r="D259" i="24"/>
  <c r="G259" i="24" s="1"/>
  <c r="D260" i="24"/>
  <c r="G260" i="24" s="1"/>
  <c r="D261" i="24"/>
  <c r="G261" i="24" s="1"/>
  <c r="D262" i="24"/>
  <c r="G262" i="24" s="1"/>
  <c r="D263" i="24"/>
  <c r="G263" i="24" s="1"/>
  <c r="D264" i="24"/>
  <c r="G264" i="24" s="1"/>
  <c r="D265" i="24"/>
  <c r="G265" i="24" s="1"/>
  <c r="D266" i="24"/>
  <c r="D267" i="24"/>
  <c r="G267" i="24" s="1"/>
  <c r="D268" i="24"/>
  <c r="G268" i="24" s="1"/>
  <c r="D269" i="24"/>
  <c r="G269" i="24" s="1"/>
  <c r="D270" i="24"/>
  <c r="G270" i="24" s="1"/>
  <c r="D271" i="24"/>
  <c r="G271" i="24" s="1"/>
  <c r="D272" i="24"/>
  <c r="G272" i="24" s="1"/>
  <c r="D273" i="24"/>
  <c r="G273" i="24" s="1"/>
  <c r="D274" i="24"/>
  <c r="G274" i="24" s="1"/>
  <c r="D275" i="24"/>
  <c r="G275" i="24" s="1"/>
  <c r="D276" i="24"/>
  <c r="G276" i="24" s="1"/>
  <c r="D277" i="24"/>
  <c r="G277" i="24" s="1"/>
  <c r="D278" i="24"/>
  <c r="G278" i="24" s="1"/>
  <c r="D279" i="24"/>
  <c r="G279" i="24" s="1"/>
  <c r="D280" i="24"/>
  <c r="G280" i="24" s="1"/>
  <c r="D281" i="24"/>
  <c r="G281" i="24" s="1"/>
  <c r="D282" i="24"/>
  <c r="D283" i="24"/>
  <c r="G283" i="24" s="1"/>
  <c r="D284" i="24"/>
  <c r="G284" i="24" s="1"/>
  <c r="D285" i="24"/>
  <c r="G285" i="24" s="1"/>
  <c r="D286" i="24"/>
  <c r="G286" i="24" s="1"/>
  <c r="D287" i="24"/>
  <c r="G287" i="24" s="1"/>
  <c r="D288" i="24"/>
  <c r="G288" i="24" s="1"/>
  <c r="D289" i="24"/>
  <c r="G289" i="24" s="1"/>
  <c r="D290" i="24"/>
  <c r="D291" i="24"/>
  <c r="G291" i="24" s="1"/>
  <c r="D292" i="24"/>
  <c r="G292" i="24" s="1"/>
  <c r="D293" i="24"/>
  <c r="G293" i="24" s="1"/>
  <c r="D294" i="24"/>
  <c r="G294" i="24" s="1"/>
  <c r="D295" i="24"/>
  <c r="G295" i="24" s="1"/>
  <c r="D296" i="24"/>
  <c r="G296" i="24" s="1"/>
  <c r="D297" i="24"/>
  <c r="G297" i="24" s="1"/>
  <c r="D298" i="24"/>
  <c r="D299" i="24"/>
  <c r="G299" i="24" s="1"/>
  <c r="D300" i="24"/>
  <c r="G300" i="24" s="1"/>
  <c r="D301" i="24"/>
  <c r="G301" i="24" s="1"/>
  <c r="D302" i="24"/>
  <c r="G302" i="24" s="1"/>
  <c r="D303" i="24"/>
  <c r="G303" i="24" s="1"/>
  <c r="D304" i="24"/>
  <c r="G304" i="24" s="1"/>
  <c r="D305" i="24"/>
  <c r="G305" i="24" s="1"/>
  <c r="D306" i="24"/>
  <c r="G306" i="24" s="1"/>
  <c r="D307" i="24"/>
  <c r="G307" i="24" s="1"/>
  <c r="D308" i="24"/>
  <c r="G308" i="24" s="1"/>
  <c r="D309" i="24"/>
  <c r="G309" i="24" s="1"/>
  <c r="D310" i="24"/>
  <c r="G310" i="24" s="1"/>
  <c r="D311" i="24"/>
  <c r="G311" i="24" s="1"/>
  <c r="D312" i="24"/>
  <c r="G312" i="24" s="1"/>
  <c r="D313" i="24"/>
  <c r="G313" i="24" s="1"/>
  <c r="D314" i="24"/>
  <c r="D315" i="24"/>
  <c r="G315" i="24" s="1"/>
  <c r="D316" i="24"/>
  <c r="G316" i="24" s="1"/>
  <c r="D317" i="24"/>
  <c r="G317" i="24" s="1"/>
  <c r="D318" i="24"/>
  <c r="G318" i="24" s="1"/>
  <c r="D319" i="24"/>
  <c r="G319" i="24" s="1"/>
  <c r="D320" i="24"/>
  <c r="G320" i="24" s="1"/>
  <c r="D321" i="24"/>
  <c r="G321" i="24" s="1"/>
  <c r="D322" i="24"/>
  <c r="D323" i="24"/>
  <c r="G323" i="24" s="1"/>
  <c r="D324" i="24"/>
  <c r="G324" i="24" s="1"/>
  <c r="D325" i="24"/>
  <c r="G325" i="24" s="1"/>
  <c r="D326" i="24"/>
  <c r="G326" i="24" s="1"/>
  <c r="D327" i="24"/>
  <c r="G327" i="24" s="1"/>
  <c r="D328" i="24"/>
  <c r="G328" i="24" s="1"/>
  <c r="D329" i="24"/>
  <c r="G329" i="24" s="1"/>
  <c r="D330" i="24"/>
  <c r="D331" i="24"/>
  <c r="G331" i="24" s="1"/>
  <c r="D332" i="24"/>
  <c r="G332" i="24" s="1"/>
  <c r="D333" i="24"/>
  <c r="G333" i="24" s="1"/>
  <c r="D334" i="24"/>
  <c r="G334" i="24" s="1"/>
  <c r="D335" i="24"/>
  <c r="G335" i="24" s="1"/>
  <c r="D336" i="24"/>
  <c r="G336" i="24" s="1"/>
  <c r="D337" i="24"/>
  <c r="G337" i="24" s="1"/>
  <c r="D338" i="24"/>
  <c r="G338" i="24" s="1"/>
  <c r="D339" i="24"/>
  <c r="G339" i="24" s="1"/>
  <c r="D340" i="24"/>
  <c r="G340" i="24" s="1"/>
  <c r="D341" i="24"/>
  <c r="G341" i="24" s="1"/>
  <c r="D342" i="24"/>
  <c r="G342" i="24" s="1"/>
  <c r="D343" i="24"/>
  <c r="G343" i="24" s="1"/>
  <c r="D344" i="24"/>
  <c r="G344" i="24" s="1"/>
  <c r="D345" i="24"/>
  <c r="G345" i="24" s="1"/>
  <c r="D346" i="24"/>
  <c r="D347" i="24"/>
  <c r="G347" i="24" s="1"/>
  <c r="D348" i="24"/>
  <c r="G348" i="24" s="1"/>
  <c r="D349" i="24"/>
  <c r="G349" i="24" s="1"/>
  <c r="D350" i="24"/>
  <c r="G350" i="24" s="1"/>
  <c r="D351" i="24"/>
  <c r="G351" i="24" s="1"/>
  <c r="D352" i="24"/>
  <c r="G352" i="24" s="1"/>
  <c r="D353" i="24"/>
  <c r="G353" i="24" s="1"/>
  <c r="D354" i="24"/>
  <c r="G354" i="24" s="1"/>
  <c r="D355" i="24"/>
  <c r="G355" i="24" s="1"/>
  <c r="D356" i="24"/>
  <c r="G356" i="24" s="1"/>
  <c r="D357" i="24"/>
  <c r="G357" i="24" s="1"/>
  <c r="D358" i="24"/>
  <c r="G358" i="24" s="1"/>
  <c r="D359" i="24"/>
  <c r="G359" i="24" s="1"/>
  <c r="D360" i="24"/>
  <c r="G360" i="24" s="1"/>
  <c r="D361" i="24"/>
  <c r="G361" i="24" s="1"/>
  <c r="D162" i="24"/>
  <c r="G162" i="24" s="1"/>
  <c r="C92" i="29"/>
  <c r="C93" i="29"/>
  <c r="L94" i="29"/>
  <c r="L95" i="29"/>
  <c r="L96" i="29"/>
  <c r="L97" i="29"/>
  <c r="L98" i="29"/>
  <c r="L99" i="29"/>
  <c r="C100" i="29"/>
  <c r="L100" i="29"/>
  <c r="L101" i="29"/>
  <c r="L102" i="29"/>
  <c r="L103" i="29"/>
  <c r="L104" i="29"/>
  <c r="L105" i="29"/>
  <c r="L106" i="29"/>
  <c r="L107" i="29"/>
  <c r="L108" i="29"/>
  <c r="L109" i="29"/>
  <c r="C110" i="29"/>
  <c r="F73" i="29"/>
  <c r="F75" i="29"/>
  <c r="E82" i="29"/>
  <c r="E62" i="29"/>
  <c r="C52" i="29"/>
  <c r="D52" i="29"/>
  <c r="E52" i="29"/>
  <c r="F52" i="29"/>
  <c r="C53" i="29"/>
  <c r="D53" i="29"/>
  <c r="E53" i="29"/>
  <c r="F53" i="29"/>
  <c r="C23" i="29"/>
  <c r="E50" i="29" s="1"/>
  <c r="E29" i="29"/>
  <c r="Q3" i="29"/>
  <c r="R3" i="29"/>
  <c r="S3" i="29"/>
  <c r="T3" i="29"/>
  <c r="O5" i="29"/>
  <c r="O6" i="29"/>
  <c r="O7" i="29"/>
  <c r="O8" i="29"/>
  <c r="O9" i="29"/>
  <c r="C10" i="29"/>
  <c r="C13" i="29" s="1"/>
  <c r="C14" i="29" s="1"/>
  <c r="C15" i="29" s="1"/>
  <c r="O10" i="29"/>
  <c r="C11" i="29"/>
  <c r="C7" i="29" s="1"/>
  <c r="C8" i="29" s="1"/>
  <c r="O11" i="29"/>
  <c r="C12" i="29"/>
  <c r="O12" i="29"/>
  <c r="O13" i="29"/>
  <c r="O14" i="29"/>
  <c r="O15" i="29"/>
  <c r="C43" i="28"/>
  <c r="D145" i="28"/>
  <c r="C153" i="28"/>
  <c r="C128" i="28"/>
  <c r="C130" i="28"/>
  <c r="C131" i="28"/>
  <c r="C132" i="28"/>
  <c r="C109" i="28"/>
  <c r="C110" i="28"/>
  <c r="C112" i="28"/>
  <c r="C113" i="28"/>
  <c r="C114" i="28"/>
  <c r="C87" i="28"/>
  <c r="C89" i="28"/>
  <c r="C92" i="28"/>
  <c r="C93" i="28"/>
  <c r="C94" i="28"/>
  <c r="C97" i="28"/>
  <c r="C102" i="28"/>
  <c r="C101" i="28" s="1"/>
  <c r="C105" i="28"/>
  <c r="C81" i="28"/>
  <c r="C82" i="28"/>
  <c r="C62" i="28"/>
  <c r="C63" i="28"/>
  <c r="C64" i="28"/>
  <c r="C67" i="28"/>
  <c r="C68" i="28"/>
  <c r="C40" i="28"/>
  <c r="C51" i="28"/>
  <c r="D30" i="28"/>
  <c r="C39" i="28" s="1"/>
  <c r="C5" i="28"/>
  <c r="C8" i="28"/>
  <c r="C14" i="28"/>
  <c r="C17" i="28"/>
  <c r="B320" i="16"/>
  <c r="B321" i="16"/>
  <c r="B322" i="16"/>
  <c r="B323" i="16"/>
  <c r="B324" i="16"/>
  <c r="B325" i="16"/>
  <c r="B326" i="16"/>
  <c r="O6" i="6"/>
  <c r="O7" i="6"/>
  <c r="O8" i="6"/>
  <c r="O9" i="6"/>
  <c r="O10" i="6"/>
  <c r="O11" i="6"/>
  <c r="O12" i="6"/>
  <c r="O13" i="6"/>
  <c r="O14" i="6"/>
  <c r="O15" i="6"/>
  <c r="O5" i="6"/>
  <c r="B150" i="24"/>
  <c r="B71" i="24"/>
  <c r="B72" i="24"/>
  <c r="B73" i="24"/>
  <c r="B74" i="24"/>
  <c r="B75" i="24"/>
  <c r="B76" i="24"/>
  <c r="B77" i="24"/>
  <c r="B78" i="24"/>
  <c r="B79" i="24"/>
  <c r="B80" i="24"/>
  <c r="B81" i="24"/>
  <c r="B82" i="24"/>
  <c r="B83" i="24"/>
  <c r="B84" i="24"/>
  <c r="B85" i="24"/>
  <c r="B86" i="24"/>
  <c r="B87" i="24"/>
  <c r="B88" i="24"/>
  <c r="B89" i="24"/>
  <c r="B90" i="24"/>
  <c r="B91" i="24"/>
  <c r="B92" i="24"/>
  <c r="B93" i="24"/>
  <c r="B94" i="24"/>
  <c r="B95" i="24"/>
  <c r="B96" i="24"/>
  <c r="B97" i="24"/>
  <c r="B98" i="24"/>
  <c r="B99" i="24"/>
  <c r="B100" i="24"/>
  <c r="B101" i="24"/>
  <c r="B102" i="24"/>
  <c r="B103" i="24"/>
  <c r="B104" i="24"/>
  <c r="B105" i="24"/>
  <c r="B106" i="24"/>
  <c r="B107" i="24"/>
  <c r="B108" i="24"/>
  <c r="B109" i="24"/>
  <c r="B110" i="24"/>
  <c r="B111" i="24"/>
  <c r="B112" i="24"/>
  <c r="B113" i="24"/>
  <c r="B114" i="24"/>
  <c r="B115" i="24"/>
  <c r="B116" i="24"/>
  <c r="B117" i="24"/>
  <c r="B118" i="24"/>
  <c r="B119" i="24"/>
  <c r="B120" i="24"/>
  <c r="B121" i="24"/>
  <c r="B122" i="24"/>
  <c r="B123" i="24"/>
  <c r="B124" i="24"/>
  <c r="B125" i="24"/>
  <c r="B126" i="24"/>
  <c r="B127" i="24"/>
  <c r="B128" i="24"/>
  <c r="B129" i="24"/>
  <c r="B130" i="24"/>
  <c r="B131" i="24"/>
  <c r="B132" i="24"/>
  <c r="B133" i="24"/>
  <c r="B134" i="24"/>
  <c r="B135" i="24"/>
  <c r="B136" i="24"/>
  <c r="B137" i="24"/>
  <c r="B138" i="24"/>
  <c r="B139" i="24"/>
  <c r="B140" i="24"/>
  <c r="B141" i="24"/>
  <c r="B142" i="24"/>
  <c r="B143" i="24"/>
  <c r="B144" i="24"/>
  <c r="B145" i="24"/>
  <c r="B146" i="24"/>
  <c r="B147" i="24"/>
  <c r="B148" i="24"/>
  <c r="B149" i="24"/>
  <c r="B51" i="24"/>
  <c r="B52" i="24"/>
  <c r="B53" i="24"/>
  <c r="B54" i="24"/>
  <c r="B55" i="24"/>
  <c r="B56" i="24"/>
  <c r="B57" i="24"/>
  <c r="B58" i="24"/>
  <c r="B59" i="24"/>
  <c r="B60" i="24"/>
  <c r="B61" i="24"/>
  <c r="B62" i="24"/>
  <c r="B63" i="24"/>
  <c r="B64" i="24"/>
  <c r="B65" i="24"/>
  <c r="B66" i="24"/>
  <c r="B67" i="24"/>
  <c r="B68" i="24"/>
  <c r="B69" i="24"/>
  <c r="B70" i="24"/>
  <c r="B50" i="24"/>
  <c r="C109" i="6"/>
  <c r="N34" i="4"/>
  <c r="N30" i="4"/>
  <c r="N39" i="4"/>
  <c r="N37" i="4" s="1"/>
  <c r="O39" i="4"/>
  <c r="O37" i="4" s="1"/>
  <c r="P39" i="4"/>
  <c r="P37" i="4" s="1"/>
  <c r="Q39" i="4"/>
  <c r="Q36" i="4" s="1"/>
  <c r="R39" i="4"/>
  <c r="R37" i="4" s="1"/>
  <c r="S39" i="4"/>
  <c r="S37" i="4" s="1"/>
  <c r="T39" i="4"/>
  <c r="T37" i="4" s="1"/>
  <c r="U39" i="4"/>
  <c r="U37" i="4" s="1"/>
  <c r="V39" i="4"/>
  <c r="V37" i="4" s="1"/>
  <c r="W39" i="4"/>
  <c r="W37" i="4" s="1"/>
  <c r="X39" i="4"/>
  <c r="X36" i="4" s="1"/>
  <c r="Y39" i="4"/>
  <c r="Y36" i="4" s="1"/>
  <c r="Z39" i="4"/>
  <c r="Z37" i="4" s="1"/>
  <c r="AB39" i="4"/>
  <c r="AB37" i="4" s="1"/>
  <c r="AE39" i="4"/>
  <c r="AE36" i="4" s="1"/>
  <c r="AF39" i="4"/>
  <c r="AF36" i="4" s="1"/>
  <c r="AG39" i="4"/>
  <c r="AG36" i="4" s="1"/>
  <c r="AH39" i="4"/>
  <c r="AH37" i="4" s="1"/>
  <c r="AI39" i="4"/>
  <c r="AI37" i="4" s="1"/>
  <c r="AJ39" i="4"/>
  <c r="AJ36" i="4" s="1"/>
  <c r="AK39" i="4"/>
  <c r="AK37" i="4" s="1"/>
  <c r="AL39" i="4"/>
  <c r="AL37" i="4" s="1"/>
  <c r="AM39" i="4"/>
  <c r="AM36" i="4" s="1"/>
  <c r="C57" i="33"/>
  <c r="J79" i="16"/>
  <c r="B85" i="16"/>
  <c r="B86" i="16"/>
  <c r="B87" i="16"/>
  <c r="B88" i="16"/>
  <c r="B89" i="16"/>
  <c r="B90" i="16"/>
  <c r="B91" i="16"/>
  <c r="B92" i="16"/>
  <c r="B93" i="16"/>
  <c r="B94" i="16"/>
  <c r="B95" i="16"/>
  <c r="B96" i="16"/>
  <c r="B97" i="16"/>
  <c r="B98" i="16"/>
  <c r="B99" i="16"/>
  <c r="B100" i="16"/>
  <c r="B101" i="16"/>
  <c r="B102" i="16"/>
  <c r="B103" i="16"/>
  <c r="B104" i="16"/>
  <c r="B105" i="16"/>
  <c r="B106" i="16"/>
  <c r="B107" i="16"/>
  <c r="B108" i="16"/>
  <c r="B109" i="16"/>
  <c r="B110" i="16"/>
  <c r="B111" i="16"/>
  <c r="B112" i="16"/>
  <c r="B113" i="16"/>
  <c r="B114" i="16"/>
  <c r="B115" i="16"/>
  <c r="B116" i="16"/>
  <c r="B117" i="16"/>
  <c r="B118" i="16"/>
  <c r="B119" i="16"/>
  <c r="B120" i="16"/>
  <c r="B121" i="16"/>
  <c r="B122" i="16"/>
  <c r="B123" i="16"/>
  <c r="B124" i="16"/>
  <c r="B125" i="16"/>
  <c r="B126" i="16"/>
  <c r="B127" i="16"/>
  <c r="B128" i="16"/>
  <c r="B129" i="16"/>
  <c r="B130" i="16"/>
  <c r="B131" i="16"/>
  <c r="B132" i="16"/>
  <c r="B133" i="16"/>
  <c r="B134" i="16"/>
  <c r="B135" i="16"/>
  <c r="B136" i="16"/>
  <c r="B137" i="16"/>
  <c r="B138" i="16"/>
  <c r="B139" i="16"/>
  <c r="B140" i="16"/>
  <c r="B141" i="16"/>
  <c r="B142" i="16"/>
  <c r="B143" i="16"/>
  <c r="B144" i="16"/>
  <c r="B145" i="16"/>
  <c r="B146" i="16"/>
  <c r="B147" i="16"/>
  <c r="B148" i="16"/>
  <c r="B149" i="16"/>
  <c r="B150" i="16"/>
  <c r="B151" i="16"/>
  <c r="B152" i="16"/>
  <c r="B153" i="16"/>
  <c r="B154" i="16"/>
  <c r="B155" i="16"/>
  <c r="B156" i="16"/>
  <c r="B157" i="16"/>
  <c r="B158" i="16"/>
  <c r="B159" i="16"/>
  <c r="B160" i="16"/>
  <c r="B161" i="16"/>
  <c r="B162" i="16"/>
  <c r="B163" i="16"/>
  <c r="B164" i="16"/>
  <c r="B165" i="16"/>
  <c r="B166" i="16"/>
  <c r="B167" i="16"/>
  <c r="B168" i="16"/>
  <c r="B169" i="16"/>
  <c r="B170" i="16"/>
  <c r="B171" i="16"/>
  <c r="B172"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199" i="16"/>
  <c r="B200" i="16"/>
  <c r="B201" i="16"/>
  <c r="B202" i="16"/>
  <c r="B203" i="16"/>
  <c r="B204" i="16"/>
  <c r="B205" i="16"/>
  <c r="B206" i="16"/>
  <c r="B207" i="16"/>
  <c r="B208" i="16"/>
  <c r="B209" i="16"/>
  <c r="B210" i="16"/>
  <c r="B211" i="16"/>
  <c r="B212" i="16"/>
  <c r="B213" i="16"/>
  <c r="B214" i="16"/>
  <c r="B215" i="16"/>
  <c r="B216" i="16"/>
  <c r="B217" i="16"/>
  <c r="B218" i="16"/>
  <c r="B219" i="16"/>
  <c r="B220" i="16"/>
  <c r="B221" i="16"/>
  <c r="B222" i="16"/>
  <c r="B223" i="16"/>
  <c r="B224" i="16"/>
  <c r="B225" i="16"/>
  <c r="B226" i="16"/>
  <c r="B227" i="16"/>
  <c r="B228" i="16"/>
  <c r="B229" i="16"/>
  <c r="B230" i="16"/>
  <c r="B231" i="16"/>
  <c r="B232" i="16"/>
  <c r="B233" i="16"/>
  <c r="B234" i="16"/>
  <c r="B235" i="16"/>
  <c r="B236" i="16"/>
  <c r="B237" i="16"/>
  <c r="B238" i="16"/>
  <c r="B239" i="16"/>
  <c r="B240" i="16"/>
  <c r="B241" i="16"/>
  <c r="B242" i="16"/>
  <c r="B243" i="16"/>
  <c r="B244" i="16"/>
  <c r="B245" i="16"/>
  <c r="B246" i="16"/>
  <c r="B247" i="16"/>
  <c r="B248" i="16"/>
  <c r="B249" i="16"/>
  <c r="B250" i="16"/>
  <c r="B251" i="16"/>
  <c r="B252" i="16"/>
  <c r="B253" i="16"/>
  <c r="B254" i="16"/>
  <c r="B255" i="16"/>
  <c r="B256" i="16"/>
  <c r="B257" i="16"/>
  <c r="B258" i="16"/>
  <c r="B259" i="16"/>
  <c r="B260" i="16"/>
  <c r="B261" i="16"/>
  <c r="B262" i="16"/>
  <c r="B263" i="16"/>
  <c r="B264" i="16"/>
  <c r="B265" i="16"/>
  <c r="B266" i="16"/>
  <c r="B267" i="16"/>
  <c r="B268" i="16"/>
  <c r="B269" i="16"/>
  <c r="B270" i="16"/>
  <c r="B271" i="16"/>
  <c r="B272" i="16"/>
  <c r="B273" i="16"/>
  <c r="B274" i="16"/>
  <c r="B275" i="16"/>
  <c r="B276" i="16"/>
  <c r="B277" i="16"/>
  <c r="B278" i="16"/>
  <c r="B279" i="16"/>
  <c r="B280" i="16"/>
  <c r="B281" i="16"/>
  <c r="B282" i="16"/>
  <c r="B283" i="16"/>
  <c r="B284" i="16"/>
  <c r="B285" i="16"/>
  <c r="B286" i="16"/>
  <c r="B287" i="16"/>
  <c r="B288" i="16"/>
  <c r="B289" i="16"/>
  <c r="B290" i="16"/>
  <c r="B291" i="16"/>
  <c r="B292" i="16"/>
  <c r="B293" i="16"/>
  <c r="B294" i="16"/>
  <c r="B295" i="16"/>
  <c r="B296" i="16"/>
  <c r="B297" i="16"/>
  <c r="B298" i="16"/>
  <c r="B299" i="16"/>
  <c r="B300" i="16"/>
  <c r="B301" i="16"/>
  <c r="B302" i="16"/>
  <c r="B303" i="16"/>
  <c r="B304" i="16"/>
  <c r="B305" i="16"/>
  <c r="B306" i="16"/>
  <c r="B307" i="16"/>
  <c r="B308" i="16"/>
  <c r="B309" i="16"/>
  <c r="B310" i="16"/>
  <c r="B311" i="16"/>
  <c r="B312" i="16"/>
  <c r="B313" i="16"/>
  <c r="B314" i="16"/>
  <c r="B315" i="16"/>
  <c r="B316" i="16"/>
  <c r="B317" i="16"/>
  <c r="B318" i="16"/>
  <c r="B319" i="16"/>
  <c r="B84" i="16"/>
  <c r="R46" i="27"/>
  <c r="O46" i="27"/>
  <c r="S46" i="27"/>
  <c r="V46" i="27"/>
  <c r="AA46" i="27"/>
  <c r="AB46" i="27"/>
  <c r="AF46" i="27"/>
  <c r="N46" i="27"/>
  <c r="D77" i="16"/>
  <c r="D78" i="16" s="1"/>
  <c r="J75" i="16"/>
  <c r="AQ49" i="24"/>
  <c r="AR49" i="24" s="1"/>
  <c r="AQ50" i="24"/>
  <c r="AR50" i="24" s="1"/>
  <c r="AS50" i="24" s="1"/>
  <c r="AQ51" i="24"/>
  <c r="AQ52" i="24"/>
  <c r="AQ53" i="24"/>
  <c r="AQ54" i="24"/>
  <c r="AQ55" i="24"/>
  <c r="AR55" i="24" s="1"/>
  <c r="AS55" i="24" s="1"/>
  <c r="AQ56" i="24"/>
  <c r="AQ57" i="24"/>
  <c r="AR57" i="24" s="1"/>
  <c r="AQ58" i="24"/>
  <c r="AR58" i="24" s="1"/>
  <c r="AS58" i="24" s="1"/>
  <c r="AQ59" i="24"/>
  <c r="AQ60" i="24"/>
  <c r="AQ61" i="24"/>
  <c r="AQ62" i="24"/>
  <c r="AQ63" i="24"/>
  <c r="AR63" i="24" s="1"/>
  <c r="AS63" i="24" s="1"/>
  <c r="AQ64" i="24"/>
  <c r="AQ65" i="24"/>
  <c r="AR65" i="24" s="1"/>
  <c r="AQ66" i="24"/>
  <c r="AR66" i="24" s="1"/>
  <c r="AS66" i="24" s="1"/>
  <c r="AQ67" i="24"/>
  <c r="AR67" i="24" s="1"/>
  <c r="AQ68" i="24"/>
  <c r="AQ69" i="24"/>
  <c r="AQ70" i="24"/>
  <c r="AQ71" i="24"/>
  <c r="AR71" i="24" s="1"/>
  <c r="AS71" i="24" s="1"/>
  <c r="AQ72" i="24"/>
  <c r="AQ73" i="24"/>
  <c r="AR73" i="24" s="1"/>
  <c r="AQ74" i="24"/>
  <c r="AR74" i="24" s="1"/>
  <c r="AS74" i="24" s="1"/>
  <c r="AQ75" i="24"/>
  <c r="AR75" i="24" s="1"/>
  <c r="AQ76" i="24"/>
  <c r="AR76" i="24" s="1"/>
  <c r="AQ77" i="24"/>
  <c r="AQ78" i="24"/>
  <c r="AQ79" i="24"/>
  <c r="AR79" i="24" s="1"/>
  <c r="AS79" i="24" s="1"/>
  <c r="AQ80" i="24"/>
  <c r="AQ81" i="24"/>
  <c r="AR81" i="24" s="1"/>
  <c r="AQ82" i="24"/>
  <c r="AR82" i="24" s="1"/>
  <c r="AS82" i="24" s="1"/>
  <c r="AQ83" i="24"/>
  <c r="AQ84" i="24"/>
  <c r="AQ85" i="24"/>
  <c r="AQ86" i="24"/>
  <c r="AQ87" i="24"/>
  <c r="AR87" i="24" s="1"/>
  <c r="AS87" i="24" s="1"/>
  <c r="AQ88" i="24"/>
  <c r="AQ89" i="24"/>
  <c r="AR89" i="24" s="1"/>
  <c r="AQ90" i="24"/>
  <c r="AR90" i="24" s="1"/>
  <c r="AS90" i="24" s="1"/>
  <c r="AQ91" i="24"/>
  <c r="AR91" i="24" s="1"/>
  <c r="AQ92" i="24"/>
  <c r="AQ93" i="24"/>
  <c r="AQ94" i="24"/>
  <c r="AR94" i="24" s="1"/>
  <c r="AQ95" i="24"/>
  <c r="AR95" i="24" s="1"/>
  <c r="AS95" i="24" s="1"/>
  <c r="AQ96" i="24"/>
  <c r="AR96" i="24" s="1"/>
  <c r="AQ97" i="24"/>
  <c r="AR97" i="24" s="1"/>
  <c r="AQ98" i="24"/>
  <c r="AR98" i="24" s="1"/>
  <c r="AQ99" i="24"/>
  <c r="AR99" i="24" s="1"/>
  <c r="AQ100" i="24"/>
  <c r="AR100" i="24" s="1"/>
  <c r="AQ101" i="24"/>
  <c r="AR101" i="24" s="1"/>
  <c r="AQ102" i="24"/>
  <c r="AR102" i="24" s="1"/>
  <c r="AQ103" i="24"/>
  <c r="AQ104" i="24"/>
  <c r="AR104" i="24" s="1"/>
  <c r="AQ105" i="24"/>
  <c r="AR105" i="24" s="1"/>
  <c r="AQ106" i="24"/>
  <c r="AR106" i="24" s="1"/>
  <c r="AS106" i="24" s="1"/>
  <c r="AQ107" i="24"/>
  <c r="AR107" i="24" s="1"/>
  <c r="AQ108" i="24"/>
  <c r="AR108" i="24" s="1"/>
  <c r="AQ109" i="24"/>
  <c r="AR109" i="24" s="1"/>
  <c r="AQ110" i="24"/>
  <c r="AR110" i="24" s="1"/>
  <c r="AQ111" i="24"/>
  <c r="AQ112" i="24"/>
  <c r="AR112" i="24" s="1"/>
  <c r="AQ113" i="24"/>
  <c r="AR113" i="24" s="1"/>
  <c r="AQ114" i="24"/>
  <c r="AR114" i="24" s="1"/>
  <c r="AQ115" i="24"/>
  <c r="AR115" i="24" s="1"/>
  <c r="AQ116" i="24"/>
  <c r="AR116" i="24" s="1"/>
  <c r="AQ117" i="24"/>
  <c r="AR117" i="24" s="1"/>
  <c r="AQ118" i="24"/>
  <c r="AR118" i="24" s="1"/>
  <c r="AQ119" i="24"/>
  <c r="AQ120" i="24"/>
  <c r="AR120" i="24" s="1"/>
  <c r="AQ121" i="24"/>
  <c r="AR121" i="24" s="1"/>
  <c r="AQ122" i="24"/>
  <c r="AR122" i="24" s="1"/>
  <c r="AQ123" i="24"/>
  <c r="AR123" i="24" s="1"/>
  <c r="AQ124" i="24"/>
  <c r="AR124" i="24" s="1"/>
  <c r="AQ125" i="24"/>
  <c r="AR125" i="24" s="1"/>
  <c r="AQ126" i="24"/>
  <c r="AR126" i="24" s="1"/>
  <c r="AQ127" i="24"/>
  <c r="AQ128" i="24"/>
  <c r="AR128" i="24" s="1"/>
  <c r="AQ129" i="24"/>
  <c r="AR129" i="24" s="1"/>
  <c r="AQ130" i="24"/>
  <c r="AR130" i="24" s="1"/>
  <c r="AQ131" i="24"/>
  <c r="AR131" i="24" s="1"/>
  <c r="AQ132" i="24"/>
  <c r="AR132" i="24" s="1"/>
  <c r="AQ133" i="24"/>
  <c r="AR133" i="24" s="1"/>
  <c r="AQ134" i="24"/>
  <c r="AR134" i="24" s="1"/>
  <c r="AQ135" i="24"/>
  <c r="AR135" i="24" s="1"/>
  <c r="AQ136" i="24"/>
  <c r="AR136" i="24" s="1"/>
  <c r="AQ137" i="24"/>
  <c r="AR137" i="24" s="1"/>
  <c r="AQ138" i="24"/>
  <c r="AR138" i="24" s="1"/>
  <c r="AQ139" i="24"/>
  <c r="AR139" i="24" s="1"/>
  <c r="AQ140" i="24"/>
  <c r="AR140" i="24" s="1"/>
  <c r="AQ141" i="24"/>
  <c r="AR141" i="24" s="1"/>
  <c r="AQ142" i="24"/>
  <c r="AR142" i="24" s="1"/>
  <c r="AQ143" i="24"/>
  <c r="AR143" i="24" s="1"/>
  <c r="AQ144" i="24"/>
  <c r="AR144" i="24" s="1"/>
  <c r="AQ145" i="24"/>
  <c r="AR145" i="24" s="1"/>
  <c r="AQ146" i="24"/>
  <c r="AR146" i="24" s="1"/>
  <c r="AQ147" i="24"/>
  <c r="AR147" i="24" s="1"/>
  <c r="AQ148" i="24"/>
  <c r="AR148" i="24" s="1"/>
  <c r="AQ48" i="24"/>
  <c r="AR48" i="24" s="1"/>
  <c r="AP49" i="24"/>
  <c r="AP50" i="24"/>
  <c r="AP51" i="24"/>
  <c r="AP52" i="24"/>
  <c r="AP53" i="24"/>
  <c r="AP54" i="24"/>
  <c r="AP55" i="24"/>
  <c r="AP56" i="24"/>
  <c r="AP57" i="24"/>
  <c r="AP58" i="24"/>
  <c r="AP59" i="24"/>
  <c r="AP60" i="24"/>
  <c r="AP61" i="24"/>
  <c r="AP62" i="24"/>
  <c r="AP63" i="24"/>
  <c r="AP64" i="24"/>
  <c r="AP65" i="24"/>
  <c r="AP66" i="24"/>
  <c r="AP67" i="24"/>
  <c r="AP68" i="24"/>
  <c r="AP69" i="24"/>
  <c r="AP70" i="24"/>
  <c r="AP71" i="24"/>
  <c r="AP72" i="24"/>
  <c r="AP73" i="24"/>
  <c r="AP74" i="24"/>
  <c r="AP75" i="24"/>
  <c r="AP76" i="24"/>
  <c r="AP77" i="24"/>
  <c r="AP78" i="24"/>
  <c r="AP79" i="24"/>
  <c r="AP80" i="24"/>
  <c r="AP81" i="24"/>
  <c r="AP82" i="24"/>
  <c r="AP83" i="24"/>
  <c r="AP84" i="24"/>
  <c r="AP85" i="24"/>
  <c r="AP86" i="24"/>
  <c r="AP87" i="24"/>
  <c r="AP88" i="24"/>
  <c r="AP89" i="24"/>
  <c r="AP90" i="24"/>
  <c r="AP91" i="24"/>
  <c r="AP92" i="24"/>
  <c r="AP93" i="24"/>
  <c r="AP94" i="24"/>
  <c r="AP95" i="24"/>
  <c r="AU83" i="24" s="1"/>
  <c r="AP96" i="24"/>
  <c r="AP97" i="24"/>
  <c r="AP98" i="24"/>
  <c r="AP99" i="24"/>
  <c r="AP100" i="24"/>
  <c r="AP101" i="24"/>
  <c r="AP102" i="24"/>
  <c r="AP103" i="24"/>
  <c r="AP104" i="24"/>
  <c r="AP105" i="24"/>
  <c r="AP106" i="24"/>
  <c r="AP107" i="24"/>
  <c r="AP108" i="24"/>
  <c r="AP109" i="24"/>
  <c r="AP110" i="24"/>
  <c r="AP111" i="24"/>
  <c r="AP112" i="24"/>
  <c r="AP113" i="24"/>
  <c r="AP114" i="24"/>
  <c r="AP115" i="24"/>
  <c r="AP116" i="24"/>
  <c r="AP117" i="24"/>
  <c r="AP118" i="24"/>
  <c r="AP119" i="24"/>
  <c r="AP120" i="24"/>
  <c r="AP121" i="24"/>
  <c r="AP122" i="24"/>
  <c r="AP123" i="24"/>
  <c r="AP124" i="24"/>
  <c r="AP125" i="24"/>
  <c r="AP126" i="24"/>
  <c r="AP127" i="24"/>
  <c r="AP128" i="24"/>
  <c r="AP129" i="24"/>
  <c r="AP130" i="24"/>
  <c r="AS130" i="24" s="1"/>
  <c r="AP131" i="24"/>
  <c r="AP132" i="24"/>
  <c r="AP133" i="24"/>
  <c r="AP134" i="24"/>
  <c r="AP135" i="24"/>
  <c r="AP136" i="24"/>
  <c r="AP137" i="24"/>
  <c r="AP138" i="24"/>
  <c r="AP139" i="24"/>
  <c r="AP140" i="24"/>
  <c r="AP141" i="24"/>
  <c r="AP142" i="24"/>
  <c r="AP143" i="24"/>
  <c r="AP144" i="24"/>
  <c r="AP145" i="24"/>
  <c r="AP146" i="24"/>
  <c r="AP147" i="24"/>
  <c r="AP148" i="24"/>
  <c r="AP48" i="24"/>
  <c r="D62" i="24"/>
  <c r="F62" i="24" s="1"/>
  <c r="G62" i="24" s="1"/>
  <c r="D63" i="24"/>
  <c r="F63" i="24" s="1"/>
  <c r="G63" i="24" s="1"/>
  <c r="D64" i="24"/>
  <c r="F64" i="24" s="1"/>
  <c r="G64" i="24" s="1"/>
  <c r="D65" i="24"/>
  <c r="F65" i="24" s="1"/>
  <c r="G65" i="24" s="1"/>
  <c r="D66" i="24"/>
  <c r="F66" i="24" s="1"/>
  <c r="G66" i="24" s="1"/>
  <c r="D67" i="24"/>
  <c r="F67" i="24" s="1"/>
  <c r="G67" i="24" s="1"/>
  <c r="D68" i="24"/>
  <c r="F68" i="24" s="1"/>
  <c r="G68" i="24" s="1"/>
  <c r="D69" i="24"/>
  <c r="F69" i="24" s="1"/>
  <c r="G69" i="24" s="1"/>
  <c r="D70" i="24"/>
  <c r="F70" i="24" s="1"/>
  <c r="G70" i="24" s="1"/>
  <c r="D71" i="24"/>
  <c r="F71" i="24" s="1"/>
  <c r="G71" i="24" s="1"/>
  <c r="D72" i="24"/>
  <c r="F72" i="24" s="1"/>
  <c r="G72" i="24" s="1"/>
  <c r="D73" i="24"/>
  <c r="F73" i="24" s="1"/>
  <c r="G73" i="24" s="1"/>
  <c r="D74" i="24"/>
  <c r="F74" i="24" s="1"/>
  <c r="G74" i="24" s="1"/>
  <c r="D75" i="24"/>
  <c r="F75" i="24" s="1"/>
  <c r="G75" i="24" s="1"/>
  <c r="D76" i="24"/>
  <c r="F76" i="24" s="1"/>
  <c r="G76" i="24" s="1"/>
  <c r="D77" i="24"/>
  <c r="F77" i="24" s="1"/>
  <c r="G77" i="24" s="1"/>
  <c r="D78" i="24"/>
  <c r="F78" i="24" s="1"/>
  <c r="G78" i="24" s="1"/>
  <c r="D79" i="24"/>
  <c r="F79" i="24" s="1"/>
  <c r="G79" i="24" s="1"/>
  <c r="D80" i="24"/>
  <c r="F80" i="24" s="1"/>
  <c r="G80" i="24" s="1"/>
  <c r="D81" i="24"/>
  <c r="F81" i="24" s="1"/>
  <c r="G81" i="24" s="1"/>
  <c r="D82" i="24"/>
  <c r="F82" i="24" s="1"/>
  <c r="G82" i="24" s="1"/>
  <c r="D83" i="24"/>
  <c r="F83" i="24" s="1"/>
  <c r="G83" i="24" s="1"/>
  <c r="D84" i="24"/>
  <c r="F84" i="24" s="1"/>
  <c r="G84" i="24" s="1"/>
  <c r="D85" i="24"/>
  <c r="F85" i="24" s="1"/>
  <c r="G85" i="24" s="1"/>
  <c r="D86" i="24"/>
  <c r="F86" i="24" s="1"/>
  <c r="G86" i="24" s="1"/>
  <c r="D87" i="24"/>
  <c r="F87" i="24" s="1"/>
  <c r="G87" i="24" s="1"/>
  <c r="D88" i="24"/>
  <c r="F88" i="24" s="1"/>
  <c r="G88" i="24" s="1"/>
  <c r="D89" i="24"/>
  <c r="F89" i="24" s="1"/>
  <c r="G89" i="24" s="1"/>
  <c r="D90" i="24"/>
  <c r="F90" i="24" s="1"/>
  <c r="G90" i="24" s="1"/>
  <c r="D91" i="24"/>
  <c r="F91" i="24" s="1"/>
  <c r="G91" i="24" s="1"/>
  <c r="D92" i="24"/>
  <c r="F92" i="24" s="1"/>
  <c r="G92" i="24" s="1"/>
  <c r="D93" i="24"/>
  <c r="F93" i="24" s="1"/>
  <c r="G93" i="24" s="1"/>
  <c r="D94" i="24"/>
  <c r="F94" i="24" s="1"/>
  <c r="G94" i="24" s="1"/>
  <c r="D95" i="24"/>
  <c r="F95" i="24" s="1"/>
  <c r="G95" i="24" s="1"/>
  <c r="D96" i="24"/>
  <c r="F96" i="24" s="1"/>
  <c r="G96" i="24" s="1"/>
  <c r="D97" i="24"/>
  <c r="D98" i="24"/>
  <c r="D99" i="24"/>
  <c r="D100" i="24"/>
  <c r="D101" i="24"/>
  <c r="D102" i="24"/>
  <c r="D103" i="24"/>
  <c r="D104" i="24"/>
  <c r="D105" i="24"/>
  <c r="D106" i="24"/>
  <c r="D107" i="24"/>
  <c r="D108" i="24"/>
  <c r="D109" i="24"/>
  <c r="D110" i="24"/>
  <c r="D111" i="24"/>
  <c r="D112" i="24"/>
  <c r="D113" i="24"/>
  <c r="D114" i="24"/>
  <c r="D115" i="24"/>
  <c r="D116" i="24"/>
  <c r="D117" i="24"/>
  <c r="D118" i="24"/>
  <c r="D119" i="24"/>
  <c r="D120" i="24"/>
  <c r="D121" i="24"/>
  <c r="D122" i="24"/>
  <c r="D123" i="24"/>
  <c r="D124" i="24"/>
  <c r="D125" i="24"/>
  <c r="D126" i="24"/>
  <c r="D127" i="24"/>
  <c r="D128" i="24"/>
  <c r="D129" i="24"/>
  <c r="D130" i="24"/>
  <c r="D131" i="24"/>
  <c r="D132" i="24"/>
  <c r="D133" i="24"/>
  <c r="D134" i="24"/>
  <c r="D135" i="24"/>
  <c r="D136" i="24"/>
  <c r="D137" i="24"/>
  <c r="D138" i="24"/>
  <c r="D139" i="24"/>
  <c r="D140" i="24"/>
  <c r="D141" i="24"/>
  <c r="D142" i="24"/>
  <c r="D143" i="24"/>
  <c r="D144" i="24"/>
  <c r="D145" i="24"/>
  <c r="D146" i="24"/>
  <c r="D147" i="24"/>
  <c r="D148" i="24"/>
  <c r="D149" i="24"/>
  <c r="D150" i="24"/>
  <c r="D54" i="24"/>
  <c r="F54" i="24" s="1"/>
  <c r="G54" i="24" s="1"/>
  <c r="D55" i="24"/>
  <c r="F55" i="24" s="1"/>
  <c r="G55" i="24" s="1"/>
  <c r="D56" i="24"/>
  <c r="F56" i="24" s="1"/>
  <c r="G56" i="24" s="1"/>
  <c r="D57" i="24"/>
  <c r="F57" i="24" s="1"/>
  <c r="G57" i="24" s="1"/>
  <c r="D58" i="24"/>
  <c r="F58" i="24" s="1"/>
  <c r="G58" i="24" s="1"/>
  <c r="D59" i="24"/>
  <c r="F59" i="24" s="1"/>
  <c r="G59" i="24" s="1"/>
  <c r="D60" i="24"/>
  <c r="F60" i="24" s="1"/>
  <c r="G60" i="24" s="1"/>
  <c r="D61" i="24"/>
  <c r="F61" i="24" s="1"/>
  <c r="G61" i="24" s="1"/>
  <c r="D51" i="24"/>
  <c r="F51" i="24" s="1"/>
  <c r="G51" i="24" s="1"/>
  <c r="D52" i="24"/>
  <c r="G52" i="24" s="1"/>
  <c r="D53" i="24"/>
  <c r="F53" i="24" s="1"/>
  <c r="G53" i="24" s="1"/>
  <c r="D50" i="24"/>
  <c r="F50" i="24" s="1"/>
  <c r="G50" i="24" s="1"/>
  <c r="C43" i="17"/>
  <c r="C75" i="17" s="1"/>
  <c r="C38" i="17"/>
  <c r="C39" i="17" s="1"/>
  <c r="C16" i="17"/>
  <c r="C9" i="17"/>
  <c r="C12" i="17" s="1"/>
  <c r="O48" i="24"/>
  <c r="O49" i="24"/>
  <c r="O50" i="24"/>
  <c r="O51" i="24"/>
  <c r="O52" i="24"/>
  <c r="O53" i="24"/>
  <c r="N48" i="24"/>
  <c r="P48" i="24" s="1"/>
  <c r="Q48" i="24" s="1"/>
  <c r="N49" i="24"/>
  <c r="P49" i="24" s="1"/>
  <c r="Q49" i="24" s="1"/>
  <c r="N50" i="24"/>
  <c r="P50" i="24" s="1"/>
  <c r="Q50" i="24" s="1"/>
  <c r="N51" i="24"/>
  <c r="P51" i="24" s="1"/>
  <c r="Q51" i="24" s="1"/>
  <c r="N52" i="24"/>
  <c r="P52" i="24" s="1"/>
  <c r="Q52" i="24" s="1"/>
  <c r="N53" i="24"/>
  <c r="P53" i="24" s="1"/>
  <c r="Q53" i="24" s="1"/>
  <c r="AG49" i="24"/>
  <c r="AH49" i="24" s="1"/>
  <c r="AI49" i="24" s="1"/>
  <c r="AG50" i="24"/>
  <c r="AH50" i="24" s="1"/>
  <c r="AI50" i="24" s="1"/>
  <c r="AG51" i="24"/>
  <c r="AH51" i="24" s="1"/>
  <c r="AI51" i="24" s="1"/>
  <c r="AG52" i="24"/>
  <c r="AH52" i="24" s="1"/>
  <c r="AI52" i="24" s="1"/>
  <c r="AG53" i="24"/>
  <c r="AH53" i="24" s="1"/>
  <c r="AI53" i="24" s="1"/>
  <c r="AF48" i="24"/>
  <c r="AF49" i="24"/>
  <c r="AF50" i="24"/>
  <c r="AF51" i="24"/>
  <c r="AF52" i="24"/>
  <c r="AF53" i="24"/>
  <c r="O99" i="24"/>
  <c r="O100" i="24"/>
  <c r="O101" i="24"/>
  <c r="O102" i="24"/>
  <c r="O103" i="24"/>
  <c r="O104" i="24"/>
  <c r="O105" i="24"/>
  <c r="O106" i="24"/>
  <c r="O107" i="24"/>
  <c r="O108" i="24"/>
  <c r="O109" i="24"/>
  <c r="O110" i="24"/>
  <c r="O111" i="24"/>
  <c r="O112" i="24"/>
  <c r="O113" i="24"/>
  <c r="O114" i="24"/>
  <c r="O115" i="24"/>
  <c r="O116" i="24"/>
  <c r="O117" i="24"/>
  <c r="O118" i="24"/>
  <c r="O119" i="24"/>
  <c r="O120" i="24"/>
  <c r="O121" i="24"/>
  <c r="O122" i="24"/>
  <c r="O123" i="24"/>
  <c r="O124" i="24"/>
  <c r="O125" i="24"/>
  <c r="O126" i="24"/>
  <c r="O127" i="24"/>
  <c r="O128" i="24"/>
  <c r="O129" i="24"/>
  <c r="O130" i="24"/>
  <c r="O131" i="24"/>
  <c r="O132" i="24"/>
  <c r="O133" i="24"/>
  <c r="O134" i="24"/>
  <c r="O135" i="24"/>
  <c r="O136" i="24"/>
  <c r="O137" i="24"/>
  <c r="O138" i="24"/>
  <c r="O139" i="24"/>
  <c r="O140" i="24"/>
  <c r="O141" i="24"/>
  <c r="O142" i="24"/>
  <c r="O143" i="24"/>
  <c r="O144" i="24"/>
  <c r="O145" i="24"/>
  <c r="O146" i="24"/>
  <c r="O147" i="24"/>
  <c r="O148" i="24"/>
  <c r="N99" i="24"/>
  <c r="N100" i="24"/>
  <c r="P100" i="24" s="1"/>
  <c r="N101" i="24"/>
  <c r="N102" i="24"/>
  <c r="N103" i="24"/>
  <c r="N104" i="24"/>
  <c r="N105" i="24"/>
  <c r="N106" i="24"/>
  <c r="N107" i="24"/>
  <c r="N108" i="24"/>
  <c r="N109" i="24"/>
  <c r="N110" i="24"/>
  <c r="N111" i="24"/>
  <c r="N112" i="24"/>
  <c r="N113" i="24"/>
  <c r="N114" i="24"/>
  <c r="N115" i="24"/>
  <c r="N116" i="24"/>
  <c r="N117" i="24"/>
  <c r="N118" i="24"/>
  <c r="N119" i="24"/>
  <c r="N120" i="24"/>
  <c r="N121" i="24"/>
  <c r="N122" i="24"/>
  <c r="N123" i="24"/>
  <c r="N124" i="24"/>
  <c r="N125" i="24"/>
  <c r="N126" i="24"/>
  <c r="N127" i="24"/>
  <c r="N128" i="24"/>
  <c r="N129" i="24"/>
  <c r="N130" i="24"/>
  <c r="N131" i="24"/>
  <c r="N132" i="24"/>
  <c r="N133" i="24"/>
  <c r="N134" i="24"/>
  <c r="N135" i="24"/>
  <c r="N136" i="24"/>
  <c r="N137" i="24"/>
  <c r="N138" i="24"/>
  <c r="N139" i="24"/>
  <c r="N140" i="24"/>
  <c r="N141" i="24"/>
  <c r="N142" i="24"/>
  <c r="N143" i="24"/>
  <c r="N144" i="24"/>
  <c r="N145" i="24"/>
  <c r="N146" i="24"/>
  <c r="N147" i="24"/>
  <c r="N148" i="24"/>
  <c r="AG109" i="24"/>
  <c r="AH109" i="24" s="1"/>
  <c r="AG110" i="24"/>
  <c r="AH110" i="24" s="1"/>
  <c r="AG111" i="24"/>
  <c r="AH111" i="24" s="1"/>
  <c r="AG112" i="24"/>
  <c r="AH112" i="24" s="1"/>
  <c r="AG113" i="24"/>
  <c r="AH113" i="24" s="1"/>
  <c r="AG114" i="24"/>
  <c r="AH114" i="24" s="1"/>
  <c r="AG115" i="24"/>
  <c r="AH115" i="24" s="1"/>
  <c r="AG116" i="24"/>
  <c r="AH116" i="24" s="1"/>
  <c r="AG117" i="24"/>
  <c r="AH117" i="24" s="1"/>
  <c r="AG118" i="24"/>
  <c r="AH118" i="24" s="1"/>
  <c r="AG119" i="24"/>
  <c r="AH119" i="24" s="1"/>
  <c r="AG120" i="24"/>
  <c r="AH120" i="24" s="1"/>
  <c r="AG121" i="24"/>
  <c r="AH121" i="24" s="1"/>
  <c r="AG122" i="24"/>
  <c r="AH122" i="24" s="1"/>
  <c r="AG123" i="24"/>
  <c r="AH123" i="24" s="1"/>
  <c r="AG124" i="24"/>
  <c r="AH124" i="24" s="1"/>
  <c r="AG125" i="24"/>
  <c r="AH125" i="24" s="1"/>
  <c r="AG126" i="24"/>
  <c r="AH126" i="24" s="1"/>
  <c r="AG127" i="24"/>
  <c r="AH127" i="24" s="1"/>
  <c r="AG128" i="24"/>
  <c r="AH128" i="24" s="1"/>
  <c r="AG129" i="24"/>
  <c r="AH129" i="24" s="1"/>
  <c r="AG130" i="24"/>
  <c r="AH130" i="24" s="1"/>
  <c r="AG131" i="24"/>
  <c r="AH131" i="24" s="1"/>
  <c r="AG132" i="24"/>
  <c r="AH132" i="24" s="1"/>
  <c r="AG133" i="24"/>
  <c r="AH133" i="24" s="1"/>
  <c r="AG134" i="24"/>
  <c r="AH134" i="24" s="1"/>
  <c r="AG135" i="24"/>
  <c r="AH135" i="24" s="1"/>
  <c r="AG136" i="24"/>
  <c r="AH136" i="24" s="1"/>
  <c r="AG137" i="24"/>
  <c r="AH137" i="24" s="1"/>
  <c r="AG138" i="24"/>
  <c r="AG139" i="24"/>
  <c r="AG140" i="24"/>
  <c r="AG141" i="24"/>
  <c r="AG142" i="24"/>
  <c r="AG143" i="24"/>
  <c r="AG144" i="24"/>
  <c r="AG145" i="24"/>
  <c r="AG146" i="24"/>
  <c r="AG147" i="24"/>
  <c r="AG148" i="24"/>
  <c r="AF109" i="24"/>
  <c r="AF110" i="24"/>
  <c r="AF111" i="24"/>
  <c r="AF112" i="24"/>
  <c r="AF113" i="24"/>
  <c r="AF114" i="24"/>
  <c r="AF115" i="24"/>
  <c r="AF116" i="24"/>
  <c r="AF117" i="24"/>
  <c r="AF118" i="24"/>
  <c r="AF119" i="24"/>
  <c r="AF120" i="24"/>
  <c r="AF121" i="24"/>
  <c r="AF122" i="24"/>
  <c r="AF123" i="24"/>
  <c r="AF124" i="24"/>
  <c r="AF125" i="24"/>
  <c r="AF126" i="24"/>
  <c r="AF127" i="24"/>
  <c r="AF128" i="24"/>
  <c r="AF129" i="24"/>
  <c r="AF130" i="24"/>
  <c r="AF131" i="24"/>
  <c r="AF132" i="24"/>
  <c r="AF133" i="24"/>
  <c r="AF134" i="24"/>
  <c r="AF135" i="24"/>
  <c r="AF136" i="24"/>
  <c r="AF137" i="24"/>
  <c r="AF138" i="24"/>
  <c r="AF139" i="24"/>
  <c r="AF140" i="24"/>
  <c r="AF141" i="24"/>
  <c r="AF142" i="24"/>
  <c r="AF143" i="24"/>
  <c r="AF144" i="24"/>
  <c r="AF145" i="24"/>
  <c r="AF146" i="24"/>
  <c r="AF147" i="24"/>
  <c r="AF148" i="24"/>
  <c r="W99" i="24"/>
  <c r="W100" i="24"/>
  <c r="W101" i="24"/>
  <c r="W102" i="24"/>
  <c r="W103" i="24"/>
  <c r="W104" i="24"/>
  <c r="W105" i="24"/>
  <c r="W106" i="24"/>
  <c r="W107" i="24"/>
  <c r="W108" i="24"/>
  <c r="W109" i="24"/>
  <c r="W110" i="24"/>
  <c r="W111" i="24"/>
  <c r="W112" i="24"/>
  <c r="W113" i="24"/>
  <c r="W114" i="24"/>
  <c r="W115" i="24"/>
  <c r="W116" i="24"/>
  <c r="W117" i="24"/>
  <c r="W118" i="24"/>
  <c r="W119" i="24"/>
  <c r="W120" i="24"/>
  <c r="W121" i="24"/>
  <c r="W122" i="24"/>
  <c r="W123" i="24"/>
  <c r="W124" i="24"/>
  <c r="W125" i="24"/>
  <c r="W126" i="24"/>
  <c r="W127" i="24"/>
  <c r="W128" i="24"/>
  <c r="W129" i="24"/>
  <c r="W130" i="24"/>
  <c r="W131" i="24"/>
  <c r="W132" i="24"/>
  <c r="W133" i="24"/>
  <c r="W134" i="24"/>
  <c r="W135" i="24"/>
  <c r="W136" i="24"/>
  <c r="W137" i="24"/>
  <c r="W138" i="24"/>
  <c r="W139" i="24"/>
  <c r="W140" i="24"/>
  <c r="W141" i="24"/>
  <c r="W142" i="24"/>
  <c r="W143" i="24"/>
  <c r="W144" i="24"/>
  <c r="W145" i="24"/>
  <c r="W146" i="24"/>
  <c r="W147" i="24"/>
  <c r="W148" i="24"/>
  <c r="V99" i="24"/>
  <c r="V100" i="24"/>
  <c r="V101" i="24"/>
  <c r="V102" i="24"/>
  <c r="V103" i="24"/>
  <c r="V104" i="24"/>
  <c r="V105" i="24"/>
  <c r="V106" i="24"/>
  <c r="V107" i="24"/>
  <c r="V108" i="24"/>
  <c r="V109" i="24"/>
  <c r="V110" i="24"/>
  <c r="V111" i="24"/>
  <c r="V112" i="24"/>
  <c r="V113" i="24"/>
  <c r="V114" i="24"/>
  <c r="V115" i="24"/>
  <c r="V116" i="24"/>
  <c r="V117" i="24"/>
  <c r="V118" i="24"/>
  <c r="V119" i="24"/>
  <c r="V120" i="24"/>
  <c r="V121" i="24"/>
  <c r="V122" i="24"/>
  <c r="V123" i="24"/>
  <c r="V124" i="24"/>
  <c r="V125" i="24"/>
  <c r="V126" i="24"/>
  <c r="V127" i="24"/>
  <c r="V128" i="24"/>
  <c r="V129" i="24"/>
  <c r="V130" i="24"/>
  <c r="V131" i="24"/>
  <c r="V132" i="24"/>
  <c r="V133" i="24"/>
  <c r="V134" i="24"/>
  <c r="V135" i="24"/>
  <c r="V136" i="24"/>
  <c r="V137" i="24"/>
  <c r="V138" i="24"/>
  <c r="V139" i="24"/>
  <c r="V140" i="24"/>
  <c r="V141" i="24"/>
  <c r="V142" i="24"/>
  <c r="V143" i="24"/>
  <c r="V144" i="24"/>
  <c r="V145" i="24"/>
  <c r="V146" i="24"/>
  <c r="V147" i="24"/>
  <c r="V148" i="24"/>
  <c r="W48" i="24"/>
  <c r="X48" i="24" s="1"/>
  <c r="Y48" i="24" s="1"/>
  <c r="W49" i="24"/>
  <c r="X49" i="24" s="1"/>
  <c r="W50" i="24"/>
  <c r="X50" i="24" s="1"/>
  <c r="W51" i="24"/>
  <c r="X51" i="24" s="1"/>
  <c r="W52" i="24"/>
  <c r="X52" i="24" s="1"/>
  <c r="W53" i="24"/>
  <c r="X53" i="24" s="1"/>
  <c r="V48" i="24"/>
  <c r="V49" i="24"/>
  <c r="V50" i="24"/>
  <c r="V51" i="24"/>
  <c r="V52" i="24"/>
  <c r="V53" i="24"/>
  <c r="AG99" i="24"/>
  <c r="AH99" i="24" s="1"/>
  <c r="AG100" i="24"/>
  <c r="AH100" i="24" s="1"/>
  <c r="AG101" i="24"/>
  <c r="AH101" i="24" s="1"/>
  <c r="AG102" i="24"/>
  <c r="AH102" i="24" s="1"/>
  <c r="AG103" i="24"/>
  <c r="AH103" i="24" s="1"/>
  <c r="AG104" i="24"/>
  <c r="AH104" i="24" s="1"/>
  <c r="AG105" i="24"/>
  <c r="AH105" i="24" s="1"/>
  <c r="AG106" i="24"/>
  <c r="AH106" i="24" s="1"/>
  <c r="AG107" i="24"/>
  <c r="AH107" i="24" s="1"/>
  <c r="AG108" i="24"/>
  <c r="AH108" i="24" s="1"/>
  <c r="AF99" i="24"/>
  <c r="AF100" i="24"/>
  <c r="AF101" i="24"/>
  <c r="AF102" i="24"/>
  <c r="AF103" i="24"/>
  <c r="AF104" i="24"/>
  <c r="AF105" i="24"/>
  <c r="AF106" i="24"/>
  <c r="AF107" i="24"/>
  <c r="AF108" i="24"/>
  <c r="AG55" i="24"/>
  <c r="AH55" i="24" s="1"/>
  <c r="AI55" i="24" s="1"/>
  <c r="AG56" i="24"/>
  <c r="AH56" i="24" s="1"/>
  <c r="AI56" i="24" s="1"/>
  <c r="AG57" i="24"/>
  <c r="AH57" i="24" s="1"/>
  <c r="AI57" i="24" s="1"/>
  <c r="AG58" i="24"/>
  <c r="AH58" i="24" s="1"/>
  <c r="AI58" i="24" s="1"/>
  <c r="AG59" i="24"/>
  <c r="AH59" i="24" s="1"/>
  <c r="AI59" i="24" s="1"/>
  <c r="AG60" i="24"/>
  <c r="AH60" i="24" s="1"/>
  <c r="AI60" i="24" s="1"/>
  <c r="AG61" i="24"/>
  <c r="AH61" i="24" s="1"/>
  <c r="AI61" i="24" s="1"/>
  <c r="AG62" i="24"/>
  <c r="AH62" i="24" s="1"/>
  <c r="AI62" i="24" s="1"/>
  <c r="AG63" i="24"/>
  <c r="AH63" i="24" s="1"/>
  <c r="AI63" i="24" s="1"/>
  <c r="AG64" i="24"/>
  <c r="AH64" i="24" s="1"/>
  <c r="AI64" i="24" s="1"/>
  <c r="AG65" i="24"/>
  <c r="AH65" i="24" s="1"/>
  <c r="AI65" i="24" s="1"/>
  <c r="AG66" i="24"/>
  <c r="AH66" i="24" s="1"/>
  <c r="AI66" i="24" s="1"/>
  <c r="AG67" i="24"/>
  <c r="AH67" i="24" s="1"/>
  <c r="AI67" i="24" s="1"/>
  <c r="AG68" i="24"/>
  <c r="AH68" i="24" s="1"/>
  <c r="AI68" i="24" s="1"/>
  <c r="AG69" i="24"/>
  <c r="AH69" i="24" s="1"/>
  <c r="AI69" i="24" s="1"/>
  <c r="AG70" i="24"/>
  <c r="AH70" i="24" s="1"/>
  <c r="AI70" i="24" s="1"/>
  <c r="AG71" i="24"/>
  <c r="AH71" i="24" s="1"/>
  <c r="AI71" i="24" s="1"/>
  <c r="AG72" i="24"/>
  <c r="AH72" i="24" s="1"/>
  <c r="AI72" i="24" s="1"/>
  <c r="AG73" i="24"/>
  <c r="AH73" i="24" s="1"/>
  <c r="AI73" i="24" s="1"/>
  <c r="AG74" i="24"/>
  <c r="AH74" i="24" s="1"/>
  <c r="AI74" i="24" s="1"/>
  <c r="AG75" i="24"/>
  <c r="AH75" i="24" s="1"/>
  <c r="AI75" i="24" s="1"/>
  <c r="AG76" i="24"/>
  <c r="AH76" i="24" s="1"/>
  <c r="AI76" i="24" s="1"/>
  <c r="AG77" i="24"/>
  <c r="AH77" i="24" s="1"/>
  <c r="AI77" i="24" s="1"/>
  <c r="AG78" i="24"/>
  <c r="AH78" i="24" s="1"/>
  <c r="AI78" i="24" s="1"/>
  <c r="AG79" i="24"/>
  <c r="AH79" i="24" s="1"/>
  <c r="AI79" i="24" s="1"/>
  <c r="AG80" i="24"/>
  <c r="AH80" i="24" s="1"/>
  <c r="AI80" i="24" s="1"/>
  <c r="AG81" i="24"/>
  <c r="AH81" i="24" s="1"/>
  <c r="AI81" i="24" s="1"/>
  <c r="AG82" i="24"/>
  <c r="AH82" i="24" s="1"/>
  <c r="AI82" i="24" s="1"/>
  <c r="AG83" i="24"/>
  <c r="AH83" i="24" s="1"/>
  <c r="AI83" i="24" s="1"/>
  <c r="AG84" i="24"/>
  <c r="AH84" i="24" s="1"/>
  <c r="AI84" i="24" s="1"/>
  <c r="AG85" i="24"/>
  <c r="AH85" i="24" s="1"/>
  <c r="AI85" i="24" s="1"/>
  <c r="AG86" i="24"/>
  <c r="AH86" i="24" s="1"/>
  <c r="AI86" i="24" s="1"/>
  <c r="AG87" i="24"/>
  <c r="AH87" i="24" s="1"/>
  <c r="AI87" i="24" s="1"/>
  <c r="AG88" i="24"/>
  <c r="AH88" i="24" s="1"/>
  <c r="AI88" i="24" s="1"/>
  <c r="AG89" i="24"/>
  <c r="AH89" i="24" s="1"/>
  <c r="AI89" i="24" s="1"/>
  <c r="AG90" i="24"/>
  <c r="AH90" i="24" s="1"/>
  <c r="AI90" i="24" s="1"/>
  <c r="AG91" i="24"/>
  <c r="AG92" i="24"/>
  <c r="AG93" i="24"/>
  <c r="AG94" i="24"/>
  <c r="AG95" i="24"/>
  <c r="AG96" i="24"/>
  <c r="AH96" i="24" s="1"/>
  <c r="AG97" i="24"/>
  <c r="AH97" i="24" s="1"/>
  <c r="AG98" i="24"/>
  <c r="AH98" i="24" s="1"/>
  <c r="AG54" i="24"/>
  <c r="AH54" i="24" s="1"/>
  <c r="AF55" i="24"/>
  <c r="AF56" i="24"/>
  <c r="AF57" i="24"/>
  <c r="AF58" i="24"/>
  <c r="AF59" i="24"/>
  <c r="AF60" i="24"/>
  <c r="AF61" i="24"/>
  <c r="AF62" i="24"/>
  <c r="AF63" i="24"/>
  <c r="AF64" i="24"/>
  <c r="AF65" i="24"/>
  <c r="AF66" i="24"/>
  <c r="AF67" i="24"/>
  <c r="AF68" i="24"/>
  <c r="AF69" i="24"/>
  <c r="AF70" i="24"/>
  <c r="AF71" i="24"/>
  <c r="AF72" i="24"/>
  <c r="AF73" i="24"/>
  <c r="AF74" i="24"/>
  <c r="AF75" i="24"/>
  <c r="AF76" i="24"/>
  <c r="AF77" i="24"/>
  <c r="AF78" i="24"/>
  <c r="AF79" i="24"/>
  <c r="AF80" i="24"/>
  <c r="AF81" i="24"/>
  <c r="AF82" i="24"/>
  <c r="AF83" i="24"/>
  <c r="AF84" i="24"/>
  <c r="AF85" i="24"/>
  <c r="AF86" i="24"/>
  <c r="AF87" i="24"/>
  <c r="AF88" i="24"/>
  <c r="AF89" i="24"/>
  <c r="AF90" i="24"/>
  <c r="AF91" i="24"/>
  <c r="AF92" i="24"/>
  <c r="AF93" i="24"/>
  <c r="AF94" i="24"/>
  <c r="AF95" i="24"/>
  <c r="AF96" i="24"/>
  <c r="AF97" i="24"/>
  <c r="AF98" i="24"/>
  <c r="AF54" i="24"/>
  <c r="C23" i="17"/>
  <c r="O94" i="24"/>
  <c r="O95" i="24"/>
  <c r="O96" i="24"/>
  <c r="O97" i="24"/>
  <c r="O98" i="24"/>
  <c r="N94" i="24"/>
  <c r="P94" i="24" s="1"/>
  <c r="N95" i="24"/>
  <c r="P95" i="24" s="1"/>
  <c r="Q95" i="24" s="1"/>
  <c r="N96" i="24"/>
  <c r="N97" i="24"/>
  <c r="N98" i="24"/>
  <c r="O55" i="24"/>
  <c r="O56" i="24"/>
  <c r="O57" i="24"/>
  <c r="O58" i="24"/>
  <c r="O59" i="24"/>
  <c r="O60" i="24"/>
  <c r="O61" i="24"/>
  <c r="O62" i="24"/>
  <c r="O63" i="24"/>
  <c r="O64" i="24"/>
  <c r="O65" i="24"/>
  <c r="O66" i="24"/>
  <c r="O67" i="24"/>
  <c r="O68" i="24"/>
  <c r="O69" i="24"/>
  <c r="O70" i="24"/>
  <c r="O71" i="24"/>
  <c r="O72" i="24"/>
  <c r="O73" i="24"/>
  <c r="O74" i="24"/>
  <c r="O75" i="24"/>
  <c r="O76" i="24"/>
  <c r="O77" i="24"/>
  <c r="O78" i="24"/>
  <c r="O79" i="24"/>
  <c r="O80" i="24"/>
  <c r="O81" i="24"/>
  <c r="O82" i="24"/>
  <c r="O83" i="24"/>
  <c r="O84" i="24"/>
  <c r="O85" i="24"/>
  <c r="O86" i="24"/>
  <c r="O87" i="24"/>
  <c r="O88" i="24"/>
  <c r="O89" i="24"/>
  <c r="O90" i="24"/>
  <c r="O91" i="24"/>
  <c r="O92" i="24"/>
  <c r="O93" i="24"/>
  <c r="O54" i="24"/>
  <c r="W94" i="24"/>
  <c r="X94" i="24" s="1"/>
  <c r="W95" i="24"/>
  <c r="W96" i="24"/>
  <c r="W97" i="24"/>
  <c r="W98" i="24"/>
  <c r="V94" i="24"/>
  <c r="V95" i="24"/>
  <c r="V96" i="24"/>
  <c r="V97" i="24"/>
  <c r="V98" i="24"/>
  <c r="W55" i="24"/>
  <c r="X55" i="24" s="1"/>
  <c r="W56" i="24"/>
  <c r="X56" i="24" s="1"/>
  <c r="W57" i="24"/>
  <c r="X57" i="24" s="1"/>
  <c r="W58" i="24"/>
  <c r="X58" i="24" s="1"/>
  <c r="W59" i="24"/>
  <c r="X59" i="24" s="1"/>
  <c r="W60" i="24"/>
  <c r="X60" i="24" s="1"/>
  <c r="W61" i="24"/>
  <c r="X61" i="24" s="1"/>
  <c r="W62" i="24"/>
  <c r="X62" i="24" s="1"/>
  <c r="W63" i="24"/>
  <c r="X63" i="24" s="1"/>
  <c r="W64" i="24"/>
  <c r="X64" i="24" s="1"/>
  <c r="W65" i="24"/>
  <c r="X65" i="24" s="1"/>
  <c r="W66" i="24"/>
  <c r="X66" i="24" s="1"/>
  <c r="W67" i="24"/>
  <c r="X67" i="24" s="1"/>
  <c r="W68" i="24"/>
  <c r="X68" i="24" s="1"/>
  <c r="W69" i="24"/>
  <c r="X69" i="24" s="1"/>
  <c r="W70" i="24"/>
  <c r="X70" i="24" s="1"/>
  <c r="W71" i="24"/>
  <c r="X71" i="24" s="1"/>
  <c r="W72" i="24"/>
  <c r="X72" i="24" s="1"/>
  <c r="W73" i="24"/>
  <c r="X73" i="24" s="1"/>
  <c r="W74" i="24"/>
  <c r="X74" i="24" s="1"/>
  <c r="W75" i="24"/>
  <c r="X75" i="24" s="1"/>
  <c r="W76" i="24"/>
  <c r="X76" i="24" s="1"/>
  <c r="W77" i="24"/>
  <c r="X77" i="24" s="1"/>
  <c r="W78" i="24"/>
  <c r="X78" i="24" s="1"/>
  <c r="W79" i="24"/>
  <c r="X79" i="24" s="1"/>
  <c r="W80" i="24"/>
  <c r="X80" i="24" s="1"/>
  <c r="W81" i="24"/>
  <c r="X81" i="24" s="1"/>
  <c r="W82" i="24"/>
  <c r="X82" i="24" s="1"/>
  <c r="W83" i="24"/>
  <c r="X83" i="24" s="1"/>
  <c r="W84" i="24"/>
  <c r="X84" i="24" s="1"/>
  <c r="W85" i="24"/>
  <c r="X85" i="24" s="1"/>
  <c r="W86" i="24"/>
  <c r="X86" i="24" s="1"/>
  <c r="W87" i="24"/>
  <c r="X87" i="24" s="1"/>
  <c r="W88" i="24"/>
  <c r="X88" i="24" s="1"/>
  <c r="W89" i="24"/>
  <c r="X89" i="24" s="1"/>
  <c r="W90" i="24"/>
  <c r="X90" i="24" s="1"/>
  <c r="W91" i="24"/>
  <c r="X91" i="24" s="1"/>
  <c r="W92" i="24"/>
  <c r="X92" i="24" s="1"/>
  <c r="W93" i="24"/>
  <c r="X93" i="24" s="1"/>
  <c r="W54" i="24"/>
  <c r="X54" i="24" s="1"/>
  <c r="V93" i="24"/>
  <c r="V64" i="24"/>
  <c r="V65" i="24"/>
  <c r="V66" i="24"/>
  <c r="V67" i="24"/>
  <c r="V68" i="24"/>
  <c r="V69" i="24"/>
  <c r="V70" i="24"/>
  <c r="V71" i="24"/>
  <c r="V72" i="24"/>
  <c r="V73" i="24"/>
  <c r="V74" i="24"/>
  <c r="V75" i="24"/>
  <c r="V76" i="24"/>
  <c r="V77" i="24"/>
  <c r="V78" i="24"/>
  <c r="V79" i="24"/>
  <c r="V80" i="24"/>
  <c r="V81" i="24"/>
  <c r="V82" i="24"/>
  <c r="V83" i="24"/>
  <c r="V84" i="24"/>
  <c r="V85" i="24"/>
  <c r="V86" i="24"/>
  <c r="V87" i="24"/>
  <c r="V88" i="24"/>
  <c r="V89" i="24"/>
  <c r="V90" i="24"/>
  <c r="V91" i="24"/>
  <c r="V92" i="24"/>
  <c r="V55" i="24"/>
  <c r="V56" i="24"/>
  <c r="V57" i="24"/>
  <c r="V58" i="24"/>
  <c r="V59" i="24"/>
  <c r="V60" i="24"/>
  <c r="V61" i="24"/>
  <c r="V62" i="24"/>
  <c r="V63" i="24"/>
  <c r="V54" i="24"/>
  <c r="N93" i="24"/>
  <c r="N55" i="24"/>
  <c r="P55" i="24" s="1"/>
  <c r="Q55" i="24" s="1"/>
  <c r="N56" i="24"/>
  <c r="P56" i="24" s="1"/>
  <c r="Q56" i="24" s="1"/>
  <c r="N57" i="24"/>
  <c r="P57" i="24" s="1"/>
  <c r="Q57" i="24" s="1"/>
  <c r="N58" i="24"/>
  <c r="P58" i="24" s="1"/>
  <c r="Q58" i="24" s="1"/>
  <c r="N59" i="24"/>
  <c r="P59" i="24" s="1"/>
  <c r="Q59" i="24" s="1"/>
  <c r="N60" i="24"/>
  <c r="P60" i="24" s="1"/>
  <c r="Q60" i="24" s="1"/>
  <c r="N61" i="24"/>
  <c r="P61" i="24" s="1"/>
  <c r="Q61" i="24" s="1"/>
  <c r="N62" i="24"/>
  <c r="P62" i="24" s="1"/>
  <c r="N63" i="24"/>
  <c r="P63" i="24" s="1"/>
  <c r="Q63" i="24" s="1"/>
  <c r="N64" i="24"/>
  <c r="P64" i="24" s="1"/>
  <c r="Q64" i="24" s="1"/>
  <c r="N65" i="24"/>
  <c r="P65" i="24" s="1"/>
  <c r="Q65" i="24" s="1"/>
  <c r="N66" i="24"/>
  <c r="P66" i="24" s="1"/>
  <c r="Q66" i="24" s="1"/>
  <c r="N67" i="24"/>
  <c r="P67" i="24" s="1"/>
  <c r="Q67" i="24" s="1"/>
  <c r="N68" i="24"/>
  <c r="P68" i="24" s="1"/>
  <c r="Q68" i="24" s="1"/>
  <c r="N69" i="24"/>
  <c r="P69" i="24" s="1"/>
  <c r="Q69" i="24" s="1"/>
  <c r="N70" i="24"/>
  <c r="P70" i="24" s="1"/>
  <c r="N71" i="24"/>
  <c r="P71" i="24" s="1"/>
  <c r="Q71" i="24" s="1"/>
  <c r="N72" i="24"/>
  <c r="P72" i="24" s="1"/>
  <c r="Q72" i="24" s="1"/>
  <c r="N73" i="24"/>
  <c r="P73" i="24" s="1"/>
  <c r="Q73" i="24" s="1"/>
  <c r="N74" i="24"/>
  <c r="P74" i="24" s="1"/>
  <c r="Q74" i="24" s="1"/>
  <c r="N75" i="24"/>
  <c r="P75" i="24" s="1"/>
  <c r="Q75" i="24" s="1"/>
  <c r="N76" i="24"/>
  <c r="P76" i="24" s="1"/>
  <c r="Q76" i="24" s="1"/>
  <c r="N77" i="24"/>
  <c r="P77" i="24" s="1"/>
  <c r="Q77" i="24" s="1"/>
  <c r="N78" i="24"/>
  <c r="P78" i="24" s="1"/>
  <c r="N79" i="24"/>
  <c r="P79" i="24" s="1"/>
  <c r="Q79" i="24" s="1"/>
  <c r="N80" i="24"/>
  <c r="P80" i="24" s="1"/>
  <c r="Q80" i="24" s="1"/>
  <c r="N81" i="24"/>
  <c r="P81" i="24" s="1"/>
  <c r="Q81" i="24" s="1"/>
  <c r="N82" i="24"/>
  <c r="P82" i="24" s="1"/>
  <c r="Q82" i="24" s="1"/>
  <c r="N83" i="24"/>
  <c r="P83" i="24" s="1"/>
  <c r="Q83" i="24" s="1"/>
  <c r="N84" i="24"/>
  <c r="P84" i="24" s="1"/>
  <c r="Q84" i="24" s="1"/>
  <c r="N85" i="24"/>
  <c r="P85" i="24" s="1"/>
  <c r="N86" i="24"/>
  <c r="P86" i="24" s="1"/>
  <c r="N87" i="24"/>
  <c r="N88" i="24"/>
  <c r="N89" i="24"/>
  <c r="N90" i="24"/>
  <c r="N91" i="24"/>
  <c r="P91" i="24" s="1"/>
  <c r="N92" i="24"/>
  <c r="P92" i="24" s="1"/>
  <c r="N54" i="24"/>
  <c r="P54" i="24" s="1"/>
  <c r="C228" i="17"/>
  <c r="E6" i="23"/>
  <c r="C121" i="17"/>
  <c r="B14" i="23" s="1"/>
  <c r="U4" i="23"/>
  <c r="O45" i="14"/>
  <c r="O46" i="14"/>
  <c r="O47" i="14"/>
  <c r="O48" i="14"/>
  <c r="O49" i="14"/>
  <c r="O50" i="14"/>
  <c r="O51" i="14"/>
  <c r="C65" i="27"/>
  <c r="C79" i="1" s="1"/>
  <c r="O52" i="14"/>
  <c r="O53" i="14"/>
  <c r="O54" i="14"/>
  <c r="O55" i="14"/>
  <c r="O56" i="14"/>
  <c r="C57" i="27"/>
  <c r="C74" i="1" s="1"/>
  <c r="F29" i="6" s="1"/>
  <c r="C81" i="1"/>
  <c r="C78" i="1"/>
  <c r="F78" i="29" s="1"/>
  <c r="C61" i="1"/>
  <c r="C65" i="1"/>
  <c r="C69" i="1"/>
  <c r="C61" i="17" s="1"/>
  <c r="C129" i="17" s="1"/>
  <c r="C73" i="1"/>
  <c r="C75" i="1"/>
  <c r="C76" i="1"/>
  <c r="C46" i="1"/>
  <c r="C49" i="1"/>
  <c r="D21" i="29" s="1"/>
  <c r="C50" i="1"/>
  <c r="C51" i="1"/>
  <c r="C95" i="20" s="1"/>
  <c r="C96" i="20" s="1"/>
  <c r="C53" i="1"/>
  <c r="C54" i="1"/>
  <c r="C55" i="1"/>
  <c r="C27" i="1"/>
  <c r="C36" i="1"/>
  <c r="C26" i="29" s="1"/>
  <c r="C37" i="29" s="1"/>
  <c r="C37" i="1"/>
  <c r="C39" i="1"/>
  <c r="C26" i="1"/>
  <c r="C25" i="1"/>
  <c r="C66" i="27"/>
  <c r="C80" i="1" s="1"/>
  <c r="C183" i="17"/>
  <c r="C185" i="17" s="1"/>
  <c r="C72" i="27"/>
  <c r="C89" i="6"/>
  <c r="AF6" i="27"/>
  <c r="O5" i="27"/>
  <c r="P6" i="27"/>
  <c r="Q5" i="27"/>
  <c r="R6" i="27"/>
  <c r="S5" i="27"/>
  <c r="T5" i="27"/>
  <c r="U5" i="27"/>
  <c r="V6" i="27"/>
  <c r="W6" i="27"/>
  <c r="X5" i="27"/>
  <c r="Y5" i="27"/>
  <c r="Z6" i="27"/>
  <c r="AA5" i="27"/>
  <c r="AB5" i="27"/>
  <c r="AC5" i="27"/>
  <c r="AD6" i="27"/>
  <c r="AE6" i="27"/>
  <c r="AF5" i="27"/>
  <c r="AG5" i="27"/>
  <c r="AH6" i="27"/>
  <c r="AI5" i="27"/>
  <c r="AI47" i="27" s="1"/>
  <c r="AJ5" i="27"/>
  <c r="AJ47" i="27" s="1"/>
  <c r="N5" i="27"/>
  <c r="C152" i="17"/>
  <c r="C52" i="17"/>
  <c r="C102" i="17" s="1"/>
  <c r="C40" i="17"/>
  <c r="C74" i="17" s="1"/>
  <c r="C37" i="17"/>
  <c r="C73" i="17" s="1"/>
  <c r="C36" i="17"/>
  <c r="C72" i="17" s="1"/>
  <c r="C26" i="17"/>
  <c r="C29" i="17" s="1"/>
  <c r="C6" i="23"/>
  <c r="D6" i="23"/>
  <c r="F6" i="23"/>
  <c r="G6" i="23"/>
  <c r="H6" i="23"/>
  <c r="I6" i="23"/>
  <c r="J6" i="23"/>
  <c r="K6" i="23"/>
  <c r="L6" i="23"/>
  <c r="M6" i="23"/>
  <c r="N6" i="23"/>
  <c r="O6" i="23"/>
  <c r="P6" i="23"/>
  <c r="Q6" i="23"/>
  <c r="R6" i="23"/>
  <c r="S6" i="23"/>
  <c r="T6" i="23"/>
  <c r="U6" i="23"/>
  <c r="V6" i="23"/>
  <c r="W6" i="23"/>
  <c r="X6" i="23"/>
  <c r="Y6" i="23"/>
  <c r="Z6" i="23"/>
  <c r="AA6" i="23"/>
  <c r="AB6" i="23"/>
  <c r="AC6" i="23"/>
  <c r="AD6" i="23"/>
  <c r="AE6" i="23"/>
  <c r="B6" i="23"/>
  <c r="C5"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B5" i="23"/>
  <c r="Z4" i="23"/>
  <c r="C4" i="23"/>
  <c r="D4" i="23"/>
  <c r="E4" i="23"/>
  <c r="F4" i="23"/>
  <c r="G4" i="23"/>
  <c r="H4" i="23"/>
  <c r="I4" i="23"/>
  <c r="J4" i="23"/>
  <c r="K4" i="23"/>
  <c r="L4" i="23"/>
  <c r="M4" i="23"/>
  <c r="N4" i="23"/>
  <c r="O4" i="23"/>
  <c r="P4" i="23"/>
  <c r="Q4" i="23"/>
  <c r="R4" i="23"/>
  <c r="S4" i="23"/>
  <c r="T4" i="23"/>
  <c r="V4" i="23"/>
  <c r="W4" i="23"/>
  <c r="X4" i="23"/>
  <c r="Y4" i="23"/>
  <c r="AA4" i="23"/>
  <c r="AB4" i="23"/>
  <c r="AC4" i="23"/>
  <c r="AD4" i="23"/>
  <c r="AE4" i="23"/>
  <c r="B4" i="23"/>
  <c r="C3" i="23"/>
  <c r="D3" i="23"/>
  <c r="E3" i="23"/>
  <c r="F3" i="23"/>
  <c r="G3" i="23"/>
  <c r="H3" i="23"/>
  <c r="I3" i="23"/>
  <c r="J3" i="23"/>
  <c r="K3" i="23"/>
  <c r="L3" i="23"/>
  <c r="M3" i="23"/>
  <c r="N3" i="23"/>
  <c r="R3" i="23"/>
  <c r="S3" i="23"/>
  <c r="T3" i="23"/>
  <c r="U3" i="23"/>
  <c r="V3" i="23"/>
  <c r="W3" i="23"/>
  <c r="X3" i="23"/>
  <c r="Y3" i="23"/>
  <c r="Z3" i="23"/>
  <c r="AA3" i="23"/>
  <c r="AB3" i="23"/>
  <c r="AC3" i="23"/>
  <c r="AD3" i="23"/>
  <c r="AE3" i="23"/>
  <c r="B3" i="23"/>
  <c r="C47" i="27"/>
  <c r="C64" i="1" s="1"/>
  <c r="C48" i="27"/>
  <c r="C49" i="27"/>
  <c r="C64" i="17" s="1"/>
  <c r="C51" i="27"/>
  <c r="C68" i="1" s="1"/>
  <c r="C60" i="17" s="1"/>
  <c r="C128" i="17" s="1"/>
  <c r="C52" i="27"/>
  <c r="C7" i="27"/>
  <c r="C23" i="27" s="1"/>
  <c r="C10" i="27"/>
  <c r="C28" i="1" s="1"/>
  <c r="C17" i="27"/>
  <c r="C4" i="27" s="1"/>
  <c r="C35" i="27"/>
  <c r="C13" i="1"/>
  <c r="C7" i="1" s="1"/>
  <c r="C63" i="25"/>
  <c r="C13" i="10"/>
  <c r="C43" i="24"/>
  <c r="C62" i="11"/>
  <c r="D62" i="11"/>
  <c r="E62" i="11"/>
  <c r="E65" i="11"/>
  <c r="E66" i="11"/>
  <c r="E67" i="11"/>
  <c r="E68" i="11"/>
  <c r="E69" i="11"/>
  <c r="E70" i="11"/>
  <c r="E71" i="11"/>
  <c r="D64" i="11"/>
  <c r="D65" i="11"/>
  <c r="D66" i="11"/>
  <c r="D67" i="11"/>
  <c r="D68" i="11"/>
  <c r="D69" i="11"/>
  <c r="D70" i="11"/>
  <c r="D71" i="11"/>
  <c r="C66" i="11"/>
  <c r="C67" i="11"/>
  <c r="C68" i="11"/>
  <c r="C69" i="11"/>
  <c r="C70" i="11"/>
  <c r="C71" i="11"/>
  <c r="C30" i="17"/>
  <c r="N14" i="25"/>
  <c r="N15" i="25"/>
  <c r="N16" i="25"/>
  <c r="N17" i="25"/>
  <c r="N18" i="25"/>
  <c r="N19" i="25"/>
  <c r="N20" i="25"/>
  <c r="N21" i="25"/>
  <c r="N22" i="25"/>
  <c r="N23" i="25"/>
  <c r="N13" i="25"/>
  <c r="C38" i="24"/>
  <c r="C36" i="24" s="1"/>
  <c r="E103" i="11"/>
  <c r="D103" i="11"/>
  <c r="C103" i="11"/>
  <c r="U3" i="6"/>
  <c r="V3" i="6"/>
  <c r="W3" i="6"/>
  <c r="S3" i="6"/>
  <c r="D150" i="20"/>
  <c r="C13" i="11"/>
  <c r="C12" i="11"/>
  <c r="C135" i="20"/>
  <c r="C136" i="20" s="1"/>
  <c r="C69" i="25"/>
  <c r="C42" i="21"/>
  <c r="E42" i="21" s="1"/>
  <c r="C54" i="25"/>
  <c r="C43" i="25"/>
  <c r="C45" i="25"/>
  <c r="C46" i="25"/>
  <c r="C48" i="25"/>
  <c r="C49" i="25"/>
  <c r="C50" i="25"/>
  <c r="C29" i="25"/>
  <c r="C44" i="25" s="1"/>
  <c r="C33" i="25"/>
  <c r="C27" i="25" s="1"/>
  <c r="C5" i="25"/>
  <c r="C18" i="25" s="1"/>
  <c r="C8" i="25"/>
  <c r="C15" i="25"/>
  <c r="C4" i="25" s="1"/>
  <c r="C3" i="25" s="1"/>
  <c r="C24" i="10"/>
  <c r="C90" i="6"/>
  <c r="F26" i="24"/>
  <c r="C162" i="24" s="1"/>
  <c r="C25" i="24"/>
  <c r="C65" i="21"/>
  <c r="C60" i="21"/>
  <c r="C201" i="17"/>
  <c r="C205" i="17"/>
  <c r="C191" i="17"/>
  <c r="C109" i="20"/>
  <c r="C132" i="20"/>
  <c r="C134" i="20" s="1"/>
  <c r="C104" i="17"/>
  <c r="G54" i="21"/>
  <c r="D58" i="11"/>
  <c r="E59" i="11"/>
  <c r="U6" i="21"/>
  <c r="U7" i="21"/>
  <c r="U8" i="21"/>
  <c r="U9" i="21"/>
  <c r="U10" i="21"/>
  <c r="U11" i="21"/>
  <c r="U12" i="21"/>
  <c r="U13" i="21"/>
  <c r="U14" i="21"/>
  <c r="U15" i="21"/>
  <c r="U16" i="21"/>
  <c r="U17" i="21"/>
  <c r="U18" i="21"/>
  <c r="U19" i="21"/>
  <c r="U20" i="21"/>
  <c r="U5" i="21"/>
  <c r="M6" i="21"/>
  <c r="M7" i="21"/>
  <c r="M8" i="21"/>
  <c r="M9" i="21"/>
  <c r="M10" i="21"/>
  <c r="M11" i="21"/>
  <c r="M12" i="21"/>
  <c r="M13" i="21"/>
  <c r="M14" i="21"/>
  <c r="M15" i="21"/>
  <c r="M16" i="21"/>
  <c r="M17" i="21"/>
  <c r="M18" i="21"/>
  <c r="M19" i="21"/>
  <c r="M20" i="21"/>
  <c r="M5" i="21"/>
  <c r="R7" i="21"/>
  <c r="R8" i="21"/>
  <c r="R5" i="21"/>
  <c r="F75" i="6"/>
  <c r="F73" i="6"/>
  <c r="C53" i="6"/>
  <c r="D53" i="6"/>
  <c r="E53" i="6"/>
  <c r="F53" i="6"/>
  <c r="C92" i="21"/>
  <c r="C40" i="20"/>
  <c r="C52" i="20"/>
  <c r="C48" i="21"/>
  <c r="T5" i="21" s="1"/>
  <c r="C14" i="1"/>
  <c r="C43" i="21" s="1"/>
  <c r="L14" i="21" s="1"/>
  <c r="C22" i="4"/>
  <c r="C44" i="21"/>
  <c r="R17" i="21" s="1"/>
  <c r="C47" i="21"/>
  <c r="AA4" i="21"/>
  <c r="Q15" i="21" s="1"/>
  <c r="S6" i="21"/>
  <c r="S7" i="21"/>
  <c r="S8" i="21"/>
  <c r="S9" i="21"/>
  <c r="S10" i="21"/>
  <c r="S11" i="21"/>
  <c r="S12" i="21"/>
  <c r="S13" i="21"/>
  <c r="S14" i="21"/>
  <c r="S15" i="21"/>
  <c r="S16" i="21"/>
  <c r="S17" i="21"/>
  <c r="S18" i="21"/>
  <c r="S19" i="21"/>
  <c r="S20" i="21"/>
  <c r="S5" i="21"/>
  <c r="O6" i="21"/>
  <c r="O7" i="21"/>
  <c r="O8" i="21"/>
  <c r="O9" i="21"/>
  <c r="O10" i="21"/>
  <c r="O11" i="21"/>
  <c r="O12" i="21"/>
  <c r="O13" i="21"/>
  <c r="O14" i="21"/>
  <c r="O15" i="21"/>
  <c r="O16" i="21"/>
  <c r="O17" i="21"/>
  <c r="O18" i="21"/>
  <c r="O19" i="21"/>
  <c r="O20" i="21"/>
  <c r="O5" i="21"/>
  <c r="C93" i="21"/>
  <c r="N6" i="21"/>
  <c r="P5" i="21"/>
  <c r="N5" i="21"/>
  <c r="E65" i="21"/>
  <c r="C66" i="21" s="1"/>
  <c r="C45" i="21"/>
  <c r="C13" i="22"/>
  <c r="C12" i="22"/>
  <c r="K83" i="22"/>
  <c r="K67" i="22"/>
  <c r="K51" i="22"/>
  <c r="C43" i="22"/>
  <c r="C38" i="22"/>
  <c r="K33" i="22"/>
  <c r="C31" i="22"/>
  <c r="K74" i="22" s="1"/>
  <c r="K28" i="22"/>
  <c r="K23" i="22"/>
  <c r="C23" i="22"/>
  <c r="K22" i="22"/>
  <c r="C21" i="22"/>
  <c r="K19" i="22"/>
  <c r="K15" i="22"/>
  <c r="K14" i="22"/>
  <c r="K13" i="22"/>
  <c r="K12" i="22"/>
  <c r="K10" i="22"/>
  <c r="K9" i="22"/>
  <c r="K5" i="22"/>
  <c r="K4" i="22"/>
  <c r="K3" i="22"/>
  <c r="C114" i="20"/>
  <c r="C16" i="21"/>
  <c r="E62" i="21"/>
  <c r="C69" i="21" s="1"/>
  <c r="D6" i="21"/>
  <c r="B5" i="21"/>
  <c r="C28" i="21" s="1"/>
  <c r="C65" i="20"/>
  <c r="D30" i="20"/>
  <c r="C22" i="20" s="1"/>
  <c r="C23" i="6"/>
  <c r="E37" i="6" s="1"/>
  <c r="H10" i="4"/>
  <c r="H11" i="4"/>
  <c r="C39" i="4"/>
  <c r="I7" i="4"/>
  <c r="I8" i="4"/>
  <c r="I9" i="4"/>
  <c r="I10" i="4"/>
  <c r="I11" i="4"/>
  <c r="I12" i="4"/>
  <c r="I13" i="4"/>
  <c r="I6" i="4"/>
  <c r="G7" i="4"/>
  <c r="G8" i="4"/>
  <c r="G9" i="4"/>
  <c r="G10" i="4"/>
  <c r="G11" i="4"/>
  <c r="G12" i="4"/>
  <c r="G13" i="4"/>
  <c r="G6" i="4"/>
  <c r="C13" i="4"/>
  <c r="C12" i="4"/>
  <c r="C11" i="4"/>
  <c r="C10" i="4"/>
  <c r="C9" i="4"/>
  <c r="C8" i="4"/>
  <c r="C7" i="4"/>
  <c r="C78" i="17"/>
  <c r="C79" i="17" s="1"/>
  <c r="C80" i="17" s="1"/>
  <c r="C6" i="17"/>
  <c r="C14" i="17"/>
  <c r="C21" i="29" l="1"/>
  <c r="C5" i="20"/>
  <c r="D25" i="29"/>
  <c r="C101" i="20"/>
  <c r="C116" i="20" s="1"/>
  <c r="AD2" i="22"/>
  <c r="C17" i="1"/>
  <c r="J135" i="33"/>
  <c r="J143" i="33"/>
  <c r="J151" i="33"/>
  <c r="J123" i="33"/>
  <c r="J131" i="33"/>
  <c r="E225" i="20"/>
  <c r="E233" i="20"/>
  <c r="E241" i="20"/>
  <c r="E249" i="20"/>
  <c r="E257" i="20"/>
  <c r="E265" i="20"/>
  <c r="E273" i="20"/>
  <c r="E281" i="20"/>
  <c r="E289" i="20"/>
  <c r="E297" i="20"/>
  <c r="E305" i="20"/>
  <c r="E313" i="20"/>
  <c r="E321" i="20"/>
  <c r="J137" i="33"/>
  <c r="J145" i="33"/>
  <c r="J153" i="33"/>
  <c r="J125" i="33"/>
  <c r="J136" i="33"/>
  <c r="J144" i="33"/>
  <c r="J152" i="33"/>
  <c r="J124" i="33"/>
  <c r="J132" i="33"/>
  <c r="E218" i="20"/>
  <c r="E226" i="20"/>
  <c r="E234" i="20"/>
  <c r="E242" i="20"/>
  <c r="E250" i="20"/>
  <c r="E258" i="20"/>
  <c r="E266" i="20"/>
  <c r="E274" i="20"/>
  <c r="E282" i="20"/>
  <c r="E290" i="20"/>
  <c r="E298" i="20"/>
  <c r="E306" i="20"/>
  <c r="E314" i="20"/>
  <c r="E322" i="20"/>
  <c r="J133" i="33"/>
  <c r="J134" i="33"/>
  <c r="J147" i="33"/>
  <c r="J122" i="33"/>
  <c r="D4" i="32"/>
  <c r="E222" i="20"/>
  <c r="E232" i="20"/>
  <c r="E244" i="20"/>
  <c r="E254" i="20"/>
  <c r="E264" i="20"/>
  <c r="E276" i="20"/>
  <c r="E286" i="20"/>
  <c r="E296" i="20"/>
  <c r="E308" i="20"/>
  <c r="E318" i="20"/>
  <c r="J117" i="33"/>
  <c r="J148" i="33"/>
  <c r="J126" i="33"/>
  <c r="E223" i="20"/>
  <c r="E235" i="20"/>
  <c r="E245" i="20"/>
  <c r="E255" i="20"/>
  <c r="E267" i="20"/>
  <c r="E277" i="20"/>
  <c r="E287" i="20"/>
  <c r="E299" i="20"/>
  <c r="E309" i="20"/>
  <c r="E319" i="20"/>
  <c r="E224" i="20"/>
  <c r="E236" i="20"/>
  <c r="E246" i="20"/>
  <c r="E256" i="20"/>
  <c r="E268" i="20"/>
  <c r="E278" i="20"/>
  <c r="E288" i="20"/>
  <c r="E300" i="20"/>
  <c r="E310" i="20"/>
  <c r="E320" i="20"/>
  <c r="J138" i="33"/>
  <c r="J149" i="33"/>
  <c r="J127" i="33"/>
  <c r="J139" i="33"/>
  <c r="J150" i="33"/>
  <c r="J128" i="33"/>
  <c r="E227" i="20"/>
  <c r="E237" i="20"/>
  <c r="E247" i="20"/>
  <c r="E259" i="20"/>
  <c r="E269" i="20"/>
  <c r="E279" i="20"/>
  <c r="E291" i="20"/>
  <c r="E301" i="20"/>
  <c r="E311" i="20"/>
  <c r="E323" i="20"/>
  <c r="J140" i="33"/>
  <c r="J118" i="33"/>
  <c r="J129" i="33"/>
  <c r="E228" i="20"/>
  <c r="E238" i="20"/>
  <c r="E248" i="20"/>
  <c r="E260" i="20"/>
  <c r="E270" i="20"/>
  <c r="E280" i="20"/>
  <c r="E292" i="20"/>
  <c r="E302" i="20"/>
  <c r="E312" i="20"/>
  <c r="E324" i="20"/>
  <c r="J141" i="33"/>
  <c r="J119" i="33"/>
  <c r="J130" i="33"/>
  <c r="D26" i="6"/>
  <c r="D37" i="6" s="1"/>
  <c r="C102" i="20"/>
  <c r="C117" i="20" s="1"/>
  <c r="C48" i="17"/>
  <c r="C100" i="17" s="1"/>
  <c r="E303" i="20"/>
  <c r="E272" i="20"/>
  <c r="E243" i="20"/>
  <c r="E219" i="20"/>
  <c r="J120" i="33"/>
  <c r="C18" i="28"/>
  <c r="C20" i="28" s="1"/>
  <c r="D8" i="32"/>
  <c r="E217" i="20"/>
  <c r="E295" i="20"/>
  <c r="E271" i="20"/>
  <c r="E240" i="20"/>
  <c r="J146" i="33"/>
  <c r="P46" i="27"/>
  <c r="Y46" i="27"/>
  <c r="AG46" i="27"/>
  <c r="Q46" i="27"/>
  <c r="Z46" i="27"/>
  <c r="AH46" i="27"/>
  <c r="C5" i="11"/>
  <c r="F27" i="11" s="1"/>
  <c r="T46" i="27"/>
  <c r="AD46" i="27"/>
  <c r="U46" i="27"/>
  <c r="AE46" i="27"/>
  <c r="O20" i="4"/>
  <c r="W46" i="27"/>
  <c r="AI46" i="27"/>
  <c r="X46" i="27"/>
  <c r="AJ46" i="27"/>
  <c r="O24" i="4"/>
  <c r="AH32" i="4" s="1"/>
  <c r="AH30" i="4" s="1"/>
  <c r="E325" i="20"/>
  <c r="E294" i="20"/>
  <c r="E263" i="20"/>
  <c r="E239" i="20"/>
  <c r="J142" i="33"/>
  <c r="AC46" i="27"/>
  <c r="E317" i="20"/>
  <c r="E293" i="20"/>
  <c r="E262" i="20"/>
  <c r="E231" i="20"/>
  <c r="O26" i="4"/>
  <c r="C15" i="20"/>
  <c r="AO52" i="9"/>
  <c r="AO34" i="32"/>
  <c r="AP34" i="32" s="1"/>
  <c r="E37" i="29"/>
  <c r="AO44" i="9"/>
  <c r="AP269" i="16"/>
  <c r="AP259" i="16"/>
  <c r="AP297" i="16"/>
  <c r="AP281" i="16"/>
  <c r="AP257" i="16"/>
  <c r="AP283" i="16"/>
  <c r="AP294" i="16"/>
  <c r="AP278" i="16"/>
  <c r="AP309" i="16"/>
  <c r="AP293" i="16"/>
  <c r="AP277" i="16"/>
  <c r="AP308" i="16"/>
  <c r="AP292" i="16"/>
  <c r="AP273" i="16"/>
  <c r="AP299" i="16"/>
  <c r="AP307" i="16"/>
  <c r="AP291" i="16"/>
  <c r="AP270" i="16"/>
  <c r="AP300" i="16"/>
  <c r="AP286" i="16"/>
  <c r="AP275" i="16"/>
  <c r="AP261" i="16"/>
  <c r="AP268" i="16"/>
  <c r="AP267" i="16"/>
  <c r="AP265" i="16"/>
  <c r="AP301" i="16"/>
  <c r="AP289" i="16"/>
  <c r="AP276" i="16"/>
  <c r="AP262" i="16"/>
  <c r="AP306" i="16"/>
  <c r="AP298" i="16"/>
  <c r="AP290" i="16"/>
  <c r="AP282" i="16"/>
  <c r="AP274" i="16"/>
  <c r="AP266" i="16"/>
  <c r="AP258" i="16"/>
  <c r="AP304" i="16"/>
  <c r="AP296" i="16"/>
  <c r="AP288" i="16"/>
  <c r="AP280" i="16"/>
  <c r="AP272" i="16"/>
  <c r="AP264" i="16"/>
  <c r="AP303" i="16"/>
  <c r="AP295" i="16"/>
  <c r="AP287" i="16"/>
  <c r="AP279" i="16"/>
  <c r="AP271" i="16"/>
  <c r="T79" i="11"/>
  <c r="T63" i="11"/>
  <c r="T61" i="11"/>
  <c r="T76" i="11"/>
  <c r="T60" i="11"/>
  <c r="T72" i="11"/>
  <c r="T71" i="11"/>
  <c r="T69" i="11"/>
  <c r="T67" i="11"/>
  <c r="T82" i="11"/>
  <c r="S59" i="11"/>
  <c r="S69" i="11"/>
  <c r="S82" i="11"/>
  <c r="S66" i="11"/>
  <c r="S79" i="11"/>
  <c r="S63" i="11"/>
  <c r="S78" i="11"/>
  <c r="S62" i="11"/>
  <c r="S77" i="11"/>
  <c r="S61" i="11"/>
  <c r="S74" i="11"/>
  <c r="R75" i="11"/>
  <c r="R72" i="11"/>
  <c r="R71" i="11"/>
  <c r="R70" i="11"/>
  <c r="R59" i="11"/>
  <c r="R69" i="11"/>
  <c r="R84" i="11"/>
  <c r="R68" i="11"/>
  <c r="R83" i="11"/>
  <c r="R67" i="11"/>
  <c r="R80" i="11"/>
  <c r="R64" i="11"/>
  <c r="R79" i="11"/>
  <c r="R63" i="11"/>
  <c r="R78" i="11"/>
  <c r="R62" i="11"/>
  <c r="R77" i="11"/>
  <c r="C12" i="6"/>
  <c r="K300" i="20"/>
  <c r="L314" i="20"/>
  <c r="L306" i="20"/>
  <c r="L303" i="20"/>
  <c r="L313" i="20"/>
  <c r="K298" i="20"/>
  <c r="K297" i="20"/>
  <c r="L311" i="20"/>
  <c r="C308" i="20"/>
  <c r="L319" i="20"/>
  <c r="K302" i="20"/>
  <c r="L318" i="20"/>
  <c r="L310" i="20"/>
  <c r="C301" i="20"/>
  <c r="C322" i="20"/>
  <c r="C309" i="20"/>
  <c r="L316" i="20"/>
  <c r="C321" i="20"/>
  <c r="L325" i="20"/>
  <c r="C317" i="20"/>
  <c r="K295" i="20"/>
  <c r="L324" i="20"/>
  <c r="C305" i="20"/>
  <c r="AM65" i="9"/>
  <c r="AM57" i="9"/>
  <c r="AM49" i="9"/>
  <c r="BE40" i="9"/>
  <c r="AM89" i="9"/>
  <c r="BG40" i="9"/>
  <c r="BO39" i="9" s="1"/>
  <c r="AM81" i="9"/>
  <c r="AM73" i="9"/>
  <c r="D15" i="32"/>
  <c r="D171" i="32"/>
  <c r="E171" i="32" s="1"/>
  <c r="P171" i="32" s="1"/>
  <c r="Q171" i="32" s="1"/>
  <c r="D71" i="32"/>
  <c r="E71" i="32" s="1"/>
  <c r="P71" i="32" s="1"/>
  <c r="Q71" i="32" s="1"/>
  <c r="D86" i="32"/>
  <c r="E86" i="32" s="1"/>
  <c r="D38" i="32"/>
  <c r="E38" i="32" s="1"/>
  <c r="D51" i="32"/>
  <c r="E51" i="32" s="1"/>
  <c r="D309" i="32"/>
  <c r="E309" i="32" s="1"/>
  <c r="P309" i="32" s="1"/>
  <c r="Q309" i="32" s="1"/>
  <c r="R309" i="32" s="1"/>
  <c r="D307" i="32"/>
  <c r="E307" i="32" s="1"/>
  <c r="P307" i="32" s="1"/>
  <c r="Q307" i="32" s="1"/>
  <c r="D312" i="32"/>
  <c r="E312" i="32" s="1"/>
  <c r="P312" i="32" s="1"/>
  <c r="Q312" i="32" s="1"/>
  <c r="D301" i="32"/>
  <c r="E301" i="32" s="1"/>
  <c r="D63" i="32"/>
  <c r="E63" i="32" s="1"/>
  <c r="P63" i="32" s="1"/>
  <c r="Q63" i="32" s="1"/>
  <c r="R63" i="32" s="1"/>
  <c r="D134" i="32"/>
  <c r="E134" i="32" s="1"/>
  <c r="D127" i="32"/>
  <c r="E127" i="32" s="1"/>
  <c r="P127" i="32" s="1"/>
  <c r="Q127" i="32" s="1"/>
  <c r="D112" i="32"/>
  <c r="E112" i="32" s="1"/>
  <c r="D105" i="32"/>
  <c r="E105" i="32" s="1"/>
  <c r="D98" i="32"/>
  <c r="E98" i="32" s="1"/>
  <c r="D91" i="32"/>
  <c r="E91" i="32" s="1"/>
  <c r="P91" i="32" s="1"/>
  <c r="Q91" i="32" s="1"/>
  <c r="D225" i="32"/>
  <c r="E225" i="32" s="1"/>
  <c r="D218" i="32"/>
  <c r="E218" i="32" s="1"/>
  <c r="P218" i="32" s="1"/>
  <c r="Q218" i="32" s="1"/>
  <c r="D203" i="32"/>
  <c r="E203" i="32" s="1"/>
  <c r="P203" i="32" s="1"/>
  <c r="Q203" i="32" s="1"/>
  <c r="R203" i="32" s="1"/>
  <c r="D140" i="32"/>
  <c r="E140" i="32" s="1"/>
  <c r="D294" i="32"/>
  <c r="E294" i="32" s="1"/>
  <c r="D170" i="32"/>
  <c r="E170" i="32" s="1"/>
  <c r="P170" i="32" s="1"/>
  <c r="Q170" i="32" s="1"/>
  <c r="R170" i="32" s="1"/>
  <c r="D231" i="32"/>
  <c r="E231" i="32" s="1"/>
  <c r="D250" i="32"/>
  <c r="E250" i="32" s="1"/>
  <c r="F250" i="32" s="1"/>
  <c r="D59" i="32"/>
  <c r="E59" i="32" s="1"/>
  <c r="P59" i="32" s="1"/>
  <c r="Q59" i="32" s="1"/>
  <c r="R59" i="32" s="1"/>
  <c r="D272" i="32"/>
  <c r="E272" i="32" s="1"/>
  <c r="D253" i="32"/>
  <c r="E253" i="32" s="1"/>
  <c r="D133" i="32"/>
  <c r="E133" i="32" s="1"/>
  <c r="D182" i="32"/>
  <c r="E182" i="32" s="1"/>
  <c r="P182" i="32" s="1"/>
  <c r="Q182" i="32" s="1"/>
  <c r="D175" i="32"/>
  <c r="E175" i="32" s="1"/>
  <c r="D153" i="32"/>
  <c r="E153" i="32" s="1"/>
  <c r="D284" i="32"/>
  <c r="E284" i="32" s="1"/>
  <c r="D255" i="32"/>
  <c r="E255" i="32" s="1"/>
  <c r="D241" i="32"/>
  <c r="E241" i="32" s="1"/>
  <c r="P241" i="32" s="1"/>
  <c r="Q241" i="32" s="1"/>
  <c r="R241" i="32" s="1"/>
  <c r="D214" i="32"/>
  <c r="E214" i="32" s="1"/>
  <c r="P214" i="32" s="1"/>
  <c r="Q214" i="32" s="1"/>
  <c r="R214" i="32" s="1"/>
  <c r="D295" i="32"/>
  <c r="E295" i="32" s="1"/>
  <c r="D234" i="32"/>
  <c r="E234" i="32" s="1"/>
  <c r="D193" i="32"/>
  <c r="E193" i="32" s="1"/>
  <c r="P193" i="32" s="1"/>
  <c r="Q193" i="32" s="1"/>
  <c r="R193" i="32" s="1"/>
  <c r="D186" i="32"/>
  <c r="E186" i="32" s="1"/>
  <c r="D158" i="32"/>
  <c r="E158" i="32" s="1"/>
  <c r="D303" i="32"/>
  <c r="E303" i="32" s="1"/>
  <c r="P303" i="32" s="1"/>
  <c r="Q303" i="32" s="1"/>
  <c r="R303" i="32" s="1"/>
  <c r="D263" i="32"/>
  <c r="E263" i="32" s="1"/>
  <c r="P263" i="32" s="1"/>
  <c r="Q263" i="32" s="1"/>
  <c r="D251" i="32"/>
  <c r="E251" i="32" s="1"/>
  <c r="D248" i="32"/>
  <c r="E248" i="32" s="1"/>
  <c r="P248" i="32" s="1"/>
  <c r="Q248" i="32" s="1"/>
  <c r="R248" i="32" s="1"/>
  <c r="D150" i="32"/>
  <c r="E150" i="32" s="1"/>
  <c r="P150" i="32" s="1"/>
  <c r="Q150" i="32" s="1"/>
  <c r="D143" i="32"/>
  <c r="E143" i="32" s="1"/>
  <c r="D116" i="32"/>
  <c r="E116" i="32" s="1"/>
  <c r="P116" i="32" s="1"/>
  <c r="Q116" i="32" s="1"/>
  <c r="R116" i="32" s="1"/>
  <c r="D27" i="32"/>
  <c r="E27" i="32" s="1"/>
  <c r="D282" i="32"/>
  <c r="E282" i="32" s="1"/>
  <c r="F282" i="32" s="1"/>
  <c r="D213" i="32"/>
  <c r="E213" i="32" s="1"/>
  <c r="P213" i="32" s="1"/>
  <c r="Q213" i="32" s="1"/>
  <c r="R213" i="32" s="1"/>
  <c r="D192" i="32"/>
  <c r="E192" i="32" s="1"/>
  <c r="P192" i="32" s="1"/>
  <c r="Q192" i="32" s="1"/>
  <c r="R192" i="32" s="1"/>
  <c r="D286" i="32"/>
  <c r="E286" i="32" s="1"/>
  <c r="D274" i="32"/>
  <c r="E274" i="32" s="1"/>
  <c r="D224" i="32"/>
  <c r="E224" i="32" s="1"/>
  <c r="D197" i="32"/>
  <c r="E197" i="32" s="1"/>
  <c r="P197" i="32" s="1"/>
  <c r="Q197" i="32" s="1"/>
  <c r="R197" i="32" s="1"/>
  <c r="AO256" i="32"/>
  <c r="AQ256" i="32" s="1"/>
  <c r="AO301" i="32"/>
  <c r="AQ301" i="32" s="1"/>
  <c r="AO263" i="32"/>
  <c r="AQ263" i="32" s="1"/>
  <c r="AO268" i="32"/>
  <c r="AQ268" i="32" s="1"/>
  <c r="AO275" i="32"/>
  <c r="AQ275" i="32" s="1"/>
  <c r="D6" i="32"/>
  <c r="AO261" i="32"/>
  <c r="AQ261" i="32" s="1"/>
  <c r="AO266" i="32"/>
  <c r="AQ266" i="32" s="1"/>
  <c r="AO294" i="32"/>
  <c r="AQ294" i="32" s="1"/>
  <c r="AO287" i="32"/>
  <c r="AQ287" i="32" s="1"/>
  <c r="AO299" i="32"/>
  <c r="AQ299" i="32" s="1"/>
  <c r="AO308" i="32"/>
  <c r="AP308" i="32" s="1"/>
  <c r="AQ308" i="32" s="1"/>
  <c r="AO310" i="32"/>
  <c r="AP310" i="32" s="1"/>
  <c r="AO271" i="32"/>
  <c r="AQ271" i="32" s="1"/>
  <c r="AO262" i="32"/>
  <c r="AQ262" i="32" s="1"/>
  <c r="AO253" i="32"/>
  <c r="AO35" i="32"/>
  <c r="AP35" i="32" s="1"/>
  <c r="D32" i="32"/>
  <c r="E32" i="32" s="1"/>
  <c r="F32" i="32" s="1"/>
  <c r="D30" i="32"/>
  <c r="E30" i="32" s="1"/>
  <c r="D41" i="32"/>
  <c r="E41" i="32" s="1"/>
  <c r="P41" i="32" s="1"/>
  <c r="Q41" i="32" s="1"/>
  <c r="D67" i="32"/>
  <c r="E67" i="32" s="1"/>
  <c r="P67" i="32" s="1"/>
  <c r="Q67" i="32" s="1"/>
  <c r="D101" i="32"/>
  <c r="E101" i="32" s="1"/>
  <c r="D123" i="32"/>
  <c r="E123" i="32" s="1"/>
  <c r="P123" i="32" s="1"/>
  <c r="Q123" i="32" s="1"/>
  <c r="D144" i="32"/>
  <c r="E144" i="32" s="1"/>
  <c r="P144" i="32" s="1"/>
  <c r="Q144" i="32" s="1"/>
  <c r="D164" i="32"/>
  <c r="E164" i="32" s="1"/>
  <c r="P164" i="32" s="1"/>
  <c r="Q164" i="32" s="1"/>
  <c r="D217" i="32"/>
  <c r="E217" i="32" s="1"/>
  <c r="P217" i="32" s="1"/>
  <c r="Q217" i="32" s="1"/>
  <c r="R217" i="32" s="1"/>
  <c r="D239" i="32"/>
  <c r="E239" i="32" s="1"/>
  <c r="D261" i="32"/>
  <c r="E261" i="32" s="1"/>
  <c r="P261" i="32" s="1"/>
  <c r="Q261" i="32" s="1"/>
  <c r="D288" i="32"/>
  <c r="E288" i="32" s="1"/>
  <c r="P288" i="32" s="1"/>
  <c r="Q288" i="32" s="1"/>
  <c r="D297" i="32"/>
  <c r="E297" i="32" s="1"/>
  <c r="D113" i="32"/>
  <c r="E113" i="32" s="1"/>
  <c r="D124" i="32"/>
  <c r="E124" i="32" s="1"/>
  <c r="F124" i="32" s="1"/>
  <c r="D130" i="32"/>
  <c r="E130" i="32" s="1"/>
  <c r="P130" i="32" s="1"/>
  <c r="Q130" i="32" s="1"/>
  <c r="D146" i="32"/>
  <c r="E146" i="32" s="1"/>
  <c r="P146" i="32" s="1"/>
  <c r="Q146" i="32" s="1"/>
  <c r="R146" i="32" s="1"/>
  <c r="D161" i="32"/>
  <c r="E161" i="32" s="1"/>
  <c r="D167" i="32"/>
  <c r="E167" i="32" s="1"/>
  <c r="P167" i="32" s="1"/>
  <c r="Q167" i="32" s="1"/>
  <c r="D204" i="32"/>
  <c r="E204" i="32" s="1"/>
  <c r="D221" i="32"/>
  <c r="E221" i="32" s="1"/>
  <c r="P221" i="32" s="1"/>
  <c r="Q221" i="32" s="1"/>
  <c r="R221" i="32" s="1"/>
  <c r="D229" i="32"/>
  <c r="E229" i="32" s="1"/>
  <c r="D280" i="32"/>
  <c r="E280" i="32" s="1"/>
  <c r="F280" i="32" s="1"/>
  <c r="D299" i="32"/>
  <c r="E299" i="32" s="1"/>
  <c r="P299" i="32" s="1"/>
  <c r="Q299" i="32" s="1"/>
  <c r="D102" i="32"/>
  <c r="E102" i="32" s="1"/>
  <c r="P102" i="32" s="1"/>
  <c r="Q102" i="32" s="1"/>
  <c r="D141" i="32"/>
  <c r="E141" i="32" s="1"/>
  <c r="D178" i="32"/>
  <c r="E178" i="32" s="1"/>
  <c r="P178" i="32" s="1"/>
  <c r="Q178" i="32" s="1"/>
  <c r="D189" i="32"/>
  <c r="E189" i="32" s="1"/>
  <c r="P189" i="32" s="1"/>
  <c r="Q189" i="32" s="1"/>
  <c r="D200" i="32"/>
  <c r="E200" i="32" s="1"/>
  <c r="D210" i="32"/>
  <c r="E210" i="32" s="1"/>
  <c r="D232" i="32"/>
  <c r="E232" i="32" s="1"/>
  <c r="P232" i="32" s="1"/>
  <c r="Q232" i="32" s="1"/>
  <c r="R232" i="32" s="1"/>
  <c r="D259" i="32"/>
  <c r="E259" i="32" s="1"/>
  <c r="F259" i="32" s="1"/>
  <c r="D271" i="32"/>
  <c r="E271" i="32" s="1"/>
  <c r="F271" i="32" s="1"/>
  <c r="D278" i="32"/>
  <c r="E278" i="32" s="1"/>
  <c r="P278" i="32" s="1"/>
  <c r="Q278" i="32" s="1"/>
  <c r="R278" i="32" s="1"/>
  <c r="D292" i="32"/>
  <c r="E292" i="32" s="1"/>
  <c r="P292" i="32" s="1"/>
  <c r="Q292" i="32" s="1"/>
  <c r="D304" i="32"/>
  <c r="E304" i="32" s="1"/>
  <c r="D306" i="32"/>
  <c r="E306" i="32" s="1"/>
  <c r="D55" i="32"/>
  <c r="E55" i="32" s="1"/>
  <c r="P55" i="32" s="1"/>
  <c r="Q55" i="32" s="1"/>
  <c r="D90" i="32"/>
  <c r="E90" i="32" s="1"/>
  <c r="F90" i="32" s="1"/>
  <c r="D109" i="32"/>
  <c r="E109" i="32" s="1"/>
  <c r="F109" i="32" s="1"/>
  <c r="D120" i="32"/>
  <c r="E120" i="32" s="1"/>
  <c r="F120" i="32" s="1"/>
  <c r="D131" i="32"/>
  <c r="E131" i="32" s="1"/>
  <c r="P131" i="32" s="1"/>
  <c r="Q131" i="32" s="1"/>
  <c r="D157" i="32"/>
  <c r="E157" i="32" s="1"/>
  <c r="D168" i="32"/>
  <c r="E168" i="32" s="1"/>
  <c r="D246" i="32"/>
  <c r="E246" i="32" s="1"/>
  <c r="D257" i="32"/>
  <c r="E257" i="32" s="1"/>
  <c r="D269" i="32"/>
  <c r="E269" i="32" s="1"/>
  <c r="F269" i="32" s="1"/>
  <c r="D276" i="32"/>
  <c r="E276" i="32" s="1"/>
  <c r="F276" i="32" s="1"/>
  <c r="D290" i="32"/>
  <c r="E290" i="32" s="1"/>
  <c r="F290" i="32" s="1"/>
  <c r="D115" i="32"/>
  <c r="E115" i="32" s="1"/>
  <c r="P115" i="32" s="1"/>
  <c r="Q115" i="32" s="1"/>
  <c r="D137" i="32"/>
  <c r="E137" i="32" s="1"/>
  <c r="P137" i="32" s="1"/>
  <c r="Q137" i="32" s="1"/>
  <c r="D147" i="32"/>
  <c r="E147" i="32" s="1"/>
  <c r="D163" i="32"/>
  <c r="E163" i="32" s="1"/>
  <c r="P163" i="32" s="1"/>
  <c r="Q163" i="32" s="1"/>
  <c r="D174" i="32"/>
  <c r="E174" i="32" s="1"/>
  <c r="D179" i="32"/>
  <c r="E179" i="32" s="1"/>
  <c r="F179" i="32" s="1"/>
  <c r="D185" i="32"/>
  <c r="E185" i="32" s="1"/>
  <c r="P185" i="32" s="1"/>
  <c r="Q185" i="32" s="1"/>
  <c r="R185" i="32" s="1"/>
  <c r="D196" i="32"/>
  <c r="E196" i="32" s="1"/>
  <c r="F196" i="32" s="1"/>
  <c r="D201" i="32"/>
  <c r="E201" i="32" s="1"/>
  <c r="D206" i="32"/>
  <c r="E206" i="32" s="1"/>
  <c r="D227" i="32"/>
  <c r="E227" i="32" s="1"/>
  <c r="D236" i="32"/>
  <c r="E236" i="32" s="1"/>
  <c r="D243" i="32"/>
  <c r="E243" i="32" s="1"/>
  <c r="D267" i="32"/>
  <c r="E267" i="32" s="1"/>
  <c r="F267" i="32" s="1"/>
  <c r="D265" i="32"/>
  <c r="E265" i="32" s="1"/>
  <c r="P265" i="32" s="1"/>
  <c r="Q265" i="32" s="1"/>
  <c r="D207" i="32"/>
  <c r="E207" i="32" s="1"/>
  <c r="P207" i="32" s="1"/>
  <c r="Q207" i="32" s="1"/>
  <c r="D154" i="32"/>
  <c r="E154" i="32" s="1"/>
  <c r="AO38" i="32"/>
  <c r="AP38" i="32" s="1"/>
  <c r="AO27" i="32"/>
  <c r="AP27" i="32" s="1"/>
  <c r="AO30" i="32"/>
  <c r="AP30" i="32" s="1"/>
  <c r="AO33" i="32"/>
  <c r="AP33" i="32" s="1"/>
  <c r="D82" i="32"/>
  <c r="E82" i="32" s="1"/>
  <c r="P82" i="32" s="1"/>
  <c r="Q82" i="32" s="1"/>
  <c r="R82" i="32" s="1"/>
  <c r="D302" i="32"/>
  <c r="E302" i="32" s="1"/>
  <c r="F302" i="32" s="1"/>
  <c r="D293" i="32"/>
  <c r="E293" i="32" s="1"/>
  <c r="P293" i="32" s="1"/>
  <c r="Q293" i="32" s="1"/>
  <c r="D291" i="32"/>
  <c r="E291" i="32" s="1"/>
  <c r="D289" i="32"/>
  <c r="E289" i="32" s="1"/>
  <c r="D287" i="32"/>
  <c r="E287" i="32" s="1"/>
  <c r="D285" i="32"/>
  <c r="E285" i="32" s="1"/>
  <c r="P285" i="32" s="1"/>
  <c r="Q285" i="32" s="1"/>
  <c r="D270" i="32"/>
  <c r="E270" i="32" s="1"/>
  <c r="P270" i="32" s="1"/>
  <c r="Q270" i="32" s="1"/>
  <c r="R270" i="32" s="1"/>
  <c r="D268" i="32"/>
  <c r="E268" i="32" s="1"/>
  <c r="D266" i="32"/>
  <c r="E266" i="32" s="1"/>
  <c r="P266" i="32" s="1"/>
  <c r="Q266" i="32" s="1"/>
  <c r="R266" i="32" s="1"/>
  <c r="D264" i="32"/>
  <c r="E264" i="32" s="1"/>
  <c r="F264" i="32" s="1"/>
  <c r="D245" i="32"/>
  <c r="E245" i="32" s="1"/>
  <c r="F245" i="32" s="1"/>
  <c r="D238" i="32"/>
  <c r="E238" i="32" s="1"/>
  <c r="D223" i="32"/>
  <c r="E223" i="32" s="1"/>
  <c r="D220" i="32"/>
  <c r="E220" i="32" s="1"/>
  <c r="D209" i="32"/>
  <c r="E209" i="32" s="1"/>
  <c r="P209" i="32" s="1"/>
  <c r="Q209" i="32" s="1"/>
  <c r="R209" i="32" s="1"/>
  <c r="D202" i="32"/>
  <c r="E202" i="32" s="1"/>
  <c r="P202" i="32" s="1"/>
  <c r="Q202" i="32" s="1"/>
  <c r="D199" i="32"/>
  <c r="E199" i="32" s="1"/>
  <c r="P199" i="32" s="1"/>
  <c r="Q199" i="32" s="1"/>
  <c r="D195" i="32"/>
  <c r="E195" i="32" s="1"/>
  <c r="P195" i="32" s="1"/>
  <c r="Q195" i="32" s="1"/>
  <c r="D181" i="32"/>
  <c r="E181" i="32" s="1"/>
  <c r="P181" i="32" s="1"/>
  <c r="Q181" i="32" s="1"/>
  <c r="D177" i="32"/>
  <c r="E177" i="32" s="1"/>
  <c r="D160" i="32"/>
  <c r="E160" i="32" s="1"/>
  <c r="D156" i="32"/>
  <c r="E156" i="32" s="1"/>
  <c r="D152" i="32"/>
  <c r="E152" i="32" s="1"/>
  <c r="P152" i="32" s="1"/>
  <c r="Q152" i="32" s="1"/>
  <c r="D149" i="32"/>
  <c r="E149" i="32" s="1"/>
  <c r="D139" i="32"/>
  <c r="E139" i="32" s="1"/>
  <c r="P139" i="32" s="1"/>
  <c r="Q139" i="32" s="1"/>
  <c r="D136" i="32"/>
  <c r="E136" i="32" s="1"/>
  <c r="F136" i="32" s="1"/>
  <c r="D129" i="32"/>
  <c r="E129" i="32" s="1"/>
  <c r="F129" i="32" s="1"/>
  <c r="D126" i="32"/>
  <c r="E126" i="32" s="1"/>
  <c r="D108" i="32"/>
  <c r="E108" i="32" s="1"/>
  <c r="D85" i="32"/>
  <c r="E85" i="32" s="1"/>
  <c r="P85" i="32" s="1"/>
  <c r="Q85" i="32" s="1"/>
  <c r="D70" i="32"/>
  <c r="E70" i="32" s="1"/>
  <c r="D66" i="32"/>
  <c r="E66" i="32" s="1"/>
  <c r="P66" i="32" s="1"/>
  <c r="Q66" i="32" s="1"/>
  <c r="R66" i="32" s="1"/>
  <c r="D62" i="32"/>
  <c r="E62" i="32" s="1"/>
  <c r="P62" i="32" s="1"/>
  <c r="Q62" i="32" s="1"/>
  <c r="D58" i="32"/>
  <c r="E58" i="32" s="1"/>
  <c r="F58" i="32" s="1"/>
  <c r="D44" i="32"/>
  <c r="E44" i="32" s="1"/>
  <c r="P44" i="32" s="1"/>
  <c r="Q44" i="32" s="1"/>
  <c r="R44" i="32" s="1"/>
  <c r="D40" i="32"/>
  <c r="E40" i="32" s="1"/>
  <c r="D34" i="32"/>
  <c r="E34" i="32" s="1"/>
  <c r="D300" i="32"/>
  <c r="E300" i="32" s="1"/>
  <c r="D283" i="32"/>
  <c r="E283" i="32" s="1"/>
  <c r="P283" i="32" s="1"/>
  <c r="Q283" i="32" s="1"/>
  <c r="R283" i="32" s="1"/>
  <c r="D281" i="32"/>
  <c r="E281" i="32" s="1"/>
  <c r="D279" i="32"/>
  <c r="E279" i="32" s="1"/>
  <c r="P279" i="32" s="1"/>
  <c r="Q279" i="32" s="1"/>
  <c r="R279" i="32" s="1"/>
  <c r="D277" i="32"/>
  <c r="E277" i="32" s="1"/>
  <c r="P277" i="32" s="1"/>
  <c r="Q277" i="32" s="1"/>
  <c r="D262" i="32"/>
  <c r="E262" i="32" s="1"/>
  <c r="D260" i="32"/>
  <c r="E260" i="32" s="1"/>
  <c r="D258" i="32"/>
  <c r="E258" i="32" s="1"/>
  <c r="P258" i="32" s="1"/>
  <c r="Q258" i="32" s="1"/>
  <c r="D256" i="32"/>
  <c r="E256" i="32" s="1"/>
  <c r="D254" i="32"/>
  <c r="E254" i="32" s="1"/>
  <c r="D252" i="32"/>
  <c r="E252" i="32" s="1"/>
  <c r="D247" i="32"/>
  <c r="E247" i="32" s="1"/>
  <c r="F247" i="32" s="1"/>
  <c r="D233" i="32"/>
  <c r="E233" i="32" s="1"/>
  <c r="D226" i="32"/>
  <c r="E226" i="32" s="1"/>
  <c r="D216" i="32"/>
  <c r="E216" i="32" s="1"/>
  <c r="P216" i="32" s="1"/>
  <c r="Q216" i="32" s="1"/>
  <c r="D212" i="32"/>
  <c r="E212" i="32" s="1"/>
  <c r="P212" i="32" s="1"/>
  <c r="Q212" i="32" s="1"/>
  <c r="D205" i="32"/>
  <c r="E205" i="32" s="1"/>
  <c r="D191" i="32"/>
  <c r="E191" i="32" s="1"/>
  <c r="D184" i="32"/>
  <c r="E184" i="32" s="1"/>
  <c r="D173" i="32"/>
  <c r="E173" i="32" s="1"/>
  <c r="P173" i="32" s="1"/>
  <c r="Q173" i="32" s="1"/>
  <c r="D169" i="32"/>
  <c r="E169" i="32" s="1"/>
  <c r="P169" i="32" s="1"/>
  <c r="Q169" i="32" s="1"/>
  <c r="D166" i="32"/>
  <c r="E166" i="32" s="1"/>
  <c r="D162" i="32"/>
  <c r="E162" i="32" s="1"/>
  <c r="D132" i="32"/>
  <c r="E132" i="32" s="1"/>
  <c r="P132" i="32" s="1"/>
  <c r="Q132" i="32" s="1"/>
  <c r="D122" i="32"/>
  <c r="E122" i="32" s="1"/>
  <c r="D118" i="32"/>
  <c r="E118" i="32" s="1"/>
  <c r="P118" i="32" s="1"/>
  <c r="Q118" i="32" s="1"/>
  <c r="R118" i="32" s="1"/>
  <c r="D114" i="32"/>
  <c r="E114" i="32" s="1"/>
  <c r="D104" i="32"/>
  <c r="E104" i="32" s="1"/>
  <c r="P104" i="32" s="1"/>
  <c r="Q104" i="32" s="1"/>
  <c r="R104" i="32" s="1"/>
  <c r="D100" i="32"/>
  <c r="E100" i="32" s="1"/>
  <c r="P100" i="32" s="1"/>
  <c r="Q100" i="32" s="1"/>
  <c r="D97" i="32"/>
  <c r="E97" i="32" s="1"/>
  <c r="F97" i="32" s="1"/>
  <c r="D93" i="32"/>
  <c r="E93" i="32" s="1"/>
  <c r="F93" i="32" s="1"/>
  <c r="D89" i="32"/>
  <c r="E89" i="32" s="1"/>
  <c r="F89" i="32" s="1"/>
  <c r="D53" i="32"/>
  <c r="E53" i="32" s="1"/>
  <c r="P53" i="32" s="1"/>
  <c r="Q53" i="32" s="1"/>
  <c r="D94" i="32"/>
  <c r="E94" i="32" s="1"/>
  <c r="D54" i="32"/>
  <c r="E54" i="32" s="1"/>
  <c r="D310" i="32"/>
  <c r="E310" i="32" s="1"/>
  <c r="D188" i="32"/>
  <c r="E188" i="32" s="1"/>
  <c r="P188" i="32" s="1"/>
  <c r="Q188" i="32" s="1"/>
  <c r="R188" i="32" s="1"/>
  <c r="D305" i="32"/>
  <c r="E305" i="32" s="1"/>
  <c r="D298" i="32"/>
  <c r="E298" i="32" s="1"/>
  <c r="F298" i="32" s="1"/>
  <c r="D275" i="32"/>
  <c r="E275" i="32" s="1"/>
  <c r="F275" i="32" s="1"/>
  <c r="D249" i="32"/>
  <c r="E249" i="32" s="1"/>
  <c r="D242" i="32"/>
  <c r="E242" i="32" s="1"/>
  <c r="P242" i="32" s="1"/>
  <c r="Q242" i="32" s="1"/>
  <c r="R242" i="32" s="1"/>
  <c r="D240" i="32"/>
  <c r="E240" i="32" s="1"/>
  <c r="P240" i="32" s="1"/>
  <c r="Q240" i="32" s="1"/>
  <c r="R240" i="32" s="1"/>
  <c r="D235" i="32"/>
  <c r="E235" i="32" s="1"/>
  <c r="P235" i="32" s="1"/>
  <c r="Q235" i="32" s="1"/>
  <c r="R235" i="32" s="1"/>
  <c r="D230" i="32"/>
  <c r="E230" i="32" s="1"/>
  <c r="F230" i="32" s="1"/>
  <c r="D228" i="32"/>
  <c r="E228" i="32" s="1"/>
  <c r="D208" i="32"/>
  <c r="E208" i="32" s="1"/>
  <c r="P208" i="32" s="1"/>
  <c r="Q208" i="32" s="1"/>
  <c r="D198" i="32"/>
  <c r="E198" i="32" s="1"/>
  <c r="P198" i="32" s="1"/>
  <c r="Q198" i="32" s="1"/>
  <c r="R198" i="32" s="1"/>
  <c r="D194" i="32"/>
  <c r="E194" i="32" s="1"/>
  <c r="D187" i="32"/>
  <c r="E187" i="32" s="1"/>
  <c r="P187" i="32" s="1"/>
  <c r="Q187" i="32" s="1"/>
  <c r="R187" i="32" s="1"/>
  <c r="D180" i="32"/>
  <c r="E180" i="32" s="1"/>
  <c r="P180" i="32" s="1"/>
  <c r="Q180" i="32" s="1"/>
  <c r="R180" i="32" s="1"/>
  <c r="D159" i="32"/>
  <c r="E159" i="32" s="1"/>
  <c r="P159" i="32" s="1"/>
  <c r="Q159" i="32" s="1"/>
  <c r="R159" i="32" s="1"/>
  <c r="D155" i="32"/>
  <c r="E155" i="32" s="1"/>
  <c r="P155" i="32" s="1"/>
  <c r="Q155" i="32" s="1"/>
  <c r="D148" i="32"/>
  <c r="E148" i="32" s="1"/>
  <c r="P148" i="32" s="1"/>
  <c r="Q148" i="32" s="1"/>
  <c r="R148" i="32" s="1"/>
  <c r="D145" i="32"/>
  <c r="E145" i="32" s="1"/>
  <c r="P145" i="32" s="1"/>
  <c r="Q145" i="32" s="1"/>
  <c r="R145" i="32" s="1"/>
  <c r="D142" i="32"/>
  <c r="E142" i="32" s="1"/>
  <c r="F142" i="32" s="1"/>
  <c r="D135" i="32"/>
  <c r="E135" i="32" s="1"/>
  <c r="D128" i="32"/>
  <c r="E128" i="32" s="1"/>
  <c r="D125" i="32"/>
  <c r="E125" i="32" s="1"/>
  <c r="D110" i="32"/>
  <c r="E110" i="32" s="1"/>
  <c r="D107" i="32"/>
  <c r="E107" i="32" s="1"/>
  <c r="P107" i="32" s="1"/>
  <c r="Q107" i="32" s="1"/>
  <c r="D84" i="32"/>
  <c r="E84" i="32" s="1"/>
  <c r="F84" i="32" s="1"/>
  <c r="D80" i="32"/>
  <c r="E80" i="32" s="1"/>
  <c r="F80" i="32" s="1"/>
  <c r="D69" i="32"/>
  <c r="E69" i="32" s="1"/>
  <c r="F69" i="32" s="1"/>
  <c r="D61" i="32"/>
  <c r="E61" i="32" s="1"/>
  <c r="P61" i="32" s="1"/>
  <c r="Q61" i="32" s="1"/>
  <c r="D48" i="32"/>
  <c r="E48" i="32" s="1"/>
  <c r="D311" i="32"/>
  <c r="E311" i="32" s="1"/>
  <c r="D308" i="32"/>
  <c r="E308" i="32" s="1"/>
  <c r="P308" i="32" s="1"/>
  <c r="Q308" i="32" s="1"/>
  <c r="R308" i="32" s="1"/>
  <c r="D296" i="32"/>
  <c r="E296" i="32" s="1"/>
  <c r="P296" i="32" s="1"/>
  <c r="Q296" i="32" s="1"/>
  <c r="R296" i="32" s="1"/>
  <c r="D273" i="32"/>
  <c r="E273" i="32" s="1"/>
  <c r="P273" i="32" s="1"/>
  <c r="Q273" i="32" s="1"/>
  <c r="R273" i="32" s="1"/>
  <c r="D244" i="32"/>
  <c r="E244" i="32" s="1"/>
  <c r="F244" i="32" s="1"/>
  <c r="D237" i="32"/>
  <c r="E237" i="32" s="1"/>
  <c r="P237" i="32" s="1"/>
  <c r="Q237" i="32" s="1"/>
  <c r="D222" i="32"/>
  <c r="E222" i="32" s="1"/>
  <c r="P222" i="32" s="1"/>
  <c r="Q222" i="32" s="1"/>
  <c r="R222" i="32" s="1"/>
  <c r="D219" i="32"/>
  <c r="E219" i="32" s="1"/>
  <c r="D215" i="32"/>
  <c r="E215" i="32" s="1"/>
  <c r="D211" i="32"/>
  <c r="E211" i="32" s="1"/>
  <c r="F211" i="32" s="1"/>
  <c r="D190" i="32"/>
  <c r="E190" i="32" s="1"/>
  <c r="P190" i="32" s="1"/>
  <c r="Q190" i="32" s="1"/>
  <c r="D183" i="32"/>
  <c r="E183" i="32" s="1"/>
  <c r="F183" i="32" s="1"/>
  <c r="D176" i="32"/>
  <c r="E176" i="32" s="1"/>
  <c r="F176" i="32" s="1"/>
  <c r="D172" i="32"/>
  <c r="E172" i="32" s="1"/>
  <c r="F172" i="32" s="1"/>
  <c r="D165" i="32"/>
  <c r="E165" i="32" s="1"/>
  <c r="P165" i="32" s="1"/>
  <c r="Q165" i="32" s="1"/>
  <c r="R165" i="32" s="1"/>
  <c r="D151" i="32"/>
  <c r="E151" i="32" s="1"/>
  <c r="P151" i="32" s="1"/>
  <c r="Q151" i="32" s="1"/>
  <c r="D138" i="32"/>
  <c r="E138" i="32" s="1"/>
  <c r="P138" i="32" s="1"/>
  <c r="Q138" i="32" s="1"/>
  <c r="R138" i="32" s="1"/>
  <c r="D121" i="32"/>
  <c r="E121" i="32" s="1"/>
  <c r="F121" i="32" s="1"/>
  <c r="D117" i="32"/>
  <c r="E117" i="32" s="1"/>
  <c r="F117" i="32" s="1"/>
  <c r="D92" i="32"/>
  <c r="E92" i="32" s="1"/>
  <c r="P92" i="32" s="1"/>
  <c r="Q92" i="32" s="1"/>
  <c r="D88" i="32"/>
  <c r="E88" i="32" s="1"/>
  <c r="F88" i="32" s="1"/>
  <c r="D56" i="32"/>
  <c r="E56" i="32" s="1"/>
  <c r="P56" i="32" s="1"/>
  <c r="Q56" i="32" s="1"/>
  <c r="R56" i="32" s="1"/>
  <c r="D52" i="32"/>
  <c r="E52" i="32" s="1"/>
  <c r="D28" i="32"/>
  <c r="E28" i="32" s="1"/>
  <c r="D14" i="32"/>
  <c r="D106" i="32"/>
  <c r="E106" i="32" s="1"/>
  <c r="D99" i="32"/>
  <c r="E99" i="32" s="1"/>
  <c r="F99" i="32" s="1"/>
  <c r="D96" i="32"/>
  <c r="E96" i="32" s="1"/>
  <c r="P96" i="32" s="1"/>
  <c r="Q96" i="32" s="1"/>
  <c r="D83" i="32"/>
  <c r="E83" i="32" s="1"/>
  <c r="P83" i="32" s="1"/>
  <c r="Q83" i="32" s="1"/>
  <c r="D79" i="32"/>
  <c r="E79" i="32" s="1"/>
  <c r="F79" i="32" s="1"/>
  <c r="D72" i="32"/>
  <c r="E72" i="32" s="1"/>
  <c r="P72" i="32" s="1"/>
  <c r="Q72" i="32" s="1"/>
  <c r="R72" i="32" s="1"/>
  <c r="D68" i="32"/>
  <c r="E68" i="32" s="1"/>
  <c r="P68" i="32" s="1"/>
  <c r="Q68" i="32" s="1"/>
  <c r="D64" i="32"/>
  <c r="E64" i="32" s="1"/>
  <c r="D60" i="32"/>
  <c r="E60" i="32" s="1"/>
  <c r="D47" i="32"/>
  <c r="E47" i="32" s="1"/>
  <c r="P47" i="32" s="1"/>
  <c r="Q47" i="32" s="1"/>
  <c r="D42" i="32"/>
  <c r="E42" i="32" s="1"/>
  <c r="F42" i="32" s="1"/>
  <c r="D33" i="32"/>
  <c r="E33" i="32" s="1"/>
  <c r="F33" i="32" s="1"/>
  <c r="AQ239" i="32"/>
  <c r="P294" i="32"/>
  <c r="Q294" i="32" s="1"/>
  <c r="R294" i="32" s="1"/>
  <c r="AQ242" i="32"/>
  <c r="AQ201" i="32"/>
  <c r="AQ220" i="32"/>
  <c r="P134" i="32"/>
  <c r="Q134" i="32" s="1"/>
  <c r="R134" i="32" s="1"/>
  <c r="AQ221" i="32"/>
  <c r="AQ233" i="32"/>
  <c r="AO28" i="32"/>
  <c r="AP28" i="32" s="1"/>
  <c r="AQ203" i="32"/>
  <c r="AQ232" i="32"/>
  <c r="AQ241" i="32"/>
  <c r="AQ243" i="32"/>
  <c r="AQ208" i="32"/>
  <c r="AQ218" i="32"/>
  <c r="AQ226" i="32"/>
  <c r="AQ227" i="32"/>
  <c r="AQ228" i="32"/>
  <c r="AQ238" i="32"/>
  <c r="AQ252" i="32"/>
  <c r="AQ246" i="32"/>
  <c r="AQ240" i="32"/>
  <c r="AQ211" i="32"/>
  <c r="AQ205" i="32"/>
  <c r="AQ310" i="32"/>
  <c r="AQ250" i="32"/>
  <c r="AQ237" i="32"/>
  <c r="AQ225" i="32"/>
  <c r="AQ207" i="32"/>
  <c r="D16" i="32"/>
  <c r="AQ253" i="32"/>
  <c r="AQ235" i="32"/>
  <c r="AQ204" i="32"/>
  <c r="AQ247" i="32"/>
  <c r="AQ234" i="32"/>
  <c r="AQ216" i="32"/>
  <c r="AQ248" i="32"/>
  <c r="AQ244" i="32"/>
  <c r="AQ223" i="32"/>
  <c r="AQ217" i="32"/>
  <c r="AQ212" i="32"/>
  <c r="AQ206" i="32"/>
  <c r="AQ202" i="32"/>
  <c r="AQ251" i="32"/>
  <c r="AQ249" i="32"/>
  <c r="AQ236" i="32"/>
  <c r="AQ224" i="32"/>
  <c r="AQ219" i="32"/>
  <c r="AQ215" i="32"/>
  <c r="AQ210" i="32"/>
  <c r="AQ231" i="32"/>
  <c r="AQ222" i="32"/>
  <c r="AQ214" i="32"/>
  <c r="AQ209" i="32"/>
  <c r="AQ245" i="32"/>
  <c r="AQ230" i="32"/>
  <c r="AQ229" i="32"/>
  <c r="AQ200" i="32"/>
  <c r="D46" i="32"/>
  <c r="E46" i="32" s="1"/>
  <c r="P46" i="32" s="1"/>
  <c r="Q46" i="32" s="1"/>
  <c r="P301" i="32"/>
  <c r="Q301" i="32" s="1"/>
  <c r="J15" i="32"/>
  <c r="D31" i="32"/>
  <c r="E31" i="32" s="1"/>
  <c r="D39" i="32"/>
  <c r="E39" i="32" s="1"/>
  <c r="D43" i="32"/>
  <c r="E43" i="32" s="1"/>
  <c r="D29" i="32"/>
  <c r="E29" i="32" s="1"/>
  <c r="D36" i="32"/>
  <c r="E36" i="32" s="1"/>
  <c r="D37" i="32"/>
  <c r="E37" i="32" s="1"/>
  <c r="D45" i="32"/>
  <c r="E45" i="32" s="1"/>
  <c r="D50" i="32"/>
  <c r="E50" i="32" s="1"/>
  <c r="D57" i="32"/>
  <c r="E57" i="32" s="1"/>
  <c r="D65" i="32"/>
  <c r="E65" i="32" s="1"/>
  <c r="D73" i="32"/>
  <c r="E73" i="32" s="1"/>
  <c r="D81" i="32"/>
  <c r="E81" i="32" s="1"/>
  <c r="D119" i="32"/>
  <c r="E119" i="32" s="1"/>
  <c r="D111" i="32"/>
  <c r="E111" i="32" s="1"/>
  <c r="D103" i="32"/>
  <c r="E103" i="32" s="1"/>
  <c r="D95" i="32"/>
  <c r="E95" i="32" s="1"/>
  <c r="D87" i="32"/>
  <c r="E87" i="32" s="1"/>
  <c r="D78" i="32"/>
  <c r="E78" i="32" s="1"/>
  <c r="D77" i="32"/>
  <c r="E77" i="32" s="1"/>
  <c r="D76" i="32"/>
  <c r="E76" i="32" s="1"/>
  <c r="D75" i="32"/>
  <c r="E75" i="32" s="1"/>
  <c r="D74" i="32"/>
  <c r="E74" i="32" s="1"/>
  <c r="D49" i="32"/>
  <c r="E49" i="32" s="1"/>
  <c r="D35" i="32"/>
  <c r="E35" i="32" s="1"/>
  <c r="L323" i="20"/>
  <c r="L315" i="20"/>
  <c r="L307" i="20"/>
  <c r="K299" i="20"/>
  <c r="C299" i="20"/>
  <c r="L320" i="20"/>
  <c r="L312" i="20"/>
  <c r="L304" i="20"/>
  <c r="K296" i="20"/>
  <c r="D66" i="16"/>
  <c r="O18" i="4"/>
  <c r="O27" i="4"/>
  <c r="AI32" i="4"/>
  <c r="AK32" i="4"/>
  <c r="AM32" i="4"/>
  <c r="AI33" i="4"/>
  <c r="J77" i="16"/>
  <c r="D327" i="16"/>
  <c r="E327" i="16" s="1"/>
  <c r="F327" i="16" s="1"/>
  <c r="D328" i="16"/>
  <c r="E328" i="16" s="1"/>
  <c r="F328" i="16" s="1"/>
  <c r="D329" i="16"/>
  <c r="E329" i="16" s="1"/>
  <c r="F329" i="16" s="1"/>
  <c r="D330" i="16"/>
  <c r="E330" i="16" s="1"/>
  <c r="F330" i="16" s="1"/>
  <c r="D331" i="16"/>
  <c r="E331" i="16" s="1"/>
  <c r="F331" i="16" s="1"/>
  <c r="D332" i="16"/>
  <c r="E332" i="16" s="1"/>
  <c r="F332" i="16" s="1"/>
  <c r="D333" i="16"/>
  <c r="E333" i="16" s="1"/>
  <c r="F333" i="16" s="1"/>
  <c r="D334" i="16"/>
  <c r="E334" i="16" s="1"/>
  <c r="F334" i="16" s="1"/>
  <c r="D335" i="16"/>
  <c r="E335" i="16" s="1"/>
  <c r="F335" i="16" s="1"/>
  <c r="D336" i="16"/>
  <c r="E336" i="16" s="1"/>
  <c r="F336" i="16" s="1"/>
  <c r="D337" i="16"/>
  <c r="E337" i="16" s="1"/>
  <c r="F337" i="16" s="1"/>
  <c r="D338" i="16"/>
  <c r="E338" i="16" s="1"/>
  <c r="F338" i="16" s="1"/>
  <c r="D339" i="16"/>
  <c r="E339" i="16" s="1"/>
  <c r="F339" i="16" s="1"/>
  <c r="D340" i="16"/>
  <c r="E340" i="16" s="1"/>
  <c r="F340" i="16" s="1"/>
  <c r="D341" i="16"/>
  <c r="E341" i="16" s="1"/>
  <c r="F341" i="16" s="1"/>
  <c r="D342" i="16"/>
  <c r="E342" i="16" s="1"/>
  <c r="F342" i="16" s="1"/>
  <c r="D343" i="16"/>
  <c r="E343" i="16" s="1"/>
  <c r="F343" i="16" s="1"/>
  <c r="D344" i="16"/>
  <c r="E344" i="16" s="1"/>
  <c r="F344" i="16" s="1"/>
  <c r="D345" i="16"/>
  <c r="E345" i="16" s="1"/>
  <c r="F345" i="16" s="1"/>
  <c r="D346" i="16"/>
  <c r="E346" i="16" s="1"/>
  <c r="F346" i="16" s="1"/>
  <c r="D347" i="16"/>
  <c r="E347" i="16" s="1"/>
  <c r="F347" i="16" s="1"/>
  <c r="D348" i="16"/>
  <c r="E348" i="16" s="1"/>
  <c r="F348" i="16" s="1"/>
  <c r="D349" i="16"/>
  <c r="E349" i="16" s="1"/>
  <c r="F349" i="16" s="1"/>
  <c r="D350" i="16"/>
  <c r="E350" i="16" s="1"/>
  <c r="F350" i="16" s="1"/>
  <c r="D351" i="16"/>
  <c r="E351" i="16" s="1"/>
  <c r="F351" i="16" s="1"/>
  <c r="D352" i="16"/>
  <c r="E352" i="16" s="1"/>
  <c r="F352" i="16" s="1"/>
  <c r="D353" i="16"/>
  <c r="E353" i="16" s="1"/>
  <c r="F353" i="16" s="1"/>
  <c r="D354" i="16"/>
  <c r="E354" i="16" s="1"/>
  <c r="F354" i="16" s="1"/>
  <c r="D355" i="16"/>
  <c r="E355" i="16" s="1"/>
  <c r="F355" i="16" s="1"/>
  <c r="D356" i="16"/>
  <c r="E356" i="16" s="1"/>
  <c r="F356" i="16" s="1"/>
  <c r="D357" i="16"/>
  <c r="E357" i="16" s="1"/>
  <c r="F357" i="16" s="1"/>
  <c r="D358" i="16"/>
  <c r="E358" i="16" s="1"/>
  <c r="F358" i="16" s="1"/>
  <c r="D359" i="16"/>
  <c r="E359" i="16" s="1"/>
  <c r="F359" i="16" s="1"/>
  <c r="D360" i="16"/>
  <c r="E360" i="16" s="1"/>
  <c r="F360" i="16" s="1"/>
  <c r="D361" i="16"/>
  <c r="E361" i="16" s="1"/>
  <c r="F361" i="16" s="1"/>
  <c r="D362" i="16"/>
  <c r="E362" i="16" s="1"/>
  <c r="F362" i="16" s="1"/>
  <c r="D363" i="16"/>
  <c r="E363" i="16" s="1"/>
  <c r="F363" i="16" s="1"/>
  <c r="D364" i="16"/>
  <c r="E364" i="16" s="1"/>
  <c r="F364" i="16" s="1"/>
  <c r="D365" i="16"/>
  <c r="E365" i="16" s="1"/>
  <c r="F365" i="16" s="1"/>
  <c r="D366" i="16"/>
  <c r="E366" i="16" s="1"/>
  <c r="F366" i="16" s="1"/>
  <c r="D367" i="16"/>
  <c r="E367" i="16" s="1"/>
  <c r="F367" i="16" s="1"/>
  <c r="D368" i="16"/>
  <c r="E368" i="16" s="1"/>
  <c r="F368" i="16" s="1"/>
  <c r="D369" i="16"/>
  <c r="E369" i="16" s="1"/>
  <c r="F369" i="16" s="1"/>
  <c r="B50" i="4"/>
  <c r="B51" i="4"/>
  <c r="B52" i="4"/>
  <c r="B53" i="4"/>
  <c r="B54" i="4"/>
  <c r="B55" i="4"/>
  <c r="B56" i="4"/>
  <c r="B57" i="4"/>
  <c r="B58" i="4"/>
  <c r="B59" i="4"/>
  <c r="B60" i="4"/>
  <c r="B61" i="4"/>
  <c r="B62" i="4"/>
  <c r="B63" i="4"/>
  <c r="B64" i="4"/>
  <c r="B49" i="4"/>
  <c r="K201" i="24"/>
  <c r="Z33" i="4"/>
  <c r="Z34" i="4" s="1"/>
  <c r="X33" i="4"/>
  <c r="X34" i="4" s="1"/>
  <c r="U32" i="4"/>
  <c r="U30" i="4" s="1"/>
  <c r="Q33" i="4"/>
  <c r="Q34" i="4" s="1"/>
  <c r="AE33" i="4"/>
  <c r="O32" i="4"/>
  <c r="O30" i="4" s="1"/>
  <c r="T33" i="4"/>
  <c r="T34" i="4" s="1"/>
  <c r="O33" i="4"/>
  <c r="AS122" i="24"/>
  <c r="H312" i="24"/>
  <c r="I312" i="24" s="1"/>
  <c r="H272" i="24"/>
  <c r="I272" i="24" s="1"/>
  <c r="H216" i="24"/>
  <c r="I216" i="24" s="1"/>
  <c r="H168" i="24"/>
  <c r="I168" i="24" s="1"/>
  <c r="H167" i="24"/>
  <c r="I167" i="24" s="1"/>
  <c r="H182" i="24"/>
  <c r="I182" i="24" s="1"/>
  <c r="P142" i="24"/>
  <c r="H222" i="24"/>
  <c r="I222" i="24" s="1"/>
  <c r="P120" i="24"/>
  <c r="H162" i="24"/>
  <c r="I162" i="24" s="1"/>
  <c r="H350" i="24"/>
  <c r="I350" i="24" s="1"/>
  <c r="P127" i="24"/>
  <c r="Q127" i="24" s="1"/>
  <c r="P119" i="24"/>
  <c r="Q119" i="24" s="1"/>
  <c r="P111" i="24"/>
  <c r="H337" i="24"/>
  <c r="I337" i="24" s="1"/>
  <c r="H329" i="24"/>
  <c r="I329" i="24" s="1"/>
  <c r="H257" i="24"/>
  <c r="I257" i="24" s="1"/>
  <c r="H241" i="24"/>
  <c r="I241" i="24" s="1"/>
  <c r="H180" i="24"/>
  <c r="I180" i="24" s="1"/>
  <c r="P130" i="24"/>
  <c r="P122" i="24"/>
  <c r="Q122" i="24" s="1"/>
  <c r="P114" i="24"/>
  <c r="H230" i="24"/>
  <c r="I230" i="24" s="1"/>
  <c r="H326" i="24"/>
  <c r="I326" i="24" s="1"/>
  <c r="H198" i="24"/>
  <c r="I198" i="24" s="1"/>
  <c r="H206" i="24"/>
  <c r="I206" i="24" s="1"/>
  <c r="H325" i="24"/>
  <c r="I325" i="24" s="1"/>
  <c r="H317" i="24"/>
  <c r="I317" i="24" s="1"/>
  <c r="H293" i="24"/>
  <c r="I293" i="24" s="1"/>
  <c r="H285" i="24"/>
  <c r="I285" i="24" s="1"/>
  <c r="H277" i="24"/>
  <c r="I277" i="24" s="1"/>
  <c r="H269" i="24"/>
  <c r="I269" i="24" s="1"/>
  <c r="H245" i="24"/>
  <c r="I245" i="24" s="1"/>
  <c r="P126" i="24"/>
  <c r="Q126" i="24" s="1"/>
  <c r="P118" i="24"/>
  <c r="H356" i="24"/>
  <c r="I356" i="24" s="1"/>
  <c r="H348" i="24"/>
  <c r="I348" i="24" s="1"/>
  <c r="H332" i="24"/>
  <c r="I332" i="24" s="1"/>
  <c r="H300" i="24"/>
  <c r="I300" i="24" s="1"/>
  <c r="M201" i="24"/>
  <c r="H270" i="24"/>
  <c r="I270" i="24" s="1"/>
  <c r="G98" i="24"/>
  <c r="G123" i="24"/>
  <c r="H275" i="24"/>
  <c r="I275" i="24" s="1"/>
  <c r="H243" i="24"/>
  <c r="I243" i="24" s="1"/>
  <c r="H187" i="24"/>
  <c r="I187" i="24" s="1"/>
  <c r="H179" i="24"/>
  <c r="I179" i="24" s="1"/>
  <c r="AH148" i="24"/>
  <c r="P125" i="24"/>
  <c r="Q125" i="24" s="1"/>
  <c r="P117" i="24"/>
  <c r="Q117" i="24" s="1"/>
  <c r="G140" i="24"/>
  <c r="G124" i="24"/>
  <c r="G116" i="24"/>
  <c r="G108" i="24"/>
  <c r="G100" i="24"/>
  <c r="H189" i="24"/>
  <c r="I189" i="24" s="1"/>
  <c r="G147" i="24"/>
  <c r="G139" i="24"/>
  <c r="G131" i="24"/>
  <c r="G115" i="24"/>
  <c r="G145" i="24"/>
  <c r="G121" i="24"/>
  <c r="P131" i="24"/>
  <c r="Q131" i="24" s="1"/>
  <c r="P123" i="24"/>
  <c r="P115" i="24"/>
  <c r="AH141" i="24"/>
  <c r="AI141" i="24" s="1"/>
  <c r="P129" i="24"/>
  <c r="Q129" i="24" s="1"/>
  <c r="P121" i="24"/>
  <c r="Q121" i="24" s="1"/>
  <c r="P136" i="24"/>
  <c r="P112" i="24"/>
  <c r="AH142" i="24"/>
  <c r="AI142" i="24" s="1"/>
  <c r="P90" i="24"/>
  <c r="Q90" i="24" s="1"/>
  <c r="P97" i="24"/>
  <c r="Q97" i="24" s="1"/>
  <c r="AH91" i="24"/>
  <c r="AI91" i="24" s="1"/>
  <c r="P102" i="24"/>
  <c r="Q102" i="24" s="1"/>
  <c r="AS135" i="24"/>
  <c r="AR127" i="24"/>
  <c r="AS127" i="24" s="1"/>
  <c r="AR111" i="24"/>
  <c r="AS111" i="24" s="1"/>
  <c r="AR103" i="24"/>
  <c r="AS103" i="24" s="1"/>
  <c r="P89" i="24"/>
  <c r="Q89" i="24" s="1"/>
  <c r="P88" i="24"/>
  <c r="Q88" i="24" s="1"/>
  <c r="P124" i="24"/>
  <c r="P116" i="24"/>
  <c r="Q116" i="24" s="1"/>
  <c r="P108" i="24"/>
  <c r="Q108" i="24" s="1"/>
  <c r="P110" i="24"/>
  <c r="Q110" i="24" s="1"/>
  <c r="Q91" i="24"/>
  <c r="P96" i="24"/>
  <c r="Q96" i="24" s="1"/>
  <c r="P109" i="24"/>
  <c r="Q109" i="24" s="1"/>
  <c r="P87" i="24"/>
  <c r="Q87" i="24" s="1"/>
  <c r="Q94" i="24"/>
  <c r="P107" i="24"/>
  <c r="Q107" i="24" s="1"/>
  <c r="P99" i="24"/>
  <c r="Q99" i="24" s="1"/>
  <c r="AR119" i="24"/>
  <c r="AS119" i="24" s="1"/>
  <c r="P103" i="24"/>
  <c r="Q103" i="24" s="1"/>
  <c r="Q85" i="24"/>
  <c r="AH94" i="24"/>
  <c r="AI94" i="24" s="1"/>
  <c r="P137" i="24"/>
  <c r="Q137" i="24" s="1"/>
  <c r="P113" i="24"/>
  <c r="Q113" i="24" s="1"/>
  <c r="P105" i="24"/>
  <c r="Q105" i="24" s="1"/>
  <c r="G144" i="24"/>
  <c r="G136" i="24"/>
  <c r="AS98" i="24"/>
  <c r="P101" i="24"/>
  <c r="Q101" i="24" s="1"/>
  <c r="P98" i="24"/>
  <c r="Q98" i="24" s="1"/>
  <c r="AH92" i="24"/>
  <c r="AI92" i="24" s="1"/>
  <c r="P93" i="24"/>
  <c r="Q93" i="24" s="1"/>
  <c r="AH95" i="24"/>
  <c r="AI95" i="24" s="1"/>
  <c r="P106" i="24"/>
  <c r="Q106" i="24" s="1"/>
  <c r="G113" i="24"/>
  <c r="C30" i="24"/>
  <c r="F29" i="24" s="1"/>
  <c r="AH93" i="24"/>
  <c r="AI93" i="24" s="1"/>
  <c r="P128" i="24"/>
  <c r="Q128" i="24" s="1"/>
  <c r="P104" i="24"/>
  <c r="Q104" i="24" s="1"/>
  <c r="G143" i="24"/>
  <c r="G127" i="24"/>
  <c r="G119" i="24"/>
  <c r="H253" i="24"/>
  <c r="I253" i="24" s="1"/>
  <c r="H221" i="24"/>
  <c r="I221" i="24" s="1"/>
  <c r="H294" i="24"/>
  <c r="I294" i="24" s="1"/>
  <c r="H246" i="24"/>
  <c r="I246" i="24" s="1"/>
  <c r="H166" i="24"/>
  <c r="I166" i="24" s="1"/>
  <c r="H261" i="24"/>
  <c r="I261" i="24" s="1"/>
  <c r="H215" i="24"/>
  <c r="I215" i="24" s="1"/>
  <c r="H197" i="24"/>
  <c r="I197" i="24" s="1"/>
  <c r="H174" i="24"/>
  <c r="I174" i="24" s="1"/>
  <c r="H176" i="24"/>
  <c r="I176" i="24" s="1"/>
  <c r="H303" i="24"/>
  <c r="I303" i="24" s="1"/>
  <c r="H340" i="24"/>
  <c r="I340" i="24" s="1"/>
  <c r="H352" i="24"/>
  <c r="I352" i="24" s="1"/>
  <c r="H334" i="24"/>
  <c r="I334" i="24" s="1"/>
  <c r="H311" i="24"/>
  <c r="I311" i="24" s="1"/>
  <c r="H279" i="24"/>
  <c r="I279" i="24" s="1"/>
  <c r="H234" i="24"/>
  <c r="I234" i="24" s="1"/>
  <c r="H359" i="24"/>
  <c r="I359" i="24" s="1"/>
  <c r="H351" i="24"/>
  <c r="I351" i="24" s="1"/>
  <c r="H295" i="24"/>
  <c r="I295" i="24" s="1"/>
  <c r="H287" i="24"/>
  <c r="I287" i="24" s="1"/>
  <c r="H231" i="24"/>
  <c r="I231" i="24" s="1"/>
  <c r="H223" i="24"/>
  <c r="I223" i="24" s="1"/>
  <c r="H349" i="24"/>
  <c r="I349" i="24" s="1"/>
  <c r="Q92" i="24"/>
  <c r="Q100" i="24"/>
  <c r="G37" i="11"/>
  <c r="I37" i="11" s="1"/>
  <c r="L53" i="4"/>
  <c r="L55" i="4"/>
  <c r="L57" i="4"/>
  <c r="L59" i="4"/>
  <c r="L61" i="4"/>
  <c r="L63" i="4"/>
  <c r="L51" i="4"/>
  <c r="L49" i="4"/>
  <c r="J53" i="9"/>
  <c r="AM86" i="9"/>
  <c r="AM78" i="9"/>
  <c r="AM70" i="9"/>
  <c r="AM62" i="9"/>
  <c r="AM54" i="9"/>
  <c r="AM46" i="9"/>
  <c r="AO89" i="9"/>
  <c r="AO81" i="9"/>
  <c r="AO73" i="9"/>
  <c r="AO65" i="9"/>
  <c r="AO57" i="9"/>
  <c r="AO49" i="9"/>
  <c r="AO41" i="9"/>
  <c r="J46" i="9"/>
  <c r="AM85" i="9"/>
  <c r="AM77" i="9"/>
  <c r="AM69" i="9"/>
  <c r="AM61" i="9"/>
  <c r="AM53" i="9"/>
  <c r="AM45" i="9"/>
  <c r="AO88" i="9"/>
  <c r="AO80" i="9"/>
  <c r="AO72" i="9"/>
  <c r="AO64" i="9"/>
  <c r="AO56" i="9"/>
  <c r="AO48" i="9"/>
  <c r="AO40" i="9"/>
  <c r="K46" i="9"/>
  <c r="AM84" i="9"/>
  <c r="AM76" i="9"/>
  <c r="AM68" i="9"/>
  <c r="AM60" i="9"/>
  <c r="AM52" i="9"/>
  <c r="AM44" i="9"/>
  <c r="AO87" i="9"/>
  <c r="AO79" i="9"/>
  <c r="AO71" i="9"/>
  <c r="AO63" i="9"/>
  <c r="AO55" i="9"/>
  <c r="AO47" i="9"/>
  <c r="K38" i="9"/>
  <c r="AM83" i="9"/>
  <c r="AM75" i="9"/>
  <c r="AM67" i="9"/>
  <c r="AM59" i="9"/>
  <c r="AM51" i="9"/>
  <c r="AM43" i="9"/>
  <c r="AO86" i="9"/>
  <c r="AO78" i="9"/>
  <c r="AO70" i="9"/>
  <c r="AO62" i="9"/>
  <c r="AO54" i="9"/>
  <c r="AO46" i="9"/>
  <c r="AM39" i="9"/>
  <c r="AM82" i="9"/>
  <c r="AM74" i="9"/>
  <c r="AM66" i="9"/>
  <c r="AM58" i="9"/>
  <c r="AM50" i="9"/>
  <c r="AM42" i="9"/>
  <c r="AO85" i="9"/>
  <c r="AO77" i="9"/>
  <c r="AO69" i="9"/>
  <c r="AO61" i="9"/>
  <c r="AO53" i="9"/>
  <c r="AO45" i="9"/>
  <c r="AM88" i="9"/>
  <c r="AM80" i="9"/>
  <c r="AM72" i="9"/>
  <c r="AM64" i="9"/>
  <c r="AM56" i="9"/>
  <c r="AM48" i="9"/>
  <c r="AM40" i="9"/>
  <c r="AO83" i="9"/>
  <c r="AO75" i="9"/>
  <c r="AO67" i="9"/>
  <c r="AO59" i="9"/>
  <c r="AO51" i="9"/>
  <c r="AO43" i="9"/>
  <c r="J54" i="9"/>
  <c r="AM87" i="9"/>
  <c r="AM79" i="9"/>
  <c r="AM71" i="9"/>
  <c r="AM63" i="9"/>
  <c r="AM55" i="9"/>
  <c r="AM47" i="9"/>
  <c r="AO39" i="9"/>
  <c r="AO82" i="9"/>
  <c r="AO74" i="9"/>
  <c r="AO66" i="9"/>
  <c r="AO58" i="9"/>
  <c r="AO50" i="9"/>
  <c r="AO42" i="9"/>
  <c r="D20" i="9"/>
  <c r="W55" i="9" s="1"/>
  <c r="C5" i="7"/>
  <c r="J45" i="9"/>
  <c r="J37" i="9"/>
  <c r="J38" i="9"/>
  <c r="K75" i="9"/>
  <c r="J69" i="9"/>
  <c r="K62" i="9"/>
  <c r="J75" i="9"/>
  <c r="J62" i="9"/>
  <c r="K61" i="9"/>
  <c r="J74" i="9"/>
  <c r="J61" i="9"/>
  <c r="K54" i="9"/>
  <c r="J64" i="9"/>
  <c r="J56" i="9"/>
  <c r="J48" i="9"/>
  <c r="J40" i="9"/>
  <c r="K64" i="9"/>
  <c r="K56" i="9"/>
  <c r="K48" i="9"/>
  <c r="K40" i="9"/>
  <c r="K77" i="9"/>
  <c r="J77" i="9"/>
  <c r="W50" i="9"/>
  <c r="K37" i="9"/>
  <c r="J63" i="9"/>
  <c r="J55" i="9"/>
  <c r="J47" i="9"/>
  <c r="J39" i="9"/>
  <c r="K63" i="9"/>
  <c r="K55" i="9"/>
  <c r="K47" i="9"/>
  <c r="K39" i="9"/>
  <c r="K76" i="9"/>
  <c r="K53" i="9"/>
  <c r="K74" i="9"/>
  <c r="J85" i="9"/>
  <c r="J93" i="9"/>
  <c r="J101" i="9"/>
  <c r="J109" i="9"/>
  <c r="J117" i="9"/>
  <c r="J125" i="9"/>
  <c r="J133" i="9"/>
  <c r="J141" i="9"/>
  <c r="J149" i="9"/>
  <c r="J157" i="9"/>
  <c r="J165" i="9"/>
  <c r="J173" i="9"/>
  <c r="J181" i="9"/>
  <c r="J189" i="9"/>
  <c r="J197" i="9"/>
  <c r="J205" i="9"/>
  <c r="J213" i="9"/>
  <c r="J221" i="9"/>
  <c r="J229" i="9"/>
  <c r="J237" i="9"/>
  <c r="J245" i="9"/>
  <c r="J253" i="9"/>
  <c r="J261" i="9"/>
  <c r="J269" i="9"/>
  <c r="J277" i="9"/>
  <c r="J285" i="9"/>
  <c r="J293" i="9"/>
  <c r="J301" i="9"/>
  <c r="J309" i="9"/>
  <c r="J317" i="9"/>
  <c r="J325" i="9"/>
  <c r="J333" i="9"/>
  <c r="J341" i="9"/>
  <c r="J349" i="9"/>
  <c r="J357" i="9"/>
  <c r="J365" i="9"/>
  <c r="J373" i="9"/>
  <c r="J381" i="9"/>
  <c r="J78" i="9"/>
  <c r="J86" i="9"/>
  <c r="J94" i="9"/>
  <c r="J102" i="9"/>
  <c r="J110" i="9"/>
  <c r="J118" i="9"/>
  <c r="J126" i="9"/>
  <c r="J134" i="9"/>
  <c r="J142" i="9"/>
  <c r="J150" i="9"/>
  <c r="J158" i="9"/>
  <c r="J166" i="9"/>
  <c r="J174" i="9"/>
  <c r="J182" i="9"/>
  <c r="J190" i="9"/>
  <c r="J198" i="9"/>
  <c r="J206" i="9"/>
  <c r="J214" i="9"/>
  <c r="J222" i="9"/>
  <c r="J230" i="9"/>
  <c r="J238" i="9"/>
  <c r="J246" i="9"/>
  <c r="J254" i="9"/>
  <c r="J262" i="9"/>
  <c r="J270" i="9"/>
  <c r="J278" i="9"/>
  <c r="J286" i="9"/>
  <c r="J294" i="9"/>
  <c r="J302" i="9"/>
  <c r="J310" i="9"/>
  <c r="J318" i="9"/>
  <c r="J326" i="9"/>
  <c r="J334" i="9"/>
  <c r="J342" i="9"/>
  <c r="J350" i="9"/>
  <c r="J358" i="9"/>
  <c r="J366" i="9"/>
  <c r="J374" i="9"/>
  <c r="J79" i="9"/>
  <c r="J87" i="9"/>
  <c r="J95" i="9"/>
  <c r="J103" i="9"/>
  <c r="J111" i="9"/>
  <c r="J119" i="9"/>
  <c r="J127" i="9"/>
  <c r="J135" i="9"/>
  <c r="J143" i="9"/>
  <c r="J151" i="9"/>
  <c r="J159" i="9"/>
  <c r="J167" i="9"/>
  <c r="J175" i="9"/>
  <c r="J183" i="9"/>
  <c r="J191" i="9"/>
  <c r="J199" i="9"/>
  <c r="J207" i="9"/>
  <c r="J215" i="9"/>
  <c r="J223" i="9"/>
  <c r="J231" i="9"/>
  <c r="J239" i="9"/>
  <c r="J247" i="9"/>
  <c r="J255" i="9"/>
  <c r="J263" i="9"/>
  <c r="J271" i="9"/>
  <c r="J279" i="9"/>
  <c r="J287" i="9"/>
  <c r="J295" i="9"/>
  <c r="J303" i="9"/>
  <c r="J311" i="9"/>
  <c r="J319" i="9"/>
  <c r="J327" i="9"/>
  <c r="J335" i="9"/>
  <c r="J80" i="9"/>
  <c r="J88" i="9"/>
  <c r="J96" i="9"/>
  <c r="J104" i="9"/>
  <c r="J112" i="9"/>
  <c r="J120" i="9"/>
  <c r="J128" i="9"/>
  <c r="J136" i="9"/>
  <c r="J144" i="9"/>
  <c r="J152" i="9"/>
  <c r="J160" i="9"/>
  <c r="J168" i="9"/>
  <c r="J176" i="9"/>
  <c r="J184" i="9"/>
  <c r="J192" i="9"/>
  <c r="J200" i="9"/>
  <c r="J208" i="9"/>
  <c r="J216" i="9"/>
  <c r="J224" i="9"/>
  <c r="J232" i="9"/>
  <c r="J240" i="9"/>
  <c r="J248" i="9"/>
  <c r="J256" i="9"/>
  <c r="J264" i="9"/>
  <c r="J272" i="9"/>
  <c r="J280" i="9"/>
  <c r="J288" i="9"/>
  <c r="J296" i="9"/>
  <c r="J304" i="9"/>
  <c r="J312" i="9"/>
  <c r="J320" i="9"/>
  <c r="J328" i="9"/>
  <c r="J336" i="9"/>
  <c r="J344" i="9"/>
  <c r="J352" i="9"/>
  <c r="J360" i="9"/>
  <c r="J368" i="9"/>
  <c r="J376" i="9"/>
  <c r="J384" i="9"/>
  <c r="J392" i="9"/>
  <c r="J82" i="9"/>
  <c r="J90" i="9"/>
  <c r="J98" i="9"/>
  <c r="J106" i="9"/>
  <c r="J114" i="9"/>
  <c r="J122" i="9"/>
  <c r="J130" i="9"/>
  <c r="J138" i="9"/>
  <c r="J146" i="9"/>
  <c r="J154" i="9"/>
  <c r="J162" i="9"/>
  <c r="J170" i="9"/>
  <c r="J178" i="9"/>
  <c r="J186" i="9"/>
  <c r="J194" i="9"/>
  <c r="J202" i="9"/>
  <c r="J210" i="9"/>
  <c r="J218" i="9"/>
  <c r="J226" i="9"/>
  <c r="J234" i="9"/>
  <c r="J242" i="9"/>
  <c r="J250" i="9"/>
  <c r="J258" i="9"/>
  <c r="J266" i="9"/>
  <c r="J274" i="9"/>
  <c r="J282" i="9"/>
  <c r="J290" i="9"/>
  <c r="J298" i="9"/>
  <c r="J306" i="9"/>
  <c r="J314" i="9"/>
  <c r="J322" i="9"/>
  <c r="J330" i="9"/>
  <c r="J338" i="9"/>
  <c r="J83" i="9"/>
  <c r="J91" i="9"/>
  <c r="J99" i="9"/>
  <c r="J107" i="9"/>
  <c r="J115" i="9"/>
  <c r="J123" i="9"/>
  <c r="J131" i="9"/>
  <c r="J139" i="9"/>
  <c r="J147" i="9"/>
  <c r="J155" i="9"/>
  <c r="J163" i="9"/>
  <c r="J171" i="9"/>
  <c r="J179" i="9"/>
  <c r="J187" i="9"/>
  <c r="J195" i="9"/>
  <c r="J203" i="9"/>
  <c r="J211" i="9"/>
  <c r="J219" i="9"/>
  <c r="J227" i="9"/>
  <c r="J235" i="9"/>
  <c r="J243" i="9"/>
  <c r="J251" i="9"/>
  <c r="J259" i="9"/>
  <c r="J267" i="9"/>
  <c r="J275" i="9"/>
  <c r="J283" i="9"/>
  <c r="J291" i="9"/>
  <c r="J299" i="9"/>
  <c r="J307" i="9"/>
  <c r="J315" i="9"/>
  <c r="J323" i="9"/>
  <c r="J331" i="9"/>
  <c r="J339" i="9"/>
  <c r="J347" i="9"/>
  <c r="J355" i="9"/>
  <c r="J363" i="9"/>
  <c r="J371" i="9"/>
  <c r="J379" i="9"/>
  <c r="J387" i="9"/>
  <c r="J395" i="9"/>
  <c r="J100" i="9"/>
  <c r="J132" i="9"/>
  <c r="J164" i="9"/>
  <c r="J196" i="9"/>
  <c r="J228" i="9"/>
  <c r="J260" i="9"/>
  <c r="J292" i="9"/>
  <c r="J324" i="9"/>
  <c r="J348" i="9"/>
  <c r="J364" i="9"/>
  <c r="J380" i="9"/>
  <c r="J391" i="9"/>
  <c r="J401" i="9"/>
  <c r="J409" i="9"/>
  <c r="J417" i="9"/>
  <c r="J425" i="9"/>
  <c r="J433" i="9"/>
  <c r="J105" i="9"/>
  <c r="J137" i="9"/>
  <c r="J169" i="9"/>
  <c r="J201" i="9"/>
  <c r="J233" i="9"/>
  <c r="J265" i="9"/>
  <c r="J297" i="9"/>
  <c r="J329" i="9"/>
  <c r="J351" i="9"/>
  <c r="J367" i="9"/>
  <c r="J382" i="9"/>
  <c r="J393" i="9"/>
  <c r="J402" i="9"/>
  <c r="J410" i="9"/>
  <c r="J418" i="9"/>
  <c r="J426" i="9"/>
  <c r="J434" i="9"/>
  <c r="J108" i="9"/>
  <c r="J140" i="9"/>
  <c r="J172" i="9"/>
  <c r="J204" i="9"/>
  <c r="J236" i="9"/>
  <c r="J268" i="9"/>
  <c r="J300" i="9"/>
  <c r="J332" i="9"/>
  <c r="J353" i="9"/>
  <c r="J369" i="9"/>
  <c r="J383" i="9"/>
  <c r="J394" i="9"/>
  <c r="J403" i="9"/>
  <c r="J411" i="9"/>
  <c r="J419" i="9"/>
  <c r="J427" i="9"/>
  <c r="J435" i="9"/>
  <c r="J81" i="9"/>
  <c r="J113" i="9"/>
  <c r="J145" i="9"/>
  <c r="J177" i="9"/>
  <c r="J209" i="9"/>
  <c r="J241" i="9"/>
  <c r="J273" i="9"/>
  <c r="J305" i="9"/>
  <c r="J337" i="9"/>
  <c r="J354" i="9"/>
  <c r="J370" i="9"/>
  <c r="J385" i="9"/>
  <c r="J396" i="9"/>
  <c r="J404" i="9"/>
  <c r="J412" i="9"/>
  <c r="J420" i="9"/>
  <c r="J428" i="9"/>
  <c r="J436" i="9"/>
  <c r="J84" i="9"/>
  <c r="J116" i="9"/>
  <c r="J148" i="9"/>
  <c r="J180" i="9"/>
  <c r="J212" i="9"/>
  <c r="J244" i="9"/>
  <c r="J276" i="9"/>
  <c r="J308" i="9"/>
  <c r="J340" i="9"/>
  <c r="J356" i="9"/>
  <c r="J372" i="9"/>
  <c r="J386" i="9"/>
  <c r="J397" i="9"/>
  <c r="J405" i="9"/>
  <c r="J413" i="9"/>
  <c r="J421" i="9"/>
  <c r="J429" i="9"/>
  <c r="J437" i="9"/>
  <c r="J89" i="9"/>
  <c r="J121" i="9"/>
  <c r="J153" i="9"/>
  <c r="J185" i="9"/>
  <c r="J217" i="9"/>
  <c r="J249" i="9"/>
  <c r="J281" i="9"/>
  <c r="J313" i="9"/>
  <c r="J343" i="9"/>
  <c r="J359" i="9"/>
  <c r="J375" i="9"/>
  <c r="J388" i="9"/>
  <c r="J398" i="9"/>
  <c r="J406" i="9"/>
  <c r="J414" i="9"/>
  <c r="J422" i="9"/>
  <c r="J430" i="9"/>
  <c r="J92" i="9"/>
  <c r="J124" i="9"/>
  <c r="J156" i="9"/>
  <c r="J188" i="9"/>
  <c r="J220" i="9"/>
  <c r="J252" i="9"/>
  <c r="J284" i="9"/>
  <c r="J316" i="9"/>
  <c r="J345" i="9"/>
  <c r="J361" i="9"/>
  <c r="J377" i="9"/>
  <c r="J389" i="9"/>
  <c r="J399" i="9"/>
  <c r="J407" i="9"/>
  <c r="J415" i="9"/>
  <c r="J423" i="9"/>
  <c r="J431" i="9"/>
  <c r="J257" i="9"/>
  <c r="J408" i="9"/>
  <c r="J289" i="9"/>
  <c r="J416" i="9"/>
  <c r="J321" i="9"/>
  <c r="J424" i="9"/>
  <c r="J97" i="9"/>
  <c r="J346" i="9"/>
  <c r="J432" i="9"/>
  <c r="J129" i="9"/>
  <c r="J362" i="9"/>
  <c r="J161" i="9"/>
  <c r="J378" i="9"/>
  <c r="J193" i="9"/>
  <c r="J390" i="9"/>
  <c r="J225" i="9"/>
  <c r="J400" i="9"/>
  <c r="J68" i="9"/>
  <c r="J60" i="9"/>
  <c r="J52" i="9"/>
  <c r="J44" i="9"/>
  <c r="K68" i="9"/>
  <c r="K60" i="9"/>
  <c r="K52" i="9"/>
  <c r="K44" i="9"/>
  <c r="J73" i="9"/>
  <c r="K81" i="9"/>
  <c r="K89" i="9"/>
  <c r="K97" i="9"/>
  <c r="K105" i="9"/>
  <c r="K113" i="9"/>
  <c r="K121" i="9"/>
  <c r="K129" i="9"/>
  <c r="K137" i="9"/>
  <c r="K145" i="9"/>
  <c r="K153" i="9"/>
  <c r="K161" i="9"/>
  <c r="K169" i="9"/>
  <c r="K177" i="9"/>
  <c r="K185" i="9"/>
  <c r="K193" i="9"/>
  <c r="K201" i="9"/>
  <c r="K209" i="9"/>
  <c r="K217" i="9"/>
  <c r="K225" i="9"/>
  <c r="K233" i="9"/>
  <c r="K241" i="9"/>
  <c r="K249" i="9"/>
  <c r="K257" i="9"/>
  <c r="K265" i="9"/>
  <c r="K273" i="9"/>
  <c r="K281" i="9"/>
  <c r="K289" i="9"/>
  <c r="K297" i="9"/>
  <c r="K305" i="9"/>
  <c r="K313" i="9"/>
  <c r="K321" i="9"/>
  <c r="K329" i="9"/>
  <c r="K337" i="9"/>
  <c r="K345" i="9"/>
  <c r="K353" i="9"/>
  <c r="K361" i="9"/>
  <c r="K369" i="9"/>
  <c r="K377" i="9"/>
  <c r="K385" i="9"/>
  <c r="K393" i="9"/>
  <c r="K401" i="9"/>
  <c r="K409" i="9"/>
  <c r="K417" i="9"/>
  <c r="K425" i="9"/>
  <c r="K433" i="9"/>
  <c r="K82" i="9"/>
  <c r="K90" i="9"/>
  <c r="K98" i="9"/>
  <c r="K106" i="9"/>
  <c r="K114" i="9"/>
  <c r="K122" i="9"/>
  <c r="K130" i="9"/>
  <c r="K138" i="9"/>
  <c r="K146" i="9"/>
  <c r="K154" i="9"/>
  <c r="K162" i="9"/>
  <c r="K170" i="9"/>
  <c r="K178" i="9"/>
  <c r="K186" i="9"/>
  <c r="K194" i="9"/>
  <c r="K202" i="9"/>
  <c r="K210" i="9"/>
  <c r="K218" i="9"/>
  <c r="K226" i="9"/>
  <c r="K234" i="9"/>
  <c r="K242" i="9"/>
  <c r="K250" i="9"/>
  <c r="K258" i="9"/>
  <c r="K266" i="9"/>
  <c r="K274" i="9"/>
  <c r="K282" i="9"/>
  <c r="K290" i="9"/>
  <c r="K298" i="9"/>
  <c r="K306" i="9"/>
  <c r="K314" i="9"/>
  <c r="K322" i="9"/>
  <c r="K330" i="9"/>
  <c r="K338" i="9"/>
  <c r="K346" i="9"/>
  <c r="K354" i="9"/>
  <c r="K362" i="9"/>
  <c r="K370" i="9"/>
  <c r="K378" i="9"/>
  <c r="K386" i="9"/>
  <c r="K394" i="9"/>
  <c r="K402" i="9"/>
  <c r="K410" i="9"/>
  <c r="K418" i="9"/>
  <c r="K426" i="9"/>
  <c r="K434" i="9"/>
  <c r="K83" i="9"/>
  <c r="K91" i="9"/>
  <c r="K99" i="9"/>
  <c r="K107" i="9"/>
  <c r="K115" i="9"/>
  <c r="K123" i="9"/>
  <c r="K131" i="9"/>
  <c r="K139" i="9"/>
  <c r="K147" i="9"/>
  <c r="K155" i="9"/>
  <c r="K163" i="9"/>
  <c r="K171" i="9"/>
  <c r="K179" i="9"/>
  <c r="K187" i="9"/>
  <c r="K195" i="9"/>
  <c r="K203" i="9"/>
  <c r="K211" i="9"/>
  <c r="K219" i="9"/>
  <c r="K227" i="9"/>
  <c r="K235" i="9"/>
  <c r="K243" i="9"/>
  <c r="K251" i="9"/>
  <c r="K259" i="9"/>
  <c r="K267" i="9"/>
  <c r="K275" i="9"/>
  <c r="K283" i="9"/>
  <c r="K291" i="9"/>
  <c r="K299" i="9"/>
  <c r="K307" i="9"/>
  <c r="K315" i="9"/>
  <c r="K323" i="9"/>
  <c r="K331" i="9"/>
  <c r="K339" i="9"/>
  <c r="K347" i="9"/>
  <c r="K355" i="9"/>
  <c r="K363" i="9"/>
  <c r="K371" i="9"/>
  <c r="K379" i="9"/>
  <c r="K387" i="9"/>
  <c r="K395" i="9"/>
  <c r="K403" i="9"/>
  <c r="K411" i="9"/>
  <c r="K419" i="9"/>
  <c r="K427" i="9"/>
  <c r="K435" i="9"/>
  <c r="K84" i="9"/>
  <c r="K92" i="9"/>
  <c r="K100" i="9"/>
  <c r="K108" i="9"/>
  <c r="K116" i="9"/>
  <c r="K124" i="9"/>
  <c r="K132" i="9"/>
  <c r="K140" i="9"/>
  <c r="K148" i="9"/>
  <c r="K156" i="9"/>
  <c r="K164" i="9"/>
  <c r="K172" i="9"/>
  <c r="K180" i="9"/>
  <c r="K188" i="9"/>
  <c r="K196" i="9"/>
  <c r="K204" i="9"/>
  <c r="K212" i="9"/>
  <c r="K220" i="9"/>
  <c r="K228" i="9"/>
  <c r="K236" i="9"/>
  <c r="K244" i="9"/>
  <c r="K252" i="9"/>
  <c r="K260" i="9"/>
  <c r="K268" i="9"/>
  <c r="K276" i="9"/>
  <c r="K284" i="9"/>
  <c r="K292" i="9"/>
  <c r="K300" i="9"/>
  <c r="K308" i="9"/>
  <c r="K316" i="9"/>
  <c r="K324" i="9"/>
  <c r="K332" i="9"/>
  <c r="K340" i="9"/>
  <c r="K348" i="9"/>
  <c r="K356" i="9"/>
  <c r="K364" i="9"/>
  <c r="K372" i="9"/>
  <c r="K380" i="9"/>
  <c r="K388" i="9"/>
  <c r="K396" i="9"/>
  <c r="K404" i="9"/>
  <c r="K412" i="9"/>
  <c r="K420" i="9"/>
  <c r="K428" i="9"/>
  <c r="K436" i="9"/>
  <c r="K85" i="9"/>
  <c r="K93" i="9"/>
  <c r="K101" i="9"/>
  <c r="K109" i="9"/>
  <c r="K117" i="9"/>
  <c r="K125" i="9"/>
  <c r="K133" i="9"/>
  <c r="K141" i="9"/>
  <c r="K149" i="9"/>
  <c r="K157" i="9"/>
  <c r="K165" i="9"/>
  <c r="K173" i="9"/>
  <c r="K181" i="9"/>
  <c r="K189" i="9"/>
  <c r="K197" i="9"/>
  <c r="K205" i="9"/>
  <c r="K213" i="9"/>
  <c r="K221" i="9"/>
  <c r="K229" i="9"/>
  <c r="K237" i="9"/>
  <c r="K245" i="9"/>
  <c r="K253" i="9"/>
  <c r="K261" i="9"/>
  <c r="K269" i="9"/>
  <c r="K277" i="9"/>
  <c r="K285" i="9"/>
  <c r="K293" i="9"/>
  <c r="K301" i="9"/>
  <c r="K309" i="9"/>
  <c r="K317" i="9"/>
  <c r="K325" i="9"/>
  <c r="K333" i="9"/>
  <c r="K341" i="9"/>
  <c r="K349" i="9"/>
  <c r="K357" i="9"/>
  <c r="K365" i="9"/>
  <c r="K373" i="9"/>
  <c r="K381" i="9"/>
  <c r="K389" i="9"/>
  <c r="K397" i="9"/>
  <c r="K405" i="9"/>
  <c r="K413" i="9"/>
  <c r="K421" i="9"/>
  <c r="K429" i="9"/>
  <c r="K437" i="9"/>
  <c r="K78" i="9"/>
  <c r="K86" i="9"/>
  <c r="K94" i="9"/>
  <c r="K102" i="9"/>
  <c r="K110" i="9"/>
  <c r="K118" i="9"/>
  <c r="K126" i="9"/>
  <c r="K134" i="9"/>
  <c r="K142" i="9"/>
  <c r="K150" i="9"/>
  <c r="K158" i="9"/>
  <c r="K166" i="9"/>
  <c r="K174" i="9"/>
  <c r="K182" i="9"/>
  <c r="K190" i="9"/>
  <c r="K198" i="9"/>
  <c r="K206" i="9"/>
  <c r="K214" i="9"/>
  <c r="K222" i="9"/>
  <c r="K230" i="9"/>
  <c r="K238" i="9"/>
  <c r="K246" i="9"/>
  <c r="K254" i="9"/>
  <c r="K262" i="9"/>
  <c r="K270" i="9"/>
  <c r="K278" i="9"/>
  <c r="K286" i="9"/>
  <c r="K294" i="9"/>
  <c r="K302" i="9"/>
  <c r="K310" i="9"/>
  <c r="K318" i="9"/>
  <c r="K326" i="9"/>
  <c r="K334" i="9"/>
  <c r="K342" i="9"/>
  <c r="K350" i="9"/>
  <c r="K358" i="9"/>
  <c r="K366" i="9"/>
  <c r="K374" i="9"/>
  <c r="K382" i="9"/>
  <c r="K390" i="9"/>
  <c r="K79" i="9"/>
  <c r="K87" i="9"/>
  <c r="K95" i="9"/>
  <c r="K103" i="9"/>
  <c r="K111" i="9"/>
  <c r="K119" i="9"/>
  <c r="K127" i="9"/>
  <c r="K135" i="9"/>
  <c r="K143" i="9"/>
  <c r="K151" i="9"/>
  <c r="K159" i="9"/>
  <c r="K167" i="9"/>
  <c r="K175" i="9"/>
  <c r="K183" i="9"/>
  <c r="K191" i="9"/>
  <c r="K199" i="9"/>
  <c r="K207" i="9"/>
  <c r="K215" i="9"/>
  <c r="K223" i="9"/>
  <c r="K231" i="9"/>
  <c r="K239" i="9"/>
  <c r="K247" i="9"/>
  <c r="K255" i="9"/>
  <c r="K263" i="9"/>
  <c r="K271" i="9"/>
  <c r="K279" i="9"/>
  <c r="K287" i="9"/>
  <c r="K295" i="9"/>
  <c r="K303" i="9"/>
  <c r="K311" i="9"/>
  <c r="K319" i="9"/>
  <c r="K327" i="9"/>
  <c r="K335" i="9"/>
  <c r="K343" i="9"/>
  <c r="K351" i="9"/>
  <c r="K359" i="9"/>
  <c r="K367" i="9"/>
  <c r="K375" i="9"/>
  <c r="K383" i="9"/>
  <c r="K391" i="9"/>
  <c r="K399" i="9"/>
  <c r="K407" i="9"/>
  <c r="K415" i="9"/>
  <c r="K423" i="9"/>
  <c r="K431" i="9"/>
  <c r="K112" i="9"/>
  <c r="K176" i="9"/>
  <c r="K240" i="9"/>
  <c r="K304" i="9"/>
  <c r="K368" i="9"/>
  <c r="K414" i="9"/>
  <c r="K120" i="9"/>
  <c r="K184" i="9"/>
  <c r="K248" i="9"/>
  <c r="K312" i="9"/>
  <c r="K376" i="9"/>
  <c r="K416" i="9"/>
  <c r="K128" i="9"/>
  <c r="K192" i="9"/>
  <c r="K256" i="9"/>
  <c r="K320" i="9"/>
  <c r="K384" i="9"/>
  <c r="K422" i="9"/>
  <c r="K136" i="9"/>
  <c r="K200" i="9"/>
  <c r="K264" i="9"/>
  <c r="K328" i="9"/>
  <c r="K392" i="9"/>
  <c r="K424" i="9"/>
  <c r="K80" i="9"/>
  <c r="K144" i="9"/>
  <c r="K208" i="9"/>
  <c r="K272" i="9"/>
  <c r="K336" i="9"/>
  <c r="K398" i="9"/>
  <c r="K430" i="9"/>
  <c r="K88" i="9"/>
  <c r="K152" i="9"/>
  <c r="K216" i="9"/>
  <c r="K280" i="9"/>
  <c r="K344" i="9"/>
  <c r="K400" i="9"/>
  <c r="K432" i="9"/>
  <c r="K96" i="9"/>
  <c r="K160" i="9"/>
  <c r="K224" i="9"/>
  <c r="K288" i="9"/>
  <c r="K352" i="9"/>
  <c r="K406" i="9"/>
  <c r="K408" i="9"/>
  <c r="K104" i="9"/>
  <c r="K168" i="9"/>
  <c r="K296" i="9"/>
  <c r="K360" i="9"/>
  <c r="K232" i="9"/>
  <c r="K69" i="9"/>
  <c r="K45" i="9"/>
  <c r="W289" i="9"/>
  <c r="W297" i="9"/>
  <c r="W116" i="9"/>
  <c r="W93" i="9"/>
  <c r="W101" i="9"/>
  <c r="W192" i="9"/>
  <c r="W430" i="9"/>
  <c r="W86" i="9"/>
  <c r="W418" i="9"/>
  <c r="J67" i="9"/>
  <c r="J59" i="9"/>
  <c r="J51" i="9"/>
  <c r="J43" i="9"/>
  <c r="K67" i="9"/>
  <c r="K59" i="9"/>
  <c r="K51" i="9"/>
  <c r="K43" i="9"/>
  <c r="K72" i="9"/>
  <c r="J72" i="9"/>
  <c r="W54" i="9"/>
  <c r="J66" i="9"/>
  <c r="J58" i="9"/>
  <c r="J50" i="9"/>
  <c r="J42" i="9"/>
  <c r="K66" i="9"/>
  <c r="K58" i="9"/>
  <c r="K50" i="9"/>
  <c r="K42" i="9"/>
  <c r="K71" i="9"/>
  <c r="J71" i="9"/>
  <c r="J65" i="9"/>
  <c r="J57" i="9"/>
  <c r="J49" i="9"/>
  <c r="J41" i="9"/>
  <c r="K65" i="9"/>
  <c r="K57" i="9"/>
  <c r="K49" i="9"/>
  <c r="K41" i="9"/>
  <c r="K70" i="9"/>
  <c r="J70" i="9"/>
  <c r="D321" i="16"/>
  <c r="E321" i="16" s="1"/>
  <c r="F321" i="16" s="1"/>
  <c r="D324" i="16"/>
  <c r="E324" i="16" s="1"/>
  <c r="F324" i="16" s="1"/>
  <c r="D322" i="16"/>
  <c r="E322" i="16" s="1"/>
  <c r="F322" i="16" s="1"/>
  <c r="D325" i="16"/>
  <c r="E325" i="16" s="1"/>
  <c r="F325" i="16" s="1"/>
  <c r="D320" i="16"/>
  <c r="E320" i="16" s="1"/>
  <c r="F320" i="16" s="1"/>
  <c r="D323" i="16"/>
  <c r="E323" i="16" s="1"/>
  <c r="F323" i="16" s="1"/>
  <c r="D326" i="16"/>
  <c r="E326" i="16" s="1"/>
  <c r="F326" i="16" s="1"/>
  <c r="D6" i="9"/>
  <c r="S32" i="4"/>
  <c r="S30" i="4" s="1"/>
  <c r="R33" i="4"/>
  <c r="T32" i="4"/>
  <c r="S33" i="4"/>
  <c r="R32" i="4"/>
  <c r="N36" i="4"/>
  <c r="C40" i="27"/>
  <c r="C39" i="27" s="1"/>
  <c r="C57" i="1" s="1"/>
  <c r="C105" i="20" s="1"/>
  <c r="C53" i="27"/>
  <c r="C70" i="1" s="1"/>
  <c r="C132" i="17" s="1"/>
  <c r="C131" i="17" s="1"/>
  <c r="C133" i="17" s="1"/>
  <c r="C92" i="20"/>
  <c r="C46" i="27"/>
  <c r="C63" i="1" s="1"/>
  <c r="C48" i="1"/>
  <c r="C9" i="5" s="1"/>
  <c r="C56" i="1"/>
  <c r="C104" i="20" s="1"/>
  <c r="C97" i="20" s="1"/>
  <c r="C50" i="17"/>
  <c r="C103" i="17" s="1"/>
  <c r="C8" i="20"/>
  <c r="AS136" i="24"/>
  <c r="AS128" i="24"/>
  <c r="AS120" i="24"/>
  <c r="AS112" i="24"/>
  <c r="AS104" i="24"/>
  <c r="AS96" i="24"/>
  <c r="P141" i="24"/>
  <c r="Q141" i="24" s="1"/>
  <c r="P133" i="24"/>
  <c r="Q133" i="24" s="1"/>
  <c r="AI96" i="24"/>
  <c r="AI104" i="24"/>
  <c r="AH146" i="24"/>
  <c r="AI146" i="24" s="1"/>
  <c r="AH138" i="24"/>
  <c r="AI138" i="24" s="1"/>
  <c r="AI130" i="24"/>
  <c r="AI122" i="24"/>
  <c r="AI114" i="24"/>
  <c r="AR88" i="24"/>
  <c r="AS88" i="24" s="1"/>
  <c r="AR80" i="24"/>
  <c r="AS80" i="24" s="1"/>
  <c r="AR56" i="24"/>
  <c r="AS56" i="24" s="1"/>
  <c r="AR64" i="24"/>
  <c r="AS64" i="24" s="1"/>
  <c r="AI103" i="24"/>
  <c r="AH145" i="24"/>
  <c r="AI145" i="24" s="1"/>
  <c r="AI121" i="24"/>
  <c r="AI113" i="24"/>
  <c r="P148" i="24"/>
  <c r="Q148" i="24" s="1"/>
  <c r="P140" i="24"/>
  <c r="Q140" i="24" s="1"/>
  <c r="P132" i="24"/>
  <c r="Q132" i="24" s="1"/>
  <c r="Q124" i="24"/>
  <c r="AI102" i="24"/>
  <c r="AH144" i="24"/>
  <c r="AI144" i="24" s="1"/>
  <c r="AI128" i="24"/>
  <c r="AI112" i="24"/>
  <c r="P139" i="24"/>
  <c r="Q139" i="24" s="1"/>
  <c r="Q115" i="24"/>
  <c r="AS142" i="24"/>
  <c r="AS118" i="24"/>
  <c r="AS110" i="24"/>
  <c r="AS102" i="24"/>
  <c r="AS94" i="24"/>
  <c r="AR78" i="24"/>
  <c r="AS78" i="24" s="1"/>
  <c r="AR70" i="24"/>
  <c r="AS70" i="24" s="1"/>
  <c r="AR62" i="24"/>
  <c r="AS62" i="24" s="1"/>
  <c r="H175" i="24"/>
  <c r="I175" i="24" s="1"/>
  <c r="H336" i="24"/>
  <c r="I336" i="24" s="1"/>
  <c r="H302" i="24"/>
  <c r="I302" i="24" s="1"/>
  <c r="H256" i="24"/>
  <c r="I256" i="24" s="1"/>
  <c r="H276" i="24"/>
  <c r="I276" i="24" s="1"/>
  <c r="H229" i="24"/>
  <c r="I229" i="24" s="1"/>
  <c r="H188" i="24"/>
  <c r="I188" i="24" s="1"/>
  <c r="AS126" i="24"/>
  <c r="AI120" i="24"/>
  <c r="H358" i="24"/>
  <c r="I358" i="24" s="1"/>
  <c r="H342" i="24"/>
  <c r="I342" i="24" s="1"/>
  <c r="H310" i="24"/>
  <c r="I310" i="24" s="1"/>
  <c r="H286" i="24"/>
  <c r="I286" i="24" s="1"/>
  <c r="H278" i="24"/>
  <c r="I278" i="24" s="1"/>
  <c r="H262" i="24"/>
  <c r="I262" i="24" s="1"/>
  <c r="G238" i="24"/>
  <c r="H238" i="24" s="1"/>
  <c r="I238" i="24" s="1"/>
  <c r="H214" i="24"/>
  <c r="I214" i="24" s="1"/>
  <c r="H190" i="24"/>
  <c r="I190" i="24" s="1"/>
  <c r="AI126" i="24"/>
  <c r="H339" i="24"/>
  <c r="I339" i="24" s="1"/>
  <c r="H321" i="24"/>
  <c r="I321" i="24" s="1"/>
  <c r="H297" i="24"/>
  <c r="I297" i="24" s="1"/>
  <c r="H251" i="24"/>
  <c r="I251" i="24" s="1"/>
  <c r="H233" i="24"/>
  <c r="I233" i="24" s="1"/>
  <c r="L257" i="24"/>
  <c r="AI135" i="24"/>
  <c r="AI111" i="24"/>
  <c r="P138" i="24"/>
  <c r="Q138" i="24" s="1"/>
  <c r="Q114" i="24"/>
  <c r="G149" i="24"/>
  <c r="G133" i="24"/>
  <c r="G109" i="24"/>
  <c r="AS141" i="24"/>
  <c r="AS125" i="24"/>
  <c r="AS109" i="24"/>
  <c r="AR93" i="24"/>
  <c r="AS93" i="24" s="1"/>
  <c r="AR53" i="24"/>
  <c r="AS53" i="24" s="1"/>
  <c r="AI119" i="24"/>
  <c r="AI100" i="24"/>
  <c r="AI118" i="24"/>
  <c r="P145" i="24"/>
  <c r="Q145" i="24" s="1"/>
  <c r="AS124" i="24"/>
  <c r="AS108" i="24"/>
  <c r="AR68" i="24"/>
  <c r="AS68" i="24" s="1"/>
  <c r="AR52" i="24"/>
  <c r="AS52" i="24" s="1"/>
  <c r="AI107" i="24"/>
  <c r="AI99" i="24"/>
  <c r="X99" i="24"/>
  <c r="Y99" i="24" s="1"/>
  <c r="AI133" i="24"/>
  <c r="AI125" i="24"/>
  <c r="AI117" i="24"/>
  <c r="P144" i="24"/>
  <c r="Q144" i="24" s="1"/>
  <c r="Q136" i="24"/>
  <c r="Q120" i="24"/>
  <c r="Q112" i="24"/>
  <c r="G107" i="24"/>
  <c r="G99" i="24"/>
  <c r="AS131" i="24"/>
  <c r="AS123" i="24"/>
  <c r="AS107" i="24"/>
  <c r="AS99" i="24"/>
  <c r="AS91" i="24"/>
  <c r="AR83" i="24"/>
  <c r="AS83" i="24" s="1"/>
  <c r="AS75" i="24"/>
  <c r="H324" i="24"/>
  <c r="I324" i="24" s="1"/>
  <c r="H284" i="24"/>
  <c r="I284" i="24" s="1"/>
  <c r="H225" i="24"/>
  <c r="I225" i="24" s="1"/>
  <c r="H318" i="24"/>
  <c r="I318" i="24" s="1"/>
  <c r="H254" i="24"/>
  <c r="I254" i="24" s="1"/>
  <c r="H212" i="24"/>
  <c r="I212" i="24" s="1"/>
  <c r="H163" i="24"/>
  <c r="I163" i="24" s="1"/>
  <c r="AR72" i="24"/>
  <c r="AS72" i="24" s="1"/>
  <c r="AR54" i="24"/>
  <c r="AS54" i="24" s="1"/>
  <c r="AS139" i="24"/>
  <c r="AI136" i="24"/>
  <c r="H355" i="24"/>
  <c r="I355" i="24" s="1"/>
  <c r="H347" i="24"/>
  <c r="I347" i="24" s="1"/>
  <c r="H331" i="24"/>
  <c r="I331" i="24" s="1"/>
  <c r="H323" i="24"/>
  <c r="I323" i="24" s="1"/>
  <c r="H315" i="24"/>
  <c r="I315" i="24" s="1"/>
  <c r="H307" i="24"/>
  <c r="I307" i="24" s="1"/>
  <c r="H299" i="24"/>
  <c r="I299" i="24" s="1"/>
  <c r="H291" i="24"/>
  <c r="I291" i="24" s="1"/>
  <c r="H283" i="24"/>
  <c r="I283" i="24" s="1"/>
  <c r="H267" i="24"/>
  <c r="I267" i="24" s="1"/>
  <c r="H259" i="24"/>
  <c r="I259" i="24" s="1"/>
  <c r="H235" i="24"/>
  <c r="I235" i="24" s="1"/>
  <c r="H227" i="24"/>
  <c r="I227" i="24" s="1"/>
  <c r="H219" i="24"/>
  <c r="I219" i="24" s="1"/>
  <c r="H211" i="24"/>
  <c r="I211" i="24" s="1"/>
  <c r="H203" i="24"/>
  <c r="I203" i="24" s="1"/>
  <c r="H195" i="24"/>
  <c r="I195" i="24" s="1"/>
  <c r="H171" i="24"/>
  <c r="I171" i="24" s="1"/>
  <c r="H320" i="24"/>
  <c r="I320" i="24" s="1"/>
  <c r="H271" i="24"/>
  <c r="I271" i="24" s="1"/>
  <c r="H248" i="24"/>
  <c r="I248" i="24" s="1"/>
  <c r="AI101" i="24"/>
  <c r="AH143" i="24"/>
  <c r="AI143" i="24" s="1"/>
  <c r="AI127" i="24"/>
  <c r="Q130" i="24"/>
  <c r="G141" i="24"/>
  <c r="G117" i="24"/>
  <c r="G101" i="24"/>
  <c r="AS48" i="24"/>
  <c r="AS133" i="24"/>
  <c r="AS117" i="24"/>
  <c r="AS101" i="24"/>
  <c r="AR85" i="24"/>
  <c r="AS85" i="24" s="1"/>
  <c r="AR77" i="24"/>
  <c r="AS77" i="24" s="1"/>
  <c r="AR69" i="24"/>
  <c r="AS69" i="24" s="1"/>
  <c r="AR61" i="24"/>
  <c r="AS61" i="24" s="1"/>
  <c r="G125" i="24"/>
  <c r="AI108" i="24"/>
  <c r="AI134" i="24"/>
  <c r="G148" i="24"/>
  <c r="G132" i="24"/>
  <c r="AS148" i="24"/>
  <c r="AS100" i="24"/>
  <c r="AS76" i="24"/>
  <c r="AR60" i="24"/>
  <c r="AS60" i="24" s="1"/>
  <c r="AI98" i="24"/>
  <c r="AI106" i="24"/>
  <c r="AI148" i="24"/>
  <c r="AH140" i="24"/>
  <c r="AI140" i="24" s="1"/>
  <c r="AI124" i="24"/>
  <c r="AI116" i="24"/>
  <c r="P143" i="24"/>
  <c r="Q143" i="24" s="1"/>
  <c r="P135" i="24"/>
  <c r="Q135" i="24" s="1"/>
  <c r="Q111" i="24"/>
  <c r="G146" i="24"/>
  <c r="G138" i="24"/>
  <c r="G130" i="24"/>
  <c r="G122" i="24"/>
  <c r="G114" i="24"/>
  <c r="G106" i="24"/>
  <c r="AS146" i="24"/>
  <c r="AS138" i="24"/>
  <c r="AS114" i="24"/>
  <c r="H353" i="24"/>
  <c r="I353" i="24" s="1"/>
  <c r="H280" i="24"/>
  <c r="I280" i="24" s="1"/>
  <c r="H224" i="24"/>
  <c r="I224" i="24" s="1"/>
  <c r="AR86" i="24"/>
  <c r="AS86" i="24" s="1"/>
  <c r="AS116" i="24"/>
  <c r="AI132" i="24"/>
  <c r="P147" i="24"/>
  <c r="Q147" i="24" s="1"/>
  <c r="Q123" i="24"/>
  <c r="H357" i="24"/>
  <c r="I357" i="24" s="1"/>
  <c r="H289" i="24"/>
  <c r="I289" i="24" s="1"/>
  <c r="AI110" i="24"/>
  <c r="AS132" i="24"/>
  <c r="AR92" i="24"/>
  <c r="AS92" i="24" s="1"/>
  <c r="AS140" i="24"/>
  <c r="AI137" i="24"/>
  <c r="C198" i="17"/>
  <c r="C203" i="17" s="1"/>
  <c r="H213" i="24"/>
  <c r="I213" i="24" s="1"/>
  <c r="H236" i="24"/>
  <c r="I236" i="24" s="1"/>
  <c r="H255" i="24"/>
  <c r="I255" i="24" s="1"/>
  <c r="H192" i="24"/>
  <c r="I192" i="24" s="1"/>
  <c r="H260" i="24"/>
  <c r="I260" i="24" s="1"/>
  <c r="H304" i="24"/>
  <c r="I304" i="24" s="1"/>
  <c r="H341" i="24"/>
  <c r="I341" i="24" s="1"/>
  <c r="H177" i="24"/>
  <c r="I177" i="24" s="1"/>
  <c r="H172" i="24"/>
  <c r="I172" i="24" s="1"/>
  <c r="H196" i="24"/>
  <c r="I196" i="24" s="1"/>
  <c r="H237" i="24"/>
  <c r="I237" i="24" s="1"/>
  <c r="H239" i="24"/>
  <c r="I239" i="24" s="1"/>
  <c r="H263" i="24"/>
  <c r="I263" i="24" s="1"/>
  <c r="H308" i="24"/>
  <c r="I308" i="24" s="1"/>
  <c r="H327" i="24"/>
  <c r="I327" i="24" s="1"/>
  <c r="H164" i="24"/>
  <c r="I164" i="24" s="1"/>
  <c r="H173" i="24"/>
  <c r="I173" i="24" s="1"/>
  <c r="H220" i="24"/>
  <c r="I220" i="24" s="1"/>
  <c r="H244" i="24"/>
  <c r="I244" i="24" s="1"/>
  <c r="H199" i="24"/>
  <c r="I199" i="24" s="1"/>
  <c r="H240" i="24"/>
  <c r="I240" i="24" s="1"/>
  <c r="H268" i="24"/>
  <c r="I268" i="24" s="1"/>
  <c r="H292" i="24"/>
  <c r="I292" i="24" s="1"/>
  <c r="H309" i="24"/>
  <c r="I309" i="24" s="1"/>
  <c r="H328" i="24"/>
  <c r="I328" i="24" s="1"/>
  <c r="H344" i="24"/>
  <c r="I344" i="24" s="1"/>
  <c r="H205" i="24"/>
  <c r="I205" i="24" s="1"/>
  <c r="H228" i="24"/>
  <c r="I228" i="24" s="1"/>
  <c r="H247" i="24"/>
  <c r="I247" i="24" s="1"/>
  <c r="H252" i="24"/>
  <c r="I252" i="24" s="1"/>
  <c r="H301" i="24"/>
  <c r="I301" i="24" s="1"/>
  <c r="H316" i="24"/>
  <c r="I316" i="24" s="1"/>
  <c r="H333" i="24"/>
  <c r="I333" i="24" s="1"/>
  <c r="AI97" i="24"/>
  <c r="AI105" i="24"/>
  <c r="AH147" i="24"/>
  <c r="AI147" i="24" s="1"/>
  <c r="AH139" i="24"/>
  <c r="AI139" i="24" s="1"/>
  <c r="AI131" i="24"/>
  <c r="AI123" i="24"/>
  <c r="AI115" i="24"/>
  <c r="Q142" i="24"/>
  <c r="P134" i="24"/>
  <c r="Q134" i="24" s="1"/>
  <c r="Q118" i="24"/>
  <c r="G137" i="24"/>
  <c r="G129" i="24"/>
  <c r="G105" i="24"/>
  <c r="AS137" i="24"/>
  <c r="AS129" i="24"/>
  <c r="AS105" i="24"/>
  <c r="H313" i="24"/>
  <c r="I313" i="24" s="1"/>
  <c r="H273" i="24"/>
  <c r="I273" i="24" s="1"/>
  <c r="H204" i="24"/>
  <c r="I204" i="24" s="1"/>
  <c r="AR84" i="24"/>
  <c r="AS84" i="24" s="1"/>
  <c r="G97" i="24"/>
  <c r="AS134" i="24"/>
  <c r="AS115" i="24"/>
  <c r="AI129" i="24"/>
  <c r="AI109" i="24"/>
  <c r="P146" i="24"/>
  <c r="Q146" i="24" s="1"/>
  <c r="H361" i="24"/>
  <c r="I361" i="24" s="1"/>
  <c r="H265" i="24"/>
  <c r="I265" i="24" s="1"/>
  <c r="H193" i="24"/>
  <c r="I193" i="24" s="1"/>
  <c r="H335" i="24"/>
  <c r="I335" i="24" s="1"/>
  <c r="H288" i="24"/>
  <c r="I288" i="24" s="1"/>
  <c r="H183" i="24"/>
  <c r="I183" i="24" s="1"/>
  <c r="H165" i="24"/>
  <c r="I165" i="24" s="1"/>
  <c r="H181" i="24"/>
  <c r="I181" i="24" s="1"/>
  <c r="H184" i="24"/>
  <c r="I184" i="24" s="1"/>
  <c r="H169" i="24"/>
  <c r="I169" i="24" s="1"/>
  <c r="AS67" i="24"/>
  <c r="H354" i="24"/>
  <c r="I354" i="24" s="1"/>
  <c r="G346" i="24"/>
  <c r="H346" i="24" s="1"/>
  <c r="I346" i="24" s="1"/>
  <c r="H338" i="24"/>
  <c r="I338" i="24" s="1"/>
  <c r="G322" i="24"/>
  <c r="H322" i="24" s="1"/>
  <c r="I322" i="24" s="1"/>
  <c r="G314" i="24"/>
  <c r="H314" i="24" s="1"/>
  <c r="I314" i="24" s="1"/>
  <c r="H306" i="24"/>
  <c r="I306" i="24" s="1"/>
  <c r="G290" i="24"/>
  <c r="H290" i="24" s="1"/>
  <c r="I290" i="24" s="1"/>
  <c r="G282" i="24"/>
  <c r="H282" i="24" s="1"/>
  <c r="I282" i="24" s="1"/>
  <c r="H274" i="24"/>
  <c r="I274" i="24" s="1"/>
  <c r="G258" i="24"/>
  <c r="H258" i="24" s="1"/>
  <c r="I258" i="24" s="1"/>
  <c r="G250" i="24"/>
  <c r="H250" i="24" s="1"/>
  <c r="I250" i="24" s="1"/>
  <c r="H242" i="24"/>
  <c r="I242" i="24" s="1"/>
  <c r="G226" i="24"/>
  <c r="H226" i="24" s="1"/>
  <c r="I226" i="24" s="1"/>
  <c r="G218" i="24"/>
  <c r="H218" i="24" s="1"/>
  <c r="I218" i="24" s="1"/>
  <c r="H210" i="24"/>
  <c r="I210" i="24" s="1"/>
  <c r="G194" i="24"/>
  <c r="H194" i="24" s="1"/>
  <c r="I194" i="24" s="1"/>
  <c r="G186" i="24"/>
  <c r="H186" i="24" s="1"/>
  <c r="I186" i="24" s="1"/>
  <c r="H170" i="24"/>
  <c r="I170" i="24" s="1"/>
  <c r="G330" i="24"/>
  <c r="H330" i="24" s="1"/>
  <c r="I330" i="24" s="1"/>
  <c r="H207" i="24"/>
  <c r="I207" i="24" s="1"/>
  <c r="G178" i="24"/>
  <c r="H178" i="24" s="1"/>
  <c r="I178" i="24" s="1"/>
  <c r="AR51" i="24"/>
  <c r="AS51" i="24" s="1"/>
  <c r="H345" i="24"/>
  <c r="I345" i="24" s="1"/>
  <c r="H305" i="24"/>
  <c r="I305" i="24" s="1"/>
  <c r="H281" i="24"/>
  <c r="I281" i="24" s="1"/>
  <c r="H249" i="24"/>
  <c r="I249" i="24" s="1"/>
  <c r="G217" i="24"/>
  <c r="H217" i="24" s="1"/>
  <c r="I217" i="24" s="1"/>
  <c r="H209" i="24"/>
  <c r="I209" i="24" s="1"/>
  <c r="H185" i="24"/>
  <c r="I185" i="24" s="1"/>
  <c r="G266" i="24"/>
  <c r="H266" i="24" s="1"/>
  <c r="I266" i="24" s="1"/>
  <c r="AS121" i="24"/>
  <c r="AS113" i="24"/>
  <c r="AS97" i="24"/>
  <c r="AS89" i="24"/>
  <c r="AS81" i="24"/>
  <c r="AS73" i="24"/>
  <c r="AS65" i="24"/>
  <c r="AS57" i="24"/>
  <c r="AS49" i="24"/>
  <c r="AR59" i="24"/>
  <c r="AS59" i="24" s="1"/>
  <c r="AS145" i="24"/>
  <c r="H360" i="24"/>
  <c r="I360" i="24" s="1"/>
  <c r="H296" i="24"/>
  <c r="I296" i="24" s="1"/>
  <c r="H232" i="24"/>
  <c r="I232" i="24" s="1"/>
  <c r="H343" i="24"/>
  <c r="I343" i="24" s="1"/>
  <c r="G298" i="24"/>
  <c r="H298" i="24" s="1"/>
  <c r="I298" i="24" s="1"/>
  <c r="G202" i="24"/>
  <c r="H202" i="24" s="1"/>
  <c r="I202" i="24" s="1"/>
  <c r="H319" i="24"/>
  <c r="I319" i="24" s="1"/>
  <c r="H264" i="24"/>
  <c r="I264" i="24" s="1"/>
  <c r="H191" i="24"/>
  <c r="I191" i="24" s="1"/>
  <c r="H208" i="24"/>
  <c r="I208" i="24" s="1"/>
  <c r="H200" i="24"/>
  <c r="I200" i="24" s="1"/>
  <c r="C76" i="28"/>
  <c r="C77" i="28"/>
  <c r="C3" i="27"/>
  <c r="C23" i="1" s="1"/>
  <c r="C24" i="1"/>
  <c r="C22" i="27"/>
  <c r="C40" i="1" s="1"/>
  <c r="C19" i="20" s="1"/>
  <c r="C41" i="1"/>
  <c r="C20" i="20" s="1"/>
  <c r="F77" i="6"/>
  <c r="F27" i="29"/>
  <c r="F50" i="29" s="1"/>
  <c r="F77" i="29"/>
  <c r="F79" i="29" s="1"/>
  <c r="F80" i="29" s="1"/>
  <c r="F26" i="29"/>
  <c r="F37" i="29" s="1"/>
  <c r="F25" i="29"/>
  <c r="AD5" i="27"/>
  <c r="C35" i="1"/>
  <c r="D27" i="6"/>
  <c r="D50" i="6" s="1"/>
  <c r="D27" i="29"/>
  <c r="D50" i="29" s="1"/>
  <c r="Z5" i="27"/>
  <c r="C66" i="1"/>
  <c r="C50" i="27"/>
  <c r="C67" i="1" s="1"/>
  <c r="C29" i="27"/>
  <c r="C47" i="1" s="1"/>
  <c r="C91" i="20" s="1"/>
  <c r="C24" i="6"/>
  <c r="C24" i="29"/>
  <c r="C18" i="20"/>
  <c r="C68" i="20" s="1"/>
  <c r="F29" i="29"/>
  <c r="C27" i="6"/>
  <c r="C50" i="6" s="1"/>
  <c r="C27" i="29"/>
  <c r="C50" i="29" s="1"/>
  <c r="C82" i="21"/>
  <c r="F24" i="29"/>
  <c r="C20" i="27"/>
  <c r="C38" i="1" s="1"/>
  <c r="D26" i="29"/>
  <c r="D37" i="29" s="1"/>
  <c r="C88" i="28"/>
  <c r="F49" i="29"/>
  <c r="F51" i="29" s="1"/>
  <c r="C36" i="29"/>
  <c r="C38" i="29" s="1"/>
  <c r="N9" i="29"/>
  <c r="C101" i="29"/>
  <c r="N5" i="29"/>
  <c r="N8" i="29"/>
  <c r="E36" i="29"/>
  <c r="E38" i="29" s="1"/>
  <c r="N7" i="29"/>
  <c r="N15" i="29"/>
  <c r="F36" i="29"/>
  <c r="F38" i="29" s="1"/>
  <c r="N6" i="29"/>
  <c r="N14" i="29"/>
  <c r="N13" i="29"/>
  <c r="N12" i="29"/>
  <c r="D49" i="29"/>
  <c r="D51" i="29" s="1"/>
  <c r="N11" i="29"/>
  <c r="E49" i="29"/>
  <c r="E51" i="29" s="1"/>
  <c r="C9" i="29"/>
  <c r="N10" i="29"/>
  <c r="C22" i="28"/>
  <c r="C44" i="28"/>
  <c r="G112" i="24"/>
  <c r="G135" i="24"/>
  <c r="G111" i="24"/>
  <c r="G103" i="24"/>
  <c r="G104" i="24"/>
  <c r="G128" i="24"/>
  <c r="G120" i="24"/>
  <c r="G150" i="24"/>
  <c r="G142" i="24"/>
  <c r="G134" i="24"/>
  <c r="G126" i="24"/>
  <c r="G118" i="24"/>
  <c r="G110" i="24"/>
  <c r="G102" i="24"/>
  <c r="X112" i="24"/>
  <c r="Y112" i="24" s="1"/>
  <c r="X111" i="24"/>
  <c r="Y111" i="24" s="1"/>
  <c r="Y52" i="24"/>
  <c r="AS147" i="24"/>
  <c r="J76" i="16"/>
  <c r="AM37" i="4"/>
  <c r="AG37" i="4"/>
  <c r="O36" i="4"/>
  <c r="Q37" i="4"/>
  <c r="AI36" i="4"/>
  <c r="AH36" i="4"/>
  <c r="AJ37" i="4"/>
  <c r="W36" i="4"/>
  <c r="V36" i="4"/>
  <c r="X37" i="4"/>
  <c r="T36" i="4"/>
  <c r="U36" i="4"/>
  <c r="P36" i="4"/>
  <c r="AF37" i="4"/>
  <c r="AE37" i="4"/>
  <c r="Y37" i="4"/>
  <c r="AL36" i="4"/>
  <c r="AB36" i="4"/>
  <c r="S36" i="4"/>
  <c r="AK36" i="4"/>
  <c r="Z36" i="4"/>
  <c r="R36" i="4"/>
  <c r="D295" i="16"/>
  <c r="E295" i="16" s="1"/>
  <c r="F295" i="16" s="1"/>
  <c r="D274" i="16"/>
  <c r="E274" i="16" s="1"/>
  <c r="F274" i="16" s="1"/>
  <c r="D252" i="16"/>
  <c r="E252" i="16" s="1"/>
  <c r="F252" i="16" s="1"/>
  <c r="D231" i="16"/>
  <c r="E231" i="16" s="1"/>
  <c r="P231" i="16" s="1"/>
  <c r="Q231" i="16" s="1"/>
  <c r="D210" i="16"/>
  <c r="E210" i="16" s="1"/>
  <c r="P210" i="16" s="1"/>
  <c r="Q210" i="16" s="1"/>
  <c r="D188" i="16"/>
  <c r="E188" i="16" s="1"/>
  <c r="P188" i="16" s="1"/>
  <c r="Q188" i="16" s="1"/>
  <c r="D167" i="16"/>
  <c r="E167" i="16" s="1"/>
  <c r="F167" i="16" s="1"/>
  <c r="D146" i="16"/>
  <c r="E146" i="16" s="1"/>
  <c r="F146" i="16" s="1"/>
  <c r="D124" i="16"/>
  <c r="E124" i="16" s="1"/>
  <c r="F124" i="16" s="1"/>
  <c r="D114" i="16"/>
  <c r="E114" i="16" s="1"/>
  <c r="F114" i="16" s="1"/>
  <c r="D103" i="16"/>
  <c r="E103" i="16" s="1"/>
  <c r="F103" i="16" s="1"/>
  <c r="D92" i="16"/>
  <c r="E92" i="16" s="1"/>
  <c r="P92" i="16" s="1"/>
  <c r="Q92" i="16" s="1"/>
  <c r="D315" i="16"/>
  <c r="E315" i="16" s="1"/>
  <c r="P315" i="16" s="1"/>
  <c r="Q315" i="16" s="1"/>
  <c r="D304" i="16"/>
  <c r="E304" i="16" s="1"/>
  <c r="P304" i="16" s="1"/>
  <c r="Q304" i="16" s="1"/>
  <c r="D294" i="16"/>
  <c r="E294" i="16" s="1"/>
  <c r="P294" i="16" s="1"/>
  <c r="Q294" i="16" s="1"/>
  <c r="D283" i="16"/>
  <c r="E283" i="16" s="1"/>
  <c r="P283" i="16" s="1"/>
  <c r="Q283" i="16" s="1"/>
  <c r="D272" i="16"/>
  <c r="E272" i="16" s="1"/>
  <c r="P272" i="16" s="1"/>
  <c r="Q272" i="16" s="1"/>
  <c r="D262" i="16"/>
  <c r="E262" i="16" s="1"/>
  <c r="P262" i="16" s="1"/>
  <c r="Q262" i="16" s="1"/>
  <c r="D251" i="16"/>
  <c r="E251" i="16" s="1"/>
  <c r="P251" i="16" s="1"/>
  <c r="Q251" i="16" s="1"/>
  <c r="D240" i="16"/>
  <c r="E240" i="16" s="1"/>
  <c r="F240" i="16" s="1"/>
  <c r="D230" i="16"/>
  <c r="E230" i="16" s="1"/>
  <c r="F230" i="16" s="1"/>
  <c r="D219" i="16"/>
  <c r="E219" i="16" s="1"/>
  <c r="F219" i="16" s="1"/>
  <c r="D208" i="16"/>
  <c r="E208" i="16" s="1"/>
  <c r="F208" i="16" s="1"/>
  <c r="D198" i="16"/>
  <c r="E198" i="16" s="1"/>
  <c r="F198" i="16" s="1"/>
  <c r="D187" i="16"/>
  <c r="E187" i="16" s="1"/>
  <c r="P187" i="16" s="1"/>
  <c r="Q187" i="16" s="1"/>
  <c r="D176" i="16"/>
  <c r="E176" i="16" s="1"/>
  <c r="F176" i="16" s="1"/>
  <c r="D166" i="16"/>
  <c r="E166" i="16" s="1"/>
  <c r="F166" i="16" s="1"/>
  <c r="D155" i="16"/>
  <c r="E155" i="16" s="1"/>
  <c r="P155" i="16" s="1"/>
  <c r="Q155" i="16" s="1"/>
  <c r="D144" i="16"/>
  <c r="E144" i="16" s="1"/>
  <c r="P144" i="16" s="1"/>
  <c r="Q144" i="16" s="1"/>
  <c r="D134" i="16"/>
  <c r="E134" i="16" s="1"/>
  <c r="F134" i="16" s="1"/>
  <c r="D123" i="16"/>
  <c r="E123" i="16" s="1"/>
  <c r="F123" i="16" s="1"/>
  <c r="D112" i="16"/>
  <c r="E112" i="16" s="1"/>
  <c r="P112" i="16" s="1"/>
  <c r="Q112" i="16" s="1"/>
  <c r="D102" i="16"/>
  <c r="E102" i="16" s="1"/>
  <c r="F102" i="16" s="1"/>
  <c r="D91" i="16"/>
  <c r="E91" i="16" s="1"/>
  <c r="F91" i="16" s="1"/>
  <c r="D306" i="16"/>
  <c r="E306" i="16" s="1"/>
  <c r="P306" i="16" s="1"/>
  <c r="Q306" i="16" s="1"/>
  <c r="D284" i="16"/>
  <c r="E284" i="16" s="1"/>
  <c r="F284" i="16" s="1"/>
  <c r="D263" i="16"/>
  <c r="E263" i="16" s="1"/>
  <c r="P263" i="16" s="1"/>
  <c r="Q263" i="16" s="1"/>
  <c r="D242" i="16"/>
  <c r="E242" i="16" s="1"/>
  <c r="P242" i="16" s="1"/>
  <c r="Q242" i="16" s="1"/>
  <c r="D220" i="16"/>
  <c r="E220" i="16" s="1"/>
  <c r="P220" i="16" s="1"/>
  <c r="Q220" i="16" s="1"/>
  <c r="D199" i="16"/>
  <c r="E199" i="16" s="1"/>
  <c r="P199" i="16" s="1"/>
  <c r="Q199" i="16" s="1"/>
  <c r="D178" i="16"/>
  <c r="E178" i="16" s="1"/>
  <c r="P178" i="16" s="1"/>
  <c r="Q178" i="16" s="1"/>
  <c r="D156" i="16"/>
  <c r="E156" i="16" s="1"/>
  <c r="P156" i="16" s="1"/>
  <c r="Q156" i="16" s="1"/>
  <c r="D135" i="16"/>
  <c r="E135" i="16" s="1"/>
  <c r="P135" i="16" s="1"/>
  <c r="Q135" i="16" s="1"/>
  <c r="D314" i="16"/>
  <c r="E314" i="16" s="1"/>
  <c r="F314" i="16" s="1"/>
  <c r="D303" i="16"/>
  <c r="E303" i="16" s="1"/>
  <c r="F303" i="16" s="1"/>
  <c r="D292" i="16"/>
  <c r="E292" i="16" s="1"/>
  <c r="F292" i="16" s="1"/>
  <c r="D282" i="16"/>
  <c r="E282" i="16" s="1"/>
  <c r="F282" i="16" s="1"/>
  <c r="D271" i="16"/>
  <c r="E271" i="16" s="1"/>
  <c r="P271" i="16" s="1"/>
  <c r="Q271" i="16" s="1"/>
  <c r="D260" i="16"/>
  <c r="E260" i="16" s="1"/>
  <c r="P260" i="16" s="1"/>
  <c r="Q260" i="16" s="1"/>
  <c r="D250" i="16"/>
  <c r="E250" i="16" s="1"/>
  <c r="F250" i="16" s="1"/>
  <c r="D239" i="16"/>
  <c r="E239" i="16" s="1"/>
  <c r="P239" i="16" s="1"/>
  <c r="Q239" i="16" s="1"/>
  <c r="D228" i="16"/>
  <c r="E228" i="16" s="1"/>
  <c r="F228" i="16" s="1"/>
  <c r="D218" i="16"/>
  <c r="E218" i="16" s="1"/>
  <c r="F218" i="16" s="1"/>
  <c r="D207" i="16"/>
  <c r="E207" i="16" s="1"/>
  <c r="P207" i="16" s="1"/>
  <c r="Q207" i="16" s="1"/>
  <c r="D196" i="16"/>
  <c r="E196" i="16" s="1"/>
  <c r="P196" i="16" s="1"/>
  <c r="Q196" i="16" s="1"/>
  <c r="D186" i="16"/>
  <c r="E186" i="16" s="1"/>
  <c r="P186" i="16" s="1"/>
  <c r="Q186" i="16" s="1"/>
  <c r="D175" i="16"/>
  <c r="E175" i="16" s="1"/>
  <c r="P175" i="16" s="1"/>
  <c r="Q175" i="16" s="1"/>
  <c r="D164" i="16"/>
  <c r="E164" i="16" s="1"/>
  <c r="P164" i="16" s="1"/>
  <c r="Q164" i="16" s="1"/>
  <c r="D154" i="16"/>
  <c r="E154" i="16" s="1"/>
  <c r="P154" i="16" s="1"/>
  <c r="Q154" i="16" s="1"/>
  <c r="D143" i="16"/>
  <c r="E143" i="16" s="1"/>
  <c r="P143" i="16" s="1"/>
  <c r="Q143" i="16" s="1"/>
  <c r="D132" i="16"/>
  <c r="E132" i="16" s="1"/>
  <c r="F132" i="16" s="1"/>
  <c r="D122" i="16"/>
  <c r="E122" i="16" s="1"/>
  <c r="P122" i="16" s="1"/>
  <c r="Q122" i="16" s="1"/>
  <c r="D111" i="16"/>
  <c r="E111" i="16" s="1"/>
  <c r="F111" i="16" s="1"/>
  <c r="D100" i="16"/>
  <c r="E100" i="16" s="1"/>
  <c r="F100" i="16" s="1"/>
  <c r="D90" i="16"/>
  <c r="E90" i="16" s="1"/>
  <c r="P90" i="16" s="1"/>
  <c r="Q90" i="16" s="1"/>
  <c r="D312" i="16"/>
  <c r="E312" i="16" s="1"/>
  <c r="P312" i="16" s="1"/>
  <c r="Q312" i="16" s="1"/>
  <c r="D302" i="16"/>
  <c r="E302" i="16" s="1"/>
  <c r="F302" i="16" s="1"/>
  <c r="D291" i="16"/>
  <c r="E291" i="16" s="1"/>
  <c r="P291" i="16" s="1"/>
  <c r="Q291" i="16" s="1"/>
  <c r="D280" i="16"/>
  <c r="E280" i="16" s="1"/>
  <c r="F280" i="16" s="1"/>
  <c r="D270" i="16"/>
  <c r="E270" i="16" s="1"/>
  <c r="F270" i="16" s="1"/>
  <c r="D259" i="16"/>
  <c r="E259" i="16" s="1"/>
  <c r="P259" i="16" s="1"/>
  <c r="Q259" i="16" s="1"/>
  <c r="D248" i="16"/>
  <c r="E248" i="16" s="1"/>
  <c r="F248" i="16" s="1"/>
  <c r="D238" i="16"/>
  <c r="E238" i="16" s="1"/>
  <c r="P238" i="16" s="1"/>
  <c r="Q238" i="16" s="1"/>
  <c r="D227" i="16"/>
  <c r="E227" i="16" s="1"/>
  <c r="F227" i="16" s="1"/>
  <c r="D216" i="16"/>
  <c r="E216" i="16" s="1"/>
  <c r="F216" i="16" s="1"/>
  <c r="D206" i="16"/>
  <c r="E206" i="16" s="1"/>
  <c r="P206" i="16" s="1"/>
  <c r="Q206" i="16" s="1"/>
  <c r="D195" i="16"/>
  <c r="E195" i="16" s="1"/>
  <c r="P195" i="16" s="1"/>
  <c r="Q195" i="16" s="1"/>
  <c r="D184" i="16"/>
  <c r="E184" i="16" s="1"/>
  <c r="P184" i="16" s="1"/>
  <c r="Q184" i="16" s="1"/>
  <c r="D174" i="16"/>
  <c r="E174" i="16" s="1"/>
  <c r="P174" i="16" s="1"/>
  <c r="Q174" i="16" s="1"/>
  <c r="D163" i="16"/>
  <c r="E163" i="16" s="1"/>
  <c r="P163" i="16" s="1"/>
  <c r="Q163" i="16" s="1"/>
  <c r="D152" i="16"/>
  <c r="E152" i="16" s="1"/>
  <c r="P152" i="16" s="1"/>
  <c r="Q152" i="16" s="1"/>
  <c r="D142" i="16"/>
  <c r="E142" i="16" s="1"/>
  <c r="F142" i="16" s="1"/>
  <c r="D131" i="16"/>
  <c r="E131" i="16" s="1"/>
  <c r="P131" i="16" s="1"/>
  <c r="Q131" i="16" s="1"/>
  <c r="D120" i="16"/>
  <c r="E120" i="16" s="1"/>
  <c r="F120" i="16" s="1"/>
  <c r="D110" i="16"/>
  <c r="E110" i="16" s="1"/>
  <c r="P110" i="16" s="1"/>
  <c r="Q110" i="16" s="1"/>
  <c r="D99" i="16"/>
  <c r="E99" i="16" s="1"/>
  <c r="P99" i="16" s="1"/>
  <c r="Q99" i="16" s="1"/>
  <c r="D88" i="16"/>
  <c r="E88" i="16" s="1"/>
  <c r="F88" i="16" s="1"/>
  <c r="D316" i="16"/>
  <c r="E316" i="16" s="1"/>
  <c r="F316" i="16" s="1"/>
  <c r="D311" i="16"/>
  <c r="E311" i="16" s="1"/>
  <c r="P311" i="16" s="1"/>
  <c r="Q311" i="16" s="1"/>
  <c r="D300" i="16"/>
  <c r="E300" i="16" s="1"/>
  <c r="P300" i="16" s="1"/>
  <c r="Q300" i="16" s="1"/>
  <c r="D290" i="16"/>
  <c r="E290" i="16" s="1"/>
  <c r="P290" i="16" s="1"/>
  <c r="Q290" i="16" s="1"/>
  <c r="D279" i="16"/>
  <c r="E279" i="16" s="1"/>
  <c r="P279" i="16" s="1"/>
  <c r="Q279" i="16" s="1"/>
  <c r="D268" i="16"/>
  <c r="E268" i="16" s="1"/>
  <c r="F268" i="16" s="1"/>
  <c r="D258" i="16"/>
  <c r="E258" i="16" s="1"/>
  <c r="F258" i="16" s="1"/>
  <c r="D247" i="16"/>
  <c r="E247" i="16" s="1"/>
  <c r="F247" i="16" s="1"/>
  <c r="D236" i="16"/>
  <c r="E236" i="16" s="1"/>
  <c r="P236" i="16" s="1"/>
  <c r="Q236" i="16" s="1"/>
  <c r="D226" i="16"/>
  <c r="E226" i="16" s="1"/>
  <c r="P226" i="16" s="1"/>
  <c r="Q226" i="16" s="1"/>
  <c r="D215" i="16"/>
  <c r="E215" i="16" s="1"/>
  <c r="P215" i="16" s="1"/>
  <c r="Q215" i="16" s="1"/>
  <c r="D204" i="16"/>
  <c r="E204" i="16" s="1"/>
  <c r="P204" i="16" s="1"/>
  <c r="Q204" i="16" s="1"/>
  <c r="D194" i="16"/>
  <c r="E194" i="16" s="1"/>
  <c r="F194" i="16" s="1"/>
  <c r="D183" i="16"/>
  <c r="E183" i="16" s="1"/>
  <c r="F183" i="16" s="1"/>
  <c r="D172" i="16"/>
  <c r="E172" i="16" s="1"/>
  <c r="F172" i="16" s="1"/>
  <c r="D162" i="16"/>
  <c r="E162" i="16" s="1"/>
  <c r="P162" i="16" s="1"/>
  <c r="Q162" i="16" s="1"/>
  <c r="D151" i="16"/>
  <c r="E151" i="16" s="1"/>
  <c r="F151" i="16" s="1"/>
  <c r="D140" i="16"/>
  <c r="E140" i="16" s="1"/>
  <c r="F140" i="16" s="1"/>
  <c r="D130" i="16"/>
  <c r="E130" i="16" s="1"/>
  <c r="F130" i="16" s="1"/>
  <c r="D119" i="16"/>
  <c r="E119" i="16" s="1"/>
  <c r="F119" i="16" s="1"/>
  <c r="D108" i="16"/>
  <c r="E108" i="16" s="1"/>
  <c r="P108" i="16" s="1"/>
  <c r="Q108" i="16" s="1"/>
  <c r="D98" i="16"/>
  <c r="E98" i="16" s="1"/>
  <c r="F98" i="16" s="1"/>
  <c r="D87" i="16"/>
  <c r="E87" i="16" s="1"/>
  <c r="P87" i="16" s="1"/>
  <c r="Q87" i="16" s="1"/>
  <c r="D84" i="16"/>
  <c r="E84" i="16" s="1"/>
  <c r="P84" i="16" s="1"/>
  <c r="Q84" i="16" s="1"/>
  <c r="D310" i="16"/>
  <c r="E310" i="16" s="1"/>
  <c r="P310" i="16" s="1"/>
  <c r="Q310" i="16" s="1"/>
  <c r="D299" i="16"/>
  <c r="E299" i="16" s="1"/>
  <c r="P299" i="16" s="1"/>
  <c r="Q299" i="16" s="1"/>
  <c r="D288" i="16"/>
  <c r="E288" i="16" s="1"/>
  <c r="F288" i="16" s="1"/>
  <c r="D278" i="16"/>
  <c r="E278" i="16" s="1"/>
  <c r="P278" i="16" s="1"/>
  <c r="Q278" i="16" s="1"/>
  <c r="D267" i="16"/>
  <c r="E267" i="16" s="1"/>
  <c r="F267" i="16" s="1"/>
  <c r="D256" i="16"/>
  <c r="E256" i="16" s="1"/>
  <c r="F256" i="16" s="1"/>
  <c r="D246" i="16"/>
  <c r="E246" i="16" s="1"/>
  <c r="F246" i="16" s="1"/>
  <c r="D235" i="16"/>
  <c r="E235" i="16" s="1"/>
  <c r="F235" i="16" s="1"/>
  <c r="D224" i="16"/>
  <c r="E224" i="16" s="1"/>
  <c r="P224" i="16" s="1"/>
  <c r="Q224" i="16" s="1"/>
  <c r="D214" i="16"/>
  <c r="E214" i="16" s="1"/>
  <c r="F214" i="16" s="1"/>
  <c r="D203" i="16"/>
  <c r="E203" i="16" s="1"/>
  <c r="P203" i="16" s="1"/>
  <c r="Q203" i="16" s="1"/>
  <c r="D192" i="16"/>
  <c r="E192" i="16" s="1"/>
  <c r="P192" i="16" s="1"/>
  <c r="Q192" i="16" s="1"/>
  <c r="D182" i="16"/>
  <c r="E182" i="16" s="1"/>
  <c r="F182" i="16" s="1"/>
  <c r="D171" i="16"/>
  <c r="E171" i="16" s="1"/>
  <c r="F171" i="16" s="1"/>
  <c r="D160" i="16"/>
  <c r="E160" i="16" s="1"/>
  <c r="F160" i="16" s="1"/>
  <c r="D150" i="16"/>
  <c r="E150" i="16" s="1"/>
  <c r="F150" i="16" s="1"/>
  <c r="D139" i="16"/>
  <c r="E139" i="16" s="1"/>
  <c r="F139" i="16" s="1"/>
  <c r="D128" i="16"/>
  <c r="E128" i="16" s="1"/>
  <c r="F128" i="16" s="1"/>
  <c r="D118" i="16"/>
  <c r="E118" i="16" s="1"/>
  <c r="F118" i="16" s="1"/>
  <c r="D107" i="16"/>
  <c r="E107" i="16" s="1"/>
  <c r="P107" i="16" s="1"/>
  <c r="Q107" i="16" s="1"/>
  <c r="D96" i="16"/>
  <c r="E96" i="16" s="1"/>
  <c r="P96" i="16" s="1"/>
  <c r="Q96" i="16" s="1"/>
  <c r="D86" i="16"/>
  <c r="E86" i="16" s="1"/>
  <c r="P86" i="16" s="1"/>
  <c r="Q86" i="16" s="1"/>
  <c r="D319" i="16"/>
  <c r="E319" i="16" s="1"/>
  <c r="P319" i="16" s="1"/>
  <c r="Q319" i="16" s="1"/>
  <c r="D308" i="16"/>
  <c r="E308" i="16" s="1"/>
  <c r="F308" i="16" s="1"/>
  <c r="D298" i="16"/>
  <c r="E298" i="16" s="1"/>
  <c r="F298" i="16" s="1"/>
  <c r="D287" i="16"/>
  <c r="E287" i="16" s="1"/>
  <c r="F287" i="16" s="1"/>
  <c r="D276" i="16"/>
  <c r="E276" i="16" s="1"/>
  <c r="F276" i="16" s="1"/>
  <c r="D266" i="16"/>
  <c r="E266" i="16" s="1"/>
  <c r="P266" i="16" s="1"/>
  <c r="Q266" i="16" s="1"/>
  <c r="D255" i="16"/>
  <c r="E255" i="16" s="1"/>
  <c r="P255" i="16" s="1"/>
  <c r="Q255" i="16" s="1"/>
  <c r="D244" i="16"/>
  <c r="E244" i="16" s="1"/>
  <c r="F244" i="16" s="1"/>
  <c r="D234" i="16"/>
  <c r="E234" i="16" s="1"/>
  <c r="P234" i="16" s="1"/>
  <c r="Q234" i="16" s="1"/>
  <c r="D223" i="16"/>
  <c r="E223" i="16" s="1"/>
  <c r="F223" i="16" s="1"/>
  <c r="D212" i="16"/>
  <c r="E212" i="16" s="1"/>
  <c r="F212" i="16" s="1"/>
  <c r="D202" i="16"/>
  <c r="E202" i="16" s="1"/>
  <c r="F202" i="16" s="1"/>
  <c r="D191" i="16"/>
  <c r="E191" i="16" s="1"/>
  <c r="P191" i="16" s="1"/>
  <c r="Q191" i="16" s="1"/>
  <c r="D180" i="16"/>
  <c r="E180" i="16" s="1"/>
  <c r="F180" i="16" s="1"/>
  <c r="D170" i="16"/>
  <c r="E170" i="16" s="1"/>
  <c r="P170" i="16" s="1"/>
  <c r="Q170" i="16" s="1"/>
  <c r="D159" i="16"/>
  <c r="E159" i="16" s="1"/>
  <c r="F159" i="16" s="1"/>
  <c r="D148" i="16"/>
  <c r="E148" i="16" s="1"/>
  <c r="F148" i="16" s="1"/>
  <c r="D138" i="16"/>
  <c r="E138" i="16" s="1"/>
  <c r="P138" i="16" s="1"/>
  <c r="Q138" i="16" s="1"/>
  <c r="D127" i="16"/>
  <c r="E127" i="16" s="1"/>
  <c r="P127" i="16" s="1"/>
  <c r="Q127" i="16" s="1"/>
  <c r="D116" i="16"/>
  <c r="E116" i="16" s="1"/>
  <c r="F116" i="16" s="1"/>
  <c r="D106" i="16"/>
  <c r="E106" i="16" s="1"/>
  <c r="P106" i="16" s="1"/>
  <c r="Q106" i="16" s="1"/>
  <c r="D95" i="16"/>
  <c r="E95" i="16" s="1"/>
  <c r="F95" i="16" s="1"/>
  <c r="D318" i="16"/>
  <c r="E318" i="16" s="1"/>
  <c r="P318" i="16" s="1"/>
  <c r="Q318" i="16" s="1"/>
  <c r="D307" i="16"/>
  <c r="E307" i="16" s="1"/>
  <c r="P307" i="16" s="1"/>
  <c r="Q307" i="16" s="1"/>
  <c r="D296" i="16"/>
  <c r="E296" i="16" s="1"/>
  <c r="P296" i="16" s="1"/>
  <c r="Q296" i="16" s="1"/>
  <c r="D286" i="16"/>
  <c r="E286" i="16" s="1"/>
  <c r="F286" i="16" s="1"/>
  <c r="D275" i="16"/>
  <c r="E275" i="16" s="1"/>
  <c r="P275" i="16" s="1"/>
  <c r="Q275" i="16" s="1"/>
  <c r="D264" i="16"/>
  <c r="E264" i="16" s="1"/>
  <c r="F264" i="16" s="1"/>
  <c r="D254" i="16"/>
  <c r="E254" i="16" s="1"/>
  <c r="F254" i="16" s="1"/>
  <c r="D243" i="16"/>
  <c r="E243" i="16" s="1"/>
  <c r="F243" i="16" s="1"/>
  <c r="D232" i="16"/>
  <c r="E232" i="16" s="1"/>
  <c r="P232" i="16" s="1"/>
  <c r="Q232" i="16" s="1"/>
  <c r="D222" i="16"/>
  <c r="E222" i="16" s="1"/>
  <c r="P222" i="16" s="1"/>
  <c r="Q222" i="16" s="1"/>
  <c r="D211" i="16"/>
  <c r="E211" i="16" s="1"/>
  <c r="P211" i="16" s="1"/>
  <c r="Q211" i="16" s="1"/>
  <c r="D200" i="16"/>
  <c r="E200" i="16" s="1"/>
  <c r="F200" i="16" s="1"/>
  <c r="D190" i="16"/>
  <c r="E190" i="16" s="1"/>
  <c r="F190" i="16" s="1"/>
  <c r="D179" i="16"/>
  <c r="E179" i="16" s="1"/>
  <c r="P179" i="16" s="1"/>
  <c r="Q179" i="16" s="1"/>
  <c r="D168" i="16"/>
  <c r="E168" i="16" s="1"/>
  <c r="F168" i="16" s="1"/>
  <c r="D158" i="16"/>
  <c r="E158" i="16" s="1"/>
  <c r="P158" i="16" s="1"/>
  <c r="Q158" i="16" s="1"/>
  <c r="D147" i="16"/>
  <c r="E147" i="16" s="1"/>
  <c r="F147" i="16" s="1"/>
  <c r="D136" i="16"/>
  <c r="E136" i="16" s="1"/>
  <c r="F136" i="16" s="1"/>
  <c r="D126" i="16"/>
  <c r="E126" i="16" s="1"/>
  <c r="F126" i="16" s="1"/>
  <c r="D115" i="16"/>
  <c r="E115" i="16" s="1"/>
  <c r="P115" i="16" s="1"/>
  <c r="Q115" i="16" s="1"/>
  <c r="D104" i="16"/>
  <c r="E104" i="16" s="1"/>
  <c r="P104" i="16" s="1"/>
  <c r="Q104" i="16" s="1"/>
  <c r="D94" i="16"/>
  <c r="E94" i="16" s="1"/>
  <c r="F94" i="16" s="1"/>
  <c r="D317" i="16"/>
  <c r="E317" i="16" s="1"/>
  <c r="D309" i="16"/>
  <c r="E309" i="16" s="1"/>
  <c r="F309" i="16" s="1"/>
  <c r="D301" i="16"/>
  <c r="E301" i="16" s="1"/>
  <c r="D293" i="16"/>
  <c r="E293" i="16" s="1"/>
  <c r="D285" i="16"/>
  <c r="E285" i="16" s="1"/>
  <c r="D277" i="16"/>
  <c r="E277" i="16" s="1"/>
  <c r="D269" i="16"/>
  <c r="E269" i="16" s="1"/>
  <c r="D261" i="16"/>
  <c r="E261" i="16" s="1"/>
  <c r="F261" i="16" s="1"/>
  <c r="D253" i="16"/>
  <c r="E253" i="16" s="1"/>
  <c r="D245" i="16"/>
  <c r="E245" i="16" s="1"/>
  <c r="D237" i="16"/>
  <c r="E237" i="16" s="1"/>
  <c r="F237" i="16" s="1"/>
  <c r="D229" i="16"/>
  <c r="E229" i="16" s="1"/>
  <c r="D221" i="16"/>
  <c r="E221" i="16" s="1"/>
  <c r="F221" i="16" s="1"/>
  <c r="D213" i="16"/>
  <c r="E213" i="16" s="1"/>
  <c r="F213" i="16" s="1"/>
  <c r="D205" i="16"/>
  <c r="E205" i="16" s="1"/>
  <c r="F205" i="16" s="1"/>
  <c r="D197" i="16"/>
  <c r="E197" i="16" s="1"/>
  <c r="F197" i="16" s="1"/>
  <c r="D189" i="16"/>
  <c r="E189" i="16" s="1"/>
  <c r="D181" i="16"/>
  <c r="E181" i="16" s="1"/>
  <c r="D173" i="16"/>
  <c r="E173" i="16" s="1"/>
  <c r="D165" i="16"/>
  <c r="E165" i="16" s="1"/>
  <c r="F165" i="16" s="1"/>
  <c r="D157" i="16"/>
  <c r="E157" i="16" s="1"/>
  <c r="D149" i="16"/>
  <c r="E149" i="16" s="1"/>
  <c r="D141" i="16"/>
  <c r="E141" i="16" s="1"/>
  <c r="D133" i="16"/>
  <c r="E133" i="16" s="1"/>
  <c r="F133" i="16" s="1"/>
  <c r="D125" i="16"/>
  <c r="E125" i="16" s="1"/>
  <c r="D117" i="16"/>
  <c r="E117" i="16" s="1"/>
  <c r="D109" i="16"/>
  <c r="E109" i="16" s="1"/>
  <c r="F109" i="16" s="1"/>
  <c r="D101" i="16"/>
  <c r="E101" i="16" s="1"/>
  <c r="D93" i="16"/>
  <c r="E93" i="16" s="1"/>
  <c r="D85" i="16"/>
  <c r="E85" i="16" s="1"/>
  <c r="D313" i="16"/>
  <c r="E313" i="16" s="1"/>
  <c r="D305" i="16"/>
  <c r="E305" i="16" s="1"/>
  <c r="D297" i="16"/>
  <c r="E297" i="16" s="1"/>
  <c r="D289" i="16"/>
  <c r="E289" i="16" s="1"/>
  <c r="D281" i="16"/>
  <c r="E281" i="16" s="1"/>
  <c r="F281" i="16" s="1"/>
  <c r="D273" i="16"/>
  <c r="E273" i="16" s="1"/>
  <c r="F273" i="16" s="1"/>
  <c r="D265" i="16"/>
  <c r="E265" i="16" s="1"/>
  <c r="D257" i="16"/>
  <c r="E257" i="16" s="1"/>
  <c r="D249" i="16"/>
  <c r="E249" i="16" s="1"/>
  <c r="F249" i="16" s="1"/>
  <c r="D241" i="16"/>
  <c r="E241" i="16" s="1"/>
  <c r="D233" i="16"/>
  <c r="E233" i="16" s="1"/>
  <c r="D225" i="16"/>
  <c r="E225" i="16" s="1"/>
  <c r="D217" i="16"/>
  <c r="E217" i="16" s="1"/>
  <c r="D209" i="16"/>
  <c r="E209" i="16" s="1"/>
  <c r="D201" i="16"/>
  <c r="E201" i="16" s="1"/>
  <c r="D193" i="16"/>
  <c r="E193" i="16" s="1"/>
  <c r="D185" i="16"/>
  <c r="E185" i="16" s="1"/>
  <c r="D177" i="16"/>
  <c r="E177" i="16" s="1"/>
  <c r="F177" i="16" s="1"/>
  <c r="D169" i="16"/>
  <c r="E169" i="16" s="1"/>
  <c r="D161" i="16"/>
  <c r="E161" i="16" s="1"/>
  <c r="D153" i="16"/>
  <c r="E153" i="16" s="1"/>
  <c r="F153" i="16" s="1"/>
  <c r="D145" i="16"/>
  <c r="E145" i="16" s="1"/>
  <c r="D137" i="16"/>
  <c r="E137" i="16" s="1"/>
  <c r="D129" i="16"/>
  <c r="E129" i="16" s="1"/>
  <c r="D121" i="16"/>
  <c r="E121" i="16" s="1"/>
  <c r="D113" i="16"/>
  <c r="E113" i="16" s="1"/>
  <c r="D105" i="16"/>
  <c r="E105" i="16" s="1"/>
  <c r="D97" i="16"/>
  <c r="E97" i="16" s="1"/>
  <c r="F97" i="16" s="1"/>
  <c r="D89" i="16"/>
  <c r="E89" i="16" s="1"/>
  <c r="C76" i="17"/>
  <c r="C83" i="17" s="1"/>
  <c r="C14" i="23"/>
  <c r="F24" i="6"/>
  <c r="F19" i="6" s="1"/>
  <c r="D69" i="16"/>
  <c r="C49" i="17"/>
  <c r="C101" i="17" s="1"/>
  <c r="D76" i="16"/>
  <c r="D70" i="16"/>
  <c r="AS144" i="24"/>
  <c r="AS143" i="24"/>
  <c r="X142" i="24"/>
  <c r="Y142" i="24" s="1"/>
  <c r="X134" i="24"/>
  <c r="Y134" i="24" s="1"/>
  <c r="X126" i="24"/>
  <c r="Y126" i="24" s="1"/>
  <c r="X118" i="24"/>
  <c r="Y118" i="24" s="1"/>
  <c r="X110" i="24"/>
  <c r="Y110" i="24" s="1"/>
  <c r="X102" i="24"/>
  <c r="Y102" i="24" s="1"/>
  <c r="X141" i="24"/>
  <c r="Y141" i="24" s="1"/>
  <c r="X133" i="24"/>
  <c r="Y133" i="24" s="1"/>
  <c r="X125" i="24"/>
  <c r="Y125" i="24" s="1"/>
  <c r="X117" i="24"/>
  <c r="Y117" i="24" s="1"/>
  <c r="X109" i="24"/>
  <c r="Y109" i="24" s="1"/>
  <c r="X101" i="24"/>
  <c r="Y101" i="24" s="1"/>
  <c r="X128" i="24"/>
  <c r="Y128" i="24" s="1"/>
  <c r="X132" i="24"/>
  <c r="Y132" i="24" s="1"/>
  <c r="X116" i="24"/>
  <c r="Y116" i="24" s="1"/>
  <c r="Y53" i="24"/>
  <c r="X143" i="24"/>
  <c r="Y143" i="24" s="1"/>
  <c r="X135" i="24"/>
  <c r="Y135" i="24" s="1"/>
  <c r="X127" i="24"/>
  <c r="Y127" i="24" s="1"/>
  <c r="X147" i="24"/>
  <c r="Y147" i="24" s="1"/>
  <c r="X139" i="24"/>
  <c r="Y139" i="24" s="1"/>
  <c r="X131" i="24"/>
  <c r="Y131" i="24" s="1"/>
  <c r="X123" i="24"/>
  <c r="Y123" i="24" s="1"/>
  <c r="X115" i="24"/>
  <c r="Y115" i="24" s="1"/>
  <c r="X107" i="24"/>
  <c r="Y107" i="24" s="1"/>
  <c r="X140" i="24"/>
  <c r="Y140" i="24" s="1"/>
  <c r="X108" i="24"/>
  <c r="Y108" i="24" s="1"/>
  <c r="X148" i="24"/>
  <c r="Y148" i="24" s="1"/>
  <c r="X124" i="24"/>
  <c r="Y124" i="24" s="1"/>
  <c r="X100" i="24"/>
  <c r="Y100" i="24" s="1"/>
  <c r="Y51" i="24"/>
  <c r="Y50" i="24"/>
  <c r="X144" i="24"/>
  <c r="Y144" i="24" s="1"/>
  <c r="X136" i="24"/>
  <c r="Y136" i="24" s="1"/>
  <c r="X120" i="24"/>
  <c r="Y120" i="24" s="1"/>
  <c r="X104" i="24"/>
  <c r="Y104" i="24" s="1"/>
  <c r="X119" i="24"/>
  <c r="Y119" i="24" s="1"/>
  <c r="X103" i="24"/>
  <c r="Y103" i="24" s="1"/>
  <c r="Y49" i="24"/>
  <c r="X146" i="24"/>
  <c r="Y146" i="24" s="1"/>
  <c r="X138" i="24"/>
  <c r="Y138" i="24" s="1"/>
  <c r="X130" i="24"/>
  <c r="Y130" i="24" s="1"/>
  <c r="X122" i="24"/>
  <c r="Y122" i="24" s="1"/>
  <c r="X114" i="24"/>
  <c r="Y114" i="24" s="1"/>
  <c r="X106" i="24"/>
  <c r="Y106" i="24" s="1"/>
  <c r="X96" i="24"/>
  <c r="Y96" i="24" s="1"/>
  <c r="X145" i="24"/>
  <c r="Y145" i="24" s="1"/>
  <c r="X137" i="24"/>
  <c r="Y137" i="24" s="1"/>
  <c r="X129" i="24"/>
  <c r="Y129" i="24" s="1"/>
  <c r="X121" i="24"/>
  <c r="Y121" i="24" s="1"/>
  <c r="X113" i="24"/>
  <c r="Y113" i="24" s="1"/>
  <c r="X105" i="24"/>
  <c r="Y105" i="24" s="1"/>
  <c r="Y54" i="24"/>
  <c r="Y92" i="24"/>
  <c r="Y67" i="24"/>
  <c r="Y63" i="24"/>
  <c r="Y79" i="24"/>
  <c r="Y93" i="24"/>
  <c r="Y87" i="24"/>
  <c r="Y78" i="24"/>
  <c r="Y62" i="24"/>
  <c r="Y85" i="24"/>
  <c r="Y77" i="24"/>
  <c r="Y61" i="24"/>
  <c r="Y84" i="24"/>
  <c r="Y68" i="24"/>
  <c r="Y83" i="24"/>
  <c r="Y59" i="24"/>
  <c r="Y82" i="24"/>
  <c r="Y66" i="24"/>
  <c r="Y58" i="24"/>
  <c r="Y89" i="24"/>
  <c r="Y81" i="24"/>
  <c r="Y73" i="24"/>
  <c r="Y65" i="24"/>
  <c r="Y57" i="24"/>
  <c r="X98" i="24"/>
  <c r="Y98" i="24" s="1"/>
  <c r="X95" i="24"/>
  <c r="Y95" i="24" s="1"/>
  <c r="Y71" i="24"/>
  <c r="Y55" i="24"/>
  <c r="Y86" i="24"/>
  <c r="Y70" i="24"/>
  <c r="Y69" i="24"/>
  <c r="Y76" i="24"/>
  <c r="Y60" i="24"/>
  <c r="Y91" i="24"/>
  <c r="Y75" i="24"/>
  <c r="Y90" i="24"/>
  <c r="Y74" i="24"/>
  <c r="Y88" i="24"/>
  <c r="Y80" i="24"/>
  <c r="Y72" i="24"/>
  <c r="Y64" i="24"/>
  <c r="Y56" i="24"/>
  <c r="X97" i="24"/>
  <c r="Y97" i="24" s="1"/>
  <c r="Y94" i="24"/>
  <c r="Q86" i="24"/>
  <c r="Q78" i="24"/>
  <c r="Q70" i="24"/>
  <c r="Q62" i="24"/>
  <c r="AI54" i="24"/>
  <c r="Q54" i="24"/>
  <c r="C196" i="17"/>
  <c r="F25" i="6"/>
  <c r="C81" i="21"/>
  <c r="F26" i="6"/>
  <c r="F37" i="6" s="1"/>
  <c r="F27" i="6"/>
  <c r="F50" i="6" s="1"/>
  <c r="C3" i="20"/>
  <c r="X6" i="27"/>
  <c r="W5" i="27"/>
  <c r="V5" i="27"/>
  <c r="B10" i="23" a="1"/>
  <c r="R5" i="27"/>
  <c r="O6" i="27"/>
  <c r="AH5" i="27"/>
  <c r="AE5" i="27"/>
  <c r="C130" i="17"/>
  <c r="C141" i="17" s="1"/>
  <c r="P5" i="27"/>
  <c r="AC6" i="27"/>
  <c r="U6" i="27"/>
  <c r="N6" i="27"/>
  <c r="AJ6" i="27"/>
  <c r="AB6" i="27"/>
  <c r="T6" i="27"/>
  <c r="P3" i="23"/>
  <c r="AI6" i="27"/>
  <c r="AA6" i="27"/>
  <c r="S6" i="27"/>
  <c r="Q3" i="23"/>
  <c r="O3" i="23"/>
  <c r="AG6" i="27"/>
  <c r="Y6" i="27"/>
  <c r="Q6" i="27"/>
  <c r="B22" i="23"/>
  <c r="C12" i="27"/>
  <c r="F78" i="6"/>
  <c r="C31" i="24"/>
  <c r="J16" i="21"/>
  <c r="C38" i="25"/>
  <c r="C37" i="25" s="1"/>
  <c r="C47" i="25"/>
  <c r="C21" i="25"/>
  <c r="C20" i="25" s="1"/>
  <c r="C42" i="25"/>
  <c r="C57" i="25"/>
  <c r="G20" i="25"/>
  <c r="C10" i="25"/>
  <c r="L6" i="21"/>
  <c r="L8" i="21"/>
  <c r="L7" i="21"/>
  <c r="L20" i="21"/>
  <c r="L19" i="21"/>
  <c r="C6" i="22"/>
  <c r="C7" i="22" s="1"/>
  <c r="C8" i="22" s="1"/>
  <c r="M4" i="22" s="1"/>
  <c r="T4" i="22" s="1"/>
  <c r="AA4" i="22" s="1"/>
  <c r="L18" i="21"/>
  <c r="C120" i="17"/>
  <c r="C190" i="17" s="1"/>
  <c r="L17" i="21"/>
  <c r="L16" i="21"/>
  <c r="V16" i="21" s="1"/>
  <c r="L15" i="21"/>
  <c r="L11" i="21"/>
  <c r="L5" i="21"/>
  <c r="L9" i="21"/>
  <c r="R6" i="21"/>
  <c r="R13" i="21"/>
  <c r="E50" i="6"/>
  <c r="C49" i="21"/>
  <c r="R14" i="21"/>
  <c r="L13" i="21"/>
  <c r="R18" i="21"/>
  <c r="L12" i="21"/>
  <c r="Q12" i="21"/>
  <c r="J5" i="21"/>
  <c r="L10" i="21"/>
  <c r="Q14" i="21"/>
  <c r="Q13" i="21"/>
  <c r="Q11" i="21"/>
  <c r="Q5" i="21"/>
  <c r="Q9" i="21"/>
  <c r="J14" i="21"/>
  <c r="Q20" i="21"/>
  <c r="Q8" i="21"/>
  <c r="J13" i="21"/>
  <c r="Q10" i="21"/>
  <c r="Q19" i="21"/>
  <c r="Q7" i="21"/>
  <c r="J11" i="21"/>
  <c r="C84" i="17"/>
  <c r="Q18" i="21"/>
  <c r="Q6" i="21"/>
  <c r="Q17" i="21"/>
  <c r="Q16" i="21"/>
  <c r="J15" i="21"/>
  <c r="J12" i="21"/>
  <c r="J10" i="21"/>
  <c r="J9" i="21"/>
  <c r="J20" i="21"/>
  <c r="J8" i="21"/>
  <c r="C15" i="22"/>
  <c r="J19" i="21"/>
  <c r="J7" i="21"/>
  <c r="J18" i="21"/>
  <c r="J6" i="21"/>
  <c r="J17" i="21"/>
  <c r="C113" i="20"/>
  <c r="R28" i="22"/>
  <c r="Y28" i="22" s="1"/>
  <c r="R3" i="22"/>
  <c r="Y3" i="22" s="1"/>
  <c r="R10" i="22"/>
  <c r="Y10" i="22" s="1"/>
  <c r="R12" i="22"/>
  <c r="R19" i="22"/>
  <c r="Y19" i="22" s="1"/>
  <c r="R13" i="22"/>
  <c r="Y13" i="22" s="1"/>
  <c r="R5" i="22"/>
  <c r="Y5" i="22" s="1"/>
  <c r="R14" i="22"/>
  <c r="Y14" i="22" s="1"/>
  <c r="R22" i="22"/>
  <c r="Y22" i="22" s="1"/>
  <c r="R23" i="22"/>
  <c r="Y23" i="22" s="1"/>
  <c r="R67" i="22"/>
  <c r="Y67" i="22" s="1"/>
  <c r="R15" i="22"/>
  <c r="R83" i="22"/>
  <c r="Y83" i="22" s="1"/>
  <c r="R9" i="22"/>
  <c r="Y9" i="22" s="1"/>
  <c r="R74" i="22"/>
  <c r="Y74" i="22" s="1"/>
  <c r="R4" i="22"/>
  <c r="Y4" i="22" s="1"/>
  <c r="R33" i="22"/>
  <c r="Y33" i="22" s="1"/>
  <c r="R51" i="22"/>
  <c r="Y51" i="22" s="1"/>
  <c r="K20" i="22"/>
  <c r="R20" i="22" s="1"/>
  <c r="Y20" i="22" s="1"/>
  <c r="K21" i="22"/>
  <c r="R21" i="22" s="1"/>
  <c r="K40" i="22"/>
  <c r="R40" i="22" s="1"/>
  <c r="Y40" i="22" s="1"/>
  <c r="K57" i="22"/>
  <c r="R57" i="22" s="1"/>
  <c r="Y57" i="22" s="1"/>
  <c r="K73" i="22"/>
  <c r="R73" i="22" s="1"/>
  <c r="Y73" i="22" s="1"/>
  <c r="K39" i="22"/>
  <c r="R39" i="22" s="1"/>
  <c r="Y39" i="22" s="1"/>
  <c r="K56" i="22"/>
  <c r="R56" i="22" s="1"/>
  <c r="Y56" i="22" s="1"/>
  <c r="K72" i="22"/>
  <c r="R72" i="22" s="1"/>
  <c r="Y72" i="22" s="1"/>
  <c r="K18" i="22"/>
  <c r="R18" i="22" s="1"/>
  <c r="Y18" i="22" s="1"/>
  <c r="K37" i="22"/>
  <c r="R37" i="22" s="1"/>
  <c r="K38" i="22"/>
  <c r="R38" i="22" s="1"/>
  <c r="Y38" i="22" s="1"/>
  <c r="K55" i="22"/>
  <c r="R55" i="22" s="1"/>
  <c r="Y55" i="22" s="1"/>
  <c r="K71" i="22"/>
  <c r="R71" i="22" s="1"/>
  <c r="Y71" i="22" s="1"/>
  <c r="K17" i="22"/>
  <c r="R17" i="22" s="1"/>
  <c r="Y17" i="22" s="1"/>
  <c r="K36" i="22"/>
  <c r="R36" i="22" s="1"/>
  <c r="Y36" i="22" s="1"/>
  <c r="K54" i="22"/>
  <c r="R54" i="22" s="1"/>
  <c r="Y54" i="22" s="1"/>
  <c r="K70" i="22"/>
  <c r="R70" i="22" s="1"/>
  <c r="Y70" i="22" s="1"/>
  <c r="K86" i="22"/>
  <c r="R86" i="22" s="1"/>
  <c r="K16" i="22"/>
  <c r="R16" i="22" s="1"/>
  <c r="Y16" i="22" s="1"/>
  <c r="K35" i="22"/>
  <c r="R35" i="22" s="1"/>
  <c r="Y35" i="22" s="1"/>
  <c r="K53" i="22"/>
  <c r="R53" i="22" s="1"/>
  <c r="Y53" i="22" s="1"/>
  <c r="K69" i="22"/>
  <c r="R69" i="22" s="1"/>
  <c r="Y69" i="22" s="1"/>
  <c r="K85" i="22"/>
  <c r="R85" i="22" s="1"/>
  <c r="Y85" i="22" s="1"/>
  <c r="K34" i="22"/>
  <c r="R34" i="22" s="1"/>
  <c r="Y34" i="22" s="1"/>
  <c r="K52" i="22"/>
  <c r="R52" i="22" s="1"/>
  <c r="Y52" i="22" s="1"/>
  <c r="K68" i="22"/>
  <c r="R68" i="22" s="1"/>
  <c r="K84" i="22"/>
  <c r="R84" i="22" s="1"/>
  <c r="Y84" i="22" s="1"/>
  <c r="K32" i="22"/>
  <c r="R32" i="22" s="1"/>
  <c r="Y32" i="22" s="1"/>
  <c r="K50" i="22"/>
  <c r="R50" i="22" s="1"/>
  <c r="Y50" i="22" s="1"/>
  <c r="K66" i="22"/>
  <c r="R66" i="22" s="1"/>
  <c r="Y66" i="22" s="1"/>
  <c r="K82" i="22"/>
  <c r="R82" i="22" s="1"/>
  <c r="Y82" i="22" s="1"/>
  <c r="K11" i="22"/>
  <c r="R11" i="22" s="1"/>
  <c r="Y11" i="22" s="1"/>
  <c r="K30" i="22"/>
  <c r="R30" i="22" s="1"/>
  <c r="Y30" i="22" s="1"/>
  <c r="K31" i="22"/>
  <c r="R31" i="22" s="1"/>
  <c r="K49" i="22"/>
  <c r="R49" i="22" s="1"/>
  <c r="Y49" i="22" s="1"/>
  <c r="K65" i="22"/>
  <c r="R65" i="22" s="1"/>
  <c r="Y65" i="22" s="1"/>
  <c r="K81" i="22"/>
  <c r="R81" i="22" s="1"/>
  <c r="Y81" i="22" s="1"/>
  <c r="K29" i="22"/>
  <c r="R29" i="22" s="1"/>
  <c r="Y29" i="22" s="1"/>
  <c r="K48" i="22"/>
  <c r="R48" i="22" s="1"/>
  <c r="Y48" i="22" s="1"/>
  <c r="K64" i="22"/>
  <c r="R64" i="22" s="1"/>
  <c r="Y64" i="22" s="1"/>
  <c r="K80" i="22"/>
  <c r="R80" i="22" s="1"/>
  <c r="Y80" i="22" s="1"/>
  <c r="K47" i="22"/>
  <c r="R47" i="22" s="1"/>
  <c r="K63" i="22"/>
  <c r="R63" i="22" s="1"/>
  <c r="Y63" i="22" s="1"/>
  <c r="K79" i="22"/>
  <c r="R79" i="22" s="1"/>
  <c r="Y79" i="22" s="1"/>
  <c r="K6" i="22"/>
  <c r="R6" i="22" s="1"/>
  <c r="Y6" i="22" s="1"/>
  <c r="K7" i="22"/>
  <c r="R7" i="22" s="1"/>
  <c r="Y7" i="22" s="1"/>
  <c r="K8" i="22"/>
  <c r="R8" i="22" s="1"/>
  <c r="Y8" i="22" s="1"/>
  <c r="K27" i="22"/>
  <c r="R27" i="22" s="1"/>
  <c r="Y27" i="22" s="1"/>
  <c r="K46" i="22"/>
  <c r="R46" i="22" s="1"/>
  <c r="Y46" i="22" s="1"/>
  <c r="K62" i="22"/>
  <c r="R62" i="22" s="1"/>
  <c r="K78" i="22"/>
  <c r="R78" i="22" s="1"/>
  <c r="Y78" i="22" s="1"/>
  <c r="K26" i="22"/>
  <c r="R26" i="22" s="1"/>
  <c r="Y26" i="22" s="1"/>
  <c r="K45" i="22"/>
  <c r="R45" i="22" s="1"/>
  <c r="Y45" i="22" s="1"/>
  <c r="K61" i="22"/>
  <c r="R61" i="22" s="1"/>
  <c r="Y61" i="22" s="1"/>
  <c r="K77" i="22"/>
  <c r="R77" i="22" s="1"/>
  <c r="Y77" i="22" s="1"/>
  <c r="K25" i="22"/>
  <c r="R25" i="22" s="1"/>
  <c r="Y25" i="22" s="1"/>
  <c r="K44" i="22"/>
  <c r="R44" i="22" s="1"/>
  <c r="Y44" i="22" s="1"/>
  <c r="K60" i="22"/>
  <c r="R60" i="22" s="1"/>
  <c r="K76" i="22"/>
  <c r="R76" i="22" s="1"/>
  <c r="Y76" i="22" s="1"/>
  <c r="K24" i="22"/>
  <c r="R24" i="22" s="1"/>
  <c r="Y24" i="22" s="1"/>
  <c r="K42" i="22"/>
  <c r="R42" i="22" s="1"/>
  <c r="Y42" i="22" s="1"/>
  <c r="K43" i="22"/>
  <c r="R43" i="22" s="1"/>
  <c r="Y43" i="22" s="1"/>
  <c r="K59" i="22"/>
  <c r="R59" i="22" s="1"/>
  <c r="Y59" i="22" s="1"/>
  <c r="K75" i="22"/>
  <c r="R75" i="22" s="1"/>
  <c r="Y75" i="22" s="1"/>
  <c r="K41" i="22"/>
  <c r="R41" i="22" s="1"/>
  <c r="Y41" i="22" s="1"/>
  <c r="K58" i="22"/>
  <c r="R58" i="22" s="1"/>
  <c r="C15" i="21"/>
  <c r="C63" i="20"/>
  <c r="C39" i="20"/>
  <c r="D25" i="6"/>
  <c r="C14" i="6"/>
  <c r="C11" i="6"/>
  <c r="D21" i="6"/>
  <c r="T194" i="6" l="1"/>
  <c r="V194" i="6" s="1"/>
  <c r="T202" i="6"/>
  <c r="V202" i="6" s="1"/>
  <c r="T210" i="6"/>
  <c r="V210" i="6" s="1"/>
  <c r="T218" i="6"/>
  <c r="V218" i="6" s="1"/>
  <c r="T226" i="6"/>
  <c r="V226" i="6" s="1"/>
  <c r="T234" i="6"/>
  <c r="V234" i="6" s="1"/>
  <c r="T242" i="6"/>
  <c r="V242" i="6" s="1"/>
  <c r="T250" i="6"/>
  <c r="V250" i="6" s="1"/>
  <c r="T258" i="6"/>
  <c r="V258" i="6" s="1"/>
  <c r="T266" i="6"/>
  <c r="V266" i="6" s="1"/>
  <c r="T274" i="6"/>
  <c r="V274" i="6" s="1"/>
  <c r="T282" i="6"/>
  <c r="V282" i="6" s="1"/>
  <c r="T290" i="6"/>
  <c r="V290" i="6" s="1"/>
  <c r="T298" i="6"/>
  <c r="V298" i="6" s="1"/>
  <c r="T306" i="6"/>
  <c r="V306" i="6" s="1"/>
  <c r="T314" i="6"/>
  <c r="V314" i="6" s="1"/>
  <c r="T322" i="6"/>
  <c r="V322" i="6" s="1"/>
  <c r="T330" i="6"/>
  <c r="V330" i="6" s="1"/>
  <c r="T338" i="6"/>
  <c r="V338" i="6" s="1"/>
  <c r="T346" i="6"/>
  <c r="V346" i="6" s="1"/>
  <c r="T354" i="6"/>
  <c r="V354" i="6" s="1"/>
  <c r="T362" i="6"/>
  <c r="V362" i="6" s="1"/>
  <c r="T370" i="6"/>
  <c r="T378" i="6"/>
  <c r="T386" i="6"/>
  <c r="T394" i="6"/>
  <c r="T402" i="6"/>
  <c r="T410" i="6"/>
  <c r="T418" i="6"/>
  <c r="T426" i="6"/>
  <c r="T434" i="6"/>
  <c r="T442" i="6"/>
  <c r="T450" i="6"/>
  <c r="T458" i="6"/>
  <c r="V458" i="6" s="1"/>
  <c r="T466" i="6"/>
  <c r="V466" i="6" s="1"/>
  <c r="T474" i="6"/>
  <c r="V474" i="6" s="1"/>
  <c r="T482" i="6"/>
  <c r="V482" i="6" s="1"/>
  <c r="C7" i="6"/>
  <c r="C7" i="17" s="1"/>
  <c r="C8" i="17" s="1"/>
  <c r="C231" i="17" s="1"/>
  <c r="L265" i="6"/>
  <c r="L273" i="6"/>
  <c r="L281" i="6"/>
  <c r="L289" i="6"/>
  <c r="L297" i="6"/>
  <c r="L305" i="6"/>
  <c r="L313" i="6"/>
  <c r="L321" i="6"/>
  <c r="L329" i="6"/>
  <c r="L337" i="6"/>
  <c r="L345" i="6"/>
  <c r="L353" i="6"/>
  <c r="L361" i="6"/>
  <c r="T195" i="6"/>
  <c r="V195" i="6" s="1"/>
  <c r="T203" i="6"/>
  <c r="V203" i="6" s="1"/>
  <c r="T211" i="6"/>
  <c r="V211" i="6" s="1"/>
  <c r="T219" i="6"/>
  <c r="V219" i="6" s="1"/>
  <c r="T227" i="6"/>
  <c r="V227" i="6" s="1"/>
  <c r="T235" i="6"/>
  <c r="V235" i="6" s="1"/>
  <c r="T243" i="6"/>
  <c r="V243" i="6" s="1"/>
  <c r="T251" i="6"/>
  <c r="V251" i="6" s="1"/>
  <c r="T259" i="6"/>
  <c r="V259" i="6" s="1"/>
  <c r="T267" i="6"/>
  <c r="V267" i="6" s="1"/>
  <c r="T275" i="6"/>
  <c r="V275" i="6" s="1"/>
  <c r="T283" i="6"/>
  <c r="V283" i="6" s="1"/>
  <c r="T291" i="6"/>
  <c r="V291" i="6" s="1"/>
  <c r="T299" i="6"/>
  <c r="V299" i="6" s="1"/>
  <c r="T307" i="6"/>
  <c r="V307" i="6" s="1"/>
  <c r="T315" i="6"/>
  <c r="V315" i="6" s="1"/>
  <c r="T323" i="6"/>
  <c r="V323" i="6" s="1"/>
  <c r="T331" i="6"/>
  <c r="V331" i="6" s="1"/>
  <c r="T339" i="6"/>
  <c r="V339" i="6" s="1"/>
  <c r="T347" i="6"/>
  <c r="V347" i="6" s="1"/>
  <c r="T355" i="6"/>
  <c r="V355" i="6" s="1"/>
  <c r="T363" i="6"/>
  <c r="V363" i="6" s="1"/>
  <c r="T371" i="6"/>
  <c r="V371" i="6" s="1"/>
  <c r="T379" i="6"/>
  <c r="V379" i="6" s="1"/>
  <c r="T387" i="6"/>
  <c r="V387" i="6" s="1"/>
  <c r="T395" i="6"/>
  <c r="V395" i="6" s="1"/>
  <c r="T403" i="6"/>
  <c r="V403" i="6" s="1"/>
  <c r="T411" i="6"/>
  <c r="T419" i="6"/>
  <c r="V419" i="6" s="1"/>
  <c r="T427" i="6"/>
  <c r="T435" i="6"/>
  <c r="V435" i="6" s="1"/>
  <c r="T443" i="6"/>
  <c r="V443" i="6" s="1"/>
  <c r="T451" i="6"/>
  <c r="V451" i="6" s="1"/>
  <c r="T459" i="6"/>
  <c r="V459" i="6" s="1"/>
  <c r="T467" i="6"/>
  <c r="V467" i="6" s="1"/>
  <c r="T475" i="6"/>
  <c r="V475" i="6" s="1"/>
  <c r="T483" i="6"/>
  <c r="V483" i="6" s="1"/>
  <c r="L266" i="6"/>
  <c r="L274" i="6"/>
  <c r="L282" i="6"/>
  <c r="L290" i="6"/>
  <c r="L298" i="6"/>
  <c r="L306" i="6"/>
  <c r="L314" i="6"/>
  <c r="L322" i="6"/>
  <c r="L330" i="6"/>
  <c r="L338" i="6"/>
  <c r="L346" i="6"/>
  <c r="L354" i="6"/>
  <c r="T188" i="6"/>
  <c r="V188" i="6" s="1"/>
  <c r="T196" i="6"/>
  <c r="V196" i="6" s="1"/>
  <c r="T204" i="6"/>
  <c r="V204" i="6" s="1"/>
  <c r="T212" i="6"/>
  <c r="V212" i="6" s="1"/>
  <c r="T220" i="6"/>
  <c r="V220" i="6" s="1"/>
  <c r="T228" i="6"/>
  <c r="V228" i="6" s="1"/>
  <c r="T236" i="6"/>
  <c r="V236" i="6" s="1"/>
  <c r="T244" i="6"/>
  <c r="V244" i="6" s="1"/>
  <c r="T252" i="6"/>
  <c r="V252" i="6" s="1"/>
  <c r="T260" i="6"/>
  <c r="V260" i="6" s="1"/>
  <c r="T268" i="6"/>
  <c r="V268" i="6" s="1"/>
  <c r="T276" i="6"/>
  <c r="V276" i="6" s="1"/>
  <c r="T284" i="6"/>
  <c r="V284" i="6" s="1"/>
  <c r="T292" i="6"/>
  <c r="V292" i="6" s="1"/>
  <c r="T300" i="6"/>
  <c r="V300" i="6" s="1"/>
  <c r="T308" i="6"/>
  <c r="V308" i="6" s="1"/>
  <c r="T316" i="6"/>
  <c r="V316" i="6" s="1"/>
  <c r="T324" i="6"/>
  <c r="V324" i="6" s="1"/>
  <c r="T332" i="6"/>
  <c r="V332" i="6" s="1"/>
  <c r="T340" i="6"/>
  <c r="V340" i="6" s="1"/>
  <c r="T348" i="6"/>
  <c r="V348" i="6" s="1"/>
  <c r="T356" i="6"/>
  <c r="V356" i="6" s="1"/>
  <c r="T364" i="6"/>
  <c r="V364" i="6" s="1"/>
  <c r="T372" i="6"/>
  <c r="V372" i="6" s="1"/>
  <c r="T380" i="6"/>
  <c r="V380" i="6" s="1"/>
  <c r="T388" i="6"/>
  <c r="V388" i="6" s="1"/>
  <c r="T396" i="6"/>
  <c r="T404" i="6"/>
  <c r="V404" i="6" s="1"/>
  <c r="T412" i="6"/>
  <c r="T420" i="6"/>
  <c r="V420" i="6" s="1"/>
  <c r="T428" i="6"/>
  <c r="V428" i="6" s="1"/>
  <c r="T436" i="6"/>
  <c r="V436" i="6" s="1"/>
  <c r="T444" i="6"/>
  <c r="V444" i="6" s="1"/>
  <c r="T452" i="6"/>
  <c r="V452" i="6" s="1"/>
  <c r="T460" i="6"/>
  <c r="T468" i="6"/>
  <c r="V468" i="6" s="1"/>
  <c r="T476" i="6"/>
  <c r="V476" i="6" s="1"/>
  <c r="T484" i="6"/>
  <c r="V484" i="6" s="1"/>
  <c r="L267" i="6"/>
  <c r="L275" i="6"/>
  <c r="L283" i="6"/>
  <c r="L291" i="6"/>
  <c r="L299" i="6"/>
  <c r="L307" i="6"/>
  <c r="L315" i="6"/>
  <c r="L323" i="6"/>
  <c r="L331" i="6"/>
  <c r="L339" i="6"/>
  <c r="L347" i="6"/>
  <c r="L355" i="6"/>
  <c r="T189" i="6"/>
  <c r="V189" i="6" s="1"/>
  <c r="T197" i="6"/>
  <c r="V197" i="6" s="1"/>
  <c r="T205" i="6"/>
  <c r="V205" i="6" s="1"/>
  <c r="T213" i="6"/>
  <c r="V213" i="6" s="1"/>
  <c r="T221" i="6"/>
  <c r="V221" i="6" s="1"/>
  <c r="T229" i="6"/>
  <c r="V229" i="6" s="1"/>
  <c r="T237" i="6"/>
  <c r="V237" i="6" s="1"/>
  <c r="T245" i="6"/>
  <c r="V245" i="6" s="1"/>
  <c r="T253" i="6"/>
  <c r="V253" i="6" s="1"/>
  <c r="T261" i="6"/>
  <c r="V261" i="6" s="1"/>
  <c r="T269" i="6"/>
  <c r="V269" i="6" s="1"/>
  <c r="T277" i="6"/>
  <c r="V277" i="6" s="1"/>
  <c r="T285" i="6"/>
  <c r="V285" i="6" s="1"/>
  <c r="T293" i="6"/>
  <c r="V293" i="6" s="1"/>
  <c r="T301" i="6"/>
  <c r="V301" i="6" s="1"/>
  <c r="T200" i="6"/>
  <c r="V200" i="6" s="1"/>
  <c r="T216" i="6"/>
  <c r="V216" i="6" s="1"/>
  <c r="T232" i="6"/>
  <c r="V232" i="6" s="1"/>
  <c r="T248" i="6"/>
  <c r="V248" i="6" s="1"/>
  <c r="T264" i="6"/>
  <c r="V264" i="6" s="1"/>
  <c r="T280" i="6"/>
  <c r="V280" i="6" s="1"/>
  <c r="T296" i="6"/>
  <c r="V296" i="6" s="1"/>
  <c r="T311" i="6"/>
  <c r="V311" i="6" s="1"/>
  <c r="T325" i="6"/>
  <c r="V325" i="6" s="1"/>
  <c r="T336" i="6"/>
  <c r="V336" i="6" s="1"/>
  <c r="T350" i="6"/>
  <c r="V350" i="6" s="1"/>
  <c r="T361" i="6"/>
  <c r="V361" i="6" s="1"/>
  <c r="T375" i="6"/>
  <c r="T389" i="6"/>
  <c r="T400" i="6"/>
  <c r="T414" i="6"/>
  <c r="V414" i="6" s="1"/>
  <c r="T425" i="6"/>
  <c r="V425" i="6" s="1"/>
  <c r="T439" i="6"/>
  <c r="T453" i="6"/>
  <c r="T464" i="6"/>
  <c r="T478" i="6"/>
  <c r="V478" i="6" s="1"/>
  <c r="T187" i="6"/>
  <c r="V187" i="6" s="1"/>
  <c r="L271" i="6"/>
  <c r="L285" i="6"/>
  <c r="L296" i="6"/>
  <c r="L310" i="6"/>
  <c r="L324" i="6"/>
  <c r="L335" i="6"/>
  <c r="L349" i="6"/>
  <c r="L360" i="6"/>
  <c r="T201" i="6"/>
  <c r="V201" i="6" s="1"/>
  <c r="T217" i="6"/>
  <c r="V217" i="6" s="1"/>
  <c r="T233" i="6"/>
  <c r="V233" i="6" s="1"/>
  <c r="T249" i="6"/>
  <c r="V249" i="6" s="1"/>
  <c r="T265" i="6"/>
  <c r="V265" i="6" s="1"/>
  <c r="T281" i="6"/>
  <c r="V281" i="6" s="1"/>
  <c r="T297" i="6"/>
  <c r="V297" i="6" s="1"/>
  <c r="T312" i="6"/>
  <c r="V312" i="6" s="1"/>
  <c r="T326" i="6"/>
  <c r="V326" i="6" s="1"/>
  <c r="T337" i="6"/>
  <c r="V337" i="6" s="1"/>
  <c r="T351" i="6"/>
  <c r="V351" i="6" s="1"/>
  <c r="T365" i="6"/>
  <c r="V365" i="6" s="1"/>
  <c r="T376" i="6"/>
  <c r="T390" i="6"/>
  <c r="T401" i="6"/>
  <c r="T415" i="6"/>
  <c r="V415" i="6" s="1"/>
  <c r="T429" i="6"/>
  <c r="V429" i="6" s="1"/>
  <c r="T440" i="6"/>
  <c r="V440" i="6" s="1"/>
  <c r="T454" i="6"/>
  <c r="V454" i="6" s="1"/>
  <c r="T465" i="6"/>
  <c r="T479" i="6"/>
  <c r="V479" i="6" s="1"/>
  <c r="L261" i="6"/>
  <c r="L272" i="6"/>
  <c r="L286" i="6"/>
  <c r="L300" i="6"/>
  <c r="L311" i="6"/>
  <c r="L325" i="6"/>
  <c r="L336" i="6"/>
  <c r="L350" i="6"/>
  <c r="T190" i="6"/>
  <c r="V190" i="6" s="1"/>
  <c r="T206" i="6"/>
  <c r="V206" i="6" s="1"/>
  <c r="T222" i="6"/>
  <c r="V222" i="6" s="1"/>
  <c r="T238" i="6"/>
  <c r="V238" i="6" s="1"/>
  <c r="T254" i="6"/>
  <c r="V254" i="6" s="1"/>
  <c r="T270" i="6"/>
  <c r="V270" i="6" s="1"/>
  <c r="T286" i="6"/>
  <c r="V286" i="6" s="1"/>
  <c r="T302" i="6"/>
  <c r="V302" i="6" s="1"/>
  <c r="T313" i="6"/>
  <c r="V313" i="6" s="1"/>
  <c r="T327" i="6"/>
  <c r="V327" i="6" s="1"/>
  <c r="T341" i="6"/>
  <c r="V341" i="6" s="1"/>
  <c r="T352" i="6"/>
  <c r="V352" i="6" s="1"/>
  <c r="T366" i="6"/>
  <c r="V366" i="6" s="1"/>
  <c r="T377" i="6"/>
  <c r="V377" i="6" s="1"/>
  <c r="T391" i="6"/>
  <c r="T405" i="6"/>
  <c r="T416" i="6"/>
  <c r="T430" i="6"/>
  <c r="T441" i="6"/>
  <c r="V441" i="6" s="1"/>
  <c r="T455" i="6"/>
  <c r="V455" i="6" s="1"/>
  <c r="T469" i="6"/>
  <c r="V469" i="6" s="1"/>
  <c r="T480" i="6"/>
  <c r="V480" i="6" s="1"/>
  <c r="L262" i="6"/>
  <c r="L276" i="6"/>
  <c r="L287" i="6"/>
  <c r="L301" i="6"/>
  <c r="L312" i="6"/>
  <c r="L326" i="6"/>
  <c r="L340" i="6"/>
  <c r="L351" i="6"/>
  <c r="T191" i="6"/>
  <c r="V191" i="6" s="1"/>
  <c r="T207" i="6"/>
  <c r="V207" i="6" s="1"/>
  <c r="T214" i="6"/>
  <c r="V214" i="6" s="1"/>
  <c r="T240" i="6"/>
  <c r="V240" i="6" s="1"/>
  <c r="T263" i="6"/>
  <c r="V263" i="6" s="1"/>
  <c r="T289" i="6"/>
  <c r="V289" i="6" s="1"/>
  <c r="T317" i="6"/>
  <c r="V317" i="6" s="1"/>
  <c r="T334" i="6"/>
  <c r="V334" i="6" s="1"/>
  <c r="T357" i="6"/>
  <c r="V357" i="6" s="1"/>
  <c r="T374" i="6"/>
  <c r="V374" i="6" s="1"/>
  <c r="T397" i="6"/>
  <c r="T417" i="6"/>
  <c r="T437" i="6"/>
  <c r="T457" i="6"/>
  <c r="V457" i="6" s="1"/>
  <c r="T477" i="6"/>
  <c r="V477" i="6" s="1"/>
  <c r="L277" i="6"/>
  <c r="L294" i="6"/>
  <c r="L317" i="6"/>
  <c r="L334" i="6"/>
  <c r="L357" i="6"/>
  <c r="T192" i="6"/>
  <c r="V192" i="6" s="1"/>
  <c r="T223" i="6"/>
  <c r="V223" i="6" s="1"/>
  <c r="T246" i="6"/>
  <c r="V246" i="6" s="1"/>
  <c r="T272" i="6"/>
  <c r="V272" i="6" s="1"/>
  <c r="T295" i="6"/>
  <c r="V295" i="6" s="1"/>
  <c r="T319" i="6"/>
  <c r="V319" i="6" s="1"/>
  <c r="T342" i="6"/>
  <c r="V342" i="6" s="1"/>
  <c r="T359" i="6"/>
  <c r="V359" i="6" s="1"/>
  <c r="T382" i="6"/>
  <c r="T399" i="6"/>
  <c r="V399" i="6" s="1"/>
  <c r="T422" i="6"/>
  <c r="V422" i="6" s="1"/>
  <c r="T445" i="6"/>
  <c r="V445" i="6" s="1"/>
  <c r="T462" i="6"/>
  <c r="T485" i="6"/>
  <c r="V485" i="6" s="1"/>
  <c r="L279" i="6"/>
  <c r="L302" i="6"/>
  <c r="L319" i="6"/>
  <c r="L342" i="6"/>
  <c r="L359" i="6"/>
  <c r="T193" i="6"/>
  <c r="V193" i="6" s="1"/>
  <c r="T224" i="6"/>
  <c r="V224" i="6" s="1"/>
  <c r="T247" i="6"/>
  <c r="V247" i="6" s="1"/>
  <c r="T273" i="6"/>
  <c r="V273" i="6" s="1"/>
  <c r="T303" i="6"/>
  <c r="V303" i="6" s="1"/>
  <c r="T320" i="6"/>
  <c r="V320" i="6" s="1"/>
  <c r="T343" i="6"/>
  <c r="V343" i="6" s="1"/>
  <c r="T360" i="6"/>
  <c r="V360" i="6" s="1"/>
  <c r="T383" i="6"/>
  <c r="V383" i="6" s="1"/>
  <c r="T406" i="6"/>
  <c r="T423" i="6"/>
  <c r="V423" i="6" s="1"/>
  <c r="T446" i="6"/>
  <c r="T463" i="6"/>
  <c r="V463" i="6" s="1"/>
  <c r="T486" i="6"/>
  <c r="V486" i="6" s="1"/>
  <c r="L263" i="6"/>
  <c r="L280" i="6"/>
  <c r="L303" i="6"/>
  <c r="L320" i="6"/>
  <c r="L343" i="6"/>
  <c r="T198" i="6"/>
  <c r="V198" i="6" s="1"/>
  <c r="T225" i="6"/>
  <c r="V225" i="6" s="1"/>
  <c r="T255" i="6"/>
  <c r="V255" i="6" s="1"/>
  <c r="T278" i="6"/>
  <c r="V278" i="6" s="1"/>
  <c r="T304" i="6"/>
  <c r="V304" i="6" s="1"/>
  <c r="T321" i="6"/>
  <c r="V321" i="6" s="1"/>
  <c r="T344" i="6"/>
  <c r="V344" i="6" s="1"/>
  <c r="T215" i="6"/>
  <c r="V215" i="6" s="1"/>
  <c r="T241" i="6"/>
  <c r="V241" i="6" s="1"/>
  <c r="T271" i="6"/>
  <c r="V271" i="6" s="1"/>
  <c r="T294" i="6"/>
  <c r="V294" i="6" s="1"/>
  <c r="T318" i="6"/>
  <c r="V318" i="6" s="1"/>
  <c r="T335" i="6"/>
  <c r="V335" i="6" s="1"/>
  <c r="T358" i="6"/>
  <c r="V358" i="6" s="1"/>
  <c r="T381" i="6"/>
  <c r="T398" i="6"/>
  <c r="T421" i="6"/>
  <c r="T438" i="6"/>
  <c r="T461" i="6"/>
  <c r="T481" i="6"/>
  <c r="V481" i="6" s="1"/>
  <c r="L278" i="6"/>
  <c r="L295" i="6"/>
  <c r="L318" i="6"/>
  <c r="L341" i="6"/>
  <c r="L358" i="6"/>
  <c r="T256" i="6"/>
  <c r="V256" i="6" s="1"/>
  <c r="T310" i="6"/>
  <c r="V310" i="6" s="1"/>
  <c r="T368" i="6"/>
  <c r="V368" i="6" s="1"/>
  <c r="T408" i="6"/>
  <c r="T448" i="6"/>
  <c r="V448" i="6" s="1"/>
  <c r="T488" i="6"/>
  <c r="V488" i="6" s="1"/>
  <c r="L264" i="6"/>
  <c r="L304" i="6"/>
  <c r="L344" i="6"/>
  <c r="T257" i="6"/>
  <c r="V257" i="6" s="1"/>
  <c r="T328" i="6"/>
  <c r="V328" i="6" s="1"/>
  <c r="T369" i="6"/>
  <c r="V369" i="6" s="1"/>
  <c r="T409" i="6"/>
  <c r="V409" i="6" s="1"/>
  <c r="T449" i="6"/>
  <c r="L268" i="6"/>
  <c r="L308" i="6"/>
  <c r="L348" i="6"/>
  <c r="T199" i="6"/>
  <c r="V199" i="6" s="1"/>
  <c r="T262" i="6"/>
  <c r="V262" i="6" s="1"/>
  <c r="T329" i="6"/>
  <c r="V329" i="6" s="1"/>
  <c r="T373" i="6"/>
  <c r="V373" i="6" s="1"/>
  <c r="T413" i="6"/>
  <c r="T456" i="6"/>
  <c r="L269" i="6"/>
  <c r="L309" i="6"/>
  <c r="L352" i="6"/>
  <c r="T208" i="6"/>
  <c r="V208" i="6" s="1"/>
  <c r="T279" i="6"/>
  <c r="V279" i="6" s="1"/>
  <c r="T333" i="6"/>
  <c r="V333" i="6" s="1"/>
  <c r="T384" i="6"/>
  <c r="T424" i="6"/>
  <c r="T470" i="6"/>
  <c r="V470" i="6" s="1"/>
  <c r="L270" i="6"/>
  <c r="L316" i="6"/>
  <c r="L356" i="6"/>
  <c r="T209" i="6"/>
  <c r="V209" i="6" s="1"/>
  <c r="T287" i="6"/>
  <c r="V287" i="6" s="1"/>
  <c r="T345" i="6"/>
  <c r="V345" i="6" s="1"/>
  <c r="T385" i="6"/>
  <c r="T431" i="6"/>
  <c r="T471" i="6"/>
  <c r="V471" i="6" s="1"/>
  <c r="L284" i="6"/>
  <c r="L327" i="6"/>
  <c r="T230" i="6"/>
  <c r="V230" i="6" s="1"/>
  <c r="T288" i="6"/>
  <c r="V288" i="6" s="1"/>
  <c r="T349" i="6"/>
  <c r="V349" i="6" s="1"/>
  <c r="T392" i="6"/>
  <c r="V392" i="6" s="1"/>
  <c r="T432" i="6"/>
  <c r="T472" i="6"/>
  <c r="V472" i="6" s="1"/>
  <c r="L288" i="6"/>
  <c r="L328" i="6"/>
  <c r="T231" i="6"/>
  <c r="V231" i="6" s="1"/>
  <c r="T305" i="6"/>
  <c r="V305" i="6" s="1"/>
  <c r="T353" i="6"/>
  <c r="V353" i="6" s="1"/>
  <c r="T393" i="6"/>
  <c r="T433" i="6"/>
  <c r="T473" i="6"/>
  <c r="V473" i="6" s="1"/>
  <c r="L292" i="6"/>
  <c r="L332" i="6"/>
  <c r="T239" i="6"/>
  <c r="V239" i="6" s="1"/>
  <c r="T309" i="6"/>
  <c r="V309" i="6" s="1"/>
  <c r="T367" i="6"/>
  <c r="V367" i="6" s="1"/>
  <c r="T407" i="6"/>
  <c r="T447" i="6"/>
  <c r="T487" i="6"/>
  <c r="V487" i="6" s="1"/>
  <c r="L293" i="6"/>
  <c r="L333" i="6"/>
  <c r="C19" i="28"/>
  <c r="C55" i="28"/>
  <c r="C56" i="28" s="1"/>
  <c r="C70" i="28" s="1"/>
  <c r="AO257" i="32"/>
  <c r="AQ257" i="32" s="1"/>
  <c r="AO260" i="32"/>
  <c r="AQ260" i="32" s="1"/>
  <c r="AO277" i="32"/>
  <c r="AQ277" i="32" s="1"/>
  <c r="AO303" i="32"/>
  <c r="AO297" i="32"/>
  <c r="AQ297" i="32" s="1"/>
  <c r="AO300" i="32"/>
  <c r="AQ300" i="32" s="1"/>
  <c r="AO306" i="32"/>
  <c r="AO309" i="32"/>
  <c r="AP309" i="32" s="1"/>
  <c r="AQ309" i="32" s="1"/>
  <c r="AO290" i="32"/>
  <c r="AQ290" i="32" s="1"/>
  <c r="AO293" i="32"/>
  <c r="AQ293" i="32" s="1"/>
  <c r="AO267" i="32"/>
  <c r="AQ267" i="32" s="1"/>
  <c r="AO270" i="32"/>
  <c r="AQ270" i="32" s="1"/>
  <c r="AO307" i="32"/>
  <c r="AP307" i="32" s="1"/>
  <c r="AQ307" i="32" s="1"/>
  <c r="AO311" i="32"/>
  <c r="AO288" i="32"/>
  <c r="AQ288" i="32" s="1"/>
  <c r="AO291" i="32"/>
  <c r="AQ291" i="32" s="1"/>
  <c r="AO305" i="32"/>
  <c r="AO278" i="32"/>
  <c r="AQ278" i="32" s="1"/>
  <c r="AO298" i="32"/>
  <c r="AQ298" i="32" s="1"/>
  <c r="AO258" i="32"/>
  <c r="AQ258" i="32" s="1"/>
  <c r="AO295" i="32"/>
  <c r="AQ295" i="32" s="1"/>
  <c r="AO255" i="32"/>
  <c r="AQ255" i="32" s="1"/>
  <c r="AO286" i="32"/>
  <c r="AQ286" i="32" s="1"/>
  <c r="AO272" i="32"/>
  <c r="AQ272" i="32" s="1"/>
  <c r="AO283" i="32"/>
  <c r="AQ283" i="32" s="1"/>
  <c r="AO269" i="32"/>
  <c r="AQ269" i="32" s="1"/>
  <c r="AO276" i="32"/>
  <c r="AQ276" i="32" s="1"/>
  <c r="C25" i="29"/>
  <c r="C14" i="20"/>
  <c r="X32" i="4"/>
  <c r="AO37" i="32"/>
  <c r="AP37" i="32" s="1"/>
  <c r="AO285" i="32"/>
  <c r="AQ285" i="32" s="1"/>
  <c r="AO280" i="32"/>
  <c r="AQ280" i="32" s="1"/>
  <c r="AO296" i="32"/>
  <c r="AQ296" i="32" s="1"/>
  <c r="AO292" i="32"/>
  <c r="AQ292" i="32" s="1"/>
  <c r="AB32" i="4"/>
  <c r="D36" i="29"/>
  <c r="D38" i="29" s="1"/>
  <c r="D5" i="9"/>
  <c r="D34" i="9" s="1"/>
  <c r="C17" i="20"/>
  <c r="C4" i="20"/>
  <c r="C6" i="34"/>
  <c r="AO32" i="32"/>
  <c r="AP32" i="32" s="1"/>
  <c r="AO302" i="32"/>
  <c r="AQ302" i="32" s="1"/>
  <c r="AO273" i="32"/>
  <c r="AQ273" i="32" s="1"/>
  <c r="AO289" i="32"/>
  <c r="AQ289" i="32" s="1"/>
  <c r="AO281" i="32"/>
  <c r="AQ281" i="32" s="1"/>
  <c r="AO39" i="32"/>
  <c r="AP39" i="32" s="1"/>
  <c r="C55" i="33"/>
  <c r="D7" i="32"/>
  <c r="H228" i="32" s="1"/>
  <c r="C3" i="19"/>
  <c r="C5" i="14"/>
  <c r="Y32" i="4"/>
  <c r="AO36" i="32"/>
  <c r="AP36" i="32" s="1"/>
  <c r="AO279" i="32"/>
  <c r="AQ279" i="32" s="1"/>
  <c r="AO264" i="32"/>
  <c r="AQ264" i="32" s="1"/>
  <c r="AO254" i="32"/>
  <c r="AQ254" i="32" s="1"/>
  <c r="AO284" i="32"/>
  <c r="AQ284" i="32" s="1"/>
  <c r="AO274" i="32"/>
  <c r="AQ274" i="32" s="1"/>
  <c r="Y58" i="22"/>
  <c r="Y60" i="22"/>
  <c r="Y62" i="22"/>
  <c r="Y47" i="22"/>
  <c r="Y31" i="22"/>
  <c r="Y68" i="22"/>
  <c r="Y86" i="22"/>
  <c r="Y37" i="22"/>
  <c r="Y21" i="22"/>
  <c r="Y15" i="22"/>
  <c r="Y12" i="22"/>
  <c r="AO29" i="32"/>
  <c r="AP29" i="32" s="1"/>
  <c r="AO304" i="32"/>
  <c r="AP304" i="32" s="1"/>
  <c r="AO31" i="32"/>
  <c r="AP31" i="32" s="1"/>
  <c r="AO259" i="32"/>
  <c r="AQ259" i="32" s="1"/>
  <c r="AO312" i="32"/>
  <c r="AO282" i="32"/>
  <c r="AQ282" i="32" s="1"/>
  <c r="AO265" i="32"/>
  <c r="AQ265" i="32" s="1"/>
  <c r="AK33" i="4"/>
  <c r="Q32" i="4"/>
  <c r="AJ33" i="4"/>
  <c r="AJ34" i="4" s="1"/>
  <c r="AL33" i="4"/>
  <c r="AJ32" i="4"/>
  <c r="AJ30" i="4" s="1"/>
  <c r="AL32" i="4"/>
  <c r="AM33" i="4"/>
  <c r="H84" i="16"/>
  <c r="F184" i="16"/>
  <c r="F99" i="16"/>
  <c r="F188" i="16"/>
  <c r="P361" i="16"/>
  <c r="Q361" i="16" s="1"/>
  <c r="P337" i="16"/>
  <c r="Q337" i="16" s="1"/>
  <c r="P345" i="16"/>
  <c r="Q345" i="16" s="1"/>
  <c r="P256" i="16"/>
  <c r="Q256" i="16" s="1"/>
  <c r="R256" i="16" s="1"/>
  <c r="P218" i="16"/>
  <c r="Q218" i="16" s="1"/>
  <c r="R218" i="16" s="1"/>
  <c r="F210" i="16"/>
  <c r="P354" i="16"/>
  <c r="Q354" i="16" s="1"/>
  <c r="P352" i="16"/>
  <c r="Q352" i="16" s="1"/>
  <c r="P270" i="16"/>
  <c r="Q270" i="16" s="1"/>
  <c r="P160" i="16"/>
  <c r="Q160" i="16" s="1"/>
  <c r="P358" i="16"/>
  <c r="Q358" i="16" s="1"/>
  <c r="R358" i="16" s="1"/>
  <c r="F234" i="16"/>
  <c r="F301" i="32"/>
  <c r="F140" i="32"/>
  <c r="F79" i="6"/>
  <c r="F80" i="6" s="1"/>
  <c r="P330" i="16"/>
  <c r="Q330" i="16" s="1"/>
  <c r="P329" i="16"/>
  <c r="Q329" i="16" s="1"/>
  <c r="R329" i="16" s="1"/>
  <c r="P328" i="16"/>
  <c r="Q328" i="16" s="1"/>
  <c r="P363" i="16"/>
  <c r="Q363" i="16" s="1"/>
  <c r="R363" i="16" s="1"/>
  <c r="P338" i="16"/>
  <c r="Q338" i="16" s="1"/>
  <c r="R338" i="16" s="1"/>
  <c r="P342" i="16"/>
  <c r="Q342" i="16" s="1"/>
  <c r="R342" i="16" s="1"/>
  <c r="P344" i="16"/>
  <c r="Q344" i="16" s="1"/>
  <c r="R344" i="16" s="1"/>
  <c r="P356" i="16"/>
  <c r="Q356" i="16" s="1"/>
  <c r="P353" i="16"/>
  <c r="Q353" i="16" s="1"/>
  <c r="P368" i="16"/>
  <c r="Q368" i="16" s="1"/>
  <c r="P367" i="16"/>
  <c r="Q367" i="16" s="1"/>
  <c r="R367" i="16" s="1"/>
  <c r="P359" i="16"/>
  <c r="Q359" i="16" s="1"/>
  <c r="R359" i="16" s="1"/>
  <c r="P350" i="16"/>
  <c r="Q350" i="16" s="1"/>
  <c r="R350" i="16" s="1"/>
  <c r="P335" i="16"/>
  <c r="Q335" i="16" s="1"/>
  <c r="R335" i="16" s="1"/>
  <c r="P360" i="16"/>
  <c r="Q360" i="16" s="1"/>
  <c r="R360" i="16" s="1"/>
  <c r="P369" i="16"/>
  <c r="Q369" i="16" s="1"/>
  <c r="R369" i="16" s="1"/>
  <c r="P336" i="16"/>
  <c r="Q336" i="16" s="1"/>
  <c r="P339" i="16"/>
  <c r="Q339" i="16" s="1"/>
  <c r="R339" i="16" s="1"/>
  <c r="F311" i="32"/>
  <c r="F54" i="32"/>
  <c r="F186" i="32"/>
  <c r="F153" i="32"/>
  <c r="F52" i="32"/>
  <c r="F135" i="32"/>
  <c r="F194" i="32"/>
  <c r="F249" i="32"/>
  <c r="F122" i="32"/>
  <c r="F205" i="32"/>
  <c r="F256" i="32"/>
  <c r="F300" i="32"/>
  <c r="F156" i="32"/>
  <c r="F220" i="32"/>
  <c r="F304" i="32"/>
  <c r="F251" i="32"/>
  <c r="F253" i="32"/>
  <c r="F171" i="32"/>
  <c r="F219" i="32"/>
  <c r="F48" i="32"/>
  <c r="F128" i="32"/>
  <c r="F94" i="32"/>
  <c r="F191" i="32"/>
  <c r="F254" i="32"/>
  <c r="F70" i="32"/>
  <c r="F221" i="32"/>
  <c r="F224" i="32"/>
  <c r="F143" i="32"/>
  <c r="F175" i="32"/>
  <c r="F231" i="32"/>
  <c r="F98" i="32"/>
  <c r="F38" i="32"/>
  <c r="F272" i="32"/>
  <c r="F255" i="32"/>
  <c r="F34" i="32"/>
  <c r="F160" i="32"/>
  <c r="F287" i="32"/>
  <c r="F206" i="32"/>
  <c r="F157" i="32"/>
  <c r="F274" i="32"/>
  <c r="F234" i="32"/>
  <c r="F105" i="32"/>
  <c r="F126" i="32"/>
  <c r="F201" i="32"/>
  <c r="F141" i="32"/>
  <c r="F161" i="32"/>
  <c r="F239" i="32"/>
  <c r="F30" i="32"/>
  <c r="F286" i="32"/>
  <c r="F295" i="32"/>
  <c r="F133" i="32"/>
  <c r="F294" i="32"/>
  <c r="F112" i="32"/>
  <c r="F51" i="32"/>
  <c r="F134" i="32"/>
  <c r="F184" i="32"/>
  <c r="F281" i="32"/>
  <c r="F149" i="32"/>
  <c r="F268" i="32"/>
  <c r="F243" i="32"/>
  <c r="F174" i="32"/>
  <c r="F257" i="32"/>
  <c r="F210" i="32"/>
  <c r="F229" i="32"/>
  <c r="F113" i="32"/>
  <c r="F86" i="32"/>
  <c r="F203" i="32"/>
  <c r="F170" i="32"/>
  <c r="F213" i="32"/>
  <c r="P86" i="32"/>
  <c r="Q86" i="32" s="1"/>
  <c r="F27" i="32"/>
  <c r="F158" i="32"/>
  <c r="F284" i="32"/>
  <c r="F225" i="32"/>
  <c r="P38" i="32"/>
  <c r="Q38" i="32" s="1"/>
  <c r="R38" i="32" s="1"/>
  <c r="F214" i="32"/>
  <c r="P51" i="32"/>
  <c r="Q51" i="32" s="1"/>
  <c r="R51" i="32" s="1"/>
  <c r="F303" i="32"/>
  <c r="F307" i="32"/>
  <c r="F248" i="32"/>
  <c r="F312" i="32"/>
  <c r="F309" i="32"/>
  <c r="F263" i="32"/>
  <c r="P286" i="32"/>
  <c r="Q286" i="32" s="1"/>
  <c r="R286" i="32" s="1"/>
  <c r="W286" i="32" s="1"/>
  <c r="F71" i="32"/>
  <c r="F192" i="32"/>
  <c r="P70" i="32"/>
  <c r="Q70" i="32" s="1"/>
  <c r="R70" i="32" s="1"/>
  <c r="P133" i="32"/>
  <c r="Q133" i="32" s="1"/>
  <c r="R133" i="32" s="1"/>
  <c r="T133" i="32" s="1"/>
  <c r="AK133" i="32" s="1"/>
  <c r="F209" i="32"/>
  <c r="F202" i="32"/>
  <c r="P267" i="32"/>
  <c r="Q267" i="32" s="1"/>
  <c r="R267" i="32" s="1"/>
  <c r="W267" i="32" s="1"/>
  <c r="G254" i="32"/>
  <c r="F127" i="32"/>
  <c r="F63" i="32"/>
  <c r="P295" i="32"/>
  <c r="Q295" i="32" s="1"/>
  <c r="R295" i="32" s="1"/>
  <c r="T295" i="32" s="1"/>
  <c r="AK295" i="32" s="1"/>
  <c r="G223" i="32"/>
  <c r="P271" i="32"/>
  <c r="Q271" i="32" s="1"/>
  <c r="R271" i="32" s="1"/>
  <c r="W271" i="32" s="1"/>
  <c r="P140" i="32"/>
  <c r="Q140" i="32" s="1"/>
  <c r="R140" i="32" s="1"/>
  <c r="P98" i="32"/>
  <c r="Q98" i="32" s="1"/>
  <c r="R98" i="32" s="1"/>
  <c r="P32" i="32"/>
  <c r="Q32" i="32" s="1"/>
  <c r="R32" i="32" s="1"/>
  <c r="P112" i="32"/>
  <c r="Q112" i="32" s="1"/>
  <c r="R112" i="32" s="1"/>
  <c r="P179" i="32"/>
  <c r="Q179" i="32" s="1"/>
  <c r="R179" i="32" s="1"/>
  <c r="P272" i="32"/>
  <c r="Q272" i="32" s="1"/>
  <c r="R272" i="32" s="1"/>
  <c r="F59" i="32"/>
  <c r="F91" i="32"/>
  <c r="F218" i="32"/>
  <c r="F68" i="32"/>
  <c r="P250" i="32"/>
  <c r="Q250" i="32" s="1"/>
  <c r="R250" i="32" s="1"/>
  <c r="F72" i="32"/>
  <c r="F173" i="32"/>
  <c r="P253" i="32"/>
  <c r="Q253" i="32" s="1"/>
  <c r="R253" i="32" s="1"/>
  <c r="P251" i="32"/>
  <c r="Q251" i="32" s="1"/>
  <c r="R251" i="32" s="1"/>
  <c r="F66" i="32"/>
  <c r="P225" i="32"/>
  <c r="Q225" i="32" s="1"/>
  <c r="R225" i="32" s="1"/>
  <c r="W225" i="32" s="1"/>
  <c r="H141" i="32"/>
  <c r="F130" i="32"/>
  <c r="P105" i="32"/>
  <c r="Q105" i="32" s="1"/>
  <c r="R105" i="32" s="1"/>
  <c r="F182" i="32"/>
  <c r="P259" i="32"/>
  <c r="Q259" i="32" s="1"/>
  <c r="R259" i="32" s="1"/>
  <c r="F193" i="32"/>
  <c r="F270" i="32"/>
  <c r="G60" i="32"/>
  <c r="H106" i="32"/>
  <c r="P79" i="32"/>
  <c r="Q79" i="32" s="1"/>
  <c r="R79" i="32" s="1"/>
  <c r="P231" i="32"/>
  <c r="Q231" i="32" s="1"/>
  <c r="R231" i="32" s="1"/>
  <c r="F118" i="32"/>
  <c r="P113" i="32"/>
  <c r="Q113" i="32" s="1"/>
  <c r="R113" i="32" s="1"/>
  <c r="F138" i="32"/>
  <c r="F241" i="32"/>
  <c r="P27" i="32"/>
  <c r="Q27" i="32" s="1"/>
  <c r="R27" i="32" s="1"/>
  <c r="P172" i="32"/>
  <c r="Q172" i="32" s="1"/>
  <c r="R172" i="32" s="1"/>
  <c r="F283" i="32"/>
  <c r="P255" i="32"/>
  <c r="Q255" i="32" s="1"/>
  <c r="R255" i="32" s="1"/>
  <c r="T255" i="32" s="1"/>
  <c r="AK255" i="32" s="1"/>
  <c r="P282" i="32"/>
  <c r="Q282" i="32" s="1"/>
  <c r="R282" i="32" s="1"/>
  <c r="F55" i="32"/>
  <c r="P175" i="32"/>
  <c r="Q175" i="32" s="1"/>
  <c r="R175" i="32" s="1"/>
  <c r="H129" i="32"/>
  <c r="G159" i="32"/>
  <c r="P153" i="32"/>
  <c r="Q153" i="32" s="1"/>
  <c r="R153" i="32" s="1"/>
  <c r="P126" i="32"/>
  <c r="Q126" i="32" s="1"/>
  <c r="R126" i="32" s="1"/>
  <c r="F102" i="32"/>
  <c r="G105" i="32"/>
  <c r="P284" i="32"/>
  <c r="Q284" i="32" s="1"/>
  <c r="R284" i="32" s="1"/>
  <c r="P143" i="32"/>
  <c r="Q143" i="32" s="1"/>
  <c r="R143" i="32" s="1"/>
  <c r="T143" i="32" s="1"/>
  <c r="AK143" i="32" s="1"/>
  <c r="G225" i="32"/>
  <c r="G135" i="32"/>
  <c r="P290" i="32"/>
  <c r="Q290" i="32" s="1"/>
  <c r="R290" i="32" s="1"/>
  <c r="F278" i="32"/>
  <c r="P280" i="32"/>
  <c r="Q280" i="32" s="1"/>
  <c r="R280" i="32" s="1"/>
  <c r="T280" i="32" s="1"/>
  <c r="AK280" i="32" s="1"/>
  <c r="H231" i="32"/>
  <c r="H91" i="32"/>
  <c r="P33" i="32"/>
  <c r="Q33" i="32" s="1"/>
  <c r="R33" i="32" s="1"/>
  <c r="P158" i="32"/>
  <c r="Q158" i="32" s="1"/>
  <c r="R158" i="32" s="1"/>
  <c r="F47" i="32"/>
  <c r="P89" i="32"/>
  <c r="Q89" i="32" s="1"/>
  <c r="R89" i="32" s="1"/>
  <c r="P186" i="32"/>
  <c r="Q186" i="32" s="1"/>
  <c r="R186" i="32" s="1"/>
  <c r="F145" i="32"/>
  <c r="H84" i="32"/>
  <c r="F258" i="32"/>
  <c r="H150" i="32"/>
  <c r="F116" i="32"/>
  <c r="P196" i="32"/>
  <c r="Q196" i="32" s="1"/>
  <c r="R196" i="32" s="1"/>
  <c r="T196" i="32" s="1"/>
  <c r="AK196" i="32" s="1"/>
  <c r="G97" i="32"/>
  <c r="G182" i="32"/>
  <c r="F150" i="32"/>
  <c r="P234" i="32"/>
  <c r="Q234" i="32" s="1"/>
  <c r="R234" i="32" s="1"/>
  <c r="F167" i="32"/>
  <c r="G155" i="32"/>
  <c r="P121" i="32"/>
  <c r="Q121" i="32" s="1"/>
  <c r="R121" i="32" s="1"/>
  <c r="P201" i="32"/>
  <c r="Q201" i="32" s="1"/>
  <c r="R201" i="32" s="1"/>
  <c r="W201" i="32" s="1"/>
  <c r="P161" i="32"/>
  <c r="Q161" i="32" s="1"/>
  <c r="R161" i="32" s="1"/>
  <c r="W161" i="32" s="1"/>
  <c r="F85" i="32"/>
  <c r="F178" i="32"/>
  <c r="H160" i="32"/>
  <c r="F96" i="32"/>
  <c r="P99" i="32"/>
  <c r="Q99" i="32" s="1"/>
  <c r="R99" i="32" s="1"/>
  <c r="G85" i="32"/>
  <c r="P220" i="32"/>
  <c r="Q220" i="32" s="1"/>
  <c r="R220" i="32" s="1"/>
  <c r="F53" i="32"/>
  <c r="P256" i="32"/>
  <c r="Q256" i="32" s="1"/>
  <c r="R256" i="32" s="1"/>
  <c r="H213" i="32"/>
  <c r="H269" i="32"/>
  <c r="H83" i="32"/>
  <c r="P30" i="32"/>
  <c r="Q30" i="32" s="1"/>
  <c r="R30" i="32" s="1"/>
  <c r="F292" i="32"/>
  <c r="F208" i="32"/>
  <c r="F92" i="32"/>
  <c r="P183" i="32"/>
  <c r="Q183" i="32" s="1"/>
  <c r="R183" i="32" s="1"/>
  <c r="G262" i="32"/>
  <c r="F228" i="32"/>
  <c r="G186" i="32"/>
  <c r="G48" i="32"/>
  <c r="H290" i="32"/>
  <c r="P122" i="32"/>
  <c r="Q122" i="32" s="1"/>
  <c r="R122" i="32" s="1"/>
  <c r="G30" i="32"/>
  <c r="F273" i="32"/>
  <c r="F217" i="32"/>
  <c r="F235" i="32"/>
  <c r="P84" i="32"/>
  <c r="Q84" i="32" s="1"/>
  <c r="R84" i="32" s="1"/>
  <c r="G272" i="32"/>
  <c r="H210" i="32"/>
  <c r="G138" i="32"/>
  <c r="G64" i="32"/>
  <c r="P298" i="32"/>
  <c r="Q298" i="32" s="1"/>
  <c r="R298" i="32" s="1"/>
  <c r="P274" i="32"/>
  <c r="Q274" i="32" s="1"/>
  <c r="R274" i="32" s="1"/>
  <c r="P206" i="32"/>
  <c r="Q206" i="32" s="1"/>
  <c r="R206" i="32" s="1"/>
  <c r="G38" i="32"/>
  <c r="F285" i="32"/>
  <c r="P136" i="32"/>
  <c r="Q136" i="32" s="1"/>
  <c r="R136" i="32" s="1"/>
  <c r="T136" i="32" s="1"/>
  <c r="AK136" i="32" s="1"/>
  <c r="F159" i="32"/>
  <c r="H295" i="32"/>
  <c r="G268" i="32"/>
  <c r="G88" i="32"/>
  <c r="G58" i="32"/>
  <c r="P109" i="32"/>
  <c r="Q109" i="32" s="1"/>
  <c r="R109" i="32" s="1"/>
  <c r="W109" i="32" s="1"/>
  <c r="P224" i="32"/>
  <c r="Q224" i="32" s="1"/>
  <c r="R224" i="32" s="1"/>
  <c r="T224" i="32" s="1"/>
  <c r="AK224" i="32" s="1"/>
  <c r="F132" i="32"/>
  <c r="P90" i="32"/>
  <c r="Q90" i="32" s="1"/>
  <c r="R90" i="32" s="1"/>
  <c r="H79" i="32"/>
  <c r="P194" i="32"/>
  <c r="Q194" i="32" s="1"/>
  <c r="R194" i="32" s="1"/>
  <c r="P269" i="32"/>
  <c r="Q269" i="32" s="1"/>
  <c r="R269" i="32" s="1"/>
  <c r="P176" i="32"/>
  <c r="Q176" i="32" s="1"/>
  <c r="R176" i="32" s="1"/>
  <c r="F187" i="32"/>
  <c r="P88" i="32"/>
  <c r="Q88" i="32" s="1"/>
  <c r="R88" i="32" s="1"/>
  <c r="P243" i="32"/>
  <c r="Q243" i="32" s="1"/>
  <c r="R243" i="32" s="1"/>
  <c r="F123" i="32"/>
  <c r="P275" i="32"/>
  <c r="Q275" i="32" s="1"/>
  <c r="R275" i="32" s="1"/>
  <c r="P174" i="32"/>
  <c r="Q174" i="32" s="1"/>
  <c r="R174" i="32" s="1"/>
  <c r="F56" i="32"/>
  <c r="P249" i="32"/>
  <c r="Q249" i="32" s="1"/>
  <c r="R249" i="32" s="1"/>
  <c r="T249" i="32" s="1"/>
  <c r="AK249" i="32" s="1"/>
  <c r="F152" i="32"/>
  <c r="P210" i="32"/>
  <c r="Q210" i="32" s="1"/>
  <c r="R210" i="32" s="1"/>
  <c r="P254" i="32"/>
  <c r="Q254" i="32" s="1"/>
  <c r="R254" i="32" s="1"/>
  <c r="T254" i="32" s="1"/>
  <c r="AK254" i="32" s="1"/>
  <c r="G107" i="32"/>
  <c r="H96" i="32"/>
  <c r="F82" i="32"/>
  <c r="F240" i="32"/>
  <c r="F62" i="32"/>
  <c r="P156" i="32"/>
  <c r="Q156" i="32" s="1"/>
  <c r="R156" i="32" s="1"/>
  <c r="W156" i="32" s="1"/>
  <c r="P42" i="32"/>
  <c r="Q42" i="32" s="1"/>
  <c r="R42" i="32" s="1"/>
  <c r="F137" i="32"/>
  <c r="P142" i="32"/>
  <c r="Q142" i="32" s="1"/>
  <c r="R142" i="32" s="1"/>
  <c r="P117" i="32"/>
  <c r="Q117" i="32" s="1"/>
  <c r="R117" i="32" s="1"/>
  <c r="G300" i="32"/>
  <c r="P94" i="32"/>
  <c r="Q94" i="32" s="1"/>
  <c r="R94" i="32" s="1"/>
  <c r="F139" i="32"/>
  <c r="P247" i="32"/>
  <c r="Q247" i="32" s="1"/>
  <c r="R247" i="32" s="1"/>
  <c r="F185" i="32"/>
  <c r="F237" i="32"/>
  <c r="F296" i="32"/>
  <c r="F198" i="32"/>
  <c r="F107" i="32"/>
  <c r="F165" i="32"/>
  <c r="F212" i="32"/>
  <c r="F190" i="32"/>
  <c r="P300" i="32"/>
  <c r="Q300" i="32" s="1"/>
  <c r="R300" i="32" s="1"/>
  <c r="F199" i="32"/>
  <c r="P257" i="32"/>
  <c r="Q257" i="32" s="1"/>
  <c r="R257" i="32" s="1"/>
  <c r="W257" i="32" s="1"/>
  <c r="F148" i="32"/>
  <c r="P229" i="32"/>
  <c r="Q229" i="32" s="1"/>
  <c r="R229" i="32" s="1"/>
  <c r="W229" i="32" s="1"/>
  <c r="F61" i="32"/>
  <c r="F144" i="32"/>
  <c r="F232" i="32"/>
  <c r="P276" i="32"/>
  <c r="Q276" i="32" s="1"/>
  <c r="R276" i="32" s="1"/>
  <c r="W276" i="32" s="1"/>
  <c r="F299" i="32"/>
  <c r="P205" i="32"/>
  <c r="Q205" i="32" s="1"/>
  <c r="R205" i="32" s="1"/>
  <c r="F104" i="32"/>
  <c r="G139" i="32"/>
  <c r="H185" i="32"/>
  <c r="P149" i="32"/>
  <c r="Q149" i="32" s="1"/>
  <c r="R149" i="32" s="1"/>
  <c r="F83" i="32"/>
  <c r="P54" i="32"/>
  <c r="Q54" i="32" s="1"/>
  <c r="R54" i="32" s="1"/>
  <c r="G276" i="32"/>
  <c r="G179" i="32"/>
  <c r="H125" i="32"/>
  <c r="H33" i="32"/>
  <c r="P268" i="32"/>
  <c r="Q268" i="32" s="1"/>
  <c r="R268" i="32" s="1"/>
  <c r="F197" i="32"/>
  <c r="P80" i="32"/>
  <c r="Q80" i="32" s="1"/>
  <c r="R80" i="32" s="1"/>
  <c r="F266" i="32"/>
  <c r="F242" i="32"/>
  <c r="F188" i="32"/>
  <c r="F164" i="32"/>
  <c r="P230" i="32"/>
  <c r="Q230" i="32" s="1"/>
  <c r="R230" i="32" s="1"/>
  <c r="T230" i="32" s="1"/>
  <c r="AK230" i="32" s="1"/>
  <c r="T308" i="32"/>
  <c r="AK308" i="32" s="1"/>
  <c r="W308" i="32"/>
  <c r="T138" i="32"/>
  <c r="AK138" i="32" s="1"/>
  <c r="W138" i="32"/>
  <c r="T278" i="32"/>
  <c r="AK278" i="32" s="1"/>
  <c r="W278" i="32"/>
  <c r="T197" i="32"/>
  <c r="AK197" i="32" s="1"/>
  <c r="W197" i="32"/>
  <c r="T270" i="32"/>
  <c r="AK270" i="32" s="1"/>
  <c r="W270" i="32"/>
  <c r="T221" i="32"/>
  <c r="AK221" i="32" s="1"/>
  <c r="W221" i="32"/>
  <c r="P236" i="32"/>
  <c r="Q236" i="32" s="1"/>
  <c r="R236" i="32" s="1"/>
  <c r="F236" i="32"/>
  <c r="P246" i="32"/>
  <c r="Q246" i="32" s="1"/>
  <c r="R246" i="32" s="1"/>
  <c r="F246" i="32"/>
  <c r="F306" i="32"/>
  <c r="P306" i="32"/>
  <c r="Q306" i="32" s="1"/>
  <c r="R306" i="32" s="1"/>
  <c r="P200" i="32"/>
  <c r="Q200" i="32" s="1"/>
  <c r="R200" i="32" s="1"/>
  <c r="F200" i="32"/>
  <c r="F297" i="32"/>
  <c r="P297" i="32"/>
  <c r="Q297" i="32" s="1"/>
  <c r="R297" i="32" s="1"/>
  <c r="F101" i="32"/>
  <c r="P101" i="32"/>
  <c r="Q101" i="32" s="1"/>
  <c r="R101" i="32" s="1"/>
  <c r="G163" i="32"/>
  <c r="P108" i="32"/>
  <c r="Q108" i="32" s="1"/>
  <c r="R108" i="32" s="1"/>
  <c r="F108" i="32"/>
  <c r="P154" i="32"/>
  <c r="Q154" i="32" s="1"/>
  <c r="R154" i="32" s="1"/>
  <c r="F154" i="32"/>
  <c r="F227" i="32"/>
  <c r="P227" i="32"/>
  <c r="Q227" i="32" s="1"/>
  <c r="R227" i="32" s="1"/>
  <c r="P147" i="32"/>
  <c r="Q147" i="32" s="1"/>
  <c r="R147" i="32" s="1"/>
  <c r="F147" i="32"/>
  <c r="P168" i="32"/>
  <c r="Q168" i="32" s="1"/>
  <c r="R168" i="32" s="1"/>
  <c r="F168" i="32"/>
  <c r="P204" i="32"/>
  <c r="Q204" i="32" s="1"/>
  <c r="R204" i="32" s="1"/>
  <c r="F204" i="32"/>
  <c r="H236" i="32"/>
  <c r="H101" i="32"/>
  <c r="F163" i="32"/>
  <c r="F110" i="32"/>
  <c r="P110" i="32"/>
  <c r="Q110" i="32" s="1"/>
  <c r="R110" i="32" s="1"/>
  <c r="P305" i="32"/>
  <c r="Q305" i="32" s="1"/>
  <c r="R305" i="32" s="1"/>
  <c r="F305" i="32"/>
  <c r="G162" i="32"/>
  <c r="F162" i="32"/>
  <c r="H260" i="32"/>
  <c r="F260" i="32"/>
  <c r="P40" i="32"/>
  <c r="Q40" i="32" s="1"/>
  <c r="R40" i="32" s="1"/>
  <c r="F40" i="32"/>
  <c r="F177" i="32"/>
  <c r="P177" i="32"/>
  <c r="Q177" i="32" s="1"/>
  <c r="R177" i="32" s="1"/>
  <c r="F238" i="32"/>
  <c r="P238" i="32"/>
  <c r="Q238" i="32" s="1"/>
  <c r="R238" i="32" s="1"/>
  <c r="P289" i="32"/>
  <c r="Q289" i="32" s="1"/>
  <c r="R289" i="32" s="1"/>
  <c r="F289" i="32"/>
  <c r="F288" i="32"/>
  <c r="T193" i="32"/>
  <c r="AK193" i="32" s="1"/>
  <c r="W193" i="32"/>
  <c r="T159" i="32"/>
  <c r="AK159" i="32" s="1"/>
  <c r="W159" i="32"/>
  <c r="T209" i="32"/>
  <c r="AK209" i="32" s="1"/>
  <c r="W209" i="32"/>
  <c r="G297" i="32"/>
  <c r="T213" i="32"/>
  <c r="AK213" i="32" s="1"/>
  <c r="W213" i="32"/>
  <c r="P64" i="32"/>
  <c r="Q64" i="32" s="1"/>
  <c r="R64" i="32" s="1"/>
  <c r="F64" i="32"/>
  <c r="G303" i="32"/>
  <c r="G257" i="32"/>
  <c r="H258" i="32"/>
  <c r="G229" i="32"/>
  <c r="H230" i="32"/>
  <c r="G52" i="32"/>
  <c r="H283" i="32"/>
  <c r="H299" i="32"/>
  <c r="G277" i="32"/>
  <c r="H238" i="32"/>
  <c r="G208" i="32"/>
  <c r="H169" i="32"/>
  <c r="H134" i="32"/>
  <c r="G54" i="32"/>
  <c r="H99" i="32"/>
  <c r="G134" i="32"/>
  <c r="H66" i="32"/>
  <c r="H98" i="32"/>
  <c r="G131" i="32"/>
  <c r="G69" i="32"/>
  <c r="G143" i="32"/>
  <c r="H188" i="32"/>
  <c r="G205" i="32"/>
  <c r="G98" i="32"/>
  <c r="G172" i="32"/>
  <c r="G115" i="32"/>
  <c r="H140" i="32"/>
  <c r="H190" i="32"/>
  <c r="H222" i="32"/>
  <c r="G250" i="32"/>
  <c r="G170" i="32"/>
  <c r="H242" i="32"/>
  <c r="G280" i="32"/>
  <c r="H40" i="32"/>
  <c r="H275" i="32"/>
  <c r="G251" i="32"/>
  <c r="G245" i="32"/>
  <c r="H254" i="32"/>
  <c r="G196" i="32"/>
  <c r="G129" i="32"/>
  <c r="G42" i="32"/>
  <c r="G80" i="32"/>
  <c r="G79" i="32"/>
  <c r="G124" i="32"/>
  <c r="H163" i="32"/>
  <c r="G91" i="32"/>
  <c r="H182" i="32"/>
  <c r="G117" i="32"/>
  <c r="G301" i="32"/>
  <c r="G286" i="32"/>
  <c r="H302" i="32"/>
  <c r="G191" i="32"/>
  <c r="G217" i="32"/>
  <c r="G214" i="32"/>
  <c r="G283" i="32"/>
  <c r="H309" i="32"/>
  <c r="H205" i="32"/>
  <c r="H255" i="32"/>
  <c r="H152" i="32"/>
  <c r="G156" i="32"/>
  <c r="G275" i="32"/>
  <c r="G237" i="32"/>
  <c r="H207" i="32"/>
  <c r="G164" i="32"/>
  <c r="G34" i="32"/>
  <c r="H41" i="32"/>
  <c r="G72" i="32"/>
  <c r="G55" i="32"/>
  <c r="G102" i="32"/>
  <c r="G71" i="32"/>
  <c r="G121" i="32"/>
  <c r="H132" i="32"/>
  <c r="G158" i="32"/>
  <c r="G190" i="32"/>
  <c r="G90" i="32"/>
  <c r="G70" i="32"/>
  <c r="G177" i="32"/>
  <c r="H189" i="32"/>
  <c r="G47" i="32"/>
  <c r="G114" i="32"/>
  <c r="G173" i="32"/>
  <c r="G116" i="32"/>
  <c r="G141" i="32"/>
  <c r="G197" i="32"/>
  <c r="H224" i="32"/>
  <c r="H253" i="32"/>
  <c r="H285" i="32"/>
  <c r="H88" i="32"/>
  <c r="G247" i="32"/>
  <c r="G284" i="32"/>
  <c r="G59" i="32"/>
  <c r="G274" i="32"/>
  <c r="G62" i="32"/>
  <c r="H279" i="32"/>
  <c r="G212" i="32"/>
  <c r="G148" i="32"/>
  <c r="G289" i="32"/>
  <c r="G266" i="32"/>
  <c r="H272" i="32"/>
  <c r="H208" i="32"/>
  <c r="G236" i="32"/>
  <c r="G161" i="32"/>
  <c r="G51" i="32"/>
  <c r="G142" i="32"/>
  <c r="H133" i="32"/>
  <c r="H195" i="32"/>
  <c r="G82" i="32"/>
  <c r="G226" i="32"/>
  <c r="H257" i="32"/>
  <c r="H289" i="32"/>
  <c r="G96" i="32"/>
  <c r="G149" i="32"/>
  <c r="G288" i="32"/>
  <c r="G66" i="32"/>
  <c r="H259" i="32"/>
  <c r="G278" i="32"/>
  <c r="G238" i="32"/>
  <c r="G132" i="32"/>
  <c r="H264" i="32"/>
  <c r="G202" i="32"/>
  <c r="H175" i="32"/>
  <c r="H266" i="32"/>
  <c r="G282" i="32"/>
  <c r="G171" i="32"/>
  <c r="G253" i="32"/>
  <c r="H170" i="32"/>
  <c r="G67" i="32"/>
  <c r="G258" i="32"/>
  <c r="G199" i="32"/>
  <c r="G195" i="32"/>
  <c r="G147" i="32"/>
  <c r="H86" i="32"/>
  <c r="H47" i="32"/>
  <c r="H52" i="32"/>
  <c r="H85" i="32"/>
  <c r="G84" i="32"/>
  <c r="G125" i="32"/>
  <c r="H135" i="32"/>
  <c r="G166" i="32"/>
  <c r="G198" i="32"/>
  <c r="G183" i="32"/>
  <c r="H70" i="32"/>
  <c r="G122" i="32"/>
  <c r="G175" i="32"/>
  <c r="H186" i="32"/>
  <c r="G153" i="32"/>
  <c r="H261" i="32"/>
  <c r="H293" i="32"/>
  <c r="G104" i="32"/>
  <c r="G151" i="32"/>
  <c r="G256" i="32"/>
  <c r="G292" i="32"/>
  <c r="H256" i="32"/>
  <c r="H276" i="32"/>
  <c r="G207" i="32"/>
  <c r="G271" i="32"/>
  <c r="G252" i="32"/>
  <c r="G165" i="32"/>
  <c r="G265" i="32"/>
  <c r="H204" i="32"/>
  <c r="H239" i="32"/>
  <c r="H217" i="32"/>
  <c r="H144" i="32"/>
  <c r="G249" i="32"/>
  <c r="H198" i="32"/>
  <c r="H294" i="32"/>
  <c r="G261" i="32"/>
  <c r="H225" i="32"/>
  <c r="G193" i="32"/>
  <c r="G53" i="32"/>
  <c r="G32" i="32"/>
  <c r="G83" i="32"/>
  <c r="G118" i="32"/>
  <c r="H48" i="32"/>
  <c r="G89" i="32"/>
  <c r="H126" i="32"/>
  <c r="H38" i="32"/>
  <c r="H105" i="32"/>
  <c r="G184" i="32"/>
  <c r="H194" i="32"/>
  <c r="H80" i="32"/>
  <c r="G176" i="32"/>
  <c r="G63" i="32"/>
  <c r="G120" i="32"/>
  <c r="G157" i="32"/>
  <c r="G209" i="32"/>
  <c r="G234" i="32"/>
  <c r="H265" i="32"/>
  <c r="H226" i="32"/>
  <c r="G264" i="32"/>
  <c r="G296" i="32"/>
  <c r="G243" i="32"/>
  <c r="H158" i="32"/>
  <c r="G232" i="32"/>
  <c r="G206" i="32"/>
  <c r="G270" i="32"/>
  <c r="G273" i="32"/>
  <c r="H168" i="32"/>
  <c r="H240" i="32"/>
  <c r="H243" i="32"/>
  <c r="G210" i="32"/>
  <c r="G295" i="32"/>
  <c r="H167" i="32"/>
  <c r="H214" i="32"/>
  <c r="H296" i="32"/>
  <c r="H235" i="32"/>
  <c r="G230" i="32"/>
  <c r="G293" i="32"/>
  <c r="G259" i="32"/>
  <c r="G215" i="32"/>
  <c r="G189" i="32"/>
  <c r="G112" i="32"/>
  <c r="G33" i="32"/>
  <c r="G56" i="32"/>
  <c r="G44" i="32"/>
  <c r="G86" i="32"/>
  <c r="H123" i="32"/>
  <c r="H54" i="32"/>
  <c r="G92" i="32"/>
  <c r="G127" i="32"/>
  <c r="G174" i="32"/>
  <c r="F215" i="32"/>
  <c r="P215" i="32"/>
  <c r="Q215" i="32" s="1"/>
  <c r="R215" i="32" s="1"/>
  <c r="P125" i="32"/>
  <c r="Q125" i="32" s="1"/>
  <c r="R125" i="32" s="1"/>
  <c r="F125" i="32"/>
  <c r="T188" i="32"/>
  <c r="AK188" i="32" s="1"/>
  <c r="W188" i="32"/>
  <c r="F166" i="32"/>
  <c r="P166" i="32"/>
  <c r="Q166" i="32" s="1"/>
  <c r="R166" i="32" s="1"/>
  <c r="F226" i="32"/>
  <c r="P226" i="32"/>
  <c r="Q226" i="32" s="1"/>
  <c r="R226" i="32" s="1"/>
  <c r="F262" i="32"/>
  <c r="P262" i="32"/>
  <c r="Q262" i="32" s="1"/>
  <c r="R262" i="32" s="1"/>
  <c r="H165" i="32"/>
  <c r="H263" i="32"/>
  <c r="F67" i="32"/>
  <c r="G290" i="32"/>
  <c r="G239" i="32"/>
  <c r="H124" i="32"/>
  <c r="G242" i="32"/>
  <c r="G146" i="32"/>
  <c r="G178" i="32"/>
  <c r="G204" i="32"/>
  <c r="H61" i="32"/>
  <c r="G185" i="32"/>
  <c r="H156" i="32"/>
  <c r="P304" i="32"/>
  <c r="Q304" i="32" s="1"/>
  <c r="R304" i="32" s="1"/>
  <c r="P223" i="32"/>
  <c r="Q223" i="32" s="1"/>
  <c r="R223" i="32" s="1"/>
  <c r="T146" i="32"/>
  <c r="AK146" i="32" s="1"/>
  <c r="W146" i="32"/>
  <c r="T217" i="32"/>
  <c r="AK217" i="32" s="1"/>
  <c r="W217" i="32"/>
  <c r="H77" i="32"/>
  <c r="H73" i="32"/>
  <c r="H43" i="32"/>
  <c r="H112" i="32"/>
  <c r="G304" i="32"/>
  <c r="H237" i="32"/>
  <c r="H137" i="32"/>
  <c r="H177" i="32"/>
  <c r="H203" i="32"/>
  <c r="H68" i="32"/>
  <c r="G150" i="32"/>
  <c r="G41" i="32"/>
  <c r="G101" i="32"/>
  <c r="H212" i="32"/>
  <c r="P260" i="32"/>
  <c r="Q260" i="32" s="1"/>
  <c r="R260" i="32" s="1"/>
  <c r="P211" i="32"/>
  <c r="Q211" i="32" s="1"/>
  <c r="R211" i="32" s="1"/>
  <c r="H271" i="32"/>
  <c r="P311" i="32"/>
  <c r="Q311" i="32" s="1"/>
  <c r="R311" i="32" s="1"/>
  <c r="G154" i="32"/>
  <c r="T185" i="32"/>
  <c r="AK185" i="32" s="1"/>
  <c r="W185" i="32"/>
  <c r="T134" i="32"/>
  <c r="AK134" i="32" s="1"/>
  <c r="W134" i="32"/>
  <c r="G78" i="32"/>
  <c r="G65" i="32"/>
  <c r="G39" i="32"/>
  <c r="G194" i="32"/>
  <c r="H292" i="32"/>
  <c r="H306" i="32"/>
  <c r="G231" i="32"/>
  <c r="G306" i="32"/>
  <c r="H220" i="32"/>
  <c r="G123" i="32"/>
  <c r="H67" i="32"/>
  <c r="H147" i="32"/>
  <c r="G126" i="32"/>
  <c r="G40" i="32"/>
  <c r="H104" i="32"/>
  <c r="G213" i="32"/>
  <c r="G218" i="32"/>
  <c r="P97" i="32"/>
  <c r="Q97" i="32" s="1"/>
  <c r="R97" i="32" s="1"/>
  <c r="H284" i="32"/>
  <c r="F189" i="32"/>
  <c r="H298" i="32"/>
  <c r="G267" i="32"/>
  <c r="T279" i="32"/>
  <c r="AK279" i="32" s="1"/>
  <c r="W279" i="32"/>
  <c r="T56" i="32"/>
  <c r="AK56" i="32" s="1"/>
  <c r="W56" i="32"/>
  <c r="H57" i="32"/>
  <c r="G222" i="32"/>
  <c r="G294" i="32"/>
  <c r="G305" i="32"/>
  <c r="H122" i="32"/>
  <c r="G140" i="32"/>
  <c r="G187" i="32"/>
  <c r="H53" i="32"/>
  <c r="G130" i="32"/>
  <c r="G94" i="32"/>
  <c r="G136" i="32"/>
  <c r="G221" i="32"/>
  <c r="G307" i="32"/>
  <c r="H109" i="32"/>
  <c r="G235" i="32"/>
  <c r="H311" i="32"/>
  <c r="T283" i="32"/>
  <c r="AK283" i="32" s="1"/>
  <c r="W283" i="32"/>
  <c r="T232" i="32"/>
  <c r="AK232" i="32" s="1"/>
  <c r="W232" i="32"/>
  <c r="T170" i="32"/>
  <c r="AK170" i="32" s="1"/>
  <c r="W170" i="32"/>
  <c r="G68" i="32"/>
  <c r="H28" i="32"/>
  <c r="T180" i="32"/>
  <c r="AK180" i="32" s="1"/>
  <c r="W180" i="32"/>
  <c r="T235" i="32"/>
  <c r="AK235" i="32" s="1"/>
  <c r="W235" i="32"/>
  <c r="G310" i="32"/>
  <c r="G169" i="32"/>
  <c r="H233" i="32"/>
  <c r="T44" i="32"/>
  <c r="AK44" i="32" s="1"/>
  <c r="W44" i="32"/>
  <c r="G50" i="32"/>
  <c r="T214" i="32"/>
  <c r="AK214" i="32" s="1"/>
  <c r="W214" i="32"/>
  <c r="T118" i="32"/>
  <c r="AK118" i="32" s="1"/>
  <c r="W118" i="32"/>
  <c r="P157" i="32"/>
  <c r="Q157" i="32" s="1"/>
  <c r="R157" i="32" s="1"/>
  <c r="T66" i="32"/>
  <c r="AK66" i="32" s="1"/>
  <c r="W66" i="32"/>
  <c r="T72" i="32"/>
  <c r="AK72" i="32" s="1"/>
  <c r="W72" i="32"/>
  <c r="T165" i="32"/>
  <c r="AK165" i="32" s="1"/>
  <c r="W165" i="32"/>
  <c r="T222" i="32"/>
  <c r="AK222" i="32" s="1"/>
  <c r="W222" i="32"/>
  <c r="T187" i="32"/>
  <c r="AK187" i="32" s="1"/>
  <c r="W187" i="32"/>
  <c r="T240" i="32"/>
  <c r="AK240" i="32" s="1"/>
  <c r="W240" i="32"/>
  <c r="T104" i="32"/>
  <c r="AK104" i="32" s="1"/>
  <c r="W104" i="32"/>
  <c r="G279" i="32"/>
  <c r="P129" i="32"/>
  <c r="Q129" i="32" s="1"/>
  <c r="R129" i="32" s="1"/>
  <c r="P245" i="32"/>
  <c r="Q245" i="32" s="1"/>
  <c r="R245" i="32" s="1"/>
  <c r="F195" i="32"/>
  <c r="P239" i="32"/>
  <c r="Q239" i="32" s="1"/>
  <c r="R239" i="32" s="1"/>
  <c r="F265" i="32"/>
  <c r="P128" i="32"/>
  <c r="Q128" i="32" s="1"/>
  <c r="R128" i="32" s="1"/>
  <c r="T116" i="32"/>
  <c r="AK116" i="32" s="1"/>
  <c r="W116" i="32"/>
  <c r="T192" i="32"/>
  <c r="AK192" i="32" s="1"/>
  <c r="W192" i="32"/>
  <c r="T148" i="32"/>
  <c r="AK148" i="32" s="1"/>
  <c r="W148" i="32"/>
  <c r="F131" i="32"/>
  <c r="T203" i="32"/>
  <c r="AK203" i="32" s="1"/>
  <c r="W203" i="32"/>
  <c r="T294" i="32"/>
  <c r="AK294" i="32" s="1"/>
  <c r="W294" i="32"/>
  <c r="T242" i="32"/>
  <c r="AK242" i="32" s="1"/>
  <c r="W242" i="32"/>
  <c r="H114" i="32"/>
  <c r="H252" i="32"/>
  <c r="T266" i="32"/>
  <c r="AK266" i="32" s="1"/>
  <c r="W266" i="32"/>
  <c r="P48" i="32"/>
  <c r="Q48" i="32" s="1"/>
  <c r="R48" i="32" s="1"/>
  <c r="F41" i="32"/>
  <c r="F261" i="32"/>
  <c r="F181" i="32"/>
  <c r="F115" i="32"/>
  <c r="T241" i="32"/>
  <c r="AK241" i="32" s="1"/>
  <c r="W241" i="32"/>
  <c r="T309" i="32"/>
  <c r="AK309" i="32" s="1"/>
  <c r="W309" i="32"/>
  <c r="P52" i="32"/>
  <c r="Q52" i="32" s="1"/>
  <c r="R52" i="32" s="1"/>
  <c r="T63" i="32"/>
  <c r="AK63" i="32" s="1"/>
  <c r="W63" i="32"/>
  <c r="P69" i="32"/>
  <c r="Q69" i="32" s="1"/>
  <c r="R69" i="32" s="1"/>
  <c r="P120" i="32"/>
  <c r="Q120" i="32" s="1"/>
  <c r="R120" i="32" s="1"/>
  <c r="P252" i="32"/>
  <c r="Q252" i="32" s="1"/>
  <c r="R252" i="32" s="1"/>
  <c r="P264" i="32"/>
  <c r="Q264" i="32" s="1"/>
  <c r="R264" i="32" s="1"/>
  <c r="F207" i="32"/>
  <c r="F146" i="32"/>
  <c r="T303" i="32"/>
  <c r="AK303" i="32" s="1"/>
  <c r="W303" i="32"/>
  <c r="AQ304" i="32"/>
  <c r="T59" i="32"/>
  <c r="AK59" i="32" s="1"/>
  <c r="W59" i="32"/>
  <c r="T296" i="32"/>
  <c r="AK296" i="32" s="1"/>
  <c r="W296" i="32"/>
  <c r="T273" i="32"/>
  <c r="AK273" i="32" s="1"/>
  <c r="W273" i="32"/>
  <c r="F279" i="32"/>
  <c r="T145" i="32"/>
  <c r="AK145" i="32" s="1"/>
  <c r="W145" i="32"/>
  <c r="P302" i="32"/>
  <c r="Q302" i="32" s="1"/>
  <c r="R302" i="32" s="1"/>
  <c r="T198" i="32"/>
  <c r="AK198" i="32" s="1"/>
  <c r="W198" i="32"/>
  <c r="T82" i="32"/>
  <c r="AK82" i="32" s="1"/>
  <c r="W82" i="32"/>
  <c r="H76" i="32"/>
  <c r="H81" i="32"/>
  <c r="H29" i="32"/>
  <c r="P124" i="32"/>
  <c r="Q124" i="32" s="1"/>
  <c r="R124" i="32" s="1"/>
  <c r="P191" i="32"/>
  <c r="Q191" i="32" s="1"/>
  <c r="R191" i="32" s="1"/>
  <c r="P135" i="32"/>
  <c r="Q135" i="32" s="1"/>
  <c r="R135" i="32" s="1"/>
  <c r="P141" i="32"/>
  <c r="Q141" i="32" s="1"/>
  <c r="R141" i="32" s="1"/>
  <c r="F252" i="32"/>
  <c r="P281" i="32"/>
  <c r="Q281" i="32" s="1"/>
  <c r="R281" i="32" s="1"/>
  <c r="T248" i="32"/>
  <c r="AK248" i="32" s="1"/>
  <c r="W248" i="32"/>
  <c r="P60" i="32"/>
  <c r="Q60" i="32" s="1"/>
  <c r="R60" i="32" s="1"/>
  <c r="G260" i="32"/>
  <c r="G110" i="32"/>
  <c r="F155" i="32"/>
  <c r="H128" i="32"/>
  <c r="H305" i="32"/>
  <c r="P233" i="32"/>
  <c r="Q233" i="32" s="1"/>
  <c r="R233" i="32" s="1"/>
  <c r="P106" i="32"/>
  <c r="Q106" i="32" s="1"/>
  <c r="R106" i="32" s="1"/>
  <c r="F180" i="32"/>
  <c r="P287" i="32"/>
  <c r="Q287" i="32" s="1"/>
  <c r="R287" i="32" s="1"/>
  <c r="F60" i="32"/>
  <c r="H108" i="32"/>
  <c r="F151" i="32"/>
  <c r="P34" i="32"/>
  <c r="Q34" i="32" s="1"/>
  <c r="R34" i="32" s="1"/>
  <c r="F106" i="32"/>
  <c r="G287" i="32"/>
  <c r="F169" i="32"/>
  <c r="G106" i="32"/>
  <c r="H216" i="32"/>
  <c r="G108" i="32"/>
  <c r="G128" i="32"/>
  <c r="G28" i="32"/>
  <c r="P114" i="32"/>
  <c r="Q114" i="32" s="1"/>
  <c r="R114" i="32" s="1"/>
  <c r="F216" i="32"/>
  <c r="H312" i="32"/>
  <c r="F222" i="32"/>
  <c r="H201" i="32"/>
  <c r="G113" i="32"/>
  <c r="G311" i="32"/>
  <c r="G302" i="32"/>
  <c r="G244" i="32"/>
  <c r="G145" i="32"/>
  <c r="F28" i="32"/>
  <c r="H180" i="32"/>
  <c r="H93" i="32"/>
  <c r="G93" i="32"/>
  <c r="G291" i="32"/>
  <c r="G160" i="32"/>
  <c r="P291" i="32"/>
  <c r="Q291" i="32" s="1"/>
  <c r="R291" i="32" s="1"/>
  <c r="F114" i="32"/>
  <c r="F293" i="32"/>
  <c r="G216" i="32"/>
  <c r="G167" i="32"/>
  <c r="G61" i="32"/>
  <c r="P184" i="32"/>
  <c r="Q184" i="32" s="1"/>
  <c r="R184" i="32" s="1"/>
  <c r="G200" i="32"/>
  <c r="P162" i="32"/>
  <c r="Q162" i="32" s="1"/>
  <c r="R162" i="32" s="1"/>
  <c r="G309" i="32"/>
  <c r="H280" i="32"/>
  <c r="G269" i="32"/>
  <c r="G27" i="32"/>
  <c r="P160" i="32"/>
  <c r="Q160" i="32" s="1"/>
  <c r="R160" i="32" s="1"/>
  <c r="H300" i="32"/>
  <c r="G152" i="32"/>
  <c r="G255" i="32"/>
  <c r="P28" i="32"/>
  <c r="Q28" i="32" s="1"/>
  <c r="R28" i="32" s="1"/>
  <c r="G100" i="32"/>
  <c r="G181" i="32"/>
  <c r="P93" i="32"/>
  <c r="Q93" i="32" s="1"/>
  <c r="R93" i="32" s="1"/>
  <c r="F291" i="32"/>
  <c r="F100" i="32"/>
  <c r="G308" i="32"/>
  <c r="G211" i="32"/>
  <c r="G192" i="32"/>
  <c r="G224" i="32"/>
  <c r="G203" i="32"/>
  <c r="H162" i="32"/>
  <c r="P58" i="32"/>
  <c r="Q58" i="32" s="1"/>
  <c r="R58" i="32" s="1"/>
  <c r="F223" i="32"/>
  <c r="H304" i="32"/>
  <c r="P228" i="32"/>
  <c r="Q228" i="32" s="1"/>
  <c r="R228" i="32" s="1"/>
  <c r="G285" i="32"/>
  <c r="F308" i="32"/>
  <c r="G233" i="32"/>
  <c r="F233" i="32"/>
  <c r="F277" i="32"/>
  <c r="G219" i="32"/>
  <c r="F310" i="32"/>
  <c r="G180" i="32"/>
  <c r="P310" i="32"/>
  <c r="Q310" i="32" s="1"/>
  <c r="R310" i="32" s="1"/>
  <c r="F44" i="32"/>
  <c r="P244" i="32"/>
  <c r="Q244" i="32" s="1"/>
  <c r="R244" i="32" s="1"/>
  <c r="G298" i="32"/>
  <c r="G281" i="32"/>
  <c r="G99" i="32"/>
  <c r="P219" i="32"/>
  <c r="Q219" i="32" s="1"/>
  <c r="R219" i="32" s="1"/>
  <c r="G109" i="32"/>
  <c r="G168" i="32"/>
  <c r="G201" i="32"/>
  <c r="G228" i="32"/>
  <c r="G240" i="32"/>
  <c r="G227" i="32"/>
  <c r="G248" i="32"/>
  <c r="G312" i="32"/>
  <c r="G133" i="32"/>
  <c r="G299" i="32"/>
  <c r="G241" i="32"/>
  <c r="G144" i="32"/>
  <c r="G188" i="32"/>
  <c r="G220" i="32"/>
  <c r="G246" i="32"/>
  <c r="G263" i="32"/>
  <c r="G137" i="32"/>
  <c r="G95" i="32"/>
  <c r="G81" i="32"/>
  <c r="G46" i="32"/>
  <c r="G43" i="32"/>
  <c r="G77" i="32"/>
  <c r="F46" i="32"/>
  <c r="P111" i="32"/>
  <c r="Q111" i="32" s="1"/>
  <c r="F111" i="32"/>
  <c r="H111" i="32"/>
  <c r="F75" i="32"/>
  <c r="P75" i="32"/>
  <c r="Q75" i="32" s="1"/>
  <c r="G75" i="32"/>
  <c r="F119" i="32"/>
  <c r="P119" i="32"/>
  <c r="Q119" i="32" s="1"/>
  <c r="G119" i="32"/>
  <c r="R199" i="32"/>
  <c r="R139" i="32"/>
  <c r="R173" i="32"/>
  <c r="R181" i="32"/>
  <c r="R85" i="32"/>
  <c r="R208" i="32"/>
  <c r="R169" i="32"/>
  <c r="R67" i="32"/>
  <c r="H75" i="32"/>
  <c r="R182" i="32"/>
  <c r="R292" i="32"/>
  <c r="R212" i="32"/>
  <c r="F87" i="32"/>
  <c r="P87" i="32"/>
  <c r="Q87" i="32" s="1"/>
  <c r="G87" i="32"/>
  <c r="P31" i="32"/>
  <c r="Q31" i="32" s="1"/>
  <c r="F31" i="32"/>
  <c r="H31" i="32"/>
  <c r="G31" i="32"/>
  <c r="R115" i="32"/>
  <c r="R299" i="32"/>
  <c r="R218" i="32"/>
  <c r="P35" i="32"/>
  <c r="Q35" i="32" s="1"/>
  <c r="F35" i="32"/>
  <c r="H35" i="32"/>
  <c r="G35" i="32"/>
  <c r="P95" i="32"/>
  <c r="Q95" i="32" s="1"/>
  <c r="F95" i="32"/>
  <c r="P50" i="32"/>
  <c r="Q50" i="32" s="1"/>
  <c r="F50" i="32"/>
  <c r="R131" i="32"/>
  <c r="R71" i="32"/>
  <c r="P74" i="32"/>
  <c r="Q74" i="32" s="1"/>
  <c r="F74" i="32"/>
  <c r="P37" i="32"/>
  <c r="Q37" i="32" s="1"/>
  <c r="F37" i="32"/>
  <c r="R83" i="32"/>
  <c r="R216" i="32"/>
  <c r="F36" i="32"/>
  <c r="P36" i="32"/>
  <c r="Q36" i="32" s="1"/>
  <c r="H36" i="32"/>
  <c r="R53" i="32"/>
  <c r="R61" i="32"/>
  <c r="R312" i="32"/>
  <c r="R202" i="32"/>
  <c r="R62" i="32"/>
  <c r="R92" i="32"/>
  <c r="G36" i="32"/>
  <c r="R55" i="32"/>
  <c r="R46" i="32"/>
  <c r="R258" i="32"/>
  <c r="R68" i="32"/>
  <c r="G37" i="32"/>
  <c r="P57" i="32"/>
  <c r="Q57" i="32" s="1"/>
  <c r="F57" i="32"/>
  <c r="G57" i="32"/>
  <c r="R137" i="32"/>
  <c r="P49" i="32"/>
  <c r="Q49" i="32" s="1"/>
  <c r="F49" i="32"/>
  <c r="G49" i="32"/>
  <c r="F103" i="32"/>
  <c r="P103" i="32"/>
  <c r="Q103" i="32" s="1"/>
  <c r="G103" i="32"/>
  <c r="F45" i="32"/>
  <c r="P45" i="32"/>
  <c r="Q45" i="32" s="1"/>
  <c r="G111" i="32"/>
  <c r="H74" i="32"/>
  <c r="G74" i="32"/>
  <c r="G45" i="32"/>
  <c r="R263" i="32"/>
  <c r="R277" i="32"/>
  <c r="R130" i="32"/>
  <c r="R195" i="32"/>
  <c r="R301" i="32"/>
  <c r="R285" i="32"/>
  <c r="R107" i="32"/>
  <c r="R152" i="32"/>
  <c r="R100" i="32"/>
  <c r="F81" i="32"/>
  <c r="P81" i="32"/>
  <c r="Q81" i="32" s="1"/>
  <c r="R132" i="32"/>
  <c r="R91" i="32"/>
  <c r="G76" i="32"/>
  <c r="R151" i="32"/>
  <c r="R237" i="32"/>
  <c r="R171" i="32"/>
  <c r="P77" i="32"/>
  <c r="Q77" i="32" s="1"/>
  <c r="F77" i="32"/>
  <c r="F73" i="32"/>
  <c r="P73" i="32"/>
  <c r="Q73" i="32" s="1"/>
  <c r="F43" i="32"/>
  <c r="P43" i="32"/>
  <c r="Q43" i="32" s="1"/>
  <c r="R164" i="32"/>
  <c r="R41" i="32"/>
  <c r="R288" i="32"/>
  <c r="R47" i="32"/>
  <c r="R102" i="32"/>
  <c r="R155" i="32"/>
  <c r="R189" i="32"/>
  <c r="R96" i="32"/>
  <c r="R150" i="32"/>
  <c r="R207" i="32"/>
  <c r="F76" i="32"/>
  <c r="P76" i="32"/>
  <c r="Q76" i="32" s="1"/>
  <c r="F29" i="32"/>
  <c r="P29" i="32"/>
  <c r="Q29" i="32" s="1"/>
  <c r="R163" i="32"/>
  <c r="G29" i="32"/>
  <c r="R261" i="32"/>
  <c r="R123" i="32"/>
  <c r="F78" i="32"/>
  <c r="P78" i="32"/>
  <c r="Q78" i="32" s="1"/>
  <c r="F65" i="32"/>
  <c r="P65" i="32"/>
  <c r="Q65" i="32" s="1"/>
  <c r="H65" i="32"/>
  <c r="F39" i="32"/>
  <c r="P39" i="32"/>
  <c r="Q39" i="32" s="1"/>
  <c r="H39" i="32"/>
  <c r="R127" i="32"/>
  <c r="R167" i="32"/>
  <c r="R86" i="32"/>
  <c r="G73" i="32"/>
  <c r="R144" i="32"/>
  <c r="R178" i="32"/>
  <c r="R293" i="32"/>
  <c r="R190" i="32"/>
  <c r="R307" i="32"/>
  <c r="R265" i="32"/>
  <c r="K219" i="20"/>
  <c r="K264" i="20"/>
  <c r="C44" i="24"/>
  <c r="C45" i="24" s="1"/>
  <c r="C15" i="7" s="1"/>
  <c r="W200" i="9"/>
  <c r="W124" i="9"/>
  <c r="W198" i="9"/>
  <c r="W255" i="9"/>
  <c r="W171" i="9"/>
  <c r="W134" i="9"/>
  <c r="W247" i="9"/>
  <c r="W163" i="9"/>
  <c r="W423" i="9"/>
  <c r="W357" i="9"/>
  <c r="W202" i="9"/>
  <c r="W230" i="9"/>
  <c r="W349" i="9"/>
  <c r="W194" i="9"/>
  <c r="W136" i="9"/>
  <c r="W191" i="9"/>
  <c r="W293" i="9"/>
  <c r="W316" i="9"/>
  <c r="W363" i="9"/>
  <c r="W107" i="9"/>
  <c r="W138" i="9"/>
  <c r="W233" i="9"/>
  <c r="W66" i="9"/>
  <c r="W415" i="9"/>
  <c r="W368" i="9"/>
  <c r="W432" i="9"/>
  <c r="W206" i="9"/>
  <c r="W128" i="9"/>
  <c r="W183" i="9"/>
  <c r="W285" i="9"/>
  <c r="W308" i="9"/>
  <c r="W355" i="9"/>
  <c r="W99" i="9"/>
  <c r="W130" i="9"/>
  <c r="W225" i="9"/>
  <c r="W74" i="9"/>
  <c r="W404" i="9"/>
  <c r="W118" i="9"/>
  <c r="W318" i="9"/>
  <c r="W376" i="9"/>
  <c r="W328" i="9"/>
  <c r="W383" i="9"/>
  <c r="W127" i="9"/>
  <c r="W229" i="9"/>
  <c r="W252" i="9"/>
  <c r="W299" i="9"/>
  <c r="W330" i="9"/>
  <c r="W425" i="9"/>
  <c r="W169" i="9"/>
  <c r="W310" i="9"/>
  <c r="W403" i="9"/>
  <c r="W350" i="9"/>
  <c r="W320" i="9"/>
  <c r="W375" i="9"/>
  <c r="W119" i="9"/>
  <c r="W221" i="9"/>
  <c r="W244" i="9"/>
  <c r="W291" i="9"/>
  <c r="W322" i="9"/>
  <c r="W417" i="9"/>
  <c r="W161" i="9"/>
  <c r="W270" i="9"/>
  <c r="W65" i="9"/>
  <c r="W392" i="9"/>
  <c r="W410" i="9"/>
  <c r="W264" i="9"/>
  <c r="W319" i="9"/>
  <c r="W421" i="9"/>
  <c r="W165" i="9"/>
  <c r="W188" i="9"/>
  <c r="W235" i="9"/>
  <c r="W266" i="9"/>
  <c r="W361" i="9"/>
  <c r="W105" i="9"/>
  <c r="W166" i="9"/>
  <c r="W43" i="9"/>
  <c r="W428" i="9"/>
  <c r="W433" i="9"/>
  <c r="W399" i="9"/>
  <c r="W256" i="9"/>
  <c r="W311" i="9"/>
  <c r="W413" i="9"/>
  <c r="W157" i="9"/>
  <c r="W180" i="9"/>
  <c r="W227" i="9"/>
  <c r="W258" i="9"/>
  <c r="W353" i="9"/>
  <c r="W97" i="9"/>
  <c r="W60" i="9"/>
  <c r="W64" i="9"/>
  <c r="W57" i="9"/>
  <c r="W436" i="9"/>
  <c r="W380" i="9"/>
  <c r="W102" i="9"/>
  <c r="W388" i="9"/>
  <c r="W142" i="9"/>
  <c r="W248" i="9"/>
  <c r="W120" i="9"/>
  <c r="W303" i="9"/>
  <c r="W175" i="9"/>
  <c r="W405" i="9"/>
  <c r="W277" i="9"/>
  <c r="W149" i="9"/>
  <c r="W300" i="9"/>
  <c r="W172" i="9"/>
  <c r="W347" i="9"/>
  <c r="W219" i="9"/>
  <c r="W155" i="9"/>
  <c r="W314" i="9"/>
  <c r="W250" i="9"/>
  <c r="W186" i="9"/>
  <c r="W122" i="9"/>
  <c r="W409" i="9"/>
  <c r="W281" i="9"/>
  <c r="W217" i="9"/>
  <c r="W153" i="9"/>
  <c r="W89" i="9"/>
  <c r="W40" i="9"/>
  <c r="W52" i="9"/>
  <c r="W73" i="9"/>
  <c r="W53" i="9"/>
  <c r="W49" i="9"/>
  <c r="W396" i="9"/>
  <c r="W427" i="9"/>
  <c r="W190" i="9"/>
  <c r="W364" i="9"/>
  <c r="W402" i="9"/>
  <c r="W222" i="9"/>
  <c r="W374" i="9"/>
  <c r="W408" i="9"/>
  <c r="W78" i="9"/>
  <c r="W304" i="9"/>
  <c r="W240" i="9"/>
  <c r="W176" i="9"/>
  <c r="W112" i="9"/>
  <c r="W359" i="9"/>
  <c r="W295" i="9"/>
  <c r="W231" i="9"/>
  <c r="W167" i="9"/>
  <c r="W103" i="9"/>
  <c r="W397" i="9"/>
  <c r="W333" i="9"/>
  <c r="W269" i="9"/>
  <c r="W205" i="9"/>
  <c r="W141" i="9"/>
  <c r="W356" i="9"/>
  <c r="W292" i="9"/>
  <c r="W228" i="9"/>
  <c r="W164" i="9"/>
  <c r="W100" i="9"/>
  <c r="W339" i="9"/>
  <c r="W275" i="9"/>
  <c r="W211" i="9"/>
  <c r="W147" i="9"/>
  <c r="W83" i="9"/>
  <c r="W306" i="9"/>
  <c r="W242" i="9"/>
  <c r="W178" i="9"/>
  <c r="W114" i="9"/>
  <c r="W401" i="9"/>
  <c r="W337" i="9"/>
  <c r="W209" i="9"/>
  <c r="W145" i="9"/>
  <c r="W81" i="9"/>
  <c r="W42" i="9"/>
  <c r="W61" i="9"/>
  <c r="W407" i="9"/>
  <c r="W254" i="9"/>
  <c r="W412" i="9"/>
  <c r="W286" i="9"/>
  <c r="W419" i="9"/>
  <c r="W312" i="9"/>
  <c r="W184" i="9"/>
  <c r="W367" i="9"/>
  <c r="W239" i="9"/>
  <c r="W111" i="9"/>
  <c r="W341" i="9"/>
  <c r="W213" i="9"/>
  <c r="W85" i="9"/>
  <c r="W236" i="9"/>
  <c r="W108" i="9"/>
  <c r="W283" i="9"/>
  <c r="W91" i="9"/>
  <c r="W345" i="9"/>
  <c r="W386" i="9"/>
  <c r="W416" i="9"/>
  <c r="W391" i="9"/>
  <c r="W422" i="9"/>
  <c r="W158" i="9"/>
  <c r="W342" i="9"/>
  <c r="W398" i="9"/>
  <c r="W360" i="9"/>
  <c r="W296" i="9"/>
  <c r="W232" i="9"/>
  <c r="W168" i="9"/>
  <c r="W104" i="9"/>
  <c r="W351" i="9"/>
  <c r="W287" i="9"/>
  <c r="W223" i="9"/>
  <c r="W159" i="9"/>
  <c r="W95" i="9"/>
  <c r="W389" i="9"/>
  <c r="W325" i="9"/>
  <c r="W261" i="9"/>
  <c r="W197" i="9"/>
  <c r="W133" i="9"/>
  <c r="W348" i="9"/>
  <c r="W284" i="9"/>
  <c r="W220" i="9"/>
  <c r="W156" i="9"/>
  <c r="W92" i="9"/>
  <c r="W331" i="9"/>
  <c r="W267" i="9"/>
  <c r="W203" i="9"/>
  <c r="W139" i="9"/>
  <c r="W362" i="9"/>
  <c r="W298" i="9"/>
  <c r="W234" i="9"/>
  <c r="W170" i="9"/>
  <c r="W106" i="9"/>
  <c r="W393" i="9"/>
  <c r="W329" i="9"/>
  <c r="W265" i="9"/>
  <c r="W201" i="9"/>
  <c r="W137" i="9"/>
  <c r="D21" i="9"/>
  <c r="BL39" i="9" s="1"/>
  <c r="W51" i="9"/>
  <c r="W45" i="9"/>
  <c r="W302" i="9"/>
  <c r="W62" i="9"/>
  <c r="W72" i="9"/>
  <c r="W394" i="9"/>
  <c r="W435" i="9"/>
  <c r="W370" i="9"/>
  <c r="W406" i="9"/>
  <c r="W434" i="9"/>
  <c r="W238" i="9"/>
  <c r="W378" i="9"/>
  <c r="W411" i="9"/>
  <c r="W94" i="9"/>
  <c r="W278" i="9"/>
  <c r="W387" i="9"/>
  <c r="W352" i="9"/>
  <c r="W288" i="9"/>
  <c r="W224" i="9"/>
  <c r="W160" i="9"/>
  <c r="W96" i="9"/>
  <c r="W343" i="9"/>
  <c r="W279" i="9"/>
  <c r="W215" i="9"/>
  <c r="W151" i="9"/>
  <c r="W87" i="9"/>
  <c r="W381" i="9"/>
  <c r="W317" i="9"/>
  <c r="W253" i="9"/>
  <c r="W189" i="9"/>
  <c r="W125" i="9"/>
  <c r="W340" i="9"/>
  <c r="W276" i="9"/>
  <c r="W212" i="9"/>
  <c r="W148" i="9"/>
  <c r="W84" i="9"/>
  <c r="W323" i="9"/>
  <c r="W259" i="9"/>
  <c r="W195" i="9"/>
  <c r="W131" i="9"/>
  <c r="W354" i="9"/>
  <c r="W290" i="9"/>
  <c r="W226" i="9"/>
  <c r="W162" i="9"/>
  <c r="W98" i="9"/>
  <c r="W385" i="9"/>
  <c r="W321" i="9"/>
  <c r="W257" i="9"/>
  <c r="W193" i="9"/>
  <c r="W129" i="9"/>
  <c r="W69" i="9"/>
  <c r="W63" i="9"/>
  <c r="W41" i="9"/>
  <c r="W126" i="9"/>
  <c r="W71" i="9"/>
  <c r="W426" i="9"/>
  <c r="W382" i="9"/>
  <c r="W246" i="9"/>
  <c r="W326" i="9"/>
  <c r="W395" i="9"/>
  <c r="W424" i="9"/>
  <c r="W174" i="9"/>
  <c r="W358" i="9"/>
  <c r="W400" i="9"/>
  <c r="W431" i="9"/>
  <c r="W214" i="9"/>
  <c r="W372" i="9"/>
  <c r="W344" i="9"/>
  <c r="W280" i="9"/>
  <c r="W216" i="9"/>
  <c r="W152" i="9"/>
  <c r="W88" i="9"/>
  <c r="W335" i="9"/>
  <c r="W271" i="9"/>
  <c r="W207" i="9"/>
  <c r="W143" i="9"/>
  <c r="W79" i="9"/>
  <c r="W373" i="9"/>
  <c r="W309" i="9"/>
  <c r="W245" i="9"/>
  <c r="W181" i="9"/>
  <c r="W117" i="9"/>
  <c r="W332" i="9"/>
  <c r="W268" i="9"/>
  <c r="W204" i="9"/>
  <c r="W140" i="9"/>
  <c r="W379" i="9"/>
  <c r="W315" i="9"/>
  <c r="W251" i="9"/>
  <c r="W187" i="9"/>
  <c r="W123" i="9"/>
  <c r="W346" i="9"/>
  <c r="W282" i="9"/>
  <c r="W218" i="9"/>
  <c r="W154" i="9"/>
  <c r="W90" i="9"/>
  <c r="W377" i="9"/>
  <c r="W313" i="9"/>
  <c r="W249" i="9"/>
  <c r="W185" i="9"/>
  <c r="W121" i="9"/>
  <c r="AN92" i="16"/>
  <c r="AO92" i="16" s="1"/>
  <c r="AN310" i="16"/>
  <c r="AP310" i="16" s="1"/>
  <c r="AN318" i="16"/>
  <c r="AP318" i="16" s="1"/>
  <c r="AN326" i="16"/>
  <c r="AP326" i="16" s="1"/>
  <c r="AN334" i="16"/>
  <c r="AP334" i="16" s="1"/>
  <c r="AN342" i="16"/>
  <c r="AP342" i="16" s="1"/>
  <c r="AN350" i="16"/>
  <c r="AP350" i="16" s="1"/>
  <c r="AN358" i="16"/>
  <c r="AP358" i="16" s="1"/>
  <c r="AN366" i="16"/>
  <c r="AN340" i="16"/>
  <c r="AP340" i="16" s="1"/>
  <c r="AN91" i="16"/>
  <c r="AO91" i="16" s="1"/>
  <c r="AN325" i="16"/>
  <c r="AP325" i="16" s="1"/>
  <c r="AN357" i="16"/>
  <c r="AP357" i="16" s="1"/>
  <c r="AN93" i="16"/>
  <c r="AO93" i="16" s="1"/>
  <c r="AN311" i="16"/>
  <c r="AP311" i="16" s="1"/>
  <c r="AN319" i="16"/>
  <c r="AP319" i="16" s="1"/>
  <c r="AN327" i="16"/>
  <c r="AP327" i="16" s="1"/>
  <c r="AN335" i="16"/>
  <c r="AP335" i="16" s="1"/>
  <c r="AN343" i="16"/>
  <c r="AP343" i="16" s="1"/>
  <c r="AN351" i="16"/>
  <c r="AP351" i="16" s="1"/>
  <c r="AN359" i="16"/>
  <c r="AP359" i="16" s="1"/>
  <c r="AN367" i="16"/>
  <c r="AN315" i="16"/>
  <c r="AP315" i="16" s="1"/>
  <c r="AN331" i="16"/>
  <c r="AP331" i="16" s="1"/>
  <c r="AN347" i="16"/>
  <c r="AP347" i="16" s="1"/>
  <c r="AN363" i="16"/>
  <c r="AN324" i="16"/>
  <c r="AP324" i="16" s="1"/>
  <c r="AN348" i="16"/>
  <c r="AP348" i="16" s="1"/>
  <c r="AN364" i="16"/>
  <c r="AN85" i="16"/>
  <c r="AO85" i="16" s="1"/>
  <c r="AN333" i="16"/>
  <c r="AP333" i="16" s="1"/>
  <c r="AN349" i="16"/>
  <c r="AP349" i="16" s="1"/>
  <c r="AN365" i="16"/>
  <c r="AN86" i="16"/>
  <c r="AO86" i="16" s="1"/>
  <c r="AN94" i="16"/>
  <c r="AO94" i="16" s="1"/>
  <c r="AN312" i="16"/>
  <c r="AP312" i="16" s="1"/>
  <c r="AN320" i="16"/>
  <c r="AP320" i="16" s="1"/>
  <c r="AN328" i="16"/>
  <c r="AP328" i="16" s="1"/>
  <c r="AN336" i="16"/>
  <c r="AP336" i="16" s="1"/>
  <c r="AN344" i="16"/>
  <c r="AP344" i="16" s="1"/>
  <c r="AN352" i="16"/>
  <c r="AP352" i="16" s="1"/>
  <c r="AN360" i="16"/>
  <c r="AN368" i="16"/>
  <c r="AN87" i="16"/>
  <c r="AO87" i="16" s="1"/>
  <c r="AN95" i="16"/>
  <c r="AO95" i="16" s="1"/>
  <c r="AN313" i="16"/>
  <c r="AP313" i="16" s="1"/>
  <c r="AN321" i="16"/>
  <c r="AP321" i="16" s="1"/>
  <c r="AN329" i="16"/>
  <c r="AP329" i="16" s="1"/>
  <c r="AN337" i="16"/>
  <c r="AP337" i="16" s="1"/>
  <c r="AN345" i="16"/>
  <c r="AP345" i="16" s="1"/>
  <c r="AN353" i="16"/>
  <c r="AP353" i="16" s="1"/>
  <c r="AN361" i="16"/>
  <c r="AN369" i="16"/>
  <c r="AN89" i="16"/>
  <c r="AO89" i="16" s="1"/>
  <c r="AN323" i="16"/>
  <c r="AP323" i="16" s="1"/>
  <c r="AN339" i="16"/>
  <c r="AP339" i="16" s="1"/>
  <c r="AN355" i="16"/>
  <c r="AP355" i="16" s="1"/>
  <c r="AN90" i="16"/>
  <c r="AO90" i="16" s="1"/>
  <c r="AN316" i="16"/>
  <c r="AP316" i="16" s="1"/>
  <c r="AN332" i="16"/>
  <c r="AP332" i="16" s="1"/>
  <c r="AN356" i="16"/>
  <c r="AP356" i="16" s="1"/>
  <c r="AN317" i="16"/>
  <c r="AP317" i="16" s="1"/>
  <c r="AN341" i="16"/>
  <c r="AP341" i="16" s="1"/>
  <c r="AN88" i="16"/>
  <c r="AO88" i="16" s="1"/>
  <c r="AN96" i="16"/>
  <c r="AO96" i="16" s="1"/>
  <c r="AN314" i="16"/>
  <c r="AP314" i="16" s="1"/>
  <c r="AN322" i="16"/>
  <c r="AP322" i="16" s="1"/>
  <c r="AN330" i="16"/>
  <c r="AP330" i="16" s="1"/>
  <c r="AN338" i="16"/>
  <c r="AP338" i="16" s="1"/>
  <c r="AN346" i="16"/>
  <c r="AP346" i="16" s="1"/>
  <c r="AN354" i="16"/>
  <c r="AP354" i="16" s="1"/>
  <c r="AN362" i="16"/>
  <c r="AN84" i="16"/>
  <c r="AO84" i="16" s="1"/>
  <c r="W273" i="9"/>
  <c r="W182" i="9"/>
  <c r="W366" i="9"/>
  <c r="W437" i="9"/>
  <c r="W262" i="9"/>
  <c r="W384" i="9"/>
  <c r="W414" i="9"/>
  <c r="W110" i="9"/>
  <c r="W294" i="9"/>
  <c r="W390" i="9"/>
  <c r="W420" i="9"/>
  <c r="W150" i="9"/>
  <c r="W334" i="9"/>
  <c r="W336" i="9"/>
  <c r="W272" i="9"/>
  <c r="W208" i="9"/>
  <c r="W144" i="9"/>
  <c r="W80" i="9"/>
  <c r="W327" i="9"/>
  <c r="W263" i="9"/>
  <c r="W199" i="9"/>
  <c r="W135" i="9"/>
  <c r="W429" i="9"/>
  <c r="W365" i="9"/>
  <c r="W301" i="9"/>
  <c r="W237" i="9"/>
  <c r="W173" i="9"/>
  <c r="W109" i="9"/>
  <c r="W324" i="9"/>
  <c r="W260" i="9"/>
  <c r="W196" i="9"/>
  <c r="W132" i="9"/>
  <c r="W371" i="9"/>
  <c r="W307" i="9"/>
  <c r="W243" i="9"/>
  <c r="W179" i="9"/>
  <c r="W115" i="9"/>
  <c r="W338" i="9"/>
  <c r="W274" i="9"/>
  <c r="W210" i="9"/>
  <c r="W146" i="9"/>
  <c r="W82" i="9"/>
  <c r="W369" i="9"/>
  <c r="W305" i="9"/>
  <c r="W241" i="9"/>
  <c r="W177" i="9"/>
  <c r="W113" i="9"/>
  <c r="P349" i="16"/>
  <c r="Q349" i="16" s="1"/>
  <c r="R349" i="16" s="1"/>
  <c r="P365" i="16"/>
  <c r="Q365" i="16" s="1"/>
  <c r="R365" i="16" s="1"/>
  <c r="P134" i="16"/>
  <c r="Q134" i="16" s="1"/>
  <c r="R134" i="16" s="1"/>
  <c r="P219" i="16"/>
  <c r="Q219" i="16" s="1"/>
  <c r="R219" i="16" s="1"/>
  <c r="F211" i="16"/>
  <c r="P347" i="16"/>
  <c r="Q347" i="16" s="1"/>
  <c r="R347" i="16" s="1"/>
  <c r="P340" i="16"/>
  <c r="Q340" i="16" s="1"/>
  <c r="R340" i="16" s="1"/>
  <c r="P332" i="16"/>
  <c r="Q332" i="16" s="1"/>
  <c r="R332" i="16" s="1"/>
  <c r="P334" i="16"/>
  <c r="Q334" i="16" s="1"/>
  <c r="R334" i="16" s="1"/>
  <c r="P331" i="16"/>
  <c r="Q331" i="16" s="1"/>
  <c r="R331" i="16" s="1"/>
  <c r="P351" i="16"/>
  <c r="Q351" i="16" s="1"/>
  <c r="R351" i="16" s="1"/>
  <c r="P346" i="16"/>
  <c r="Q346" i="16" s="1"/>
  <c r="R346" i="16" s="1"/>
  <c r="P341" i="16"/>
  <c r="Q341" i="16" s="1"/>
  <c r="R341" i="16" s="1"/>
  <c r="P366" i="16"/>
  <c r="Q366" i="16" s="1"/>
  <c r="R366" i="16" s="1"/>
  <c r="P343" i="16"/>
  <c r="Q343" i="16" s="1"/>
  <c r="R343" i="16" s="1"/>
  <c r="P355" i="16"/>
  <c r="Q355" i="16" s="1"/>
  <c r="R355" i="16" s="1"/>
  <c r="P357" i="16"/>
  <c r="Q357" i="16" s="1"/>
  <c r="R357" i="16" s="1"/>
  <c r="P292" i="16"/>
  <c r="Q292" i="16" s="1"/>
  <c r="R292" i="16" s="1"/>
  <c r="F122" i="16"/>
  <c r="F304" i="16"/>
  <c r="P362" i="16"/>
  <c r="Q362" i="16" s="1"/>
  <c r="R362" i="16" s="1"/>
  <c r="P364" i="16"/>
  <c r="Q364" i="16" s="1"/>
  <c r="R364" i="16" s="1"/>
  <c r="P348" i="16"/>
  <c r="Q348" i="16" s="1"/>
  <c r="R348" i="16" s="1"/>
  <c r="P327" i="16"/>
  <c r="Q327" i="16" s="1"/>
  <c r="R327" i="16" s="1"/>
  <c r="P333" i="16"/>
  <c r="Q333" i="16" s="1"/>
  <c r="R333" i="16" s="1"/>
  <c r="G327" i="16"/>
  <c r="G328" i="16"/>
  <c r="G329" i="16"/>
  <c r="G330" i="16"/>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G363" i="16"/>
  <c r="G364" i="16"/>
  <c r="G365" i="16"/>
  <c r="G366" i="16"/>
  <c r="G367" i="16"/>
  <c r="G368" i="16"/>
  <c r="G369" i="16"/>
  <c r="C70" i="20"/>
  <c r="C64" i="20"/>
  <c r="C81" i="20"/>
  <c r="AB33" i="4"/>
  <c r="Y33" i="4"/>
  <c r="Y34" i="4" s="1"/>
  <c r="AG32" i="4"/>
  <c r="AG30" i="4" s="1"/>
  <c r="V32" i="4"/>
  <c r="V30" i="4" s="1"/>
  <c r="W32" i="4"/>
  <c r="Q30" i="4"/>
  <c r="AM30" i="4"/>
  <c r="AL30" i="4"/>
  <c r="AK30" i="4"/>
  <c r="AI34" i="4"/>
  <c r="AK34" i="4"/>
  <c r="AL34" i="4"/>
  <c r="AM34" i="4"/>
  <c r="AF33" i="4"/>
  <c r="AF34" i="4" s="1"/>
  <c r="W33" i="4"/>
  <c r="W34" i="4" s="1"/>
  <c r="P33" i="4"/>
  <c r="P34" i="4" s="1"/>
  <c r="U33" i="4"/>
  <c r="U34" i="4" s="1"/>
  <c r="V33" i="4"/>
  <c r="V34" i="4" s="1"/>
  <c r="AG33" i="4"/>
  <c r="AG34" i="4" s="1"/>
  <c r="AH33" i="4"/>
  <c r="AH34" i="4" s="1"/>
  <c r="P32" i="4"/>
  <c r="P30" i="4" s="1"/>
  <c r="Z32" i="4"/>
  <c r="AA32" i="4" s="1"/>
  <c r="W76" i="9"/>
  <c r="BH39" i="9"/>
  <c r="BJ40" i="9"/>
  <c r="BJ39" i="9"/>
  <c r="D31" i="9"/>
  <c r="BF39" i="9"/>
  <c r="W38" i="9"/>
  <c r="H331" i="16"/>
  <c r="H339" i="16"/>
  <c r="H347" i="16"/>
  <c r="H355" i="16"/>
  <c r="H363" i="16"/>
  <c r="D68" i="16"/>
  <c r="H332" i="16"/>
  <c r="H340" i="16"/>
  <c r="H348" i="16"/>
  <c r="H356" i="16"/>
  <c r="H364" i="16"/>
  <c r="H333" i="16"/>
  <c r="H341" i="16"/>
  <c r="H349" i="16"/>
  <c r="H357" i="16"/>
  <c r="H365" i="16"/>
  <c r="H334" i="16"/>
  <c r="H342" i="16"/>
  <c r="H350" i="16"/>
  <c r="H358" i="16"/>
  <c r="H366" i="16"/>
  <c r="H327" i="16"/>
  <c r="H335" i="16"/>
  <c r="H343" i="16"/>
  <c r="H351" i="16"/>
  <c r="H359" i="16"/>
  <c r="H367" i="16"/>
  <c r="H328" i="16"/>
  <c r="H336" i="16"/>
  <c r="H344" i="16"/>
  <c r="H352" i="16"/>
  <c r="H360" i="16"/>
  <c r="H368" i="16"/>
  <c r="H329" i="16"/>
  <c r="H337" i="16"/>
  <c r="H345" i="16"/>
  <c r="H353" i="16"/>
  <c r="H361" i="16"/>
  <c r="H369" i="16"/>
  <c r="H330" i="16"/>
  <c r="H338" i="16"/>
  <c r="H346" i="16"/>
  <c r="H354" i="16"/>
  <c r="H362" i="16"/>
  <c r="W48" i="9"/>
  <c r="AD33" i="4"/>
  <c r="AE34" i="4"/>
  <c r="O34" i="4"/>
  <c r="J209" i="24"/>
  <c r="M209" i="24" s="1"/>
  <c r="K209" i="24"/>
  <c r="J165" i="24"/>
  <c r="M165" i="24" s="1"/>
  <c r="K165" i="24"/>
  <c r="J313" i="24"/>
  <c r="M313" i="24" s="1"/>
  <c r="K313" i="24"/>
  <c r="J236" i="24"/>
  <c r="M236" i="24" s="1"/>
  <c r="K236" i="24"/>
  <c r="J283" i="24"/>
  <c r="M283" i="24" s="1"/>
  <c r="K283" i="24"/>
  <c r="J256" i="24"/>
  <c r="M256" i="24" s="1"/>
  <c r="K256" i="24"/>
  <c r="J191" i="24"/>
  <c r="M191" i="24" s="1"/>
  <c r="K191" i="24"/>
  <c r="J170" i="24"/>
  <c r="M170" i="24" s="1"/>
  <c r="K170" i="24"/>
  <c r="J258" i="24"/>
  <c r="M258" i="24" s="1"/>
  <c r="K258" i="24"/>
  <c r="J316" i="24"/>
  <c r="M316" i="24" s="1"/>
  <c r="K316" i="24"/>
  <c r="J177" i="24"/>
  <c r="M177" i="24" s="1"/>
  <c r="K177" i="24"/>
  <c r="J284" i="24"/>
  <c r="M284" i="24" s="1"/>
  <c r="K284" i="24"/>
  <c r="J281" i="24"/>
  <c r="M281" i="24" s="1"/>
  <c r="K281" i="24"/>
  <c r="J354" i="24"/>
  <c r="M354" i="24" s="1"/>
  <c r="K354" i="24"/>
  <c r="J292" i="24"/>
  <c r="M292" i="24" s="1"/>
  <c r="K292" i="24"/>
  <c r="J219" i="24"/>
  <c r="M219" i="24" s="1"/>
  <c r="K219" i="24"/>
  <c r="J298" i="24"/>
  <c r="M298" i="24" s="1"/>
  <c r="K298" i="24"/>
  <c r="J266" i="24"/>
  <c r="M266" i="24" s="1"/>
  <c r="K266" i="24"/>
  <c r="J218" i="24"/>
  <c r="M218" i="24" s="1"/>
  <c r="K218" i="24"/>
  <c r="J306" i="24"/>
  <c r="M306" i="24" s="1"/>
  <c r="K306" i="24"/>
  <c r="J184" i="24"/>
  <c r="M184" i="24" s="1"/>
  <c r="K184" i="24"/>
  <c r="J361" i="24"/>
  <c r="M361" i="24" s="1"/>
  <c r="K361" i="24"/>
  <c r="J204" i="24"/>
  <c r="M204" i="24" s="1"/>
  <c r="K204" i="24"/>
  <c r="J228" i="24"/>
  <c r="M228" i="24" s="1"/>
  <c r="K228" i="24"/>
  <c r="J199" i="24"/>
  <c r="M199" i="24" s="1"/>
  <c r="K199" i="24"/>
  <c r="J239" i="24"/>
  <c r="M239" i="24" s="1"/>
  <c r="K239" i="24"/>
  <c r="J192" i="24"/>
  <c r="M192" i="24" s="1"/>
  <c r="K192" i="24"/>
  <c r="J320" i="24"/>
  <c r="M320" i="24" s="1"/>
  <c r="K320" i="24"/>
  <c r="J259" i="24"/>
  <c r="M259" i="24" s="1"/>
  <c r="K259" i="24"/>
  <c r="J331" i="24"/>
  <c r="M331" i="24" s="1"/>
  <c r="K331" i="24"/>
  <c r="J212" i="24"/>
  <c r="M212" i="24" s="1"/>
  <c r="K212" i="24"/>
  <c r="J297" i="24"/>
  <c r="M297" i="24" s="1"/>
  <c r="K297" i="24"/>
  <c r="J278" i="24"/>
  <c r="M278" i="24" s="1"/>
  <c r="K278" i="24"/>
  <c r="J229" i="24"/>
  <c r="M229" i="24" s="1"/>
  <c r="K229" i="24"/>
  <c r="J287" i="24"/>
  <c r="M287" i="24" s="1"/>
  <c r="K287" i="24"/>
  <c r="J352" i="24"/>
  <c r="M352" i="24" s="1"/>
  <c r="K352" i="24"/>
  <c r="J166" i="24"/>
  <c r="M166" i="24" s="1"/>
  <c r="K166" i="24"/>
  <c r="J189" i="24"/>
  <c r="M189" i="24" s="1"/>
  <c r="K189" i="24"/>
  <c r="J270" i="24"/>
  <c r="M270" i="24" s="1"/>
  <c r="K270" i="24"/>
  <c r="J245" i="24"/>
  <c r="M245" i="24" s="1"/>
  <c r="K245" i="24"/>
  <c r="J198" i="24"/>
  <c r="M198" i="24" s="1"/>
  <c r="K198" i="24"/>
  <c r="J182" i="24"/>
  <c r="M182" i="24" s="1"/>
  <c r="K182" i="24"/>
  <c r="J207" i="24"/>
  <c r="M207" i="24" s="1"/>
  <c r="K207" i="24"/>
  <c r="J196" i="24"/>
  <c r="M196" i="24" s="1"/>
  <c r="K196" i="24"/>
  <c r="J195" i="24"/>
  <c r="M195" i="24" s="1"/>
  <c r="K195" i="24"/>
  <c r="J339" i="24"/>
  <c r="M339" i="24" s="1"/>
  <c r="K339" i="24"/>
  <c r="J343" i="24"/>
  <c r="M343" i="24" s="1"/>
  <c r="K343" i="24"/>
  <c r="J185" i="24"/>
  <c r="M185" i="24" s="1"/>
  <c r="K185" i="24"/>
  <c r="J178" i="24"/>
  <c r="M178" i="24" s="1"/>
  <c r="K178" i="24"/>
  <c r="J226" i="24"/>
  <c r="M226" i="24" s="1"/>
  <c r="K226" i="24"/>
  <c r="J314" i="24"/>
  <c r="M314" i="24" s="1"/>
  <c r="K314" i="24"/>
  <c r="J181" i="24"/>
  <c r="M181" i="24" s="1"/>
  <c r="K181" i="24"/>
  <c r="J273" i="24"/>
  <c r="M273" i="24" s="1"/>
  <c r="K273" i="24"/>
  <c r="J205" i="24"/>
  <c r="M205" i="24" s="1"/>
  <c r="K205" i="24"/>
  <c r="J244" i="24"/>
  <c r="M244" i="24" s="1"/>
  <c r="K244" i="24"/>
  <c r="J237" i="24"/>
  <c r="M237" i="24" s="1"/>
  <c r="K237" i="24"/>
  <c r="J255" i="24"/>
  <c r="M255" i="24" s="1"/>
  <c r="K255" i="24"/>
  <c r="J224" i="24"/>
  <c r="M224" i="24" s="1"/>
  <c r="K224" i="24"/>
  <c r="J171" i="24"/>
  <c r="M171" i="24" s="1"/>
  <c r="K171" i="24"/>
  <c r="J267" i="24"/>
  <c r="M267" i="24" s="1"/>
  <c r="K267" i="24"/>
  <c r="J347" i="24"/>
  <c r="M347" i="24" s="1"/>
  <c r="K347" i="24"/>
  <c r="J254" i="24"/>
  <c r="M254" i="24" s="1"/>
  <c r="K254" i="24"/>
  <c r="J321" i="24"/>
  <c r="M321" i="24" s="1"/>
  <c r="K321" i="24"/>
  <c r="J286" i="24"/>
  <c r="M286" i="24" s="1"/>
  <c r="K286" i="24"/>
  <c r="J276" i="24"/>
  <c r="M276" i="24" s="1"/>
  <c r="K276" i="24"/>
  <c r="J295" i="24"/>
  <c r="M295" i="24" s="1"/>
  <c r="K295" i="24"/>
  <c r="J340" i="24"/>
  <c r="M340" i="24" s="1"/>
  <c r="K340" i="24"/>
  <c r="J246" i="24"/>
  <c r="M246" i="24" s="1"/>
  <c r="K246" i="24"/>
  <c r="J269" i="24"/>
  <c r="M269" i="24" s="1"/>
  <c r="K269" i="24"/>
  <c r="J326" i="24"/>
  <c r="M326" i="24" s="1"/>
  <c r="K326" i="24"/>
  <c r="J167" i="24"/>
  <c r="M167" i="24" s="1"/>
  <c r="K167" i="24"/>
  <c r="J303" i="24"/>
  <c r="M303" i="24" s="1"/>
  <c r="K303" i="24"/>
  <c r="J294" i="24"/>
  <c r="M294" i="24" s="1"/>
  <c r="K294" i="24"/>
  <c r="J179" i="24"/>
  <c r="M179" i="24" s="1"/>
  <c r="K179" i="24"/>
  <c r="J300" i="24"/>
  <c r="M300" i="24" s="1"/>
  <c r="K300" i="24"/>
  <c r="J277" i="24"/>
  <c r="M277" i="24" s="1"/>
  <c r="K277" i="24"/>
  <c r="J230" i="24"/>
  <c r="M230" i="24" s="1"/>
  <c r="K230" i="24"/>
  <c r="J180" i="24"/>
  <c r="M180" i="24" s="1"/>
  <c r="K180" i="24"/>
  <c r="J351" i="24"/>
  <c r="M351" i="24" s="1"/>
  <c r="K351" i="24"/>
  <c r="J208" i="24"/>
  <c r="M208" i="24" s="1"/>
  <c r="K208" i="24"/>
  <c r="J296" i="24"/>
  <c r="M296" i="24" s="1"/>
  <c r="K296" i="24"/>
  <c r="J217" i="24"/>
  <c r="M217" i="24" s="1"/>
  <c r="K217" i="24"/>
  <c r="J330" i="24"/>
  <c r="M330" i="24" s="1"/>
  <c r="K330" i="24"/>
  <c r="J250" i="24"/>
  <c r="M250" i="24" s="1"/>
  <c r="K250" i="24"/>
  <c r="J338" i="24"/>
  <c r="M338" i="24" s="1"/>
  <c r="K338" i="24"/>
  <c r="J183" i="24"/>
  <c r="M183" i="24" s="1"/>
  <c r="K183" i="24"/>
  <c r="J333" i="24"/>
  <c r="M333" i="24" s="1"/>
  <c r="K333" i="24"/>
  <c r="J328" i="24"/>
  <c r="M328" i="24" s="1"/>
  <c r="K328" i="24"/>
  <c r="J173" i="24"/>
  <c r="M173" i="24" s="1"/>
  <c r="K173" i="24"/>
  <c r="J172" i="24"/>
  <c r="M172" i="24" s="1"/>
  <c r="K172" i="24"/>
  <c r="J213" i="24"/>
  <c r="M213" i="24" s="1"/>
  <c r="K213" i="24"/>
  <c r="J357" i="24"/>
  <c r="M357" i="24" s="1"/>
  <c r="K357" i="24"/>
  <c r="J353" i="24"/>
  <c r="M353" i="24" s="1"/>
  <c r="K353" i="24"/>
  <c r="J203" i="24"/>
  <c r="M203" i="24" s="1"/>
  <c r="K203" i="24"/>
  <c r="J291" i="24"/>
  <c r="M291" i="24" s="1"/>
  <c r="K291" i="24"/>
  <c r="J225" i="24"/>
  <c r="M225" i="24" s="1"/>
  <c r="K225" i="24"/>
  <c r="J342" i="24"/>
  <c r="M342" i="24" s="1"/>
  <c r="K342" i="24"/>
  <c r="J302" i="24"/>
  <c r="M302" i="24" s="1"/>
  <c r="K302" i="24"/>
  <c r="J359" i="24"/>
  <c r="M359" i="24" s="1"/>
  <c r="K359" i="24"/>
  <c r="J176" i="24"/>
  <c r="M176" i="24" s="1"/>
  <c r="K176" i="24"/>
  <c r="J221" i="24"/>
  <c r="M221" i="24" s="1"/>
  <c r="K221" i="24"/>
  <c r="J187" i="24"/>
  <c r="M187" i="24" s="1"/>
  <c r="K187" i="24"/>
  <c r="J332" i="24"/>
  <c r="M332" i="24" s="1"/>
  <c r="K332" i="24"/>
  <c r="J285" i="24"/>
  <c r="M285" i="24" s="1"/>
  <c r="K285" i="24"/>
  <c r="J350" i="24"/>
  <c r="M350" i="24" s="1"/>
  <c r="K350" i="24"/>
  <c r="J168" i="24"/>
  <c r="M168" i="24" s="1"/>
  <c r="K168" i="24"/>
  <c r="J358" i="24"/>
  <c r="M358" i="24" s="1"/>
  <c r="K358" i="24"/>
  <c r="J234" i="24"/>
  <c r="M234" i="24" s="1"/>
  <c r="K234" i="24"/>
  <c r="J174" i="24"/>
  <c r="M174" i="24" s="1"/>
  <c r="K174" i="24"/>
  <c r="J253" i="24"/>
  <c r="M253" i="24" s="1"/>
  <c r="K253" i="24"/>
  <c r="J243" i="24"/>
  <c r="M243" i="24" s="1"/>
  <c r="K243" i="24"/>
  <c r="J348" i="24"/>
  <c r="M348" i="24" s="1"/>
  <c r="K348" i="24"/>
  <c r="J293" i="24"/>
  <c r="M293" i="24" s="1"/>
  <c r="K293" i="24"/>
  <c r="J241" i="24"/>
  <c r="M241" i="24" s="1"/>
  <c r="K241" i="24"/>
  <c r="J162" i="24"/>
  <c r="M162" i="24" s="1"/>
  <c r="K162" i="24"/>
  <c r="J216" i="24"/>
  <c r="M216" i="24" s="1"/>
  <c r="K216" i="24"/>
  <c r="J349" i="24"/>
  <c r="M349" i="24" s="1"/>
  <c r="K349" i="24"/>
  <c r="J279" i="24"/>
  <c r="M279" i="24" s="1"/>
  <c r="K279" i="24"/>
  <c r="J197" i="24"/>
  <c r="M197" i="24" s="1"/>
  <c r="K197" i="24"/>
  <c r="J275" i="24"/>
  <c r="M275" i="24" s="1"/>
  <c r="K275" i="24"/>
  <c r="J356" i="24"/>
  <c r="M356" i="24" s="1"/>
  <c r="K356" i="24"/>
  <c r="J317" i="24"/>
  <c r="M317" i="24" s="1"/>
  <c r="K317" i="24"/>
  <c r="J257" i="24"/>
  <c r="M257" i="24" s="1"/>
  <c r="K257" i="24"/>
  <c r="J272" i="24"/>
  <c r="M272" i="24" s="1"/>
  <c r="K272" i="24"/>
  <c r="J232" i="24"/>
  <c r="M232" i="24" s="1"/>
  <c r="K232" i="24"/>
  <c r="J242" i="24"/>
  <c r="M242" i="24" s="1"/>
  <c r="K242" i="24"/>
  <c r="J220" i="24"/>
  <c r="M220" i="24" s="1"/>
  <c r="K220" i="24"/>
  <c r="J280" i="24"/>
  <c r="M280" i="24" s="1"/>
  <c r="K280" i="24"/>
  <c r="J318" i="24"/>
  <c r="M318" i="24" s="1"/>
  <c r="K318" i="24"/>
  <c r="J249" i="24"/>
  <c r="M249" i="24" s="1"/>
  <c r="K249" i="24"/>
  <c r="J346" i="24"/>
  <c r="M346" i="24" s="1"/>
  <c r="K346" i="24"/>
  <c r="J164" i="24"/>
  <c r="M164" i="24" s="1"/>
  <c r="K164" i="24"/>
  <c r="J299" i="24"/>
  <c r="M299" i="24" s="1"/>
  <c r="K299" i="24"/>
  <c r="J190" i="24"/>
  <c r="M190" i="24" s="1"/>
  <c r="K190" i="24"/>
  <c r="J186" i="24"/>
  <c r="M186" i="24" s="1"/>
  <c r="K186" i="24"/>
  <c r="J335" i="24"/>
  <c r="M335" i="24" s="1"/>
  <c r="K335" i="24"/>
  <c r="J327" i="24"/>
  <c r="M327" i="24" s="1"/>
  <c r="K327" i="24"/>
  <c r="J307" i="24"/>
  <c r="M307" i="24" s="1"/>
  <c r="K307" i="24"/>
  <c r="J175" i="24"/>
  <c r="M175" i="24" s="1"/>
  <c r="K175" i="24"/>
  <c r="J319" i="24"/>
  <c r="M319" i="24" s="1"/>
  <c r="K319" i="24"/>
  <c r="J305" i="24"/>
  <c r="M305" i="24" s="1"/>
  <c r="K305" i="24"/>
  <c r="J194" i="24"/>
  <c r="M194" i="24" s="1"/>
  <c r="K194" i="24"/>
  <c r="J282" i="24"/>
  <c r="M282" i="24" s="1"/>
  <c r="K282" i="24"/>
  <c r="J193" i="24"/>
  <c r="M193" i="24" s="1"/>
  <c r="K193" i="24"/>
  <c r="J252" i="24"/>
  <c r="M252" i="24" s="1"/>
  <c r="K252" i="24"/>
  <c r="J268" i="24"/>
  <c r="M268" i="24" s="1"/>
  <c r="K268" i="24"/>
  <c r="J308" i="24"/>
  <c r="M308" i="24" s="1"/>
  <c r="K308" i="24"/>
  <c r="J304" i="24"/>
  <c r="M304" i="24" s="1"/>
  <c r="K304" i="24"/>
  <c r="J248" i="24"/>
  <c r="M248" i="24" s="1"/>
  <c r="K248" i="24"/>
  <c r="J227" i="24"/>
  <c r="M227" i="24" s="1"/>
  <c r="K227" i="24"/>
  <c r="J315" i="24"/>
  <c r="M315" i="24" s="1"/>
  <c r="K315" i="24"/>
  <c r="J233" i="24"/>
  <c r="M233" i="24" s="1"/>
  <c r="K233" i="24"/>
  <c r="J238" i="24"/>
  <c r="M238" i="24" s="1"/>
  <c r="K238" i="24"/>
  <c r="J223" i="24"/>
  <c r="M223" i="24" s="1"/>
  <c r="K223" i="24"/>
  <c r="J311" i="24"/>
  <c r="M311" i="24" s="1"/>
  <c r="K311" i="24"/>
  <c r="J215" i="24"/>
  <c r="M215" i="24" s="1"/>
  <c r="K215" i="24"/>
  <c r="J325" i="24"/>
  <c r="M325" i="24" s="1"/>
  <c r="K325" i="24"/>
  <c r="J329" i="24"/>
  <c r="M329" i="24" s="1"/>
  <c r="K329" i="24"/>
  <c r="J222" i="24"/>
  <c r="M222" i="24" s="1"/>
  <c r="K222" i="24"/>
  <c r="J312" i="24"/>
  <c r="M312" i="24" s="1"/>
  <c r="K312" i="24"/>
  <c r="J200" i="24"/>
  <c r="M200" i="24" s="1"/>
  <c r="K200" i="24"/>
  <c r="J322" i="24"/>
  <c r="M322" i="24" s="1"/>
  <c r="K322" i="24"/>
  <c r="J344" i="24"/>
  <c r="M344" i="24" s="1"/>
  <c r="K344" i="24"/>
  <c r="J289" i="24"/>
  <c r="M289" i="24" s="1"/>
  <c r="K289" i="24"/>
  <c r="J355" i="24"/>
  <c r="M355" i="24" s="1"/>
  <c r="K355" i="24"/>
  <c r="J310" i="24"/>
  <c r="M310" i="24" s="1"/>
  <c r="K310" i="24"/>
  <c r="J360" i="24"/>
  <c r="M360" i="24" s="1"/>
  <c r="K360" i="24"/>
  <c r="J288" i="24"/>
  <c r="M288" i="24" s="1"/>
  <c r="K288" i="24"/>
  <c r="J309" i="24"/>
  <c r="M309" i="24" s="1"/>
  <c r="K309" i="24"/>
  <c r="J211" i="24"/>
  <c r="M211" i="24" s="1"/>
  <c r="K211" i="24"/>
  <c r="J336" i="24"/>
  <c r="M336" i="24" s="1"/>
  <c r="K336" i="24"/>
  <c r="J264" i="24"/>
  <c r="M264" i="24" s="1"/>
  <c r="K264" i="24"/>
  <c r="J274" i="24"/>
  <c r="M274" i="24" s="1"/>
  <c r="K274" i="24"/>
  <c r="J301" i="24"/>
  <c r="M301" i="24" s="1"/>
  <c r="K301" i="24"/>
  <c r="J341" i="24"/>
  <c r="M341" i="24" s="1"/>
  <c r="K341" i="24"/>
  <c r="J324" i="24"/>
  <c r="M324" i="24" s="1"/>
  <c r="K324" i="24"/>
  <c r="J214" i="24"/>
  <c r="M214" i="24" s="1"/>
  <c r="K214" i="24"/>
  <c r="J202" i="24"/>
  <c r="M202" i="24" s="1"/>
  <c r="K202" i="24"/>
  <c r="J345" i="24"/>
  <c r="M345" i="24" s="1"/>
  <c r="K345" i="24"/>
  <c r="J210" i="24"/>
  <c r="M210" i="24" s="1"/>
  <c r="K210" i="24"/>
  <c r="J290" i="24"/>
  <c r="M290" i="24" s="1"/>
  <c r="K290" i="24"/>
  <c r="J169" i="24"/>
  <c r="M169" i="24" s="1"/>
  <c r="K169" i="24"/>
  <c r="J265" i="24"/>
  <c r="M265" i="24" s="1"/>
  <c r="K265" i="24"/>
  <c r="J247" i="24"/>
  <c r="M247" i="24" s="1"/>
  <c r="K247" i="24"/>
  <c r="J240" i="24"/>
  <c r="M240" i="24" s="1"/>
  <c r="K240" i="24"/>
  <c r="J263" i="24"/>
  <c r="M263" i="24" s="1"/>
  <c r="K263" i="24"/>
  <c r="J260" i="24"/>
  <c r="M260" i="24" s="1"/>
  <c r="K260" i="24"/>
  <c r="J271" i="24"/>
  <c r="M271" i="24" s="1"/>
  <c r="K271" i="24"/>
  <c r="J235" i="24"/>
  <c r="M235" i="24" s="1"/>
  <c r="K235" i="24"/>
  <c r="J323" i="24"/>
  <c r="M323" i="24" s="1"/>
  <c r="K323" i="24"/>
  <c r="J163" i="24"/>
  <c r="M163" i="24" s="1"/>
  <c r="K163" i="24"/>
  <c r="J251" i="24"/>
  <c r="M251" i="24" s="1"/>
  <c r="K251" i="24"/>
  <c r="J262" i="24"/>
  <c r="M262" i="24" s="1"/>
  <c r="K262" i="24"/>
  <c r="J188" i="24"/>
  <c r="M188" i="24" s="1"/>
  <c r="K188" i="24"/>
  <c r="J231" i="24"/>
  <c r="M231" i="24" s="1"/>
  <c r="K231" i="24"/>
  <c r="J334" i="24"/>
  <c r="M334" i="24" s="1"/>
  <c r="K334" i="24"/>
  <c r="J261" i="24"/>
  <c r="M261" i="24" s="1"/>
  <c r="K261" i="24"/>
  <c r="J206" i="24"/>
  <c r="M206" i="24" s="1"/>
  <c r="K206" i="24"/>
  <c r="J337" i="24"/>
  <c r="M337" i="24" s="1"/>
  <c r="K337" i="24"/>
  <c r="R328" i="16"/>
  <c r="R330" i="16"/>
  <c r="R361" i="16"/>
  <c r="R337" i="16"/>
  <c r="R345" i="16"/>
  <c r="R356" i="16"/>
  <c r="R352" i="16"/>
  <c r="R354" i="16"/>
  <c r="R353" i="16"/>
  <c r="R336" i="16"/>
  <c r="R368" i="16"/>
  <c r="P322" i="16"/>
  <c r="Q322" i="16" s="1"/>
  <c r="R322" i="16" s="1"/>
  <c r="R84" i="16"/>
  <c r="F275" i="16"/>
  <c r="F110" i="16"/>
  <c r="P324" i="16"/>
  <c r="Q324" i="16" s="1"/>
  <c r="R324" i="16" s="1"/>
  <c r="F294" i="16"/>
  <c r="P167" i="16"/>
  <c r="Q167" i="16" s="1"/>
  <c r="R167" i="16" s="1"/>
  <c r="F162" i="16"/>
  <c r="P88" i="16"/>
  <c r="Q88" i="16" s="1"/>
  <c r="R88" i="16" s="1"/>
  <c r="F174" i="16"/>
  <c r="P123" i="16"/>
  <c r="Q123" i="16" s="1"/>
  <c r="R123" i="16" s="1"/>
  <c r="P208" i="16"/>
  <c r="Q208" i="16" s="1"/>
  <c r="P286" i="16"/>
  <c r="Q286" i="16" s="1"/>
  <c r="P98" i="16"/>
  <c r="Q98" i="16" s="1"/>
  <c r="R98" i="16" s="1"/>
  <c r="F187" i="16"/>
  <c r="P94" i="16"/>
  <c r="Q94" i="16" s="1"/>
  <c r="R94" i="16" s="1"/>
  <c r="P200" i="16"/>
  <c r="Q200" i="16" s="1"/>
  <c r="R200" i="16" s="1"/>
  <c r="P102" i="16"/>
  <c r="Q102" i="16" s="1"/>
  <c r="R102" i="16" s="1"/>
  <c r="F152" i="16"/>
  <c r="P235" i="16"/>
  <c r="Q235" i="16" s="1"/>
  <c r="F196" i="16"/>
  <c r="W39" i="9"/>
  <c r="W46" i="9"/>
  <c r="W56" i="9"/>
  <c r="W59" i="9"/>
  <c r="W70" i="9"/>
  <c r="W37" i="9"/>
  <c r="W77" i="9"/>
  <c r="W47" i="9"/>
  <c r="W58" i="9"/>
  <c r="K218"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W44" i="9"/>
  <c r="W67" i="9"/>
  <c r="W68" i="9"/>
  <c r="W75" i="9"/>
  <c r="X98" i="9"/>
  <c r="X106" i="9"/>
  <c r="X130" i="9"/>
  <c r="X138" i="9"/>
  <c r="X146" i="9"/>
  <c r="X170" i="9"/>
  <c r="X178" i="9"/>
  <c r="X186" i="9"/>
  <c r="X91" i="9"/>
  <c r="X92" i="9"/>
  <c r="X108" i="9"/>
  <c r="X116" i="9"/>
  <c r="X124" i="9"/>
  <c r="X132" i="9"/>
  <c r="X164" i="9"/>
  <c r="X180" i="9"/>
  <c r="X188" i="9"/>
  <c r="X85" i="9"/>
  <c r="X93" i="9"/>
  <c r="X109" i="9"/>
  <c r="X94" i="9"/>
  <c r="X102" i="9"/>
  <c r="X110" i="9"/>
  <c r="X126" i="9"/>
  <c r="X134" i="9"/>
  <c r="X142" i="9"/>
  <c r="X174" i="9"/>
  <c r="X190" i="9"/>
  <c r="X80" i="9"/>
  <c r="X88" i="9"/>
  <c r="X96" i="9"/>
  <c r="X104" i="9"/>
  <c r="X141" i="9"/>
  <c r="X153" i="9"/>
  <c r="X167" i="9"/>
  <c r="X179" i="9"/>
  <c r="X192" i="9"/>
  <c r="X217" i="9"/>
  <c r="X241" i="9"/>
  <c r="X249" i="9"/>
  <c r="X257" i="9"/>
  <c r="X265" i="9"/>
  <c r="X289" i="9"/>
  <c r="X297" i="9"/>
  <c r="X321" i="9"/>
  <c r="X329" i="9"/>
  <c r="X345" i="9"/>
  <c r="X361" i="9"/>
  <c r="X369" i="9"/>
  <c r="X377" i="9"/>
  <c r="X409" i="9"/>
  <c r="X417" i="9"/>
  <c r="X433" i="9"/>
  <c r="X95" i="9"/>
  <c r="X115" i="9"/>
  <c r="X129" i="9"/>
  <c r="X181" i="9"/>
  <c r="X202" i="9"/>
  <c r="X210" i="9"/>
  <c r="X218" i="9"/>
  <c r="X234" i="9"/>
  <c r="X242" i="9"/>
  <c r="X274" i="9"/>
  <c r="X282" i="9"/>
  <c r="X298" i="9"/>
  <c r="X306" i="9"/>
  <c r="X314" i="9"/>
  <c r="X322" i="9"/>
  <c r="X362" i="9"/>
  <c r="X370" i="9"/>
  <c r="X378" i="9"/>
  <c r="X386" i="9"/>
  <c r="X394" i="9"/>
  <c r="X402" i="9"/>
  <c r="X97" i="9"/>
  <c r="X119" i="9"/>
  <c r="X131" i="9"/>
  <c r="X144" i="9"/>
  <c r="X157" i="9"/>
  <c r="X195" i="9"/>
  <c r="X219" i="9"/>
  <c r="X227" i="9"/>
  <c r="X235" i="9"/>
  <c r="X251" i="9"/>
  <c r="X267" i="9"/>
  <c r="X275" i="9"/>
  <c r="X299" i="9"/>
  <c r="X315" i="9"/>
  <c r="X323" i="9"/>
  <c r="X339" i="9"/>
  <c r="X347" i="9"/>
  <c r="X355" i="9"/>
  <c r="X387" i="9"/>
  <c r="X395" i="9"/>
  <c r="X411" i="9"/>
  <c r="X419" i="9"/>
  <c r="X427" i="9"/>
  <c r="X99" i="9"/>
  <c r="X145" i="9"/>
  <c r="X171" i="9"/>
  <c r="X184" i="9"/>
  <c r="X204" i="9"/>
  <c r="X212" i="9"/>
  <c r="X220" i="9"/>
  <c r="X252" i="9"/>
  <c r="X268" i="9"/>
  <c r="X276" i="9"/>
  <c r="X284" i="9"/>
  <c r="X292" i="9"/>
  <c r="X300" i="9"/>
  <c r="X340" i="9"/>
  <c r="X348" i="9"/>
  <c r="X356" i="9"/>
  <c r="X364" i="9"/>
  <c r="X372" i="9"/>
  <c r="X380" i="9"/>
  <c r="X420" i="9"/>
  <c r="X428" i="9"/>
  <c r="X436" i="9"/>
  <c r="X103" i="9"/>
  <c r="X135" i="9"/>
  <c r="X160" i="9"/>
  <c r="X197" i="9"/>
  <c r="X205" i="9"/>
  <c r="X221" i="9"/>
  <c r="X229" i="9"/>
  <c r="X245" i="9"/>
  <c r="X253" i="9"/>
  <c r="X285" i="9"/>
  <c r="X293" i="9"/>
  <c r="X301" i="9"/>
  <c r="X317" i="9"/>
  <c r="X325" i="9"/>
  <c r="X333" i="9"/>
  <c r="X365" i="9"/>
  <c r="X373" i="9"/>
  <c r="X389" i="9"/>
  <c r="X397" i="9"/>
  <c r="X413" i="9"/>
  <c r="X421" i="9"/>
  <c r="X81" i="9"/>
  <c r="X125" i="9"/>
  <c r="X151" i="9"/>
  <c r="X163" i="9"/>
  <c r="X176" i="9"/>
  <c r="X189" i="9"/>
  <c r="X231" i="9"/>
  <c r="X239" i="9"/>
  <c r="X247" i="9"/>
  <c r="X255" i="9"/>
  <c r="X263" i="9"/>
  <c r="X271" i="9"/>
  <c r="X311" i="9"/>
  <c r="X319" i="9"/>
  <c r="X327" i="9"/>
  <c r="X335" i="9"/>
  <c r="X343" i="9"/>
  <c r="X359" i="9"/>
  <c r="X391" i="9"/>
  <c r="X399" i="9"/>
  <c r="X407" i="9"/>
  <c r="X423" i="9"/>
  <c r="X431" i="9"/>
  <c r="X111" i="9"/>
  <c r="X152" i="9"/>
  <c r="X177" i="9"/>
  <c r="X191" i="9"/>
  <c r="X200" i="9"/>
  <c r="X216" i="9"/>
  <c r="X224" i="9"/>
  <c r="X256" i="9"/>
  <c r="X264" i="9"/>
  <c r="X272" i="9"/>
  <c r="X288" i="9"/>
  <c r="X296" i="9"/>
  <c r="X304" i="9"/>
  <c r="X328" i="9"/>
  <c r="X336" i="9"/>
  <c r="X352" i="9"/>
  <c r="X360" i="9"/>
  <c r="X368" i="9"/>
  <c r="X376" i="9"/>
  <c r="X400" i="9"/>
  <c r="X416" i="9"/>
  <c r="X424" i="9"/>
  <c r="X432" i="9"/>
  <c r="X175" i="9"/>
  <c r="X246" i="9"/>
  <c r="X254" i="9"/>
  <c r="X318" i="9"/>
  <c r="X382" i="9"/>
  <c r="X79" i="9"/>
  <c r="X198" i="9"/>
  <c r="X262" i="9"/>
  <c r="X206" i="9"/>
  <c r="X270" i="9"/>
  <c r="X334" i="9"/>
  <c r="X398" i="9"/>
  <c r="X123" i="9"/>
  <c r="X214" i="9"/>
  <c r="X149" i="9"/>
  <c r="X230" i="9"/>
  <c r="X294" i="9"/>
  <c r="X358" i="9"/>
  <c r="X422" i="9"/>
  <c r="X238" i="9"/>
  <c r="X430" i="9"/>
  <c r="X42" i="9"/>
  <c r="X50" i="9"/>
  <c r="X58" i="9"/>
  <c r="X74" i="9"/>
  <c r="X136" i="9"/>
  <c r="X350" i="9"/>
  <c r="X38" i="9"/>
  <c r="X46" i="9"/>
  <c r="X62" i="9"/>
  <c r="X70" i="9"/>
  <c r="X37" i="9"/>
  <c r="X49" i="9"/>
  <c r="X60" i="9"/>
  <c r="X77" i="9"/>
  <c r="X40" i="9"/>
  <c r="X51" i="9"/>
  <c r="X61" i="9"/>
  <c r="X52" i="9"/>
  <c r="X73" i="9"/>
  <c r="X76" i="9"/>
  <c r="X43" i="9"/>
  <c r="X53" i="9"/>
  <c r="X64" i="9"/>
  <c r="X65" i="9"/>
  <c r="X67" i="9"/>
  <c r="X47" i="9"/>
  <c r="X57" i="9"/>
  <c r="X68" i="9"/>
  <c r="X45" i="9"/>
  <c r="X56" i="9"/>
  <c r="F315" i="16"/>
  <c r="F144" i="16"/>
  <c r="P132" i="16"/>
  <c r="Q132" i="16" s="1"/>
  <c r="F307" i="16"/>
  <c r="F263" i="16"/>
  <c r="F143" i="16"/>
  <c r="P230" i="16"/>
  <c r="Q230" i="16" s="1"/>
  <c r="F175" i="16"/>
  <c r="F222" i="16"/>
  <c r="P287" i="16"/>
  <c r="Q287" i="16" s="1"/>
  <c r="R287" i="16" s="1"/>
  <c r="F238" i="16"/>
  <c r="P268" i="16"/>
  <c r="Q268" i="16" s="1"/>
  <c r="R268" i="16" s="1"/>
  <c r="P325" i="16"/>
  <c r="Q325" i="16" s="1"/>
  <c r="F259" i="16"/>
  <c r="F154" i="16"/>
  <c r="P214" i="16"/>
  <c r="Q214" i="16" s="1"/>
  <c r="F311" i="16"/>
  <c r="F106" i="16"/>
  <c r="P227" i="16"/>
  <c r="Q227" i="16" s="1"/>
  <c r="P116" i="16"/>
  <c r="Q116" i="16" s="1"/>
  <c r="F279" i="16"/>
  <c r="F319" i="16"/>
  <c r="P221" i="16"/>
  <c r="Q221" i="16" s="1"/>
  <c r="F163" i="16"/>
  <c r="F87" i="16"/>
  <c r="P258" i="16"/>
  <c r="Q258" i="16" s="1"/>
  <c r="P148" i="16"/>
  <c r="Q148" i="16" s="1"/>
  <c r="P248" i="16"/>
  <c r="Q248" i="16" s="1"/>
  <c r="P243" i="16"/>
  <c r="Q243" i="16" s="1"/>
  <c r="P197" i="16"/>
  <c r="Q197" i="16" s="1"/>
  <c r="P124" i="16"/>
  <c r="Q124" i="16" s="1"/>
  <c r="F231" i="16"/>
  <c r="P202" i="16"/>
  <c r="Q202" i="16" s="1"/>
  <c r="F299" i="16"/>
  <c r="P314" i="16"/>
  <c r="Q314" i="16" s="1"/>
  <c r="P114" i="16"/>
  <c r="Q114" i="16" s="1"/>
  <c r="P166" i="16"/>
  <c r="Q166" i="16" s="1"/>
  <c r="P133" i="16"/>
  <c r="Q133" i="16" s="1"/>
  <c r="F239" i="16"/>
  <c r="P180" i="16"/>
  <c r="Q180" i="16" s="1"/>
  <c r="P140" i="16"/>
  <c r="Q140" i="16" s="1"/>
  <c r="P190" i="16"/>
  <c r="Q190" i="16" s="1"/>
  <c r="F290" i="16"/>
  <c r="F90" i="16"/>
  <c r="F262" i="16"/>
  <c r="P274" i="16"/>
  <c r="Q274" i="16" s="1"/>
  <c r="P120" i="16"/>
  <c r="Q120" i="16" s="1"/>
  <c r="P308" i="16"/>
  <c r="Q308" i="16" s="1"/>
  <c r="P284" i="16"/>
  <c r="Q284" i="16" s="1"/>
  <c r="P247" i="16"/>
  <c r="Q247" i="16" s="1"/>
  <c r="F155" i="16"/>
  <c r="F251" i="16"/>
  <c r="F158" i="16"/>
  <c r="F108" i="16"/>
  <c r="F291" i="16"/>
  <c r="P103" i="16"/>
  <c r="Q103" i="16" s="1"/>
  <c r="P302" i="16"/>
  <c r="Q302" i="16" s="1"/>
  <c r="P194" i="16"/>
  <c r="Q194" i="16" s="1"/>
  <c r="F135" i="16"/>
  <c r="P216" i="16"/>
  <c r="Q216" i="16" s="1"/>
  <c r="P95" i="16"/>
  <c r="Q95" i="16" s="1"/>
  <c r="F255" i="16"/>
  <c r="P252" i="16"/>
  <c r="Q252" i="16" s="1"/>
  <c r="P182" i="16"/>
  <c r="Q182" i="16" s="1"/>
  <c r="F206" i="16"/>
  <c r="F204" i="16"/>
  <c r="P119" i="16"/>
  <c r="Q119" i="16" s="1"/>
  <c r="P228" i="16"/>
  <c r="Q228" i="16" s="1"/>
  <c r="P264" i="16"/>
  <c r="Q264" i="16" s="1"/>
  <c r="F96" i="16"/>
  <c r="F226" i="16"/>
  <c r="F179" i="16"/>
  <c r="F170" i="16"/>
  <c r="F107" i="16"/>
  <c r="F92" i="16"/>
  <c r="P240" i="16"/>
  <c r="Q240" i="16" s="1"/>
  <c r="P267" i="16"/>
  <c r="Q267" i="16" s="1"/>
  <c r="F131" i="16"/>
  <c r="F306" i="16"/>
  <c r="F178" i="16"/>
  <c r="F266" i="16"/>
  <c r="F192" i="16"/>
  <c r="F260" i="16"/>
  <c r="F272" i="16"/>
  <c r="P128" i="16"/>
  <c r="Q128" i="16" s="1"/>
  <c r="P295" i="16"/>
  <c r="Q295" i="16" s="1"/>
  <c r="F278" i="16"/>
  <c r="F156" i="16"/>
  <c r="P97" i="16"/>
  <c r="Q97" i="16" s="1"/>
  <c r="P176" i="16"/>
  <c r="Q176" i="16" s="1"/>
  <c r="F191" i="16"/>
  <c r="P130" i="16"/>
  <c r="Q130" i="16" s="1"/>
  <c r="P212" i="16"/>
  <c r="Q212" i="16" s="1"/>
  <c r="P276" i="16"/>
  <c r="Q276" i="16" s="1"/>
  <c r="F312" i="16"/>
  <c r="P91" i="16"/>
  <c r="Q91" i="16" s="1"/>
  <c r="P320" i="16"/>
  <c r="Q320" i="16" s="1"/>
  <c r="P250" i="16"/>
  <c r="Q250" i="16" s="1"/>
  <c r="P118" i="16"/>
  <c r="Q118" i="16" s="1"/>
  <c r="F203" i="16"/>
  <c r="G324" i="16"/>
  <c r="G321" i="16"/>
  <c r="G326" i="16"/>
  <c r="G323" i="16"/>
  <c r="G320" i="16"/>
  <c r="G325" i="16"/>
  <c r="G322" i="16"/>
  <c r="P223" i="16"/>
  <c r="Q223" i="16" s="1"/>
  <c r="P126" i="16"/>
  <c r="Q126" i="16" s="1"/>
  <c r="P142" i="16"/>
  <c r="Q142" i="16" s="1"/>
  <c r="F300" i="16"/>
  <c r="F164" i="16"/>
  <c r="P168" i="16"/>
  <c r="Q168" i="16" s="1"/>
  <c r="P237" i="16"/>
  <c r="Q237" i="16" s="1"/>
  <c r="P288" i="16"/>
  <c r="Q288" i="16" s="1"/>
  <c r="P254" i="16"/>
  <c r="Q254" i="16" s="1"/>
  <c r="P147" i="16"/>
  <c r="Q147" i="16" s="1"/>
  <c r="P111" i="16"/>
  <c r="Q111" i="16" s="1"/>
  <c r="F215" i="16"/>
  <c r="P323" i="16"/>
  <c r="Q323" i="16" s="1"/>
  <c r="P321" i="16"/>
  <c r="Q321" i="16" s="1"/>
  <c r="P326" i="16"/>
  <c r="Q326" i="16" s="1"/>
  <c r="C115" i="28"/>
  <c r="C45" i="27"/>
  <c r="C62" i="1" s="1"/>
  <c r="C107" i="28" s="1"/>
  <c r="D20" i="29"/>
  <c r="D19" i="29" s="1"/>
  <c r="D29" i="29" s="1"/>
  <c r="D62" i="29" s="1"/>
  <c r="D87" i="29" s="1"/>
  <c r="C58" i="1"/>
  <c r="C106" i="20" s="1"/>
  <c r="R34" i="4"/>
  <c r="R30" i="4"/>
  <c r="S34" i="4"/>
  <c r="AE32" i="4"/>
  <c r="AF32" i="4"/>
  <c r="AF30" i="4" s="1"/>
  <c r="X30" i="4"/>
  <c r="Y30" i="4"/>
  <c r="C135" i="17"/>
  <c r="C140" i="17" s="1"/>
  <c r="C109" i="17"/>
  <c r="C110" i="17" s="1"/>
  <c r="D20" i="6"/>
  <c r="D19" i="6" s="1"/>
  <c r="D29" i="6" s="1"/>
  <c r="C99" i="20"/>
  <c r="C100" i="20" s="1"/>
  <c r="C98" i="20"/>
  <c r="C112" i="20"/>
  <c r="C49" i="29"/>
  <c r="C51" i="29" s="1"/>
  <c r="C55" i="29" s="1"/>
  <c r="C80" i="20"/>
  <c r="C19" i="21"/>
  <c r="C13" i="27"/>
  <c r="C30" i="1"/>
  <c r="C10" i="28" s="1"/>
  <c r="C71" i="28" s="1"/>
  <c r="C108" i="28"/>
  <c r="C95" i="28"/>
  <c r="C96" i="28" s="1"/>
  <c r="C16" i="7"/>
  <c r="C12" i="7" s="1"/>
  <c r="C20" i="29"/>
  <c r="H322" i="16"/>
  <c r="H321" i="16"/>
  <c r="H320" i="16"/>
  <c r="H325" i="16"/>
  <c r="H324" i="16"/>
  <c r="H323" i="16"/>
  <c r="H326" i="16"/>
  <c r="C19" i="29"/>
  <c r="C3" i="28"/>
  <c r="C9" i="7"/>
  <c r="D4" i="9"/>
  <c r="C89" i="17"/>
  <c r="C90" i="17" s="1"/>
  <c r="C89" i="1"/>
  <c r="C11" i="27"/>
  <c r="C29" i="1" s="1"/>
  <c r="C83" i="21"/>
  <c r="F74" i="29"/>
  <c r="F19" i="29"/>
  <c r="F62" i="29"/>
  <c r="F87" i="29" s="1"/>
  <c r="F82" i="29"/>
  <c r="C41" i="29"/>
  <c r="C43" i="29" s="1"/>
  <c r="C42" i="29"/>
  <c r="C44" i="29" s="1"/>
  <c r="D54" i="29"/>
  <c r="D56" i="29" s="1"/>
  <c r="D55" i="29"/>
  <c r="D57" i="29" s="1"/>
  <c r="F55" i="29"/>
  <c r="F57" i="29" s="1"/>
  <c r="F54" i="29"/>
  <c r="F56" i="29" s="1"/>
  <c r="F58" i="29" s="1"/>
  <c r="D82" i="29"/>
  <c r="D42" i="29"/>
  <c r="D44" i="29" s="1"/>
  <c r="D41" i="29"/>
  <c r="D43" i="29" s="1"/>
  <c r="F42" i="29"/>
  <c r="F44" i="29" s="1"/>
  <c r="F41" i="29"/>
  <c r="F43" i="29" s="1"/>
  <c r="R162" i="16"/>
  <c r="R290" i="16"/>
  <c r="R188" i="16"/>
  <c r="R307" i="16"/>
  <c r="R312" i="16"/>
  <c r="R296" i="16"/>
  <c r="R319" i="16"/>
  <c r="R184" i="16"/>
  <c r="R122" i="16"/>
  <c r="R207" i="16"/>
  <c r="R242" i="16"/>
  <c r="R87" i="16"/>
  <c r="R238" i="16"/>
  <c r="R99" i="16"/>
  <c r="R234" i="16"/>
  <c r="R203" i="16"/>
  <c r="R304" i="16"/>
  <c r="R210" i="16"/>
  <c r="R222" i="16"/>
  <c r="R86" i="16"/>
  <c r="R195" i="16"/>
  <c r="R270" i="16"/>
  <c r="R300" i="16"/>
  <c r="R164" i="16"/>
  <c r="R135" i="16"/>
  <c r="R231" i="16"/>
  <c r="R178" i="16"/>
  <c r="R170" i="16"/>
  <c r="R311" i="16"/>
  <c r="R155" i="16"/>
  <c r="R232" i="16"/>
  <c r="R318" i="16"/>
  <c r="R96" i="16"/>
  <c r="R279" i="16"/>
  <c r="R206" i="16"/>
  <c r="R291" i="16"/>
  <c r="R92" i="16"/>
  <c r="R211" i="16"/>
  <c r="R255" i="16"/>
  <c r="R196" i="16"/>
  <c r="R315" i="16"/>
  <c r="R263" i="16"/>
  <c r="R107" i="16"/>
  <c r="R278" i="16"/>
  <c r="R204" i="16"/>
  <c r="R154" i="16"/>
  <c r="R251" i="16"/>
  <c r="R152" i="16"/>
  <c r="R226" i="16"/>
  <c r="R144" i="16"/>
  <c r="R90" i="16"/>
  <c r="R306" i="16"/>
  <c r="R187" i="16"/>
  <c r="R191" i="16"/>
  <c r="R215" i="16"/>
  <c r="R262" i="16"/>
  <c r="R143" i="16"/>
  <c r="R239" i="16"/>
  <c r="R106" i="16"/>
  <c r="R266" i="16"/>
  <c r="R260" i="16"/>
  <c r="R175" i="16"/>
  <c r="R299" i="16"/>
  <c r="R259" i="16"/>
  <c r="R104" i="16"/>
  <c r="R275" i="16"/>
  <c r="R127" i="16"/>
  <c r="R224" i="16"/>
  <c r="R310" i="16"/>
  <c r="R236" i="16"/>
  <c r="R163" i="16"/>
  <c r="R186" i="16"/>
  <c r="R271" i="16"/>
  <c r="R199" i="16"/>
  <c r="R112" i="16"/>
  <c r="R283" i="16"/>
  <c r="R110" i="16"/>
  <c r="R174" i="16"/>
  <c r="R160" i="16"/>
  <c r="R131" i="16"/>
  <c r="R108" i="16"/>
  <c r="R158" i="16"/>
  <c r="R179" i="16"/>
  <c r="R192" i="16"/>
  <c r="R272" i="16"/>
  <c r="R156" i="16"/>
  <c r="R115" i="16"/>
  <c r="R138" i="16"/>
  <c r="R220" i="16"/>
  <c r="R294" i="16"/>
  <c r="W30" i="4"/>
  <c r="T30" i="4"/>
  <c r="P273" i="16"/>
  <c r="Q273" i="16" s="1"/>
  <c r="P198" i="16"/>
  <c r="Q198" i="16" s="1"/>
  <c r="F112" i="16"/>
  <c r="P316" i="16"/>
  <c r="Q316" i="16" s="1"/>
  <c r="P139" i="16"/>
  <c r="Q139" i="16" s="1"/>
  <c r="P151" i="16"/>
  <c r="Q151" i="16" s="1"/>
  <c r="F236" i="16"/>
  <c r="F283" i="16"/>
  <c r="F127" i="16"/>
  <c r="P146" i="16"/>
  <c r="Q146" i="16" s="1"/>
  <c r="P298" i="16"/>
  <c r="Q298" i="16" s="1"/>
  <c r="F310" i="16"/>
  <c r="F104" i="16"/>
  <c r="P150" i="16"/>
  <c r="Q150" i="16" s="1"/>
  <c r="P244" i="16"/>
  <c r="Q244" i="16" s="1"/>
  <c r="P309" i="16"/>
  <c r="Q309" i="16" s="1"/>
  <c r="P153" i="16"/>
  <c r="Q153" i="16" s="1"/>
  <c r="P183" i="16"/>
  <c r="Q183" i="16" s="1"/>
  <c r="P246" i="16"/>
  <c r="Q246" i="16" s="1"/>
  <c r="P100" i="16"/>
  <c r="Q100" i="16" s="1"/>
  <c r="F232" i="16"/>
  <c r="F115" i="16"/>
  <c r="F220" i="16"/>
  <c r="F138" i="16"/>
  <c r="F224" i="16"/>
  <c r="F84" i="16"/>
  <c r="F195" i="16"/>
  <c r="F199" i="16"/>
  <c r="P109" i="16"/>
  <c r="Q109" i="16" s="1"/>
  <c r="P171" i="16"/>
  <c r="Q171" i="16" s="1"/>
  <c r="P159" i="16"/>
  <c r="Q159" i="16" s="1"/>
  <c r="F271" i="16"/>
  <c r="F242" i="16"/>
  <c r="F186" i="16"/>
  <c r="P303" i="16"/>
  <c r="Q303" i="16" s="1"/>
  <c r="F86" i="16"/>
  <c r="P280" i="16"/>
  <c r="Q280" i="16" s="1"/>
  <c r="P136" i="16"/>
  <c r="Q136" i="16" s="1"/>
  <c r="F318" i="16"/>
  <c r="P177" i="16"/>
  <c r="Q177" i="16" s="1"/>
  <c r="P261" i="16"/>
  <c r="Q261" i="16" s="1"/>
  <c r="P172" i="16"/>
  <c r="Q172" i="16" s="1"/>
  <c r="P281" i="16"/>
  <c r="Q281" i="16" s="1"/>
  <c r="F296" i="16"/>
  <c r="P282" i="16"/>
  <c r="Q282" i="16" s="1"/>
  <c r="F207" i="16"/>
  <c r="F121" i="16"/>
  <c r="P121" i="16"/>
  <c r="Q121" i="16" s="1"/>
  <c r="P185" i="16"/>
  <c r="Q185" i="16" s="1"/>
  <c r="F185" i="16"/>
  <c r="P313" i="16"/>
  <c r="Q313" i="16" s="1"/>
  <c r="F313" i="16"/>
  <c r="P141" i="16"/>
  <c r="Q141" i="16" s="1"/>
  <c r="F141" i="16"/>
  <c r="P269" i="16"/>
  <c r="Q269" i="16" s="1"/>
  <c r="F269" i="16"/>
  <c r="P129" i="16"/>
  <c r="Q129" i="16" s="1"/>
  <c r="F129" i="16"/>
  <c r="F193" i="16"/>
  <c r="P193" i="16"/>
  <c r="Q193" i="16" s="1"/>
  <c r="P257" i="16"/>
  <c r="Q257" i="16" s="1"/>
  <c r="F257" i="16"/>
  <c r="P85" i="16"/>
  <c r="Q85" i="16" s="1"/>
  <c r="F85" i="16"/>
  <c r="F149" i="16"/>
  <c r="P149" i="16"/>
  <c r="Q149" i="16" s="1"/>
  <c r="F277" i="16"/>
  <c r="P277" i="16"/>
  <c r="Q277" i="16" s="1"/>
  <c r="P205" i="16"/>
  <c r="Q205" i="16" s="1"/>
  <c r="P137" i="16"/>
  <c r="Q137" i="16" s="1"/>
  <c r="F137" i="16"/>
  <c r="F201" i="16"/>
  <c r="P201" i="16"/>
  <c r="Q201" i="16" s="1"/>
  <c r="P265" i="16"/>
  <c r="Q265" i="16" s="1"/>
  <c r="F265" i="16"/>
  <c r="F93" i="16"/>
  <c r="P93" i="16"/>
  <c r="Q93" i="16" s="1"/>
  <c r="P157" i="16"/>
  <c r="Q157" i="16" s="1"/>
  <c r="F157" i="16"/>
  <c r="P285" i="16"/>
  <c r="Q285" i="16" s="1"/>
  <c r="F285" i="16"/>
  <c r="P209" i="16"/>
  <c r="Q209" i="16" s="1"/>
  <c r="F209" i="16"/>
  <c r="F101" i="16"/>
  <c r="P101" i="16"/>
  <c r="Q101" i="16" s="1"/>
  <c r="P229" i="16"/>
  <c r="Q229" i="16" s="1"/>
  <c r="F229" i="16"/>
  <c r="F293" i="16"/>
  <c r="P293" i="16"/>
  <c r="Q293" i="16" s="1"/>
  <c r="P249" i="16"/>
  <c r="Q249" i="16" s="1"/>
  <c r="F89" i="16"/>
  <c r="P89" i="16"/>
  <c r="Q89" i="16" s="1"/>
  <c r="P217" i="16"/>
  <c r="Q217" i="16" s="1"/>
  <c r="F217" i="16"/>
  <c r="P173" i="16"/>
  <c r="Q173" i="16" s="1"/>
  <c r="F173" i="16"/>
  <c r="P301" i="16"/>
  <c r="Q301" i="16" s="1"/>
  <c r="F301" i="16"/>
  <c r="H89" i="16"/>
  <c r="H97" i="16"/>
  <c r="H105" i="16"/>
  <c r="H113" i="16"/>
  <c r="H121" i="16"/>
  <c r="H129" i="16"/>
  <c r="H137" i="16"/>
  <c r="H145" i="16"/>
  <c r="H153" i="16"/>
  <c r="H161" i="16"/>
  <c r="H169" i="16"/>
  <c r="H177" i="16"/>
  <c r="H185" i="16"/>
  <c r="H193" i="16"/>
  <c r="H201" i="16"/>
  <c r="H209" i="16"/>
  <c r="H217" i="16"/>
  <c r="H225" i="16"/>
  <c r="H233" i="16"/>
  <c r="H241" i="16"/>
  <c r="H249" i="16"/>
  <c r="H257" i="16"/>
  <c r="H265" i="16"/>
  <c r="H273" i="16"/>
  <c r="H281" i="16"/>
  <c r="H289" i="16"/>
  <c r="H297" i="16"/>
  <c r="H305" i="16"/>
  <c r="H313" i="16"/>
  <c r="G99" i="16"/>
  <c r="G101" i="16"/>
  <c r="G103" i="16"/>
  <c r="H90" i="16"/>
  <c r="H98" i="16"/>
  <c r="H106" i="16"/>
  <c r="H114" i="16"/>
  <c r="H122" i="16"/>
  <c r="H130" i="16"/>
  <c r="H138" i="16"/>
  <c r="H146" i="16"/>
  <c r="H154" i="16"/>
  <c r="H162" i="16"/>
  <c r="H170" i="16"/>
  <c r="H178" i="16"/>
  <c r="H186" i="16"/>
  <c r="H194" i="16"/>
  <c r="H202" i="16"/>
  <c r="H210" i="16"/>
  <c r="H218" i="16"/>
  <c r="H226" i="16"/>
  <c r="H234" i="16"/>
  <c r="H242" i="16"/>
  <c r="H250" i="16"/>
  <c r="H258" i="16"/>
  <c r="H266" i="16"/>
  <c r="H274" i="16"/>
  <c r="H282" i="16"/>
  <c r="H290" i="16"/>
  <c r="H298" i="16"/>
  <c r="H306" i="16"/>
  <c r="H314" i="16"/>
  <c r="G91" i="16"/>
  <c r="G97" i="16"/>
  <c r="G107" i="16"/>
  <c r="G113" i="16"/>
  <c r="G115" i="16"/>
  <c r="G117" i="16"/>
  <c r="G119" i="16"/>
  <c r="G127" i="16"/>
  <c r="G147" i="16"/>
  <c r="G149" i="16"/>
  <c r="G153" i="16"/>
  <c r="G157" i="16"/>
  <c r="H85" i="16"/>
  <c r="H95" i="16"/>
  <c r="H107" i="16"/>
  <c r="H117" i="16"/>
  <c r="H127" i="16"/>
  <c r="H139" i="16"/>
  <c r="H149" i="16"/>
  <c r="H159" i="16"/>
  <c r="H171" i="16"/>
  <c r="H181" i="16"/>
  <c r="H191" i="16"/>
  <c r="H203" i="16"/>
  <c r="H213" i="16"/>
  <c r="H223" i="16"/>
  <c r="H235" i="16"/>
  <c r="H245" i="16"/>
  <c r="H255" i="16"/>
  <c r="H267" i="16"/>
  <c r="H277" i="16"/>
  <c r="H287" i="16"/>
  <c r="H299" i="16"/>
  <c r="H309" i="16"/>
  <c r="H319" i="16"/>
  <c r="G94" i="16"/>
  <c r="G100" i="16"/>
  <c r="G132" i="16"/>
  <c r="G134" i="16"/>
  <c r="G137" i="16"/>
  <c r="G144" i="16"/>
  <c r="G154" i="16"/>
  <c r="G156" i="16"/>
  <c r="G158" i="16"/>
  <c r="G166" i="16"/>
  <c r="G177" i="16"/>
  <c r="G179" i="16"/>
  <c r="G181" i="16"/>
  <c r="G189" i="16"/>
  <c r="G202" i="16"/>
  <c r="G220" i="16"/>
  <c r="G235" i="16"/>
  <c r="H93" i="16"/>
  <c r="H104" i="16"/>
  <c r="H118" i="16"/>
  <c r="H131" i="16"/>
  <c r="H142" i="16"/>
  <c r="H155" i="16"/>
  <c r="H166" i="16"/>
  <c r="H179" i="16"/>
  <c r="H190" i="16"/>
  <c r="H204" i="16"/>
  <c r="H215" i="16"/>
  <c r="H228" i="16"/>
  <c r="H239" i="16"/>
  <c r="H252" i="16"/>
  <c r="H263" i="16"/>
  <c r="H276" i="16"/>
  <c r="H288" i="16"/>
  <c r="H301" i="16"/>
  <c r="H312" i="16"/>
  <c r="G102" i="16"/>
  <c r="G105" i="16"/>
  <c r="G122" i="16"/>
  <c r="G124" i="16"/>
  <c r="G131" i="16"/>
  <c r="G136" i="16"/>
  <c r="G139" i="16"/>
  <c r="G141" i="16"/>
  <c r="G170" i="16"/>
  <c r="G172" i="16"/>
  <c r="G186" i="16"/>
  <c r="G190" i="16"/>
  <c r="G204" i="16"/>
  <c r="G206" i="16"/>
  <c r="G211" i="16"/>
  <c r="G213" i="16"/>
  <c r="G218" i="16"/>
  <c r="G225" i="16"/>
  <c r="G229" i="16"/>
  <c r="G234" i="16"/>
  <c r="G236" i="16"/>
  <c r="G243" i="16"/>
  <c r="G245" i="16"/>
  <c r="G255" i="16"/>
  <c r="G261" i="16"/>
  <c r="G263" i="16"/>
  <c r="G273" i="16"/>
  <c r="G294" i="16"/>
  <c r="G296" i="16"/>
  <c r="G300" i="16"/>
  <c r="H94" i="16"/>
  <c r="H108" i="16"/>
  <c r="H119" i="16"/>
  <c r="H132" i="16"/>
  <c r="H143" i="16"/>
  <c r="H156" i="16"/>
  <c r="H167" i="16"/>
  <c r="H180" i="16"/>
  <c r="H192" i="16"/>
  <c r="H205" i="16"/>
  <c r="H216" i="16"/>
  <c r="H229" i="16"/>
  <c r="H240" i="16"/>
  <c r="H253" i="16"/>
  <c r="H264" i="16"/>
  <c r="H278" i="16"/>
  <c r="H291" i="16"/>
  <c r="H302" i="16"/>
  <c r="H315" i="16"/>
  <c r="G88" i="16"/>
  <c r="G112" i="16"/>
  <c r="G126" i="16"/>
  <c r="G129" i="16"/>
  <c r="G152" i="16"/>
  <c r="G168" i="16"/>
  <c r="G184" i="16"/>
  <c r="G188" i="16"/>
  <c r="G193" i="16"/>
  <c r="G197" i="16"/>
  <c r="G200" i="16"/>
  <c r="G209" i="16"/>
  <c r="G223" i="16"/>
  <c r="G241" i="16"/>
  <c r="G250" i="16"/>
  <c r="G258" i="16"/>
  <c r="G275" i="16"/>
  <c r="G281" i="16"/>
  <c r="G283" i="16"/>
  <c r="H96" i="16"/>
  <c r="H109" i="16"/>
  <c r="H120" i="16"/>
  <c r="H133" i="16"/>
  <c r="H144" i="16"/>
  <c r="H157" i="16"/>
  <c r="H168" i="16"/>
  <c r="H182" i="16"/>
  <c r="H195" i="16"/>
  <c r="H206" i="16"/>
  <c r="H219" i="16"/>
  <c r="H230" i="16"/>
  <c r="H243" i="16"/>
  <c r="H254" i="16"/>
  <c r="H268" i="16"/>
  <c r="H279" i="16"/>
  <c r="H292" i="16"/>
  <c r="H303" i="16"/>
  <c r="H87" i="16"/>
  <c r="H100" i="16"/>
  <c r="H111" i="16"/>
  <c r="H124" i="16"/>
  <c r="H135" i="16"/>
  <c r="H148" i="16"/>
  <c r="H160" i="16"/>
  <c r="H173" i="16"/>
  <c r="H184" i="16"/>
  <c r="H197" i="16"/>
  <c r="H208" i="16"/>
  <c r="H221" i="16"/>
  <c r="H232" i="16"/>
  <c r="H246" i="16"/>
  <c r="H259" i="16"/>
  <c r="H270" i="16"/>
  <c r="H283" i="16"/>
  <c r="H294" i="16"/>
  <c r="H307" i="16"/>
  <c r="H318" i="16"/>
  <c r="G92" i="16"/>
  <c r="G95" i="16"/>
  <c r="G98" i="16"/>
  <c r="G108" i="16"/>
  <c r="G110" i="16"/>
  <c r="G123" i="16"/>
  <c r="G140" i="16"/>
  <c r="G142" i="16"/>
  <c r="G145" i="16"/>
  <c r="G148" i="16"/>
  <c r="G180" i="16"/>
  <c r="G185" i="16"/>
  <c r="G198" i="16"/>
  <c r="G203" i="16"/>
  <c r="G205" i="16"/>
  <c r="G207" i="16"/>
  <c r="G210" i="16"/>
  <c r="G212" i="16"/>
  <c r="G242" i="16"/>
  <c r="H88" i="16"/>
  <c r="H112" i="16"/>
  <c r="H136" i="16"/>
  <c r="H163" i="16"/>
  <c r="H187" i="16"/>
  <c r="H211" i="16"/>
  <c r="H236" i="16"/>
  <c r="H260" i="16"/>
  <c r="H284" i="16"/>
  <c r="H308" i="16"/>
  <c r="G89" i="16"/>
  <c r="G96" i="16"/>
  <c r="G104" i="16"/>
  <c r="G120" i="16"/>
  <c r="G151" i="16"/>
  <c r="G155" i="16"/>
  <c r="G169" i="16"/>
  <c r="G175" i="16"/>
  <c r="G191" i="16"/>
  <c r="G224" i="16"/>
  <c r="G239" i="16"/>
  <c r="G260" i="16"/>
  <c r="G262" i="16"/>
  <c r="G265" i="16"/>
  <c r="G286" i="16"/>
  <c r="G301" i="16"/>
  <c r="G305" i="16"/>
  <c r="G307" i="16"/>
  <c r="G313" i="16"/>
  <c r="G317" i="16"/>
  <c r="H91" i="16"/>
  <c r="H115" i="16"/>
  <c r="H140" i="16"/>
  <c r="H164" i="16"/>
  <c r="H188" i="16"/>
  <c r="H212" i="16"/>
  <c r="H237" i="16"/>
  <c r="H261" i="16"/>
  <c r="H285" i="16"/>
  <c r="H310" i="16"/>
  <c r="G93" i="16"/>
  <c r="G138" i="16"/>
  <c r="G159" i="16"/>
  <c r="G164" i="16"/>
  <c r="G208" i="16"/>
  <c r="G215" i="16"/>
  <c r="G221" i="16"/>
  <c r="G230" i="16"/>
  <c r="G233" i="16"/>
  <c r="G248" i="16"/>
  <c r="G251" i="16"/>
  <c r="G253" i="16"/>
  <c r="G282" i="16"/>
  <c r="G284" i="16"/>
  <c r="G291" i="16"/>
  <c r="G293" i="16"/>
  <c r="G297" i="16"/>
  <c r="G303" i="16"/>
  <c r="G309" i="16"/>
  <c r="G319" i="16"/>
  <c r="H92" i="16"/>
  <c r="H116" i="16"/>
  <c r="H141" i="16"/>
  <c r="H165" i="16"/>
  <c r="H189" i="16"/>
  <c r="H214" i="16"/>
  <c r="H238" i="16"/>
  <c r="H262" i="16"/>
  <c r="H286" i="16"/>
  <c r="H311" i="16"/>
  <c r="G86" i="16"/>
  <c r="G114" i="16"/>
  <c r="G121" i="16"/>
  <c r="G162" i="16"/>
  <c r="G173" i="16"/>
  <c r="G182" i="16"/>
  <c r="G195" i="16"/>
  <c r="G237" i="16"/>
  <c r="G246" i="16"/>
  <c r="G272" i="16"/>
  <c r="G277" i="16"/>
  <c r="G279" i="16"/>
  <c r="G289" i="16"/>
  <c r="G311" i="16"/>
  <c r="H99" i="16"/>
  <c r="H123" i="16"/>
  <c r="H147" i="16"/>
  <c r="H172" i="16"/>
  <c r="H196" i="16"/>
  <c r="H220" i="16"/>
  <c r="H244" i="16"/>
  <c r="H269" i="16"/>
  <c r="H293" i="16"/>
  <c r="H316" i="16"/>
  <c r="G90" i="16"/>
  <c r="G128" i="16"/>
  <c r="G146" i="16"/>
  <c r="G176" i="16"/>
  <c r="G192" i="16"/>
  <c r="G199" i="16"/>
  <c r="G219" i="16"/>
  <c r="G228" i="16"/>
  <c r="G240" i="16"/>
  <c r="G256" i="16"/>
  <c r="G266" i="16"/>
  <c r="G268" i="16"/>
  <c r="G270" i="16"/>
  <c r="G285" i="16"/>
  <c r="G295" i="16"/>
  <c r="G306" i="16"/>
  <c r="G314" i="16"/>
  <c r="G316" i="16"/>
  <c r="H101" i="16"/>
  <c r="H125" i="16"/>
  <c r="H150" i="16"/>
  <c r="H174" i="16"/>
  <c r="H198" i="16"/>
  <c r="H222" i="16"/>
  <c r="H247" i="16"/>
  <c r="H271" i="16"/>
  <c r="H295" i="16"/>
  <c r="H317" i="16"/>
  <c r="G87" i="16"/>
  <c r="G111" i="16"/>
  <c r="G118" i="16"/>
  <c r="G135" i="16"/>
  <c r="G160" i="16"/>
  <c r="G167" i="16"/>
  <c r="G171" i="16"/>
  <c r="G183" i="16"/>
  <c r="G216" i="16"/>
  <c r="G222" i="16"/>
  <c r="G231" i="16"/>
  <c r="G249" i="16"/>
  <c r="G252" i="16"/>
  <c r="G259" i="16"/>
  <c r="G287" i="16"/>
  <c r="G298" i="16"/>
  <c r="G304" i="16"/>
  <c r="H102" i="16"/>
  <c r="H126" i="16"/>
  <c r="H151" i="16"/>
  <c r="H175" i="16"/>
  <c r="H199" i="16"/>
  <c r="H224" i="16"/>
  <c r="H248" i="16"/>
  <c r="H272" i="16"/>
  <c r="H296" i="16"/>
  <c r="H103" i="16"/>
  <c r="H128" i="16"/>
  <c r="H152" i="16"/>
  <c r="H176" i="16"/>
  <c r="H200" i="16"/>
  <c r="H227" i="16"/>
  <c r="H251" i="16"/>
  <c r="H275" i="16"/>
  <c r="H300" i="16"/>
  <c r="G109" i="16"/>
  <c r="G130" i="16"/>
  <c r="G133" i="16"/>
  <c r="H110" i="16"/>
  <c r="H304" i="16"/>
  <c r="G178" i="16"/>
  <c r="G226" i="16"/>
  <c r="G267" i="16"/>
  <c r="G271" i="16"/>
  <c r="G288" i="16"/>
  <c r="G292" i="16"/>
  <c r="G308" i="16"/>
  <c r="H134" i="16"/>
  <c r="G85" i="16"/>
  <c r="G116" i="16"/>
  <c r="G174" i="16"/>
  <c r="G194" i="16"/>
  <c r="G264" i="16"/>
  <c r="G312" i="16"/>
  <c r="G163" i="16"/>
  <c r="G254" i="16"/>
  <c r="G315" i="16"/>
  <c r="H158" i="16"/>
  <c r="G106" i="16"/>
  <c r="G227" i="16"/>
  <c r="G232" i="16"/>
  <c r="G276" i="16"/>
  <c r="G280" i="16"/>
  <c r="H86" i="16"/>
  <c r="G214" i="16"/>
  <c r="G278" i="16"/>
  <c r="H183" i="16"/>
  <c r="G161" i="16"/>
  <c r="G201" i="16"/>
  <c r="G217" i="16"/>
  <c r="G247" i="16"/>
  <c r="G290" i="16"/>
  <c r="H280" i="16"/>
  <c r="H207" i="16"/>
  <c r="G125" i="16"/>
  <c r="G143" i="16"/>
  <c r="G165" i="16"/>
  <c r="G196" i="16"/>
  <c r="G238" i="16"/>
  <c r="G269" i="16"/>
  <c r="G302" i="16"/>
  <c r="H231" i="16"/>
  <c r="G150" i="16"/>
  <c r="G257" i="16"/>
  <c r="G274" i="16"/>
  <c r="G310" i="16"/>
  <c r="G84" i="16"/>
  <c r="H256" i="16"/>
  <c r="G187" i="16"/>
  <c r="G244" i="16"/>
  <c r="G299" i="16"/>
  <c r="G318" i="16"/>
  <c r="P161" i="16"/>
  <c r="Q161" i="16" s="1"/>
  <c r="F161" i="16"/>
  <c r="P225" i="16"/>
  <c r="Q225" i="16" s="1"/>
  <c r="F225" i="16"/>
  <c r="P289" i="16"/>
  <c r="Q289" i="16" s="1"/>
  <c r="F289" i="16"/>
  <c r="P117" i="16"/>
  <c r="Q117" i="16" s="1"/>
  <c r="F117" i="16"/>
  <c r="P181" i="16"/>
  <c r="Q181" i="16" s="1"/>
  <c r="F181" i="16"/>
  <c r="P245" i="16"/>
  <c r="Q245" i="16" s="1"/>
  <c r="F245" i="16"/>
  <c r="P145" i="16"/>
  <c r="Q145" i="16" s="1"/>
  <c r="F145" i="16"/>
  <c r="P165" i="16"/>
  <c r="Q165" i="16" s="1"/>
  <c r="P105" i="16"/>
  <c r="Q105" i="16" s="1"/>
  <c r="F105" i="16"/>
  <c r="P169" i="16"/>
  <c r="Q169" i="16" s="1"/>
  <c r="F169" i="16"/>
  <c r="P233" i="16"/>
  <c r="Q233" i="16" s="1"/>
  <c r="F233" i="16"/>
  <c r="P297" i="16"/>
  <c r="Q297" i="16" s="1"/>
  <c r="F297" i="16"/>
  <c r="P125" i="16"/>
  <c r="Q125" i="16" s="1"/>
  <c r="F125" i="16"/>
  <c r="P189" i="16"/>
  <c r="Q189" i="16" s="1"/>
  <c r="F189" i="16"/>
  <c r="P253" i="16"/>
  <c r="Q253" i="16" s="1"/>
  <c r="F253" i="16"/>
  <c r="P317" i="16"/>
  <c r="Q317" i="16" s="1"/>
  <c r="F317" i="16"/>
  <c r="P213" i="16"/>
  <c r="Q213" i="16" s="1"/>
  <c r="P113" i="16"/>
  <c r="Q113" i="16" s="1"/>
  <c r="F113" i="16"/>
  <c r="P241" i="16"/>
  <c r="Q241" i="16" s="1"/>
  <c r="F241" i="16"/>
  <c r="P305" i="16"/>
  <c r="Q305" i="16" s="1"/>
  <c r="F305" i="16"/>
  <c r="Y11" i="23"/>
  <c r="D11" i="23"/>
  <c r="X11" i="23"/>
  <c r="F74" i="6"/>
  <c r="D71" i="16"/>
  <c r="L67" i="16" s="1"/>
  <c r="C111" i="17"/>
  <c r="C113" i="17" s="1"/>
  <c r="C114" i="17" s="1"/>
  <c r="C142" i="17"/>
  <c r="C143" i="17" s="1"/>
  <c r="C85" i="17"/>
  <c r="C245" i="17"/>
  <c r="C14" i="27"/>
  <c r="C32" i="1" s="1"/>
  <c r="C12" i="28" s="1"/>
  <c r="C31" i="1"/>
  <c r="C9" i="14"/>
  <c r="C5" i="17"/>
  <c r="C36" i="21"/>
  <c r="C11" i="23"/>
  <c r="L11" i="23"/>
  <c r="I11" i="23"/>
  <c r="AA11" i="23"/>
  <c r="G11" i="23"/>
  <c r="E11" i="23"/>
  <c r="H11" i="23"/>
  <c r="S11" i="23"/>
  <c r="W11" i="23"/>
  <c r="F11" i="23"/>
  <c r="AC11" i="23"/>
  <c r="K11" i="23"/>
  <c r="B10" i="23"/>
  <c r="B15" i="23" s="1"/>
  <c r="U11" i="23"/>
  <c r="Z11" i="23"/>
  <c r="O11" i="23"/>
  <c r="M11" i="23"/>
  <c r="R11" i="23"/>
  <c r="AD11" i="23"/>
  <c r="AB11" i="23"/>
  <c r="J11" i="23"/>
  <c r="N11" i="23"/>
  <c r="V11" i="23"/>
  <c r="T11" i="23"/>
  <c r="P11" i="23"/>
  <c r="Q11" i="23"/>
  <c r="B23" i="23"/>
  <c r="C259" i="17" s="1"/>
  <c r="G22" i="27"/>
  <c r="C60" i="27"/>
  <c r="C77" i="1" s="1"/>
  <c r="C7" i="13"/>
  <c r="C5" i="19"/>
  <c r="C7" i="14"/>
  <c r="C91" i="17"/>
  <c r="C192" i="17" s="1"/>
  <c r="C11" i="25"/>
  <c r="C12" i="25" s="1"/>
  <c r="C9" i="25"/>
  <c r="W16" i="21"/>
  <c r="X16" i="21" s="1"/>
  <c r="Y16" i="21" s="1"/>
  <c r="C123" i="17"/>
  <c r="C8" i="3"/>
  <c r="C12" i="10"/>
  <c r="C20" i="6"/>
  <c r="C88" i="17"/>
  <c r="L63" i="22"/>
  <c r="M37" i="22"/>
  <c r="T37" i="22" s="1"/>
  <c r="AA37" i="22" s="1"/>
  <c r="J38" i="22"/>
  <c r="Q38" i="22" s="1"/>
  <c r="X38" i="22" s="1"/>
  <c r="I82" i="22"/>
  <c r="P82" i="22" s="1"/>
  <c r="W82" i="22" s="1"/>
  <c r="M10" i="22"/>
  <c r="T10" i="22" s="1"/>
  <c r="AA10" i="22" s="1"/>
  <c r="I85" i="22"/>
  <c r="P85" i="22" s="1"/>
  <c r="W85" i="22" s="1"/>
  <c r="I38" i="22"/>
  <c r="P38" i="22" s="1"/>
  <c r="W38" i="22" s="1"/>
  <c r="M51" i="22"/>
  <c r="T51" i="22" s="1"/>
  <c r="AA51" i="22" s="1"/>
  <c r="M66" i="22"/>
  <c r="T66" i="22" s="1"/>
  <c r="AA66" i="22" s="1"/>
  <c r="J21" i="22"/>
  <c r="Q21" i="22" s="1"/>
  <c r="X21" i="22" s="1"/>
  <c r="L43" i="22"/>
  <c r="J61" i="22"/>
  <c r="Q61" i="22" s="1"/>
  <c r="X61" i="22" s="1"/>
  <c r="J80" i="22"/>
  <c r="Q80" i="22" s="1"/>
  <c r="X80" i="22" s="1"/>
  <c r="J84" i="22"/>
  <c r="Q84" i="22" s="1"/>
  <c r="X84" i="22" s="1"/>
  <c r="M56" i="22"/>
  <c r="T56" i="22" s="1"/>
  <c r="AA56" i="22" s="1"/>
  <c r="M73" i="22"/>
  <c r="T73" i="22" s="1"/>
  <c r="AA73" i="22" s="1"/>
  <c r="L19" i="22"/>
  <c r="I37" i="22"/>
  <c r="P37" i="22" s="1"/>
  <c r="W37" i="22" s="1"/>
  <c r="I54" i="22"/>
  <c r="P54" i="22" s="1"/>
  <c r="W54" i="22" s="1"/>
  <c r="L13" i="22"/>
  <c r="I63" i="22"/>
  <c r="P63" i="22" s="1"/>
  <c r="W63" i="22" s="1"/>
  <c r="I65" i="22"/>
  <c r="P65" i="22" s="1"/>
  <c r="W65" i="22" s="1"/>
  <c r="M53" i="22"/>
  <c r="T53" i="22" s="1"/>
  <c r="AA53" i="22" s="1"/>
  <c r="M27" i="22"/>
  <c r="T27" i="22" s="1"/>
  <c r="AA27" i="22" s="1"/>
  <c r="J32" i="22"/>
  <c r="Q32" i="22" s="1"/>
  <c r="X32" i="22" s="1"/>
  <c r="M62" i="22"/>
  <c r="T62" i="22" s="1"/>
  <c r="AA62" i="22" s="1"/>
  <c r="L23" i="22"/>
  <c r="M26" i="22"/>
  <c r="T26" i="22" s="1"/>
  <c r="AA26" i="22" s="1"/>
  <c r="L15" i="22"/>
  <c r="L59" i="22"/>
  <c r="L78" i="22"/>
  <c r="J69" i="22"/>
  <c r="Q69" i="22" s="1"/>
  <c r="X69" i="22" s="1"/>
  <c r="I36" i="22"/>
  <c r="P36" i="22" s="1"/>
  <c r="W36" i="22" s="1"/>
  <c r="I62" i="22"/>
  <c r="P62" i="22" s="1"/>
  <c r="W62" i="22" s="1"/>
  <c r="J20" i="22"/>
  <c r="Q20" i="22" s="1"/>
  <c r="X20" i="22" s="1"/>
  <c r="L29" i="22"/>
  <c r="L36" i="22"/>
  <c r="J37" i="22"/>
  <c r="Q37" i="22" s="1"/>
  <c r="X37" i="22" s="1"/>
  <c r="M35" i="22"/>
  <c r="T35" i="22" s="1"/>
  <c r="AA35" i="22" s="1"/>
  <c r="I23" i="22"/>
  <c r="P23" i="22" s="1"/>
  <c r="W23" i="22" s="1"/>
  <c r="J41" i="22"/>
  <c r="Q41" i="22" s="1"/>
  <c r="X41" i="22" s="1"/>
  <c r="I60" i="22"/>
  <c r="P60" i="22" s="1"/>
  <c r="W60" i="22" s="1"/>
  <c r="J79" i="22"/>
  <c r="Q79" i="22" s="1"/>
  <c r="X79" i="22" s="1"/>
  <c r="J72" i="22"/>
  <c r="Q72" i="22" s="1"/>
  <c r="X72" i="22" s="1"/>
  <c r="M14" i="22"/>
  <c r="T14" i="22" s="1"/>
  <c r="AA14" i="22" s="1"/>
  <c r="I5" i="22"/>
  <c r="P5" i="22" s="1"/>
  <c r="W5" i="22" s="1"/>
  <c r="I31" i="22"/>
  <c r="P31" i="22" s="1"/>
  <c r="W31" i="22" s="1"/>
  <c r="L67" i="22"/>
  <c r="I71" i="22"/>
  <c r="P71" i="22" s="1"/>
  <c r="W71" i="22" s="1"/>
  <c r="M15" i="22"/>
  <c r="T15" i="22" s="1"/>
  <c r="AA15" i="22" s="1"/>
  <c r="J6" i="22"/>
  <c r="Q6" i="22" s="1"/>
  <c r="X6" i="22" s="1"/>
  <c r="J40" i="22"/>
  <c r="Q40" i="22" s="1"/>
  <c r="X40" i="22" s="1"/>
  <c r="J25" i="22"/>
  <c r="Q25" i="22" s="1"/>
  <c r="X25" i="22" s="1"/>
  <c r="I84" i="22"/>
  <c r="P84" i="22" s="1"/>
  <c r="W84" i="22" s="1"/>
  <c r="M59" i="22"/>
  <c r="T59" i="22" s="1"/>
  <c r="AA59" i="22" s="1"/>
  <c r="M52" i="22"/>
  <c r="T52" i="22" s="1"/>
  <c r="AA52" i="22" s="1"/>
  <c r="J7" i="22"/>
  <c r="Q7" i="22" s="1"/>
  <c r="X7" i="22" s="1"/>
  <c r="I30" i="22"/>
  <c r="P30" i="22" s="1"/>
  <c r="W30" i="22" s="1"/>
  <c r="J23" i="22"/>
  <c r="Q23" i="22" s="1"/>
  <c r="X23" i="22" s="1"/>
  <c r="L79" i="22"/>
  <c r="I25" i="22"/>
  <c r="P25" i="22" s="1"/>
  <c r="W25" i="22" s="1"/>
  <c r="J63" i="22"/>
  <c r="Q63" i="22" s="1"/>
  <c r="X63" i="22" s="1"/>
  <c r="J48" i="22"/>
  <c r="Q48" i="22" s="1"/>
  <c r="X48" i="22" s="1"/>
  <c r="J65" i="22"/>
  <c r="Q65" i="22" s="1"/>
  <c r="X65" i="22" s="1"/>
  <c r="J51" i="22"/>
  <c r="Q51" i="22" s="1"/>
  <c r="X51" i="22" s="1"/>
  <c r="I51" i="22"/>
  <c r="P51" i="22" s="1"/>
  <c r="W51" i="22" s="1"/>
  <c r="M72" i="22"/>
  <c r="T72" i="22" s="1"/>
  <c r="AA72" i="22" s="1"/>
  <c r="L18" i="22"/>
  <c r="M40" i="22"/>
  <c r="T40" i="22" s="1"/>
  <c r="AA40" i="22" s="1"/>
  <c r="L58" i="22"/>
  <c r="M18" i="22"/>
  <c r="T18" i="22" s="1"/>
  <c r="AA18" i="22" s="1"/>
  <c r="I64" i="22"/>
  <c r="P64" i="22" s="1"/>
  <c r="W64" i="22" s="1"/>
  <c r="M85" i="22"/>
  <c r="T85" i="22" s="1"/>
  <c r="AA85" i="22" s="1"/>
  <c r="M11" i="22"/>
  <c r="T11" i="22" s="1"/>
  <c r="AA11" i="22" s="1"/>
  <c r="L5" i="22"/>
  <c r="M77" i="22"/>
  <c r="T77" i="22" s="1"/>
  <c r="AA77" i="22" s="1"/>
  <c r="L77" i="22"/>
  <c r="J46" i="22"/>
  <c r="Q46" i="22" s="1"/>
  <c r="X46" i="22" s="1"/>
  <c r="J86" i="22"/>
  <c r="Q86" i="22" s="1"/>
  <c r="X86" i="22" s="1"/>
  <c r="I47" i="22"/>
  <c r="P47" i="22" s="1"/>
  <c r="W47" i="22" s="1"/>
  <c r="I22" i="22"/>
  <c r="P22" i="22" s="1"/>
  <c r="W22" i="22" s="1"/>
  <c r="L33" i="22"/>
  <c r="I68" i="22"/>
  <c r="P68" i="22" s="1"/>
  <c r="W68" i="22" s="1"/>
  <c r="M41" i="22"/>
  <c r="T41" i="22" s="1"/>
  <c r="AA41" i="22" s="1"/>
  <c r="M29" i="22"/>
  <c r="T29" i="22" s="1"/>
  <c r="AA29" i="22" s="1"/>
  <c r="L42" i="22"/>
  <c r="L45" i="22"/>
  <c r="L80" i="22"/>
  <c r="L66" i="22"/>
  <c r="L72" i="22"/>
  <c r="M24" i="22"/>
  <c r="T24" i="22" s="1"/>
  <c r="AA24" i="22" s="1"/>
  <c r="M20" i="22"/>
  <c r="T20" i="22" s="1"/>
  <c r="AA20" i="22" s="1"/>
  <c r="M67" i="22"/>
  <c r="T67" i="22" s="1"/>
  <c r="AA67" i="22" s="1"/>
  <c r="L8" i="22"/>
  <c r="L25" i="22"/>
  <c r="L65" i="22"/>
  <c r="M55" i="22"/>
  <c r="T55" i="22" s="1"/>
  <c r="AA55" i="22" s="1"/>
  <c r="J17" i="22"/>
  <c r="Q17" i="22" s="1"/>
  <c r="X17" i="22" s="1"/>
  <c r="M21" i="22"/>
  <c r="T21" i="22" s="1"/>
  <c r="AA21" i="22" s="1"/>
  <c r="I49" i="22"/>
  <c r="P49" i="22" s="1"/>
  <c r="W49" i="22" s="1"/>
  <c r="M9" i="22"/>
  <c r="T9" i="22" s="1"/>
  <c r="AA9" i="22" s="1"/>
  <c r="J43" i="22"/>
  <c r="Q43" i="22" s="1"/>
  <c r="X43" i="22" s="1"/>
  <c r="J78" i="22"/>
  <c r="Q78" i="22" s="1"/>
  <c r="X78" i="22" s="1"/>
  <c r="I34" i="22"/>
  <c r="P34" i="22" s="1"/>
  <c r="W34" i="22" s="1"/>
  <c r="M19" i="22"/>
  <c r="T19" i="22" s="1"/>
  <c r="AA19" i="22" s="1"/>
  <c r="J66" i="22"/>
  <c r="Q66" i="22" s="1"/>
  <c r="X66" i="22" s="1"/>
  <c r="J3" i="22"/>
  <c r="Q3" i="22" s="1"/>
  <c r="X3" i="22" s="1"/>
  <c r="M61" i="22"/>
  <c r="T61" i="22" s="1"/>
  <c r="AA61" i="22" s="1"/>
  <c r="L76" i="22"/>
  <c r="L4" i="22"/>
  <c r="J24" i="22"/>
  <c r="Q24" i="22" s="1"/>
  <c r="X24" i="22" s="1"/>
  <c r="L9" i="22"/>
  <c r="L32" i="22"/>
  <c r="L51" i="22"/>
  <c r="L35" i="22"/>
  <c r="M38" i="22"/>
  <c r="T38" i="22" s="1"/>
  <c r="AA38" i="22" s="1"/>
  <c r="L39" i="22"/>
  <c r="J19" i="22"/>
  <c r="Q19" i="22" s="1"/>
  <c r="X19" i="22" s="1"/>
  <c r="L16" i="22"/>
  <c r="M68" i="22"/>
  <c r="T68" i="22" s="1"/>
  <c r="AA68" i="22" s="1"/>
  <c r="J9" i="22"/>
  <c r="Q9" i="22" s="1"/>
  <c r="X9" i="22" s="1"/>
  <c r="I77" i="22"/>
  <c r="P77" i="22" s="1"/>
  <c r="W77" i="22" s="1"/>
  <c r="M6" i="22"/>
  <c r="T6" i="22" s="1"/>
  <c r="AA6" i="22" s="1"/>
  <c r="L3" i="22"/>
  <c r="C100" i="21"/>
  <c r="C97" i="6"/>
  <c r="W20" i="21"/>
  <c r="V20" i="21"/>
  <c r="W13" i="21"/>
  <c r="V13" i="21"/>
  <c r="W9" i="21"/>
  <c r="V9" i="21"/>
  <c r="X9" i="21" s="1"/>
  <c r="Y9" i="21" s="1"/>
  <c r="V15" i="21"/>
  <c r="W15" i="21"/>
  <c r="F62" i="6"/>
  <c r="F82" i="6"/>
  <c r="W14" i="21"/>
  <c r="V14" i="21"/>
  <c r="W10" i="21"/>
  <c r="V10" i="21"/>
  <c r="V6" i="21"/>
  <c r="W6" i="21"/>
  <c r="V18" i="21"/>
  <c r="W18" i="21"/>
  <c r="W12" i="21"/>
  <c r="V12" i="21"/>
  <c r="V7" i="21"/>
  <c r="W7" i="21"/>
  <c r="W11" i="21"/>
  <c r="V11" i="21"/>
  <c r="V19" i="21"/>
  <c r="W19" i="21"/>
  <c r="W8" i="21"/>
  <c r="V8" i="21"/>
  <c r="V17" i="21"/>
  <c r="W17" i="21"/>
  <c r="W5" i="21"/>
  <c r="V5" i="21"/>
  <c r="L7" i="22"/>
  <c r="I73" i="22"/>
  <c r="P73" i="22" s="1"/>
  <c r="W73" i="22" s="1"/>
  <c r="I10" i="22"/>
  <c r="P10" i="22" s="1"/>
  <c r="W10" i="22" s="1"/>
  <c r="C85" i="21"/>
  <c r="L28" i="22"/>
  <c r="L48" i="22"/>
  <c r="L30" i="22"/>
  <c r="J83" i="22"/>
  <c r="Q83" i="22" s="1"/>
  <c r="X83" i="22" s="1"/>
  <c r="J68" i="22"/>
  <c r="Q68" i="22" s="1"/>
  <c r="X68" i="22" s="1"/>
  <c r="L37" i="22"/>
  <c r="L56" i="22"/>
  <c r="M42" i="22"/>
  <c r="T42" i="22" s="1"/>
  <c r="AA42" i="22" s="1"/>
  <c r="L20" i="22"/>
  <c r="I66" i="22"/>
  <c r="P66" i="22" s="1"/>
  <c r="W66" i="22" s="1"/>
  <c r="I81" i="22"/>
  <c r="P81" i="22" s="1"/>
  <c r="W81" i="22" s="1"/>
  <c r="I27" i="22"/>
  <c r="P27" i="22" s="1"/>
  <c r="W27" i="22" s="1"/>
  <c r="I61" i="22"/>
  <c r="P61" i="22" s="1"/>
  <c r="W61" i="22" s="1"/>
  <c r="I59" i="22"/>
  <c r="P59" i="22" s="1"/>
  <c r="W59" i="22" s="1"/>
  <c r="I20" i="22"/>
  <c r="P20" i="22" s="1"/>
  <c r="W20" i="22" s="1"/>
  <c r="M76" i="22"/>
  <c r="T76" i="22" s="1"/>
  <c r="AA76" i="22" s="1"/>
  <c r="J58" i="22"/>
  <c r="Q58" i="22" s="1"/>
  <c r="X58" i="22" s="1"/>
  <c r="J59" i="22"/>
  <c r="Q59" i="22" s="1"/>
  <c r="X59" i="22" s="1"/>
  <c r="J10" i="22"/>
  <c r="Q10" i="22" s="1"/>
  <c r="X10" i="22" s="1"/>
  <c r="L69" i="22"/>
  <c r="I67" i="22"/>
  <c r="P67" i="22" s="1"/>
  <c r="W67" i="22" s="1"/>
  <c r="J85" i="22"/>
  <c r="Q85" i="22" s="1"/>
  <c r="X85" i="22" s="1"/>
  <c r="L21" i="22"/>
  <c r="M70" i="22"/>
  <c r="T70" i="22" s="1"/>
  <c r="AA70" i="22" s="1"/>
  <c r="I9" i="22"/>
  <c r="P9" i="22" s="1"/>
  <c r="W9" i="22" s="1"/>
  <c r="M50" i="22"/>
  <c r="T50" i="22" s="1"/>
  <c r="AA50" i="22" s="1"/>
  <c r="M65" i="22"/>
  <c r="T65" i="22" s="1"/>
  <c r="AA65" i="22" s="1"/>
  <c r="J82" i="22"/>
  <c r="Q82" i="22" s="1"/>
  <c r="X82" i="22" s="1"/>
  <c r="I21" i="22"/>
  <c r="P21" i="22" s="1"/>
  <c r="W21" i="22" s="1"/>
  <c r="L14" i="22"/>
  <c r="I52" i="22"/>
  <c r="P52" i="22" s="1"/>
  <c r="W52" i="22" s="1"/>
  <c r="I18" i="22"/>
  <c r="P18" i="22" s="1"/>
  <c r="W18" i="22" s="1"/>
  <c r="I26" i="22"/>
  <c r="P26" i="22" s="1"/>
  <c r="W26" i="22" s="1"/>
  <c r="L24" i="22"/>
  <c r="I83" i="22"/>
  <c r="P83" i="22" s="1"/>
  <c r="W83" i="22" s="1"/>
  <c r="I33" i="22"/>
  <c r="P33" i="22" s="1"/>
  <c r="W33" i="22" s="1"/>
  <c r="I24" i="22"/>
  <c r="P24" i="22" s="1"/>
  <c r="W24" i="22" s="1"/>
  <c r="J74" i="22"/>
  <c r="Q74" i="22" s="1"/>
  <c r="X74" i="22" s="1"/>
  <c r="J60" i="22"/>
  <c r="Q60" i="22" s="1"/>
  <c r="X60" i="22" s="1"/>
  <c r="J45" i="22"/>
  <c r="Q45" i="22" s="1"/>
  <c r="X45" i="22" s="1"/>
  <c r="L64" i="22"/>
  <c r="J47" i="22"/>
  <c r="Q47" i="22" s="1"/>
  <c r="X47" i="22" s="1"/>
  <c r="J31" i="22"/>
  <c r="Q31" i="22" s="1"/>
  <c r="X31" i="22" s="1"/>
  <c r="M71" i="22"/>
  <c r="T71" i="22" s="1"/>
  <c r="AA71" i="22" s="1"/>
  <c r="L17" i="22"/>
  <c r="M39" i="22"/>
  <c r="T39" i="22" s="1"/>
  <c r="AA39" i="22" s="1"/>
  <c r="I69" i="22"/>
  <c r="P69" i="22" s="1"/>
  <c r="W69" i="22" s="1"/>
  <c r="J71" i="22"/>
  <c r="Q71" i="22" s="1"/>
  <c r="X71" i="22" s="1"/>
  <c r="I55" i="22"/>
  <c r="P55" i="22" s="1"/>
  <c r="W55" i="22" s="1"/>
  <c r="I17" i="22"/>
  <c r="P17" i="22" s="1"/>
  <c r="W17" i="22" s="1"/>
  <c r="M17" i="22"/>
  <c r="T17" i="22" s="1"/>
  <c r="AA17" i="22" s="1"/>
  <c r="I80" i="22"/>
  <c r="P80" i="22" s="1"/>
  <c r="W80" i="22" s="1"/>
  <c r="L11" i="22"/>
  <c r="J27" i="22"/>
  <c r="Q27" i="22" s="1"/>
  <c r="X27" i="22" s="1"/>
  <c r="I43" i="22"/>
  <c r="P43" i="22" s="1"/>
  <c r="W43" i="22" s="1"/>
  <c r="M78" i="22"/>
  <c r="T78" i="22" s="1"/>
  <c r="AA78" i="22" s="1"/>
  <c r="M60" i="22"/>
  <c r="T60" i="22" s="1"/>
  <c r="AA60" i="22" s="1"/>
  <c r="I74" i="22"/>
  <c r="P74" i="22" s="1"/>
  <c r="W74" i="22" s="1"/>
  <c r="L60" i="22"/>
  <c r="J75" i="22"/>
  <c r="Q75" i="22" s="1"/>
  <c r="X75" i="22" s="1"/>
  <c r="L46" i="22"/>
  <c r="I44" i="22"/>
  <c r="P44" i="22" s="1"/>
  <c r="W44" i="22" s="1"/>
  <c r="L31" i="22"/>
  <c r="L12" i="22"/>
  <c r="L38" i="22"/>
  <c r="M57" i="22"/>
  <c r="T57" i="22" s="1"/>
  <c r="AA57" i="22" s="1"/>
  <c r="L57" i="22"/>
  <c r="M43" i="22"/>
  <c r="T43" i="22" s="1"/>
  <c r="AA43" i="22" s="1"/>
  <c r="J18" i="22"/>
  <c r="Q18" i="22" s="1"/>
  <c r="X18" i="22" s="1"/>
  <c r="I32" i="22"/>
  <c r="P32" i="22" s="1"/>
  <c r="W32" i="22" s="1"/>
  <c r="M69" i="22"/>
  <c r="T69" i="22" s="1"/>
  <c r="AA69" i="22" s="1"/>
  <c r="M12" i="22"/>
  <c r="T12" i="22" s="1"/>
  <c r="AA12" i="22" s="1"/>
  <c r="M49" i="22"/>
  <c r="T49" i="22" s="1"/>
  <c r="AA49" i="22" s="1"/>
  <c r="M47" i="22"/>
  <c r="T47" i="22" s="1"/>
  <c r="AA47" i="22" s="1"/>
  <c r="L68" i="22"/>
  <c r="I72" i="22"/>
  <c r="P72" i="22" s="1"/>
  <c r="W72" i="22" s="1"/>
  <c r="J42" i="22"/>
  <c r="Q42" i="22" s="1"/>
  <c r="X42" i="22" s="1"/>
  <c r="J44" i="22"/>
  <c r="Q44" i="22" s="1"/>
  <c r="X44" i="22" s="1"/>
  <c r="M48" i="22"/>
  <c r="T48" i="22" s="1"/>
  <c r="AA48" i="22" s="1"/>
  <c r="L81" i="22"/>
  <c r="J67" i="22"/>
  <c r="Q67" i="22" s="1"/>
  <c r="X67" i="22" s="1"/>
  <c r="L70" i="22"/>
  <c r="L71" i="22"/>
  <c r="J55" i="22"/>
  <c r="Q55" i="22" s="1"/>
  <c r="X55" i="22" s="1"/>
  <c r="M22" i="22"/>
  <c r="T22" i="22" s="1"/>
  <c r="AA22" i="22" s="1"/>
  <c r="I12" i="22"/>
  <c r="P12" i="22" s="1"/>
  <c r="W12" i="22" s="1"/>
  <c r="M84" i="22"/>
  <c r="T84" i="22" s="1"/>
  <c r="AA84" i="22" s="1"/>
  <c r="I79" i="22"/>
  <c r="P79" i="22" s="1"/>
  <c r="W79" i="22" s="1"/>
  <c r="J8" i="22"/>
  <c r="Q8" i="22" s="1"/>
  <c r="X8" i="22" s="1"/>
  <c r="M81" i="22"/>
  <c r="T81" i="22" s="1"/>
  <c r="AA81" i="22" s="1"/>
  <c r="M7" i="22"/>
  <c r="T7" i="22" s="1"/>
  <c r="AA7" i="22" s="1"/>
  <c r="L75" i="22"/>
  <c r="J22" i="22"/>
  <c r="Q22" i="22" s="1"/>
  <c r="X22" i="22" s="1"/>
  <c r="L26" i="22"/>
  <c r="L27" i="22"/>
  <c r="L47" i="22"/>
  <c r="J5" i="22"/>
  <c r="Q5" i="22" s="1"/>
  <c r="X5" i="22" s="1"/>
  <c r="L82" i="22"/>
  <c r="J29" i="22"/>
  <c r="Q29" i="22" s="1"/>
  <c r="X29" i="22" s="1"/>
  <c r="J49" i="22"/>
  <c r="Q49" i="22" s="1"/>
  <c r="X49" i="22" s="1"/>
  <c r="L53" i="22"/>
  <c r="J34" i="22"/>
  <c r="Q34" i="22" s="1"/>
  <c r="X34" i="22" s="1"/>
  <c r="J35" i="22"/>
  <c r="Q35" i="22" s="1"/>
  <c r="X35" i="22" s="1"/>
  <c r="J70" i="22"/>
  <c r="Q70" i="22" s="1"/>
  <c r="X70" i="22" s="1"/>
  <c r="I35" i="22"/>
  <c r="P35" i="22" s="1"/>
  <c r="W35" i="22" s="1"/>
  <c r="L40" i="22"/>
  <c r="J56" i="22"/>
  <c r="Q56" i="22" s="1"/>
  <c r="X56" i="22" s="1"/>
  <c r="M23" i="22"/>
  <c r="T23" i="22" s="1"/>
  <c r="AA23" i="22" s="1"/>
  <c r="J13" i="22"/>
  <c r="Q13" i="22" s="1"/>
  <c r="X13" i="22" s="1"/>
  <c r="J11" i="22"/>
  <c r="Q11" i="22" s="1"/>
  <c r="X11" i="22" s="1"/>
  <c r="L52" i="22"/>
  <c r="M83" i="22"/>
  <c r="T83" i="22" s="1"/>
  <c r="AA83" i="22" s="1"/>
  <c r="I46" i="22"/>
  <c r="P46" i="22" s="1"/>
  <c r="W46" i="22" s="1"/>
  <c r="L10" i="22"/>
  <c r="I4" i="22"/>
  <c r="P4" i="22" s="1"/>
  <c r="W4" i="22" s="1"/>
  <c r="I42" i="22"/>
  <c r="P42" i="22" s="1"/>
  <c r="W42" i="22" s="1"/>
  <c r="M8" i="22"/>
  <c r="T8" i="22" s="1"/>
  <c r="AA8" i="22" s="1"/>
  <c r="M5" i="22"/>
  <c r="T5" i="22" s="1"/>
  <c r="AA5" i="22" s="1"/>
  <c r="I19" i="22"/>
  <c r="P19" i="22" s="1"/>
  <c r="W19" i="22" s="1"/>
  <c r="I76" i="22"/>
  <c r="P76" i="22" s="1"/>
  <c r="W76" i="22" s="1"/>
  <c r="L83" i="22"/>
  <c r="L54" i="22"/>
  <c r="L55" i="22"/>
  <c r="J16" i="22"/>
  <c r="Q16" i="22" s="1"/>
  <c r="X16" i="22" s="1"/>
  <c r="I16" i="22"/>
  <c r="P16" i="22" s="1"/>
  <c r="W16" i="22" s="1"/>
  <c r="L41" i="22"/>
  <c r="M58" i="22"/>
  <c r="T58" i="22" s="1"/>
  <c r="AA58" i="22" s="1"/>
  <c r="I29" i="22"/>
  <c r="P29" i="22" s="1"/>
  <c r="W29" i="22" s="1"/>
  <c r="I6" i="22"/>
  <c r="P6" i="22" s="1"/>
  <c r="W6" i="22" s="1"/>
  <c r="M30" i="22"/>
  <c r="T30" i="22" s="1"/>
  <c r="AA30" i="22" s="1"/>
  <c r="I3" i="22"/>
  <c r="P3" i="22" s="1"/>
  <c r="W3" i="22" s="1"/>
  <c r="I41" i="22"/>
  <c r="P41" i="22" s="1"/>
  <c r="W41" i="22" s="1"/>
  <c r="I40" i="22"/>
  <c r="P40" i="22" s="1"/>
  <c r="W40" i="22" s="1"/>
  <c r="J73" i="22"/>
  <c r="Q73" i="22" s="1"/>
  <c r="X73" i="22" s="1"/>
  <c r="L44" i="22"/>
  <c r="L61" i="22"/>
  <c r="J76" i="22"/>
  <c r="Q76" i="22" s="1"/>
  <c r="X76" i="22" s="1"/>
  <c r="J77" i="22"/>
  <c r="Q77" i="22" s="1"/>
  <c r="X77" i="22" s="1"/>
  <c r="L49" i="22"/>
  <c r="J64" i="22"/>
  <c r="Q64" i="22" s="1"/>
  <c r="X64" i="22" s="1"/>
  <c r="M86" i="22"/>
  <c r="T86" i="22" s="1"/>
  <c r="AA86" i="22" s="1"/>
  <c r="J33" i="22"/>
  <c r="Q33" i="22" s="1"/>
  <c r="X33" i="22" s="1"/>
  <c r="J14" i="22"/>
  <c r="Q14" i="22" s="1"/>
  <c r="X14" i="22" s="1"/>
  <c r="I15" i="22"/>
  <c r="P15" i="22" s="1"/>
  <c r="W15" i="22" s="1"/>
  <c r="J54" i="22"/>
  <c r="Q54" i="22" s="1"/>
  <c r="X54" i="22" s="1"/>
  <c r="I86" i="22"/>
  <c r="P86" i="22" s="1"/>
  <c r="W86" i="22" s="1"/>
  <c r="L74" i="22"/>
  <c r="J50" i="22"/>
  <c r="Q50" i="22" s="1"/>
  <c r="X50" i="22" s="1"/>
  <c r="I70" i="22"/>
  <c r="P70" i="22" s="1"/>
  <c r="W70" i="22" s="1"/>
  <c r="I50" i="22"/>
  <c r="P50" i="22" s="1"/>
  <c r="W50" i="22" s="1"/>
  <c r="M34" i="22"/>
  <c r="T34" i="22" s="1"/>
  <c r="AA34" i="22" s="1"/>
  <c r="I28" i="22"/>
  <c r="P28" i="22" s="1"/>
  <c r="W28" i="22" s="1"/>
  <c r="I7" i="22"/>
  <c r="P7" i="22" s="1"/>
  <c r="W7" i="22" s="1"/>
  <c r="M82" i="22"/>
  <c r="T82" i="22" s="1"/>
  <c r="AA82" i="22" s="1"/>
  <c r="M31" i="22"/>
  <c r="T31" i="22" s="1"/>
  <c r="AA31" i="22" s="1"/>
  <c r="J4" i="22"/>
  <c r="Q4" i="22" s="1"/>
  <c r="X4" i="22" s="1"/>
  <c r="I75" i="22"/>
  <c r="P75" i="22" s="1"/>
  <c r="W75" i="22" s="1"/>
  <c r="M46" i="22"/>
  <c r="T46" i="22" s="1"/>
  <c r="AA46" i="22" s="1"/>
  <c r="M45" i="22"/>
  <c r="T45" i="22" s="1"/>
  <c r="AA45" i="22" s="1"/>
  <c r="I39" i="22"/>
  <c r="P39" i="22" s="1"/>
  <c r="W39" i="22" s="1"/>
  <c r="J12" i="22"/>
  <c r="Q12" i="22" s="1"/>
  <c r="X12" i="22" s="1"/>
  <c r="J30" i="22"/>
  <c r="Q30" i="22" s="1"/>
  <c r="X30" i="22" s="1"/>
  <c r="J15" i="22"/>
  <c r="Q15" i="22" s="1"/>
  <c r="X15" i="22" s="1"/>
  <c r="M75" i="22"/>
  <c r="T75" i="22" s="1"/>
  <c r="AA75" i="22" s="1"/>
  <c r="M80" i="22"/>
  <c r="T80" i="22" s="1"/>
  <c r="AA80" i="22" s="1"/>
  <c r="M36" i="22"/>
  <c r="T36" i="22" s="1"/>
  <c r="AA36" i="22" s="1"/>
  <c r="M13" i="22"/>
  <c r="T13" i="22" s="1"/>
  <c r="AA13" i="22" s="1"/>
  <c r="I78" i="22"/>
  <c r="P78" i="22" s="1"/>
  <c r="W78" i="22" s="1"/>
  <c r="M63" i="22"/>
  <c r="T63" i="22" s="1"/>
  <c r="AA63" i="22" s="1"/>
  <c r="M25" i="22"/>
  <c r="T25" i="22" s="1"/>
  <c r="AA25" i="22" s="1"/>
  <c r="J57" i="22"/>
  <c r="Q57" i="22" s="1"/>
  <c r="X57" i="22" s="1"/>
  <c r="L62" i="22"/>
  <c r="M64" i="22"/>
  <c r="T64" i="22" s="1"/>
  <c r="AA64" i="22" s="1"/>
  <c r="J26" i="22"/>
  <c r="Q26" i="22" s="1"/>
  <c r="X26" i="22" s="1"/>
  <c r="J62" i="22"/>
  <c r="Q62" i="22" s="1"/>
  <c r="X62" i="22" s="1"/>
  <c r="L50" i="22"/>
  <c r="J81" i="22"/>
  <c r="Q81" i="22" s="1"/>
  <c r="X81" i="22" s="1"/>
  <c r="L85" i="22"/>
  <c r="L86" i="22"/>
  <c r="J52" i="22"/>
  <c r="Q52" i="22" s="1"/>
  <c r="X52" i="22" s="1"/>
  <c r="I13" i="22"/>
  <c r="P13" i="22" s="1"/>
  <c r="W13" i="22" s="1"/>
  <c r="J53" i="22"/>
  <c r="Q53" i="22" s="1"/>
  <c r="X53" i="22" s="1"/>
  <c r="I14" i="22"/>
  <c r="P14" i="22" s="1"/>
  <c r="W14" i="22" s="1"/>
  <c r="I53" i="22"/>
  <c r="P53" i="22" s="1"/>
  <c r="W53" i="22" s="1"/>
  <c r="L73" i="22"/>
  <c r="J39" i="22"/>
  <c r="Q39" i="22" s="1"/>
  <c r="X39" i="22" s="1"/>
  <c r="M3" i="22"/>
  <c r="T3" i="22" s="1"/>
  <c r="AA3" i="22" s="1"/>
  <c r="M74" i="22"/>
  <c r="T74" i="22" s="1"/>
  <c r="AA74" i="22" s="1"/>
  <c r="M54" i="22"/>
  <c r="T54" i="22" s="1"/>
  <c r="AA54" i="22" s="1"/>
  <c r="I48" i="22"/>
  <c r="P48" i="22" s="1"/>
  <c r="W48" i="22" s="1"/>
  <c r="M33" i="22"/>
  <c r="T33" i="22" s="1"/>
  <c r="AA33" i="22" s="1"/>
  <c r="I8" i="22"/>
  <c r="P8" i="22" s="1"/>
  <c r="W8" i="22" s="1"/>
  <c r="L34" i="22"/>
  <c r="I45" i="22"/>
  <c r="P45" i="22" s="1"/>
  <c r="W45" i="22" s="1"/>
  <c r="L6" i="22"/>
  <c r="M79" i="22"/>
  <c r="T79" i="22" s="1"/>
  <c r="AA79" i="22" s="1"/>
  <c r="I58" i="22"/>
  <c r="P58" i="22" s="1"/>
  <c r="W58" i="22" s="1"/>
  <c r="I57" i="22"/>
  <c r="P57" i="22" s="1"/>
  <c r="W57" i="22" s="1"/>
  <c r="M44" i="22"/>
  <c r="T44" i="22" s="1"/>
  <c r="AA44" i="22" s="1"/>
  <c r="I11" i="22"/>
  <c r="P11" i="22" s="1"/>
  <c r="W11" i="22" s="1"/>
  <c r="I56" i="22"/>
  <c r="P56" i="22" s="1"/>
  <c r="W56" i="22" s="1"/>
  <c r="M16" i="22"/>
  <c r="T16" i="22" s="1"/>
  <c r="AA16" i="22" s="1"/>
  <c r="J28" i="22"/>
  <c r="Q28" i="22" s="1"/>
  <c r="X28" i="22" s="1"/>
  <c r="J36" i="22"/>
  <c r="Q36" i="22" s="1"/>
  <c r="X36" i="22" s="1"/>
  <c r="L22" i="22"/>
  <c r="M32" i="22"/>
  <c r="T32" i="22" s="1"/>
  <c r="AA32" i="22" s="1"/>
  <c r="M28" i="22"/>
  <c r="T28" i="22" s="1"/>
  <c r="AA28" i="22" s="1"/>
  <c r="L84" i="22"/>
  <c r="C91" i="1"/>
  <c r="C15" i="6"/>
  <c r="C6" i="4"/>
  <c r="C8" i="5"/>
  <c r="C7" i="5"/>
  <c r="V418" i="6" l="1"/>
  <c r="V400" i="6"/>
  <c r="V410" i="6"/>
  <c r="V461" i="6"/>
  <c r="V382" i="6"/>
  <c r="V437" i="6"/>
  <c r="V389" i="6"/>
  <c r="V402" i="6"/>
  <c r="V438" i="6"/>
  <c r="V430" i="6"/>
  <c r="V401" i="6"/>
  <c r="V375" i="6"/>
  <c r="V394" i="6"/>
  <c r="V407" i="6"/>
  <c r="V393" i="6"/>
  <c r="V385" i="6"/>
  <c r="V424" i="6"/>
  <c r="V456" i="6"/>
  <c r="V398" i="6"/>
  <c r="V405" i="6"/>
  <c r="V376" i="6"/>
  <c r="V453" i="6"/>
  <c r="V442" i="6"/>
  <c r="V378" i="6"/>
  <c r="V426" i="6"/>
  <c r="V408" i="6"/>
  <c r="V417" i="6"/>
  <c r="V384" i="6"/>
  <c r="V413" i="6"/>
  <c r="V449" i="6"/>
  <c r="V381" i="6"/>
  <c r="V406" i="6"/>
  <c r="V462" i="6"/>
  <c r="V391" i="6"/>
  <c r="V465" i="6"/>
  <c r="V439" i="6"/>
  <c r="V460" i="6"/>
  <c r="V396" i="6"/>
  <c r="V411" i="6"/>
  <c r="V434" i="6"/>
  <c r="V370" i="6"/>
  <c r="V447" i="6"/>
  <c r="V433" i="6"/>
  <c r="V432" i="6"/>
  <c r="V431" i="6"/>
  <c r="V421" i="6"/>
  <c r="V446" i="6"/>
  <c r="V397" i="6"/>
  <c r="V416" i="6"/>
  <c r="V390" i="6"/>
  <c r="V464" i="6"/>
  <c r="V412" i="6"/>
  <c r="V427" i="6"/>
  <c r="V450" i="6"/>
  <c r="V386" i="6"/>
  <c r="S85" i="22"/>
  <c r="Z85" i="22" s="1"/>
  <c r="S54" i="22"/>
  <c r="Z54" i="22" s="1"/>
  <c r="S40" i="22"/>
  <c r="Z40" i="22" s="1"/>
  <c r="S82" i="22"/>
  <c r="Z82" i="22" s="1"/>
  <c r="S24" i="22"/>
  <c r="Z24" i="22" s="1"/>
  <c r="S48" i="22"/>
  <c r="Z48" i="22" s="1"/>
  <c r="S3" i="22"/>
  <c r="Z3" i="22" s="1"/>
  <c r="S34" i="22"/>
  <c r="Z34" i="22" s="1"/>
  <c r="S73" i="22"/>
  <c r="Z73" i="22" s="1"/>
  <c r="S83" i="22"/>
  <c r="Z83" i="22" s="1"/>
  <c r="S38" i="22"/>
  <c r="Z38" i="22" s="1"/>
  <c r="S64" i="22"/>
  <c r="Z64" i="22" s="1"/>
  <c r="S20" i="22"/>
  <c r="Z20" i="22" s="1"/>
  <c r="S28" i="22"/>
  <c r="Z28" i="22" s="1"/>
  <c r="S35" i="22"/>
  <c r="Z35" i="22" s="1"/>
  <c r="S5" i="22"/>
  <c r="Z5" i="22" s="1"/>
  <c r="S23" i="22"/>
  <c r="Z23" i="22" s="1"/>
  <c r="S43" i="22"/>
  <c r="Z43" i="22" s="1"/>
  <c r="S84" i="22"/>
  <c r="Z84" i="22" s="1"/>
  <c r="S50" i="22"/>
  <c r="Z50" i="22" s="1"/>
  <c r="S61" i="22"/>
  <c r="Z61" i="22" s="1"/>
  <c r="S47" i="22"/>
  <c r="Z47" i="22" s="1"/>
  <c r="S81" i="22"/>
  <c r="Z81" i="22" s="1"/>
  <c r="S12" i="22"/>
  <c r="Z12" i="22" s="1"/>
  <c r="S51" i="22"/>
  <c r="Z51" i="22" s="1"/>
  <c r="S72" i="22"/>
  <c r="Z72" i="22" s="1"/>
  <c r="S33" i="22"/>
  <c r="Z33" i="22" s="1"/>
  <c r="S44" i="22"/>
  <c r="Z44" i="22" s="1"/>
  <c r="S52" i="22"/>
  <c r="Z52" i="22" s="1"/>
  <c r="S27" i="22"/>
  <c r="Z27" i="22" s="1"/>
  <c r="S31" i="22"/>
  <c r="Z31" i="22" s="1"/>
  <c r="S21" i="22"/>
  <c r="Z21" i="22" s="1"/>
  <c r="S56" i="22"/>
  <c r="Z56" i="22" s="1"/>
  <c r="S32" i="22"/>
  <c r="Z32" i="22" s="1"/>
  <c r="S66" i="22"/>
  <c r="Z66" i="22" s="1"/>
  <c r="S19" i="22"/>
  <c r="Z19" i="22" s="1"/>
  <c r="S63" i="22"/>
  <c r="Z63" i="22" s="1"/>
  <c r="AP303" i="32"/>
  <c r="AQ303" i="32"/>
  <c r="S10" i="22"/>
  <c r="Z10" i="22" s="1"/>
  <c r="S70" i="22"/>
  <c r="Z70" i="22" s="1"/>
  <c r="S18" i="22"/>
  <c r="Z18" i="22" s="1"/>
  <c r="S79" i="22"/>
  <c r="Z79" i="22" s="1"/>
  <c r="S29" i="22"/>
  <c r="Z29" i="22" s="1"/>
  <c r="S13" i="22"/>
  <c r="Z13" i="22" s="1"/>
  <c r="S41" i="22"/>
  <c r="Z41" i="22" s="1"/>
  <c r="S26" i="22"/>
  <c r="Z26" i="22" s="1"/>
  <c r="S14" i="22"/>
  <c r="Z14" i="22" s="1"/>
  <c r="S37" i="22"/>
  <c r="Z37" i="22" s="1"/>
  <c r="S9" i="22"/>
  <c r="Z9" i="22" s="1"/>
  <c r="S65" i="22"/>
  <c r="Z65" i="22" s="1"/>
  <c r="S80" i="22"/>
  <c r="Z80" i="22" s="1"/>
  <c r="S67" i="22"/>
  <c r="Z67" i="22" s="1"/>
  <c r="C57" i="29"/>
  <c r="C58" i="29" s="1"/>
  <c r="S74" i="22"/>
  <c r="Z74" i="22" s="1"/>
  <c r="Z49" i="22"/>
  <c r="S49" i="22"/>
  <c r="S55" i="22"/>
  <c r="Z55" i="22" s="1"/>
  <c r="S71" i="22"/>
  <c r="Z71" i="22" s="1"/>
  <c r="S57" i="22"/>
  <c r="Z57" i="22" s="1"/>
  <c r="Z60" i="22"/>
  <c r="S60" i="22"/>
  <c r="S30" i="22"/>
  <c r="Z30" i="22" s="1"/>
  <c r="S39" i="22"/>
  <c r="Z39" i="22" s="1"/>
  <c r="S76" i="22"/>
  <c r="Z76" i="22" s="1"/>
  <c r="Z77" i="22"/>
  <c r="S77" i="22"/>
  <c r="S15" i="22"/>
  <c r="Z15" i="22" s="1"/>
  <c r="C54" i="29"/>
  <c r="C56" i="29" s="1"/>
  <c r="BL40" i="9"/>
  <c r="AP312" i="32"/>
  <c r="AQ312" i="32"/>
  <c r="S22" i="22"/>
  <c r="Z22" i="22" s="1"/>
  <c r="S53" i="22"/>
  <c r="Z53" i="22" s="1"/>
  <c r="S46" i="22"/>
  <c r="Z46" i="22" s="1"/>
  <c r="S11" i="22"/>
  <c r="Z11" i="22" s="1"/>
  <c r="S17" i="22"/>
  <c r="Z17" i="22" s="1"/>
  <c r="S7" i="22"/>
  <c r="Z7" i="22" s="1"/>
  <c r="S16" i="22"/>
  <c r="Z16" i="22" s="1"/>
  <c r="S25" i="22"/>
  <c r="Z25" i="22" s="1"/>
  <c r="S45" i="22"/>
  <c r="Z45" i="22" s="1"/>
  <c r="S78" i="22"/>
  <c r="Z78" i="22" s="1"/>
  <c r="S62" i="22"/>
  <c r="Z62" i="22" s="1"/>
  <c r="S75" i="22"/>
  <c r="Z75" i="22" s="1"/>
  <c r="S69" i="22"/>
  <c r="Z69" i="22" s="1"/>
  <c r="S4" i="22"/>
  <c r="Z4" i="22" s="1"/>
  <c r="S8" i="22"/>
  <c r="Z8" i="22" s="1"/>
  <c r="S42" i="22"/>
  <c r="Z42" i="22" s="1"/>
  <c r="S58" i="22"/>
  <c r="Z58" i="22" s="1"/>
  <c r="S59" i="22"/>
  <c r="Z59" i="22" s="1"/>
  <c r="X69" i="9"/>
  <c r="X44" i="9"/>
  <c r="X41" i="9"/>
  <c r="X39" i="9"/>
  <c r="X286" i="9"/>
  <c r="X366" i="9"/>
  <c r="X406" i="9"/>
  <c r="X105" i="9"/>
  <c r="X374" i="9"/>
  <c r="X392" i="9"/>
  <c r="X320" i="9"/>
  <c r="X248" i="9"/>
  <c r="X139" i="9"/>
  <c r="X383" i="9"/>
  <c r="X303" i="9"/>
  <c r="X207" i="9"/>
  <c r="X437" i="9"/>
  <c r="X357" i="9"/>
  <c r="X269" i="9"/>
  <c r="X185" i="9"/>
  <c r="X412" i="9"/>
  <c r="X332" i="9"/>
  <c r="X236" i="9"/>
  <c r="X133" i="9"/>
  <c r="X379" i="9"/>
  <c r="X291" i="9"/>
  <c r="X211" i="9"/>
  <c r="X434" i="9"/>
  <c r="X346" i="9"/>
  <c r="X258" i="9"/>
  <c r="X168" i="9"/>
  <c r="X393" i="9"/>
  <c r="X313" i="9"/>
  <c r="X233" i="9"/>
  <c r="X128" i="9"/>
  <c r="X166" i="9"/>
  <c r="X78" i="9"/>
  <c r="X156" i="9"/>
  <c r="X83" i="9"/>
  <c r="X122" i="9"/>
  <c r="C7" i="34"/>
  <c r="C8" i="34"/>
  <c r="AP305" i="32"/>
  <c r="AQ305" i="32" s="1"/>
  <c r="X48" i="9"/>
  <c r="X75" i="9"/>
  <c r="X72" i="9"/>
  <c r="X414" i="9"/>
  <c r="X222" i="9"/>
  <c r="X302" i="9"/>
  <c r="X342" i="9"/>
  <c r="X326" i="9"/>
  <c r="X310" i="9"/>
  <c r="X384" i="9"/>
  <c r="X312" i="9"/>
  <c r="X232" i="9"/>
  <c r="X127" i="9"/>
  <c r="X375" i="9"/>
  <c r="X279" i="9"/>
  <c r="X199" i="9"/>
  <c r="X429" i="9"/>
  <c r="X349" i="9"/>
  <c r="X261" i="9"/>
  <c r="X173" i="9"/>
  <c r="X404" i="9"/>
  <c r="X308" i="9"/>
  <c r="X228" i="9"/>
  <c r="X120" i="9"/>
  <c r="X363" i="9"/>
  <c r="X283" i="9"/>
  <c r="X203" i="9"/>
  <c r="X426" i="9"/>
  <c r="X330" i="9"/>
  <c r="X250" i="9"/>
  <c r="X155" i="9"/>
  <c r="X385" i="9"/>
  <c r="X305" i="9"/>
  <c r="X225" i="9"/>
  <c r="X89" i="9"/>
  <c r="X150" i="9"/>
  <c r="X117" i="9"/>
  <c r="X140" i="9"/>
  <c r="X194" i="9"/>
  <c r="X114" i="9"/>
  <c r="H282" i="32"/>
  <c r="H100" i="32"/>
  <c r="H229" i="32"/>
  <c r="H192" i="32"/>
  <c r="H90" i="32"/>
  <c r="H113" i="32"/>
  <c r="H200" i="32"/>
  <c r="H56" i="32"/>
  <c r="H139" i="32"/>
  <c r="H246" i="32"/>
  <c r="H148" i="32"/>
  <c r="H89" i="32"/>
  <c r="H221" i="32"/>
  <c r="H127" i="32"/>
  <c r="H273" i="32"/>
  <c r="H94" i="32"/>
  <c r="H278" i="32"/>
  <c r="H157" i="32"/>
  <c r="H78" i="32"/>
  <c r="H103" i="32"/>
  <c r="H87" i="32"/>
  <c r="H119" i="32"/>
  <c r="H50" i="32"/>
  <c r="H110" i="32"/>
  <c r="H44" i="32"/>
  <c r="H303" i="32"/>
  <c r="H287" i="32"/>
  <c r="H211" i="32"/>
  <c r="H95" i="32"/>
  <c r="H251" i="32"/>
  <c r="H218" i="32"/>
  <c r="H270" i="32"/>
  <c r="H202" i="32"/>
  <c r="H307" i="32"/>
  <c r="H55" i="32"/>
  <c r="H196" i="32"/>
  <c r="H308" i="32"/>
  <c r="H153" i="32"/>
  <c r="H71" i="32"/>
  <c r="H206" i="32"/>
  <c r="H32" i="32"/>
  <c r="H286" i="32"/>
  <c r="H250" i="32"/>
  <c r="H117" i="32"/>
  <c r="H184" i="32"/>
  <c r="H107" i="32"/>
  <c r="H219" i="32"/>
  <c r="H142" i="32"/>
  <c r="H181" i="32"/>
  <c r="H187" i="32"/>
  <c r="H69" i="32"/>
  <c r="H164" i="32"/>
  <c r="H199" i="32"/>
  <c r="AP306" i="32"/>
  <c r="AQ306" i="32"/>
  <c r="S6" i="22"/>
  <c r="Z6" i="22" s="1"/>
  <c r="S86" i="22"/>
  <c r="Z86" i="22" s="1"/>
  <c r="S68" i="22"/>
  <c r="Z68" i="22" s="1"/>
  <c r="S36" i="22"/>
  <c r="Z36" i="22" s="1"/>
  <c r="H49" i="32"/>
  <c r="H37" i="32"/>
  <c r="H46" i="32"/>
  <c r="H149" i="32"/>
  <c r="H151" i="32"/>
  <c r="H60" i="32"/>
  <c r="H172" i="32"/>
  <c r="H291" i="32"/>
  <c r="H301" i="32"/>
  <c r="H143" i="32"/>
  <c r="H268" i="32"/>
  <c r="H131" i="32"/>
  <c r="H234" i="32"/>
  <c r="H179" i="32"/>
  <c r="H145" i="32"/>
  <c r="H116" i="32"/>
  <c r="H171" i="32"/>
  <c r="H62" i="32"/>
  <c r="H102" i="32"/>
  <c r="H115" i="32"/>
  <c r="H232" i="32"/>
  <c r="H197" i="32"/>
  <c r="H174" i="32"/>
  <c r="H97" i="32"/>
  <c r="H178" i="32"/>
  <c r="H63" i="32"/>
  <c r="H155" i="32"/>
  <c r="H42" i="32"/>
  <c r="H154" i="32"/>
  <c r="H274" i="32"/>
  <c r="H82" i="32"/>
  <c r="H241" i="32"/>
  <c r="H277" i="32"/>
  <c r="AP311" i="32"/>
  <c r="AQ311" i="32" s="1"/>
  <c r="D9" i="32"/>
  <c r="H45" i="32"/>
  <c r="H121" i="32"/>
  <c r="H223" i="32"/>
  <c r="H34" i="32"/>
  <c r="H310" i="32"/>
  <c r="H159" i="32"/>
  <c r="H120" i="32"/>
  <c r="H138" i="32"/>
  <c r="H59" i="32"/>
  <c r="H249" i="32"/>
  <c r="H297" i="32"/>
  <c r="H130" i="32"/>
  <c r="H136" i="32"/>
  <c r="H30" i="32"/>
  <c r="H176" i="32"/>
  <c r="H209" i="32"/>
  <c r="H118" i="32"/>
  <c r="H92" i="32"/>
  <c r="H58" i="32"/>
  <c r="H262" i="32"/>
  <c r="H72" i="32"/>
  <c r="H64" i="32"/>
  <c r="H244" i="32"/>
  <c r="H146" i="32"/>
  <c r="H183" i="32"/>
  <c r="H215" i="32"/>
  <c r="H166" i="32"/>
  <c r="H191" i="32"/>
  <c r="H193" i="32"/>
  <c r="H281" i="32"/>
  <c r="H27" i="32"/>
  <c r="H248" i="32"/>
  <c r="H267" i="32"/>
  <c r="H288" i="32"/>
  <c r="H247" i="32"/>
  <c r="H173" i="32"/>
  <c r="H161" i="32"/>
  <c r="H245" i="32"/>
  <c r="H51" i="32"/>
  <c r="H227" i="32"/>
  <c r="T359" i="16"/>
  <c r="W359" i="16" s="1"/>
  <c r="T358" i="16"/>
  <c r="W358" i="16" s="1"/>
  <c r="T340" i="16"/>
  <c r="W340" i="16" s="1"/>
  <c r="T215" i="16"/>
  <c r="W215" i="16" s="1"/>
  <c r="T196" i="16"/>
  <c r="W196" i="16" s="1"/>
  <c r="T304" i="16"/>
  <c r="W304" i="16" s="1"/>
  <c r="T290" i="16"/>
  <c r="W290" i="16" s="1"/>
  <c r="T268" i="16"/>
  <c r="W268" i="16" s="1"/>
  <c r="T167" i="16"/>
  <c r="W167" i="16" s="1"/>
  <c r="T368" i="16"/>
  <c r="W368" i="16" s="1"/>
  <c r="T363" i="16"/>
  <c r="W363" i="16" s="1"/>
  <c r="T361" i="16"/>
  <c r="W361" i="16" s="1"/>
  <c r="T333" i="16"/>
  <c r="W333" i="16" s="1"/>
  <c r="T357" i="16"/>
  <c r="W357" i="16" s="1"/>
  <c r="T331" i="16"/>
  <c r="W331" i="16" s="1"/>
  <c r="T365" i="16"/>
  <c r="W365" i="16" s="1"/>
  <c r="T156" i="16"/>
  <c r="W156" i="16" s="1"/>
  <c r="T174" i="16"/>
  <c r="W174" i="16" s="1"/>
  <c r="T236" i="16"/>
  <c r="W236" i="16" s="1"/>
  <c r="T175" i="16"/>
  <c r="W175" i="16" s="1"/>
  <c r="T191" i="16"/>
  <c r="W191" i="16" s="1"/>
  <c r="T251" i="16"/>
  <c r="W251" i="16" s="1"/>
  <c r="T255" i="16"/>
  <c r="W255" i="16" s="1"/>
  <c r="T232" i="16"/>
  <c r="W232" i="16" s="1"/>
  <c r="T219" i="16"/>
  <c r="W219" i="16" s="1"/>
  <c r="T203" i="16"/>
  <c r="W203" i="16" s="1"/>
  <c r="T184" i="16"/>
  <c r="W184" i="16" s="1"/>
  <c r="T162" i="16"/>
  <c r="W162" i="16" s="1"/>
  <c r="T98" i="16"/>
  <c r="W98" i="16" s="1"/>
  <c r="T336" i="16"/>
  <c r="W336" i="16" s="1"/>
  <c r="T354" i="16"/>
  <c r="W354" i="16" s="1"/>
  <c r="T334" i="16"/>
  <c r="W334" i="16" s="1"/>
  <c r="T327" i="16"/>
  <c r="W327" i="16" s="1"/>
  <c r="T329" i="16"/>
  <c r="W329" i="16" s="1"/>
  <c r="T349" i="16"/>
  <c r="W349" i="16" s="1"/>
  <c r="T367" i="16"/>
  <c r="W367" i="16" s="1"/>
  <c r="T348" i="16"/>
  <c r="W348" i="16" s="1"/>
  <c r="T355" i="16"/>
  <c r="W355" i="16" s="1"/>
  <c r="T332" i="16"/>
  <c r="W332" i="16" s="1"/>
  <c r="T299" i="16"/>
  <c r="W299" i="16" s="1"/>
  <c r="T310" i="16"/>
  <c r="W310" i="16" s="1"/>
  <c r="T154" i="16"/>
  <c r="W154" i="16" s="1"/>
  <c r="T300" i="16"/>
  <c r="W300" i="16" s="1"/>
  <c r="T218" i="16"/>
  <c r="W218" i="16" s="1"/>
  <c r="T224" i="16"/>
  <c r="W224" i="16" s="1"/>
  <c r="T204" i="16"/>
  <c r="W204" i="16" s="1"/>
  <c r="T296" i="16"/>
  <c r="W296" i="16" s="1"/>
  <c r="T356" i="16"/>
  <c r="W356" i="16" s="1"/>
  <c r="T179" i="16"/>
  <c r="W179" i="16" s="1"/>
  <c r="T112" i="16"/>
  <c r="W112" i="16" s="1"/>
  <c r="T127" i="16"/>
  <c r="W127" i="16" s="1"/>
  <c r="T106" i="16"/>
  <c r="W106" i="16" s="1"/>
  <c r="T306" i="16"/>
  <c r="W306" i="16" s="1"/>
  <c r="T278" i="16"/>
  <c r="W278" i="16" s="1"/>
  <c r="T291" i="16"/>
  <c r="W291" i="16" s="1"/>
  <c r="T170" i="16"/>
  <c r="W170" i="16" s="1"/>
  <c r="T195" i="16"/>
  <c r="W195" i="16" s="1"/>
  <c r="T238" i="16"/>
  <c r="W238" i="16" s="1"/>
  <c r="T312" i="16"/>
  <c r="W312" i="16" s="1"/>
  <c r="T123" i="16"/>
  <c r="W123" i="16" s="1"/>
  <c r="T342" i="16"/>
  <c r="W342" i="16" s="1"/>
  <c r="T328" i="16"/>
  <c r="W328" i="16" s="1"/>
  <c r="T362" i="16"/>
  <c r="W362" i="16" s="1"/>
  <c r="T366" i="16"/>
  <c r="W366" i="16" s="1"/>
  <c r="T369" i="16"/>
  <c r="W369" i="16" s="1"/>
  <c r="T160" i="16"/>
  <c r="W160" i="16" s="1"/>
  <c r="T272" i="16"/>
  <c r="W272" i="16" s="1"/>
  <c r="T260" i="16"/>
  <c r="W260" i="16" s="1"/>
  <c r="T155" i="16"/>
  <c r="W155" i="16" s="1"/>
  <c r="T319" i="16"/>
  <c r="W319" i="16" s="1"/>
  <c r="T352" i="16"/>
  <c r="W352" i="16" s="1"/>
  <c r="T283" i="16"/>
  <c r="W283" i="16" s="1"/>
  <c r="T256" i="16"/>
  <c r="W256" i="16" s="1"/>
  <c r="T311" i="16"/>
  <c r="W311" i="16" s="1"/>
  <c r="T99" i="16"/>
  <c r="W99" i="16" s="1"/>
  <c r="T343" i="16"/>
  <c r="W343" i="16" s="1"/>
  <c r="T294" i="16"/>
  <c r="W294" i="16" s="1"/>
  <c r="T158" i="16"/>
  <c r="W158" i="16" s="1"/>
  <c r="T199" i="16"/>
  <c r="W199" i="16" s="1"/>
  <c r="T275" i="16"/>
  <c r="W275" i="16" s="1"/>
  <c r="T239" i="16"/>
  <c r="W239" i="16" s="1"/>
  <c r="T90" i="16"/>
  <c r="W90" i="16" s="1"/>
  <c r="T107" i="16"/>
  <c r="W107" i="16" s="1"/>
  <c r="T206" i="16"/>
  <c r="W206" i="16" s="1"/>
  <c r="T178" i="16"/>
  <c r="W178" i="16" s="1"/>
  <c r="T86" i="16"/>
  <c r="W86" i="16" s="1"/>
  <c r="T87" i="16"/>
  <c r="W87" i="16" s="1"/>
  <c r="T307" i="16"/>
  <c r="W307" i="16" s="1"/>
  <c r="T102" i="16"/>
  <c r="W102" i="16" s="1"/>
  <c r="T84" i="16"/>
  <c r="T353" i="16"/>
  <c r="W353" i="16" s="1"/>
  <c r="T338" i="16"/>
  <c r="W338" i="16" s="1"/>
  <c r="T347" i="16"/>
  <c r="W347" i="16" s="1"/>
  <c r="T341" i="16"/>
  <c r="W341" i="16" s="1"/>
  <c r="T360" i="16"/>
  <c r="W360" i="16" s="1"/>
  <c r="T344" i="16"/>
  <c r="W344" i="16" s="1"/>
  <c r="T163" i="16"/>
  <c r="W163" i="16" s="1"/>
  <c r="T110" i="16"/>
  <c r="W110" i="16" s="1"/>
  <c r="T187" i="16"/>
  <c r="W187" i="16" s="1"/>
  <c r="T234" i="16"/>
  <c r="W234" i="16" s="1"/>
  <c r="T324" i="16"/>
  <c r="W324" i="16" s="1"/>
  <c r="T330" i="16"/>
  <c r="W330" i="16" s="1"/>
  <c r="T192" i="16"/>
  <c r="W192" i="16" s="1"/>
  <c r="T266" i="16"/>
  <c r="W266" i="16" s="1"/>
  <c r="T92" i="16"/>
  <c r="W92" i="16" s="1"/>
  <c r="T270" i="16"/>
  <c r="W270" i="16" s="1"/>
  <c r="T350" i="16"/>
  <c r="W350" i="16" s="1"/>
  <c r="T364" i="16"/>
  <c r="W364" i="16" s="1"/>
  <c r="T220" i="16"/>
  <c r="W220" i="16" s="1"/>
  <c r="T108" i="16"/>
  <c r="W108" i="16" s="1"/>
  <c r="T271" i="16"/>
  <c r="W271" i="16" s="1"/>
  <c r="T104" i="16"/>
  <c r="W104" i="16" s="1"/>
  <c r="T143" i="16"/>
  <c r="W143" i="16" s="1"/>
  <c r="T144" i="16"/>
  <c r="W144" i="16" s="1"/>
  <c r="T263" i="16"/>
  <c r="W263" i="16" s="1"/>
  <c r="T279" i="16"/>
  <c r="W279" i="16" s="1"/>
  <c r="T231" i="16"/>
  <c r="W231" i="16" s="1"/>
  <c r="T222" i="16"/>
  <c r="W222" i="16" s="1"/>
  <c r="T242" i="16"/>
  <c r="W242" i="16" s="1"/>
  <c r="T200" i="16"/>
  <c r="W200" i="16" s="1"/>
  <c r="T88" i="16"/>
  <c r="W88" i="16" s="1"/>
  <c r="T322" i="16"/>
  <c r="W322" i="16" s="1"/>
  <c r="T346" i="16"/>
  <c r="W346" i="16" s="1"/>
  <c r="T345" i="16"/>
  <c r="W345" i="16" s="1"/>
  <c r="T115" i="16"/>
  <c r="W115" i="16" s="1"/>
  <c r="T152" i="16"/>
  <c r="W152" i="16" s="1"/>
  <c r="T318" i="16"/>
  <c r="W318" i="16" s="1"/>
  <c r="T164" i="16"/>
  <c r="W164" i="16" s="1"/>
  <c r="T122" i="16"/>
  <c r="W122" i="16" s="1"/>
  <c r="T211" i="16"/>
  <c r="W211" i="16" s="1"/>
  <c r="T287" i="16"/>
  <c r="W287" i="16" s="1"/>
  <c r="T138" i="16"/>
  <c r="W138" i="16" s="1"/>
  <c r="T131" i="16"/>
  <c r="W131" i="16" s="1"/>
  <c r="T186" i="16"/>
  <c r="W186" i="16" s="1"/>
  <c r="T259" i="16"/>
  <c r="W259" i="16" s="1"/>
  <c r="T262" i="16"/>
  <c r="W262" i="16" s="1"/>
  <c r="T226" i="16"/>
  <c r="W226" i="16" s="1"/>
  <c r="T315" i="16"/>
  <c r="W315" i="16" s="1"/>
  <c r="T96" i="16"/>
  <c r="W96" i="16" s="1"/>
  <c r="T135" i="16"/>
  <c r="W135" i="16" s="1"/>
  <c r="T210" i="16"/>
  <c r="W210" i="16" s="1"/>
  <c r="T207" i="16"/>
  <c r="W207" i="16" s="1"/>
  <c r="T188" i="16"/>
  <c r="W188" i="16" s="1"/>
  <c r="T94" i="16"/>
  <c r="W94" i="16" s="1"/>
  <c r="T339" i="16"/>
  <c r="W339" i="16" s="1"/>
  <c r="T335" i="16"/>
  <c r="W335" i="16" s="1"/>
  <c r="T337" i="16"/>
  <c r="W337" i="16" s="1"/>
  <c r="T292" i="16"/>
  <c r="W292" i="16" s="1"/>
  <c r="T351" i="16"/>
  <c r="W351" i="16" s="1"/>
  <c r="T134" i="16"/>
  <c r="W134" i="16" s="1"/>
  <c r="C8" i="6"/>
  <c r="C9" i="6" s="1"/>
  <c r="W133" i="32"/>
  <c r="W295" i="32"/>
  <c r="T267" i="32"/>
  <c r="AK267" i="32" s="1"/>
  <c r="T271" i="32"/>
  <c r="AK271" i="32" s="1"/>
  <c r="T286" i="32"/>
  <c r="AK286" i="32" s="1"/>
  <c r="W143" i="32"/>
  <c r="T225" i="32"/>
  <c r="AK225" i="32" s="1"/>
  <c r="W196" i="32"/>
  <c r="W280" i="32"/>
  <c r="T161" i="32"/>
  <c r="AK161" i="32" s="1"/>
  <c r="W255" i="32"/>
  <c r="T276" i="32"/>
  <c r="AK276" i="32" s="1"/>
  <c r="T201" i="32"/>
  <c r="AK201" i="32" s="1"/>
  <c r="W136" i="32"/>
  <c r="T109" i="32"/>
  <c r="AK109" i="32" s="1"/>
  <c r="W224" i="32"/>
  <c r="W249" i="32"/>
  <c r="W230" i="32"/>
  <c r="T257" i="32"/>
  <c r="AK257" i="32" s="1"/>
  <c r="T156" i="32"/>
  <c r="AK156" i="32" s="1"/>
  <c r="W254" i="32"/>
  <c r="T210" i="32"/>
  <c r="AK210" i="32" s="1"/>
  <c r="W210" i="32"/>
  <c r="T229" i="32"/>
  <c r="T226" i="32"/>
  <c r="W226" i="32"/>
  <c r="T42" i="32"/>
  <c r="AK42" i="32" s="1"/>
  <c r="W42" i="32"/>
  <c r="T310" i="32"/>
  <c r="AK310" i="32" s="1"/>
  <c r="W310" i="32"/>
  <c r="T287" i="32"/>
  <c r="AK287" i="32" s="1"/>
  <c r="W287" i="32"/>
  <c r="T191" i="32"/>
  <c r="AK191" i="32" s="1"/>
  <c r="W191" i="32"/>
  <c r="T52" i="32"/>
  <c r="W52" i="32"/>
  <c r="T128" i="32"/>
  <c r="AK128" i="32" s="1"/>
  <c r="W128" i="32"/>
  <c r="T262" i="32"/>
  <c r="AK262" i="32" s="1"/>
  <c r="W262" i="32"/>
  <c r="T204" i="32"/>
  <c r="AK204" i="32" s="1"/>
  <c r="W204" i="32"/>
  <c r="T154" i="32"/>
  <c r="AK154" i="32" s="1"/>
  <c r="W154" i="32"/>
  <c r="T125" i="32"/>
  <c r="AK125" i="32" s="1"/>
  <c r="W125" i="32"/>
  <c r="T144" i="32"/>
  <c r="W144" i="32"/>
  <c r="T164" i="32"/>
  <c r="AK164" i="32" s="1"/>
  <c r="W164" i="32"/>
  <c r="T132" i="32"/>
  <c r="AK132" i="32" s="1"/>
  <c r="W132" i="32"/>
  <c r="T107" i="32"/>
  <c r="AK107" i="32" s="1"/>
  <c r="W107" i="32"/>
  <c r="T62" i="32"/>
  <c r="AK62" i="32" s="1"/>
  <c r="W62" i="32"/>
  <c r="T239" i="32"/>
  <c r="W239" i="32"/>
  <c r="T306" i="32"/>
  <c r="AK306" i="32" s="1"/>
  <c r="W306" i="32"/>
  <c r="T69" i="32"/>
  <c r="AK69" i="32" s="1"/>
  <c r="W69" i="32"/>
  <c r="T166" i="32"/>
  <c r="AK166" i="32" s="1"/>
  <c r="W166" i="32"/>
  <c r="T79" i="32"/>
  <c r="W79" i="32"/>
  <c r="T28" i="32"/>
  <c r="AK28" i="32" s="1"/>
  <c r="W28" i="32"/>
  <c r="T252" i="32"/>
  <c r="AK252" i="32" s="1"/>
  <c r="W252" i="32"/>
  <c r="T311" i="32"/>
  <c r="AK311" i="32" s="1"/>
  <c r="W311" i="32"/>
  <c r="T123" i="32"/>
  <c r="AK123" i="32" s="1"/>
  <c r="W123" i="32"/>
  <c r="T199" i="32"/>
  <c r="AK199" i="32" s="1"/>
  <c r="W199" i="32"/>
  <c r="T120" i="32"/>
  <c r="W120" i="32"/>
  <c r="T245" i="32"/>
  <c r="W245" i="32"/>
  <c r="T177" i="32"/>
  <c r="AK177" i="32" s="1"/>
  <c r="W177" i="32"/>
  <c r="T101" i="32"/>
  <c r="AK101" i="32" s="1"/>
  <c r="W101" i="32"/>
  <c r="T60" i="32"/>
  <c r="W60" i="32"/>
  <c r="T55" i="32"/>
  <c r="AK55" i="32" s="1"/>
  <c r="W55" i="32"/>
  <c r="T149" i="32"/>
  <c r="AK149" i="32" s="1"/>
  <c r="W149" i="32"/>
  <c r="T115" i="32"/>
  <c r="AK115" i="32" s="1"/>
  <c r="W115" i="32"/>
  <c r="T190" i="32"/>
  <c r="AK190" i="32" s="1"/>
  <c r="W190" i="32"/>
  <c r="T155" i="32"/>
  <c r="AK155" i="32" s="1"/>
  <c r="W155" i="32"/>
  <c r="T298" i="32"/>
  <c r="AK298" i="32" s="1"/>
  <c r="W298" i="32"/>
  <c r="T207" i="32"/>
  <c r="AK207" i="32" s="1"/>
  <c r="W207" i="32"/>
  <c r="T182" i="32"/>
  <c r="AK182" i="32" s="1"/>
  <c r="W182" i="32"/>
  <c r="T208" i="32"/>
  <c r="AK208" i="32" s="1"/>
  <c r="W208" i="32"/>
  <c r="T140" i="32"/>
  <c r="AK140" i="32" s="1"/>
  <c r="W140" i="32"/>
  <c r="T261" i="32"/>
  <c r="AK261" i="32" s="1"/>
  <c r="W261" i="32"/>
  <c r="T98" i="32"/>
  <c r="AK98" i="32" s="1"/>
  <c r="W98" i="32"/>
  <c r="T250" i="32"/>
  <c r="AK250" i="32" s="1"/>
  <c r="W250" i="32"/>
  <c r="T106" i="32"/>
  <c r="AK106" i="32" s="1"/>
  <c r="W106" i="32"/>
  <c r="T102" i="32"/>
  <c r="AK102" i="32" s="1"/>
  <c r="W102" i="32"/>
  <c r="T51" i="32"/>
  <c r="AK51" i="32" s="1"/>
  <c r="W51" i="32"/>
  <c r="T32" i="32"/>
  <c r="AK32" i="32" s="1"/>
  <c r="W32" i="32"/>
  <c r="T285" i="32"/>
  <c r="W285" i="32"/>
  <c r="T172" i="32"/>
  <c r="AK172" i="32" s="1"/>
  <c r="W172" i="32"/>
  <c r="T297" i="32"/>
  <c r="W297" i="32"/>
  <c r="T264" i="32"/>
  <c r="AK264" i="32" s="1"/>
  <c r="W264" i="32"/>
  <c r="T124" i="32"/>
  <c r="AK124" i="32" s="1"/>
  <c r="W124" i="32"/>
  <c r="T284" i="32"/>
  <c r="AK284" i="32" s="1"/>
  <c r="W284" i="32"/>
  <c r="T33" i="32"/>
  <c r="AK33" i="32" s="1"/>
  <c r="W33" i="32"/>
  <c r="T274" i="32"/>
  <c r="AK274" i="32" s="1"/>
  <c r="W274" i="32"/>
  <c r="T94" i="32"/>
  <c r="AK94" i="32" s="1"/>
  <c r="W94" i="32"/>
  <c r="T181" i="32"/>
  <c r="AK181" i="32" s="1"/>
  <c r="W181" i="32"/>
  <c r="T84" i="32"/>
  <c r="W84" i="32"/>
  <c r="T228" i="32"/>
  <c r="AK228" i="32" s="1"/>
  <c r="W228" i="32"/>
  <c r="T302" i="32"/>
  <c r="AK302" i="32" s="1"/>
  <c r="W302" i="32"/>
  <c r="T157" i="32"/>
  <c r="AK157" i="32" s="1"/>
  <c r="W157" i="32"/>
  <c r="T289" i="32"/>
  <c r="AK289" i="32" s="1"/>
  <c r="W289" i="32"/>
  <c r="T200" i="32"/>
  <c r="AK200" i="32" s="1"/>
  <c r="W200" i="32"/>
  <c r="T293" i="32"/>
  <c r="W293" i="32"/>
  <c r="T179" i="32"/>
  <c r="W179" i="32"/>
  <c r="T189" i="32"/>
  <c r="W189" i="32"/>
  <c r="T47" i="32"/>
  <c r="AK47" i="32" s="1"/>
  <c r="W47" i="32"/>
  <c r="T48" i="32"/>
  <c r="AK48" i="32" s="1"/>
  <c r="W48" i="32"/>
  <c r="T141" i="32"/>
  <c r="AK141" i="32" s="1"/>
  <c r="W141" i="32"/>
  <c r="T151" i="32"/>
  <c r="AK151" i="32" s="1"/>
  <c r="W151" i="32"/>
  <c r="T99" i="32"/>
  <c r="W99" i="32"/>
  <c r="T194" i="32"/>
  <c r="AK194" i="32" s="1"/>
  <c r="W194" i="32"/>
  <c r="T130" i="32"/>
  <c r="AK130" i="32" s="1"/>
  <c r="W130" i="32"/>
  <c r="T34" i="32"/>
  <c r="AK34" i="32" s="1"/>
  <c r="W34" i="32"/>
  <c r="T176" i="32"/>
  <c r="AK176" i="32" s="1"/>
  <c r="W176" i="32"/>
  <c r="T121" i="32"/>
  <c r="AK121" i="32" s="1"/>
  <c r="W121" i="32"/>
  <c r="T88" i="32"/>
  <c r="AK88" i="32" s="1"/>
  <c r="W88" i="32"/>
  <c r="T216" i="32"/>
  <c r="AK216" i="32" s="1"/>
  <c r="W216" i="32"/>
  <c r="T131" i="32"/>
  <c r="W131" i="32"/>
  <c r="T247" i="32"/>
  <c r="AK247" i="32" s="1"/>
  <c r="W247" i="32"/>
  <c r="T219" i="32"/>
  <c r="AK219" i="32" s="1"/>
  <c r="W219" i="32"/>
  <c r="T215" i="32"/>
  <c r="AK215" i="32" s="1"/>
  <c r="W215" i="32"/>
  <c r="T64" i="32"/>
  <c r="AK64" i="32" s="1"/>
  <c r="W64" i="32"/>
  <c r="T238" i="32"/>
  <c r="AK238" i="32" s="1"/>
  <c r="W238" i="32"/>
  <c r="T168" i="32"/>
  <c r="AK168" i="32" s="1"/>
  <c r="W168" i="32"/>
  <c r="T108" i="32"/>
  <c r="AK108" i="32" s="1"/>
  <c r="W108" i="32"/>
  <c r="T251" i="32"/>
  <c r="AK251" i="32" s="1"/>
  <c r="W251" i="32"/>
  <c r="T153" i="32"/>
  <c r="AK153" i="32" s="1"/>
  <c r="W153" i="32"/>
  <c r="T220" i="32"/>
  <c r="W220" i="32"/>
  <c r="T158" i="32"/>
  <c r="AK158" i="32" s="1"/>
  <c r="W158" i="32"/>
  <c r="T268" i="32"/>
  <c r="AK268" i="32" s="1"/>
  <c r="W268" i="32"/>
  <c r="T80" i="32"/>
  <c r="AK80" i="32" s="1"/>
  <c r="W80" i="32"/>
  <c r="T288" i="32"/>
  <c r="AK288" i="32" s="1"/>
  <c r="W288" i="32"/>
  <c r="T227" i="32"/>
  <c r="AK227" i="32" s="1"/>
  <c r="W227" i="32"/>
  <c r="T277" i="32"/>
  <c r="AK277" i="32" s="1"/>
  <c r="W277" i="32"/>
  <c r="T135" i="32"/>
  <c r="AK135" i="32" s="1"/>
  <c r="W135" i="32"/>
  <c r="T281" i="32"/>
  <c r="W281" i="32"/>
  <c r="T234" i="32"/>
  <c r="AK234" i="32" s="1"/>
  <c r="W234" i="32"/>
  <c r="T175" i="32"/>
  <c r="AK175" i="32" s="1"/>
  <c r="W175" i="32"/>
  <c r="T122" i="32"/>
  <c r="AK122" i="32" s="1"/>
  <c r="W122" i="32"/>
  <c r="T218" i="32"/>
  <c r="W218" i="32"/>
  <c r="T27" i="32"/>
  <c r="U27" i="32" s="1"/>
  <c r="W27" i="32"/>
  <c r="T300" i="32"/>
  <c r="W300" i="32"/>
  <c r="T206" i="32"/>
  <c r="AK206" i="32" s="1"/>
  <c r="W206" i="32"/>
  <c r="T30" i="32"/>
  <c r="AK30" i="32" s="1"/>
  <c r="W30" i="32"/>
  <c r="T89" i="32"/>
  <c r="AK89" i="32" s="1"/>
  <c r="W89" i="32"/>
  <c r="T86" i="32"/>
  <c r="AK86" i="32" s="1"/>
  <c r="W86" i="32"/>
  <c r="T147" i="32"/>
  <c r="AK147" i="32" s="1"/>
  <c r="W147" i="32"/>
  <c r="T163" i="32"/>
  <c r="AK163" i="32" s="1"/>
  <c r="W163" i="32"/>
  <c r="T150" i="32"/>
  <c r="AK150" i="32" s="1"/>
  <c r="W150" i="32"/>
  <c r="T256" i="32"/>
  <c r="W256" i="32"/>
  <c r="T137" i="32"/>
  <c r="AK137" i="32" s="1"/>
  <c r="W137" i="32"/>
  <c r="T97" i="32"/>
  <c r="AK97" i="32" s="1"/>
  <c r="W97" i="32"/>
  <c r="T258" i="32"/>
  <c r="AK258" i="32" s="1"/>
  <c r="W258" i="32"/>
  <c r="T231" i="32"/>
  <c r="AK231" i="32" s="1"/>
  <c r="W231" i="32"/>
  <c r="T61" i="32"/>
  <c r="AK61" i="32" s="1"/>
  <c r="W61" i="32"/>
  <c r="T83" i="32"/>
  <c r="AK83" i="32" s="1"/>
  <c r="W83" i="32"/>
  <c r="T299" i="32"/>
  <c r="AK299" i="32" s="1"/>
  <c r="W299" i="32"/>
  <c r="T205" i="32"/>
  <c r="AK205" i="32" s="1"/>
  <c r="W205" i="32"/>
  <c r="T173" i="32"/>
  <c r="AK173" i="32" s="1"/>
  <c r="W173" i="32"/>
  <c r="T40" i="32"/>
  <c r="AK40" i="32" s="1"/>
  <c r="W40" i="32"/>
  <c r="T58" i="32"/>
  <c r="W58" i="32"/>
  <c r="T162" i="32"/>
  <c r="AK162" i="32" s="1"/>
  <c r="W162" i="32"/>
  <c r="T233" i="32"/>
  <c r="AK233" i="32" s="1"/>
  <c r="W233" i="32"/>
  <c r="T223" i="32"/>
  <c r="AK223" i="32" s="1"/>
  <c r="W223" i="32"/>
  <c r="T265" i="32"/>
  <c r="AK265" i="32" s="1"/>
  <c r="W265" i="32"/>
  <c r="T269" i="32"/>
  <c r="W269" i="32"/>
  <c r="T167" i="32"/>
  <c r="AK167" i="32" s="1"/>
  <c r="W167" i="32"/>
  <c r="T96" i="32"/>
  <c r="AK96" i="32" s="1"/>
  <c r="W96" i="32"/>
  <c r="T129" i="32"/>
  <c r="AK129" i="32" s="1"/>
  <c r="W129" i="32"/>
  <c r="T171" i="32"/>
  <c r="AK171" i="32" s="1"/>
  <c r="W171" i="32"/>
  <c r="T211" i="32"/>
  <c r="AK211" i="32" s="1"/>
  <c r="W211" i="32"/>
  <c r="T126" i="32"/>
  <c r="AK126" i="32" s="1"/>
  <c r="W126" i="32"/>
  <c r="T68" i="32"/>
  <c r="AK68" i="32" s="1"/>
  <c r="W68" i="32"/>
  <c r="T202" i="32"/>
  <c r="AK202" i="32" s="1"/>
  <c r="W202" i="32"/>
  <c r="T183" i="32"/>
  <c r="AK183" i="32" s="1"/>
  <c r="W183" i="32"/>
  <c r="T105" i="32"/>
  <c r="AK105" i="32" s="1"/>
  <c r="W105" i="32"/>
  <c r="T212" i="32"/>
  <c r="AK212" i="32" s="1"/>
  <c r="W212" i="32"/>
  <c r="T110" i="32"/>
  <c r="AK110" i="32" s="1"/>
  <c r="W110" i="32"/>
  <c r="T67" i="32"/>
  <c r="AK67" i="32" s="1"/>
  <c r="W67" i="32"/>
  <c r="T112" i="32"/>
  <c r="AK112" i="32" s="1"/>
  <c r="W112" i="32"/>
  <c r="T139" i="32"/>
  <c r="AK139" i="32" s="1"/>
  <c r="W139" i="32"/>
  <c r="T304" i="32"/>
  <c r="AK304" i="32" s="1"/>
  <c r="W304" i="32"/>
  <c r="T305" i="32"/>
  <c r="AK305" i="32" s="1"/>
  <c r="W305" i="32"/>
  <c r="T246" i="32"/>
  <c r="AK246" i="32" s="1"/>
  <c r="W246" i="32"/>
  <c r="T307" i="32"/>
  <c r="AK307" i="32" s="1"/>
  <c r="W307" i="32"/>
  <c r="T174" i="32"/>
  <c r="AK174" i="32" s="1"/>
  <c r="W174" i="32"/>
  <c r="T54" i="32"/>
  <c r="AK54" i="32" s="1"/>
  <c r="W54" i="32"/>
  <c r="T260" i="32"/>
  <c r="AK260" i="32" s="1"/>
  <c r="W260" i="32"/>
  <c r="T41" i="32"/>
  <c r="AK41" i="32" s="1"/>
  <c r="W41" i="32"/>
  <c r="T290" i="32"/>
  <c r="AK290" i="32" s="1"/>
  <c r="W290" i="32"/>
  <c r="T100" i="32"/>
  <c r="AK100" i="32" s="1"/>
  <c r="W100" i="32"/>
  <c r="T301" i="32"/>
  <c r="AK301" i="32" s="1"/>
  <c r="W301" i="32"/>
  <c r="T142" i="32"/>
  <c r="AK142" i="32" s="1"/>
  <c r="W142" i="32"/>
  <c r="T46" i="32"/>
  <c r="AK46" i="32" s="1"/>
  <c r="W46" i="32"/>
  <c r="T38" i="32"/>
  <c r="AK38" i="32" s="1"/>
  <c r="W38" i="32"/>
  <c r="T53" i="32"/>
  <c r="AK53" i="32" s="1"/>
  <c r="W53" i="32"/>
  <c r="T259" i="32"/>
  <c r="AK259" i="32" s="1"/>
  <c r="W259" i="32"/>
  <c r="T71" i="32"/>
  <c r="AK71" i="32" s="1"/>
  <c r="W71" i="32"/>
  <c r="T292" i="32"/>
  <c r="AK292" i="32" s="1"/>
  <c r="W292" i="32"/>
  <c r="T272" i="32"/>
  <c r="W272" i="32"/>
  <c r="T85" i="32"/>
  <c r="AK85" i="32" s="1"/>
  <c r="W85" i="32"/>
  <c r="T117" i="32"/>
  <c r="AK117" i="32" s="1"/>
  <c r="W117" i="32"/>
  <c r="T244" i="32"/>
  <c r="AK244" i="32" s="1"/>
  <c r="W244" i="32"/>
  <c r="T93" i="32"/>
  <c r="W93" i="32"/>
  <c r="T184" i="32"/>
  <c r="AK184" i="32" s="1"/>
  <c r="W184" i="32"/>
  <c r="T291" i="32"/>
  <c r="AK291" i="32" s="1"/>
  <c r="W291" i="32"/>
  <c r="T282" i="32"/>
  <c r="AK282" i="32" s="1"/>
  <c r="W282" i="32"/>
  <c r="T275" i="32"/>
  <c r="AK275" i="32" s="1"/>
  <c r="W275" i="32"/>
  <c r="T243" i="32"/>
  <c r="AK243" i="32" s="1"/>
  <c r="W243" i="32"/>
  <c r="T178" i="32"/>
  <c r="AK178" i="32" s="1"/>
  <c r="W178" i="32"/>
  <c r="T127" i="32"/>
  <c r="AK127" i="32" s="1"/>
  <c r="W127" i="32"/>
  <c r="T114" i="32"/>
  <c r="AK114" i="32" s="1"/>
  <c r="W114" i="32"/>
  <c r="T253" i="32"/>
  <c r="W253" i="32"/>
  <c r="T113" i="32"/>
  <c r="AK113" i="32" s="1"/>
  <c r="W113" i="32"/>
  <c r="T237" i="32"/>
  <c r="AK237" i="32" s="1"/>
  <c r="W237" i="32"/>
  <c r="T91" i="32"/>
  <c r="AK91" i="32" s="1"/>
  <c r="W91" i="32"/>
  <c r="T152" i="32"/>
  <c r="W152" i="32"/>
  <c r="T195" i="32"/>
  <c r="AK195" i="32" s="1"/>
  <c r="W195" i="32"/>
  <c r="T263" i="32"/>
  <c r="AK263" i="32" s="1"/>
  <c r="W263" i="32"/>
  <c r="T92" i="32"/>
  <c r="W92" i="32"/>
  <c r="T312" i="32"/>
  <c r="AK312" i="32" s="1"/>
  <c r="W312" i="32"/>
  <c r="T90" i="32"/>
  <c r="AK90" i="32" s="1"/>
  <c r="W90" i="32"/>
  <c r="T186" i="32"/>
  <c r="AK186" i="32" s="1"/>
  <c r="W186" i="32"/>
  <c r="T169" i="32"/>
  <c r="AK169" i="32" s="1"/>
  <c r="W169" i="32"/>
  <c r="T70" i="32"/>
  <c r="AK70" i="32" s="1"/>
  <c r="W70" i="32"/>
  <c r="T160" i="32"/>
  <c r="AK160" i="32" s="1"/>
  <c r="W160" i="32"/>
  <c r="T236" i="32"/>
  <c r="AK236" i="32" s="1"/>
  <c r="W236" i="32"/>
  <c r="R81" i="32"/>
  <c r="R37" i="32"/>
  <c r="R95" i="32"/>
  <c r="R76" i="32"/>
  <c r="R74" i="32"/>
  <c r="R78" i="32"/>
  <c r="R36" i="32"/>
  <c r="R49" i="32"/>
  <c r="R50" i="32"/>
  <c r="R35" i="32"/>
  <c r="R119" i="32"/>
  <c r="R65" i="32"/>
  <c r="R75" i="32"/>
  <c r="R77" i="32"/>
  <c r="R31" i="32"/>
  <c r="R43" i="32"/>
  <c r="R45" i="32"/>
  <c r="R111" i="32"/>
  <c r="R39" i="32"/>
  <c r="R73" i="32"/>
  <c r="R87" i="32"/>
  <c r="R29" i="32"/>
  <c r="R103" i="32"/>
  <c r="R57" i="32"/>
  <c r="X59" i="9"/>
  <c r="X55" i="9"/>
  <c r="X63" i="9"/>
  <c r="X71" i="9"/>
  <c r="X54" i="9"/>
  <c r="X66" i="9"/>
  <c r="X161" i="9"/>
  <c r="X278" i="9"/>
  <c r="X390" i="9"/>
  <c r="X187" i="9"/>
  <c r="X408" i="9"/>
  <c r="X344" i="9"/>
  <c r="X280" i="9"/>
  <c r="X208" i="9"/>
  <c r="X87" i="9"/>
  <c r="X367" i="9"/>
  <c r="X295" i="9"/>
  <c r="X215" i="9"/>
  <c r="X107" i="9"/>
  <c r="X381" i="9"/>
  <c r="X309" i="9"/>
  <c r="X237" i="9"/>
  <c r="X147" i="9"/>
  <c r="X396" i="9"/>
  <c r="X316" i="9"/>
  <c r="X244" i="9"/>
  <c r="X159" i="9"/>
  <c r="X403" i="9"/>
  <c r="X331" i="9"/>
  <c r="X259" i="9"/>
  <c r="X183" i="9"/>
  <c r="X410" i="9"/>
  <c r="X338" i="9"/>
  <c r="X266" i="9"/>
  <c r="X193" i="9"/>
  <c r="X425" i="9"/>
  <c r="X353" i="9"/>
  <c r="X281" i="9"/>
  <c r="X201" i="9"/>
  <c r="X112" i="9"/>
  <c r="X158" i="9"/>
  <c r="X86" i="9"/>
  <c r="X172" i="9"/>
  <c r="X100" i="9"/>
  <c r="X162" i="9"/>
  <c r="X82" i="9"/>
  <c r="AO365" i="16"/>
  <c r="AP365" i="16" s="1"/>
  <c r="AO366" i="16"/>
  <c r="AP366" i="16" s="1"/>
  <c r="AO362" i="16"/>
  <c r="AP362" i="16" s="1"/>
  <c r="AO367" i="16"/>
  <c r="AP367" i="16" s="1"/>
  <c r="AO369" i="16"/>
  <c r="AP369" i="16" s="1"/>
  <c r="AO364" i="16"/>
  <c r="AP364" i="16" s="1"/>
  <c r="X240" i="9"/>
  <c r="X165" i="9"/>
  <c r="X415" i="9"/>
  <c r="X351" i="9"/>
  <c r="X287" i="9"/>
  <c r="X223" i="9"/>
  <c r="X137" i="9"/>
  <c r="X405" i="9"/>
  <c r="X341" i="9"/>
  <c r="X277" i="9"/>
  <c r="X213" i="9"/>
  <c r="X121" i="9"/>
  <c r="X388" i="9"/>
  <c r="X324" i="9"/>
  <c r="X260" i="9"/>
  <c r="X196" i="9"/>
  <c r="X435" i="9"/>
  <c r="X371" i="9"/>
  <c r="X307" i="9"/>
  <c r="X243" i="9"/>
  <c r="X169" i="9"/>
  <c r="X418" i="9"/>
  <c r="X354" i="9"/>
  <c r="X290" i="9"/>
  <c r="X226" i="9"/>
  <c r="X143" i="9"/>
  <c r="X401" i="9"/>
  <c r="X337" i="9"/>
  <c r="X273" i="9"/>
  <c r="X209" i="9"/>
  <c r="X113" i="9"/>
  <c r="X182" i="9"/>
  <c r="X118" i="9"/>
  <c r="X101" i="9"/>
  <c r="X148" i="9"/>
  <c r="X84" i="9"/>
  <c r="X154" i="9"/>
  <c r="X90" i="9"/>
  <c r="AO361" i="16"/>
  <c r="AP361" i="16" s="1"/>
  <c r="AO368" i="16"/>
  <c r="AP368" i="16" s="1"/>
  <c r="AO360" i="16"/>
  <c r="AP360" i="16" s="1"/>
  <c r="AO363" i="16"/>
  <c r="AP363" i="16" s="1"/>
  <c r="AO33" i="4"/>
  <c r="AB34" i="4"/>
  <c r="AA33" i="4"/>
  <c r="AC33" i="4" s="1"/>
  <c r="C161" i="17"/>
  <c r="B18" i="23"/>
  <c r="B19" i="23" s="1"/>
  <c r="AJ163" i="16"/>
  <c r="AJ226" i="16"/>
  <c r="AJ195" i="16"/>
  <c r="AJ333" i="16"/>
  <c r="AJ236" i="16"/>
  <c r="AJ238" i="16"/>
  <c r="AJ167" i="16"/>
  <c r="AJ369" i="16"/>
  <c r="AJ174" i="16"/>
  <c r="AJ310" i="16"/>
  <c r="AJ191" i="16"/>
  <c r="AJ220" i="16"/>
  <c r="AJ256" i="16"/>
  <c r="AJ339" i="16"/>
  <c r="AJ179" i="16"/>
  <c r="AJ154" i="16"/>
  <c r="AJ155" i="16"/>
  <c r="AJ203" i="16"/>
  <c r="AJ359" i="16"/>
  <c r="AJ102" i="16"/>
  <c r="AJ239" i="16"/>
  <c r="AJ92" i="16"/>
  <c r="AJ311" i="16"/>
  <c r="AJ368" i="16"/>
  <c r="AJ327" i="16"/>
  <c r="AJ96" i="16"/>
  <c r="AJ156" i="16"/>
  <c r="AJ160" i="16"/>
  <c r="AJ342" i="16"/>
  <c r="R181" i="16"/>
  <c r="R209" i="16"/>
  <c r="R265" i="16"/>
  <c r="R149" i="16"/>
  <c r="R172" i="16"/>
  <c r="R146" i="16"/>
  <c r="R198" i="16"/>
  <c r="R111" i="16"/>
  <c r="R142" i="16"/>
  <c r="R276" i="16"/>
  <c r="R295" i="16"/>
  <c r="R274" i="16"/>
  <c r="R133" i="16"/>
  <c r="R197" i="16"/>
  <c r="R213" i="16"/>
  <c r="R125" i="16"/>
  <c r="R105" i="16"/>
  <c r="R301" i="16"/>
  <c r="R293" i="16"/>
  <c r="R201" i="16"/>
  <c r="R129" i="16"/>
  <c r="R185" i="16"/>
  <c r="R261" i="16"/>
  <c r="R153" i="16"/>
  <c r="R273" i="16"/>
  <c r="R147" i="16"/>
  <c r="R126" i="16"/>
  <c r="R212" i="16"/>
  <c r="R128" i="16"/>
  <c r="R267" i="16"/>
  <c r="R264" i="16"/>
  <c r="R95" i="16"/>
  <c r="R166" i="16"/>
  <c r="R243" i="16"/>
  <c r="R325" i="16"/>
  <c r="R183" i="16"/>
  <c r="R177" i="16"/>
  <c r="R216" i="16"/>
  <c r="R114" i="16"/>
  <c r="R85" i="16"/>
  <c r="R244" i="16"/>
  <c r="R118" i="16"/>
  <c r="R227" i="16"/>
  <c r="R305" i="16"/>
  <c r="R145" i="16"/>
  <c r="R289" i="16"/>
  <c r="R229" i="16"/>
  <c r="R157" i="16"/>
  <c r="R137" i="16"/>
  <c r="R136" i="16"/>
  <c r="R171" i="16"/>
  <c r="R150" i="16"/>
  <c r="R151" i="16"/>
  <c r="R286" i="16"/>
  <c r="R326" i="16"/>
  <c r="R237" i="16"/>
  <c r="R250" i="16"/>
  <c r="R176" i="16"/>
  <c r="R194" i="16"/>
  <c r="R247" i="16"/>
  <c r="R190" i="16"/>
  <c r="R258" i="16"/>
  <c r="R113" i="16"/>
  <c r="R165" i="16"/>
  <c r="R285" i="16"/>
  <c r="R309" i="16"/>
  <c r="R223" i="16"/>
  <c r="R130" i="16"/>
  <c r="R248" i="16"/>
  <c r="R173" i="16"/>
  <c r="R159" i="16"/>
  <c r="R288" i="16"/>
  <c r="R314" i="16"/>
  <c r="R132" i="16"/>
  <c r="R253" i="16"/>
  <c r="R233" i="16"/>
  <c r="R217" i="16"/>
  <c r="R101" i="16"/>
  <c r="R93" i="16"/>
  <c r="R205" i="16"/>
  <c r="R257" i="16"/>
  <c r="R141" i="16"/>
  <c r="R282" i="16"/>
  <c r="R280" i="16"/>
  <c r="R109" i="16"/>
  <c r="R139" i="16"/>
  <c r="R321" i="16"/>
  <c r="R168" i="16"/>
  <c r="R320" i="16"/>
  <c r="R97" i="16"/>
  <c r="R302" i="16"/>
  <c r="R284" i="16"/>
  <c r="R140" i="16"/>
  <c r="R202" i="16"/>
  <c r="R117" i="16"/>
  <c r="R121" i="16"/>
  <c r="R228" i="16"/>
  <c r="R317" i="16"/>
  <c r="R269" i="16"/>
  <c r="R119" i="16"/>
  <c r="R148" i="16"/>
  <c r="R208" i="16"/>
  <c r="R241" i="16"/>
  <c r="R245" i="16"/>
  <c r="R225" i="16"/>
  <c r="R89" i="16"/>
  <c r="R277" i="16"/>
  <c r="R193" i="16"/>
  <c r="R100" i="16"/>
  <c r="R316" i="16"/>
  <c r="R235" i="16"/>
  <c r="R323" i="16"/>
  <c r="R91" i="16"/>
  <c r="R182" i="16"/>
  <c r="R103" i="16"/>
  <c r="R308" i="16"/>
  <c r="R180" i="16"/>
  <c r="R214" i="16"/>
  <c r="R161" i="16"/>
  <c r="R249" i="16"/>
  <c r="R254" i="16"/>
  <c r="R240" i="16"/>
  <c r="R116" i="16"/>
  <c r="R297" i="16"/>
  <c r="R189" i="16"/>
  <c r="R169" i="16"/>
  <c r="R313" i="16"/>
  <c r="R281" i="16"/>
  <c r="R303" i="16"/>
  <c r="R246" i="16"/>
  <c r="R298" i="16"/>
  <c r="R252" i="16"/>
  <c r="R120" i="16"/>
  <c r="R124" i="16"/>
  <c r="R221" i="16"/>
  <c r="R230" i="16"/>
  <c r="AJ41" i="9"/>
  <c r="AJ49" i="9"/>
  <c r="AJ57" i="9"/>
  <c r="AJ65" i="9"/>
  <c r="AJ73" i="9"/>
  <c r="AJ81" i="9"/>
  <c r="AJ89" i="9"/>
  <c r="AJ42" i="9"/>
  <c r="AJ50" i="9"/>
  <c r="AJ58" i="9"/>
  <c r="AJ66" i="9"/>
  <c r="AJ74" i="9"/>
  <c r="AJ82" i="9"/>
  <c r="AJ39" i="9"/>
  <c r="AJ44" i="9"/>
  <c r="AJ52" i="9"/>
  <c r="AJ60" i="9"/>
  <c r="AJ68" i="9"/>
  <c r="AJ76" i="9"/>
  <c r="AJ84" i="9"/>
  <c r="AJ45" i="9"/>
  <c r="AJ53" i="9"/>
  <c r="AJ61" i="9"/>
  <c r="AJ69" i="9"/>
  <c r="AJ77" i="9"/>
  <c r="AJ85" i="9"/>
  <c r="AJ46" i="9"/>
  <c r="AJ54" i="9"/>
  <c r="AJ62" i="9"/>
  <c r="AJ70" i="9"/>
  <c r="AJ78" i="9"/>
  <c r="AJ86" i="9"/>
  <c r="AJ47" i="9"/>
  <c r="AJ55" i="9"/>
  <c r="AJ63" i="9"/>
  <c r="AJ71" i="9"/>
  <c r="AJ79" i="9"/>
  <c r="AJ87" i="9"/>
  <c r="AJ40" i="9"/>
  <c r="AJ48" i="9"/>
  <c r="AJ56" i="9"/>
  <c r="AJ64" i="9"/>
  <c r="AJ72" i="9"/>
  <c r="AJ80" i="9"/>
  <c r="AJ88" i="9"/>
  <c r="AJ67" i="9"/>
  <c r="AJ75" i="9"/>
  <c r="AJ83" i="9"/>
  <c r="AJ43" i="9"/>
  <c r="AJ51" i="9"/>
  <c r="AJ59" i="9"/>
  <c r="J70" i="16"/>
  <c r="J71" i="16" s="1"/>
  <c r="K336" i="16" s="1"/>
  <c r="Q83" i="9"/>
  <c r="Q91" i="9"/>
  <c r="Q99" i="9"/>
  <c r="Q107" i="9"/>
  <c r="Q115" i="9"/>
  <c r="Q123" i="9"/>
  <c r="Q131" i="9"/>
  <c r="Q139" i="9"/>
  <c r="Q147" i="9"/>
  <c r="Q155" i="9"/>
  <c r="Q163" i="9"/>
  <c r="Q171" i="9"/>
  <c r="Q179" i="9"/>
  <c r="Q187" i="9"/>
  <c r="Q195" i="9"/>
  <c r="Q203" i="9"/>
  <c r="Q211" i="9"/>
  <c r="Q219" i="9"/>
  <c r="Q227" i="9"/>
  <c r="Q235" i="9"/>
  <c r="Q243" i="9"/>
  <c r="Q251" i="9"/>
  <c r="Q259" i="9"/>
  <c r="Q267" i="9"/>
  <c r="Q275" i="9"/>
  <c r="Q283" i="9"/>
  <c r="Q291" i="9"/>
  <c r="Q299" i="9"/>
  <c r="Q307" i="9"/>
  <c r="Q315" i="9"/>
  <c r="Q323" i="9"/>
  <c r="Q331" i="9"/>
  <c r="Q339" i="9"/>
  <c r="Q347" i="9"/>
  <c r="Q355" i="9"/>
  <c r="Q363" i="9"/>
  <c r="Q371" i="9"/>
  <c r="Q379" i="9"/>
  <c r="Q387" i="9"/>
  <c r="Q395" i="9"/>
  <c r="Q403" i="9"/>
  <c r="Q411" i="9"/>
  <c r="Q419" i="9"/>
  <c r="Q427" i="9"/>
  <c r="Q435" i="9"/>
  <c r="Q84" i="9"/>
  <c r="Q92" i="9"/>
  <c r="Q100" i="9"/>
  <c r="Q108" i="9"/>
  <c r="Q116" i="9"/>
  <c r="Q124" i="9"/>
  <c r="Q132" i="9"/>
  <c r="Q140" i="9"/>
  <c r="Q148" i="9"/>
  <c r="Q156" i="9"/>
  <c r="Q164" i="9"/>
  <c r="Q172" i="9"/>
  <c r="Q180" i="9"/>
  <c r="Q188" i="9"/>
  <c r="Q196" i="9"/>
  <c r="Q204" i="9"/>
  <c r="Q212" i="9"/>
  <c r="Q220" i="9"/>
  <c r="Q228" i="9"/>
  <c r="Q236" i="9"/>
  <c r="Q244" i="9"/>
  <c r="Q252" i="9"/>
  <c r="Q260" i="9"/>
  <c r="Q268" i="9"/>
  <c r="Q276" i="9"/>
  <c r="Q284" i="9"/>
  <c r="Q292" i="9"/>
  <c r="Q300" i="9"/>
  <c r="Q308" i="9"/>
  <c r="Q316" i="9"/>
  <c r="Q324" i="9"/>
  <c r="Q332" i="9"/>
  <c r="Q340" i="9"/>
  <c r="Q348" i="9"/>
  <c r="Q356" i="9"/>
  <c r="Q364" i="9"/>
  <c r="Q372" i="9"/>
  <c r="Q380" i="9"/>
  <c r="Q388" i="9"/>
  <c r="Q396" i="9"/>
  <c r="Q404" i="9"/>
  <c r="Q412" i="9"/>
  <c r="Q420" i="9"/>
  <c r="Q428" i="9"/>
  <c r="Q436" i="9"/>
  <c r="Q85" i="9"/>
  <c r="Q93" i="9"/>
  <c r="Q101" i="9"/>
  <c r="Q109" i="9"/>
  <c r="Q117" i="9"/>
  <c r="Q125" i="9"/>
  <c r="Q133" i="9"/>
  <c r="Q141" i="9"/>
  <c r="Q149" i="9"/>
  <c r="Q157" i="9"/>
  <c r="Q165" i="9"/>
  <c r="Q173" i="9"/>
  <c r="Q181" i="9"/>
  <c r="Q189" i="9"/>
  <c r="Q197" i="9"/>
  <c r="Q205" i="9"/>
  <c r="Q213" i="9"/>
  <c r="Q221" i="9"/>
  <c r="Q229" i="9"/>
  <c r="Q237" i="9"/>
  <c r="Q245" i="9"/>
  <c r="Q253" i="9"/>
  <c r="Q261" i="9"/>
  <c r="Q269" i="9"/>
  <c r="Q277" i="9"/>
  <c r="Q285" i="9"/>
  <c r="Q293" i="9"/>
  <c r="Q301" i="9"/>
  <c r="Q309" i="9"/>
  <c r="Q317" i="9"/>
  <c r="Q325" i="9"/>
  <c r="Q333" i="9"/>
  <c r="Q341" i="9"/>
  <c r="Q349" i="9"/>
  <c r="Q357" i="9"/>
  <c r="Q365" i="9"/>
  <c r="Q373" i="9"/>
  <c r="Q381" i="9"/>
  <c r="Q389" i="9"/>
  <c r="Q397" i="9"/>
  <c r="Q405" i="9"/>
  <c r="Q413" i="9"/>
  <c r="Q421" i="9"/>
  <c r="Q429" i="9"/>
  <c r="Q437" i="9"/>
  <c r="Q78" i="9"/>
  <c r="Q86" i="9"/>
  <c r="Q94" i="9"/>
  <c r="Q102" i="9"/>
  <c r="Q110" i="9"/>
  <c r="Q118" i="9"/>
  <c r="Q126" i="9"/>
  <c r="Q134" i="9"/>
  <c r="Q142" i="9"/>
  <c r="Q150" i="9"/>
  <c r="Q158" i="9"/>
  <c r="Q166" i="9"/>
  <c r="Q174" i="9"/>
  <c r="Q182" i="9"/>
  <c r="Q190" i="9"/>
  <c r="Q198" i="9"/>
  <c r="Q206" i="9"/>
  <c r="Q214" i="9"/>
  <c r="Q222" i="9"/>
  <c r="Q230" i="9"/>
  <c r="Q238" i="9"/>
  <c r="Q246" i="9"/>
  <c r="Q254" i="9"/>
  <c r="Q262" i="9"/>
  <c r="Q270" i="9"/>
  <c r="Q278" i="9"/>
  <c r="Q286" i="9"/>
  <c r="Q294" i="9"/>
  <c r="Q302" i="9"/>
  <c r="Q310" i="9"/>
  <c r="Q318" i="9"/>
  <c r="Q326" i="9"/>
  <c r="Q334" i="9"/>
  <c r="Q342" i="9"/>
  <c r="Q350" i="9"/>
  <c r="Q358" i="9"/>
  <c r="Q366" i="9"/>
  <c r="Q374" i="9"/>
  <c r="Q382" i="9"/>
  <c r="Q390" i="9"/>
  <c r="Q398" i="9"/>
  <c r="Q406" i="9"/>
  <c r="Q414" i="9"/>
  <c r="Q422" i="9"/>
  <c r="Q430" i="9"/>
  <c r="Q79" i="9"/>
  <c r="Q87" i="9"/>
  <c r="Q95" i="9"/>
  <c r="Q103" i="9"/>
  <c r="Q111" i="9"/>
  <c r="Q119" i="9"/>
  <c r="Q127" i="9"/>
  <c r="Q135" i="9"/>
  <c r="Q143" i="9"/>
  <c r="Q151" i="9"/>
  <c r="Q159" i="9"/>
  <c r="Q167" i="9"/>
  <c r="Q175" i="9"/>
  <c r="Q183" i="9"/>
  <c r="Q191" i="9"/>
  <c r="Q199" i="9"/>
  <c r="Q207" i="9"/>
  <c r="Q215" i="9"/>
  <c r="Q223" i="9"/>
  <c r="Q231" i="9"/>
  <c r="Q239" i="9"/>
  <c r="Q247" i="9"/>
  <c r="Q255" i="9"/>
  <c r="Q263" i="9"/>
  <c r="Q271" i="9"/>
  <c r="Q279" i="9"/>
  <c r="Q287" i="9"/>
  <c r="Q295" i="9"/>
  <c r="Q303" i="9"/>
  <c r="Q311" i="9"/>
  <c r="Q319" i="9"/>
  <c r="Q327" i="9"/>
  <c r="Q335" i="9"/>
  <c r="Q343" i="9"/>
  <c r="Q351" i="9"/>
  <c r="Q359" i="9"/>
  <c r="Q367" i="9"/>
  <c r="Q375" i="9"/>
  <c r="Q383" i="9"/>
  <c r="Q391" i="9"/>
  <c r="Q399" i="9"/>
  <c r="Q407" i="9"/>
  <c r="Q415" i="9"/>
  <c r="Q423" i="9"/>
  <c r="Q431" i="9"/>
  <c r="Q81" i="9"/>
  <c r="Q89" i="9"/>
  <c r="Q97" i="9"/>
  <c r="Q105" i="9"/>
  <c r="Q113" i="9"/>
  <c r="Q121" i="9"/>
  <c r="Q129" i="9"/>
  <c r="Q137" i="9"/>
  <c r="Q145" i="9"/>
  <c r="Q153" i="9"/>
  <c r="Q161" i="9"/>
  <c r="Q169" i="9"/>
  <c r="Q177" i="9"/>
  <c r="Q185" i="9"/>
  <c r="Q193" i="9"/>
  <c r="Q201" i="9"/>
  <c r="Q209" i="9"/>
  <c r="Q217" i="9"/>
  <c r="Q225" i="9"/>
  <c r="Q233" i="9"/>
  <c r="Q241" i="9"/>
  <c r="Q249" i="9"/>
  <c r="Q257" i="9"/>
  <c r="Q265" i="9"/>
  <c r="Q273" i="9"/>
  <c r="Q281" i="9"/>
  <c r="Q289" i="9"/>
  <c r="Q297" i="9"/>
  <c r="Q305" i="9"/>
  <c r="Q313" i="9"/>
  <c r="Q321" i="9"/>
  <c r="Q329" i="9"/>
  <c r="Q337" i="9"/>
  <c r="Q345" i="9"/>
  <c r="Q353" i="9"/>
  <c r="Q361" i="9"/>
  <c r="Q369" i="9"/>
  <c r="Q377" i="9"/>
  <c r="Q385" i="9"/>
  <c r="Q393" i="9"/>
  <c r="Q401" i="9"/>
  <c r="Q409" i="9"/>
  <c r="Q417" i="9"/>
  <c r="Q425" i="9"/>
  <c r="Q433" i="9"/>
  <c r="Q82" i="9"/>
  <c r="Q90" i="9"/>
  <c r="Q98" i="9"/>
  <c r="Q106" i="9"/>
  <c r="Q114" i="9"/>
  <c r="Q122" i="9"/>
  <c r="Q130" i="9"/>
  <c r="Q138" i="9"/>
  <c r="Q146" i="9"/>
  <c r="Q154" i="9"/>
  <c r="Q162" i="9"/>
  <c r="Q170" i="9"/>
  <c r="Q178" i="9"/>
  <c r="Q186" i="9"/>
  <c r="Q194" i="9"/>
  <c r="Q202" i="9"/>
  <c r="Q210" i="9"/>
  <c r="Q218" i="9"/>
  <c r="Q226" i="9"/>
  <c r="Q234" i="9"/>
  <c r="Q242" i="9"/>
  <c r="Q250" i="9"/>
  <c r="Q258" i="9"/>
  <c r="Q266" i="9"/>
  <c r="Q274" i="9"/>
  <c r="Q282" i="9"/>
  <c r="Q290" i="9"/>
  <c r="Q298" i="9"/>
  <c r="Q306" i="9"/>
  <c r="Q314" i="9"/>
  <c r="Q322" i="9"/>
  <c r="Q330" i="9"/>
  <c r="Q338" i="9"/>
  <c r="Q346" i="9"/>
  <c r="Q354" i="9"/>
  <c r="Q362" i="9"/>
  <c r="Q370" i="9"/>
  <c r="Q378" i="9"/>
  <c r="Q386" i="9"/>
  <c r="Q394" i="9"/>
  <c r="Q402" i="9"/>
  <c r="Q410" i="9"/>
  <c r="Q418" i="9"/>
  <c r="Q426" i="9"/>
  <c r="Q434" i="9"/>
  <c r="Q88" i="9"/>
  <c r="Q152" i="9"/>
  <c r="Q216" i="9"/>
  <c r="Q280" i="9"/>
  <c r="Q344" i="9"/>
  <c r="Q408" i="9"/>
  <c r="Q73" i="9"/>
  <c r="Q43" i="9"/>
  <c r="Q51" i="9"/>
  <c r="Q59" i="9"/>
  <c r="Q67" i="9"/>
  <c r="Q256" i="9"/>
  <c r="Q56" i="9"/>
  <c r="Q96" i="9"/>
  <c r="Q160" i="9"/>
  <c r="Q224" i="9"/>
  <c r="Q288" i="9"/>
  <c r="Q352" i="9"/>
  <c r="Q416" i="9"/>
  <c r="Q74" i="9"/>
  <c r="Q44" i="9"/>
  <c r="Q52" i="9"/>
  <c r="Q60" i="9"/>
  <c r="Q68" i="9"/>
  <c r="Q104" i="9"/>
  <c r="Q168" i="9"/>
  <c r="Q232" i="9"/>
  <c r="Q296" i="9"/>
  <c r="Q360" i="9"/>
  <c r="Q424" i="9"/>
  <c r="Q75" i="9"/>
  <c r="Q45" i="9"/>
  <c r="Q53" i="9"/>
  <c r="Q61" i="9"/>
  <c r="Q69" i="9"/>
  <c r="Q77" i="9"/>
  <c r="Q39" i="9"/>
  <c r="Q55" i="9"/>
  <c r="Q112" i="9"/>
  <c r="Q176" i="9"/>
  <c r="Q240" i="9"/>
  <c r="Q304" i="9"/>
  <c r="Q368" i="9"/>
  <c r="Q432" i="9"/>
  <c r="Q76" i="9"/>
  <c r="Q38" i="9"/>
  <c r="Q46" i="9"/>
  <c r="Q54" i="9"/>
  <c r="Q62" i="9"/>
  <c r="Q37" i="9"/>
  <c r="Q120" i="9"/>
  <c r="Q184" i="9"/>
  <c r="Q248" i="9"/>
  <c r="Q312" i="9"/>
  <c r="Q376" i="9"/>
  <c r="Q47" i="9"/>
  <c r="Q63" i="9"/>
  <c r="Q128" i="9"/>
  <c r="Q320" i="9"/>
  <c r="Q70" i="9"/>
  <c r="Q136" i="9"/>
  <c r="Q200" i="9"/>
  <c r="Q264" i="9"/>
  <c r="Q328" i="9"/>
  <c r="Q392" i="9"/>
  <c r="Q71" i="9"/>
  <c r="Q41" i="9"/>
  <c r="Q49" i="9"/>
  <c r="Q57" i="9"/>
  <c r="Q65" i="9"/>
  <c r="Q384" i="9"/>
  <c r="Q48" i="9"/>
  <c r="Q80" i="9"/>
  <c r="Q144" i="9"/>
  <c r="Q208" i="9"/>
  <c r="Q272" i="9"/>
  <c r="Q336" i="9"/>
  <c r="Q400" i="9"/>
  <c r="Q72" i="9"/>
  <c r="Q42" i="9"/>
  <c r="Q50" i="9"/>
  <c r="Q58" i="9"/>
  <c r="Q66" i="9"/>
  <c r="Q192" i="9"/>
  <c r="Q40" i="9"/>
  <c r="Q64" i="9"/>
  <c r="U84" i="16"/>
  <c r="C15" i="14"/>
  <c r="H52" i="14"/>
  <c r="H53" i="14" s="1"/>
  <c r="H54" i="14" s="1"/>
  <c r="H55" i="14" s="1"/>
  <c r="H56" i="14" s="1"/>
  <c r="H57" i="14" s="1"/>
  <c r="H58" i="14" s="1"/>
  <c r="H59" i="14" s="1"/>
  <c r="H60" i="14" s="1"/>
  <c r="H61" i="14" s="1"/>
  <c r="H62" i="14" s="1"/>
  <c r="H63" i="14" s="1"/>
  <c r="H64" i="14" s="1"/>
  <c r="H65" i="14" s="1"/>
  <c r="H66" i="14" s="1"/>
  <c r="H67" i="14" s="1"/>
  <c r="H68" i="14" s="1"/>
  <c r="H69" i="14" s="1"/>
  <c r="H70" i="14" s="1"/>
  <c r="H71" i="14" s="1"/>
  <c r="H72" i="14" s="1"/>
  <c r="H73" i="14" s="1"/>
  <c r="H74" i="14" s="1"/>
  <c r="H75" i="14" s="1"/>
  <c r="H76" i="14" s="1"/>
  <c r="H77" i="14" s="1"/>
  <c r="H78" i="14" s="1"/>
  <c r="H79" i="14" s="1"/>
  <c r="H80" i="14" s="1"/>
  <c r="H81" i="14" s="1"/>
  <c r="H82" i="14" s="1"/>
  <c r="H83" i="14" s="1"/>
  <c r="H84" i="14" s="1"/>
  <c r="H85" i="14" s="1"/>
  <c r="H86" i="14" s="1"/>
  <c r="H87" i="14" s="1"/>
  <c r="AD32" i="4"/>
  <c r="AC32" i="4" s="1"/>
  <c r="D27" i="9"/>
  <c r="AO32" i="4"/>
  <c r="AB30" i="4"/>
  <c r="Z30" i="4"/>
  <c r="AE30" i="4"/>
  <c r="C199" i="17"/>
  <c r="C200" i="17" s="1"/>
  <c r="C206" i="17" s="1"/>
  <c r="C147" i="28"/>
  <c r="C4" i="28"/>
  <c r="C145" i="17"/>
  <c r="C149" i="17" s="1"/>
  <c r="C11" i="28"/>
  <c r="K323" i="16"/>
  <c r="K320" i="16"/>
  <c r="C29" i="29"/>
  <c r="C31" i="29"/>
  <c r="C30" i="29"/>
  <c r="C72" i="28"/>
  <c r="C59" i="28" s="1"/>
  <c r="C144" i="17"/>
  <c r="C146" i="17" s="1"/>
  <c r="C9" i="28"/>
  <c r="C213" i="17"/>
  <c r="C254" i="17" s="1"/>
  <c r="C56" i="20"/>
  <c r="C57" i="20" s="1"/>
  <c r="C11" i="7" s="1"/>
  <c r="C112" i="17"/>
  <c r="C23" i="20"/>
  <c r="C58" i="33" s="1"/>
  <c r="C23" i="28"/>
  <c r="F45" i="29"/>
  <c r="F63" i="29"/>
  <c r="D58" i="29"/>
  <c r="C45" i="29"/>
  <c r="D45" i="29"/>
  <c r="N6" i="6"/>
  <c r="N7" i="6"/>
  <c r="N8" i="6"/>
  <c r="N9" i="6"/>
  <c r="N10" i="6"/>
  <c r="N11" i="6"/>
  <c r="N12" i="6"/>
  <c r="N13" i="6"/>
  <c r="N14" i="6"/>
  <c r="N15" i="6"/>
  <c r="N5" i="6"/>
  <c r="C24" i="20"/>
  <c r="C232" i="17"/>
  <c r="C17" i="17"/>
  <c r="C18" i="17" s="1"/>
  <c r="C159" i="17" s="1"/>
  <c r="C160" i="17" s="1"/>
  <c r="C15" i="17"/>
  <c r="K118" i="16"/>
  <c r="K191" i="16"/>
  <c r="K289" i="16"/>
  <c r="K156" i="16"/>
  <c r="K166" i="16"/>
  <c r="K232" i="16"/>
  <c r="K268" i="16"/>
  <c r="K208" i="16"/>
  <c r="C15" i="23"/>
  <c r="B6" i="21"/>
  <c r="C101" i="21" s="1"/>
  <c r="C98" i="6"/>
  <c r="C106" i="1"/>
  <c r="C247" i="17"/>
  <c r="C248" i="17" s="1"/>
  <c r="C257" i="17"/>
  <c r="C258" i="17" s="1"/>
  <c r="X8" i="21"/>
  <c r="Y8" i="21" s="1"/>
  <c r="B11" i="23"/>
  <c r="C224" i="17" s="1"/>
  <c r="C225" i="17" s="1"/>
  <c r="C122" i="17"/>
  <c r="C229" i="17" s="1"/>
  <c r="C8" i="13"/>
  <c r="X15" i="21"/>
  <c r="Y15" i="21" s="1"/>
  <c r="X13" i="21"/>
  <c r="Y13" i="21" s="1"/>
  <c r="C19" i="6"/>
  <c r="C75" i="21"/>
  <c r="C76" i="21" s="1"/>
  <c r="C78" i="21" s="1"/>
  <c r="X5" i="21"/>
  <c r="Y5" i="21" s="1"/>
  <c r="X6" i="21"/>
  <c r="Y6" i="21" s="1"/>
  <c r="X18" i="21"/>
  <c r="Y18" i="21" s="1"/>
  <c r="X19" i="21"/>
  <c r="Y19" i="21" s="1"/>
  <c r="X12" i="21"/>
  <c r="Y12" i="21" s="1"/>
  <c r="X14" i="21"/>
  <c r="Y14" i="21" s="1"/>
  <c r="X11" i="21"/>
  <c r="Y11" i="21" s="1"/>
  <c r="X7" i="21"/>
  <c r="Y7" i="21" s="1"/>
  <c r="E49" i="6"/>
  <c r="E51" i="6" s="1"/>
  <c r="D49" i="6"/>
  <c r="D51" i="6" s="1"/>
  <c r="F49" i="6"/>
  <c r="F51" i="6" s="1"/>
  <c r="F36" i="6"/>
  <c r="E36" i="6"/>
  <c r="C49" i="6"/>
  <c r="C51" i="6" s="1"/>
  <c r="D36" i="6"/>
  <c r="D82" i="6"/>
  <c r="D62" i="6"/>
  <c r="X17" i="21"/>
  <c r="Y17" i="21" s="1"/>
  <c r="C6" i="5"/>
  <c r="C111" i="20"/>
  <c r="C119" i="20"/>
  <c r="X10" i="21"/>
  <c r="Y10" i="21" s="1"/>
  <c r="X20" i="21"/>
  <c r="Y20" i="21" s="1"/>
  <c r="C21" i="6"/>
  <c r="E29" i="6"/>
  <c r="C62" i="17"/>
  <c r="C58" i="11"/>
  <c r="E60" i="11"/>
  <c r="E61" i="11"/>
  <c r="E63" i="11"/>
  <c r="E64" i="11"/>
  <c r="E58" i="11"/>
  <c r="D59" i="11"/>
  <c r="D60" i="11"/>
  <c r="D61" i="11"/>
  <c r="D63" i="11"/>
  <c r="C59" i="11"/>
  <c r="C60" i="11"/>
  <c r="C61" i="11"/>
  <c r="C63" i="11"/>
  <c r="C64" i="11"/>
  <c r="C65" i="11"/>
  <c r="P21" i="11"/>
  <c r="D92" i="11"/>
  <c r="P19" i="11"/>
  <c r="P17" i="11"/>
  <c r="D93" i="11" s="1"/>
  <c r="P12" i="11"/>
  <c r="D91" i="11" s="1"/>
  <c r="J14" i="11"/>
  <c r="D90" i="11" s="1"/>
  <c r="D89" i="11"/>
  <c r="C15" i="11"/>
  <c r="D88" i="11" s="1"/>
  <c r="P3" i="11"/>
  <c r="C4" i="11"/>
  <c r="J34" i="11" s="1"/>
  <c r="J8" i="11"/>
  <c r="F26" i="11" s="1"/>
  <c r="J6" i="11"/>
  <c r="C10" i="11"/>
  <c r="B12" i="2"/>
  <c r="C83" i="4"/>
  <c r="C82" i="4"/>
  <c r="C81" i="4"/>
  <c r="C80" i="4"/>
  <c r="C78" i="4"/>
  <c r="C74" i="4"/>
  <c r="C73" i="4"/>
  <c r="C72" i="4"/>
  <c r="C71" i="4"/>
  <c r="C70" i="4"/>
  <c r="C69" i="4"/>
  <c r="C65" i="4"/>
  <c r="C42" i="4"/>
  <c r="C38" i="4"/>
  <c r="C37" i="4"/>
  <c r="C21" i="4"/>
  <c r="C20" i="4"/>
  <c r="C63" i="29" l="1"/>
  <c r="AJ361" i="16"/>
  <c r="AJ324" i="16"/>
  <c r="AJ347" i="16"/>
  <c r="AJ348" i="16"/>
  <c r="AJ358" i="16"/>
  <c r="AJ351" i="16"/>
  <c r="AJ196" i="16"/>
  <c r="AJ98" i="16"/>
  <c r="AJ306" i="16"/>
  <c r="AJ115" i="16"/>
  <c r="AJ338" i="16"/>
  <c r="K162" i="16"/>
  <c r="K92" i="16"/>
  <c r="AJ224" i="16"/>
  <c r="J8" i="32"/>
  <c r="J9" i="32" s="1"/>
  <c r="K193" i="32" s="1"/>
  <c r="L5" i="32"/>
  <c r="AJ363" i="16"/>
  <c r="K163" i="16"/>
  <c r="K95" i="16"/>
  <c r="C29" i="6"/>
  <c r="M267" i="6"/>
  <c r="M275" i="6"/>
  <c r="M283" i="6"/>
  <c r="M291" i="6"/>
  <c r="M299" i="6"/>
  <c r="M307" i="6"/>
  <c r="M315" i="6"/>
  <c r="M323" i="6"/>
  <c r="M331" i="6"/>
  <c r="M339" i="6"/>
  <c r="M347" i="6"/>
  <c r="M355" i="6"/>
  <c r="M261" i="6"/>
  <c r="M269" i="6"/>
  <c r="M277" i="6"/>
  <c r="M285" i="6"/>
  <c r="M293" i="6"/>
  <c r="M301" i="6"/>
  <c r="M309" i="6"/>
  <c r="M317" i="6"/>
  <c r="M325" i="6"/>
  <c r="M333" i="6"/>
  <c r="M341" i="6"/>
  <c r="M349" i="6"/>
  <c r="M357" i="6"/>
  <c r="M268" i="6"/>
  <c r="M276" i="6"/>
  <c r="M284" i="6"/>
  <c r="M292" i="6"/>
  <c r="M300" i="6"/>
  <c r="M308" i="6"/>
  <c r="M316" i="6"/>
  <c r="M324" i="6"/>
  <c r="M332" i="6"/>
  <c r="M340" i="6"/>
  <c r="M348" i="6"/>
  <c r="M356" i="6"/>
  <c r="M265" i="6"/>
  <c r="M279" i="6"/>
  <c r="M290" i="6"/>
  <c r="M304" i="6"/>
  <c r="M318" i="6"/>
  <c r="M329" i="6"/>
  <c r="M343" i="6"/>
  <c r="M354" i="6"/>
  <c r="M266" i="6"/>
  <c r="M280" i="6"/>
  <c r="M294" i="6"/>
  <c r="M305" i="6"/>
  <c r="M319" i="6"/>
  <c r="M330" i="6"/>
  <c r="M344" i="6"/>
  <c r="M358" i="6"/>
  <c r="M270" i="6"/>
  <c r="M281" i="6"/>
  <c r="M295" i="6"/>
  <c r="M306" i="6"/>
  <c r="M320" i="6"/>
  <c r="M334" i="6"/>
  <c r="M345" i="6"/>
  <c r="M359" i="6"/>
  <c r="M271" i="6"/>
  <c r="M282" i="6"/>
  <c r="M296" i="6"/>
  <c r="M310" i="6"/>
  <c r="M321" i="6"/>
  <c r="M335" i="6"/>
  <c r="M346" i="6"/>
  <c r="M360" i="6"/>
  <c r="M272" i="6"/>
  <c r="M286" i="6"/>
  <c r="M297" i="6"/>
  <c r="M311" i="6"/>
  <c r="M322" i="6"/>
  <c r="M336" i="6"/>
  <c r="M350" i="6"/>
  <c r="M361" i="6"/>
  <c r="M262" i="6"/>
  <c r="M273" i="6"/>
  <c r="M287" i="6"/>
  <c r="M298" i="6"/>
  <c r="M312" i="6"/>
  <c r="M288" i="6"/>
  <c r="M328" i="6"/>
  <c r="M289" i="6"/>
  <c r="M337" i="6"/>
  <c r="M302" i="6"/>
  <c r="M338" i="6"/>
  <c r="M303" i="6"/>
  <c r="M342" i="6"/>
  <c r="M264" i="6"/>
  <c r="M314" i="6"/>
  <c r="M352" i="6"/>
  <c r="M274" i="6"/>
  <c r="M326" i="6"/>
  <c r="M353" i="6"/>
  <c r="M278" i="6"/>
  <c r="M327" i="6"/>
  <c r="M263" i="6"/>
  <c r="M313" i="6"/>
  <c r="M351" i="6"/>
  <c r="K99" i="16"/>
  <c r="K267" i="16"/>
  <c r="AJ270" i="16"/>
  <c r="AJ322" i="16"/>
  <c r="AJ219" i="16"/>
  <c r="AJ294" i="16"/>
  <c r="AJ231" i="16"/>
  <c r="AJ329" i="16"/>
  <c r="K120" i="32"/>
  <c r="AJ349" i="16"/>
  <c r="AJ335" i="16"/>
  <c r="AJ144" i="16"/>
  <c r="AJ315" i="16"/>
  <c r="AJ350" i="16"/>
  <c r="AJ353" i="16"/>
  <c r="AJ346" i="16"/>
  <c r="AJ211" i="16"/>
  <c r="AJ84" i="16"/>
  <c r="AJ107" i="16"/>
  <c r="AJ110" i="16"/>
  <c r="K158" i="16"/>
  <c r="K291" i="16"/>
  <c r="K100" i="16"/>
  <c r="K133" i="16"/>
  <c r="K296" i="16"/>
  <c r="K93" i="16"/>
  <c r="K186" i="16"/>
  <c r="AJ336" i="16"/>
  <c r="K316" i="16"/>
  <c r="K280" i="16"/>
  <c r="K285" i="16"/>
  <c r="K219" i="16"/>
  <c r="K313" i="16"/>
  <c r="K172" i="16"/>
  <c r="K173" i="16"/>
  <c r="K244" i="16"/>
  <c r="K137" i="16"/>
  <c r="K131" i="16"/>
  <c r="K229" i="16"/>
  <c r="K139" i="16"/>
  <c r="K209" i="16"/>
  <c r="K260" i="16"/>
  <c r="K105" i="16"/>
  <c r="K177" i="16"/>
  <c r="K304" i="16"/>
  <c r="K236" i="16"/>
  <c r="K231" i="16"/>
  <c r="K151" i="16"/>
  <c r="K288" i="16"/>
  <c r="K194" i="16"/>
  <c r="K245" i="16"/>
  <c r="K89" i="16"/>
  <c r="K164" i="16"/>
  <c r="K127" i="16"/>
  <c r="K96" i="16"/>
  <c r="K90" i="16"/>
  <c r="K88" i="16"/>
  <c r="K220" i="16"/>
  <c r="K272" i="16"/>
  <c r="K119" i="16"/>
  <c r="K254" i="16"/>
  <c r="K309" i="16"/>
  <c r="K146" i="16"/>
  <c r="K271" i="16"/>
  <c r="K233" i="16"/>
  <c r="K305" i="16"/>
  <c r="AJ278" i="16"/>
  <c r="AJ328" i="16"/>
  <c r="K122" i="16"/>
  <c r="K228" i="16"/>
  <c r="K307" i="16"/>
  <c r="K251" i="16"/>
  <c r="K258" i="16"/>
  <c r="K157" i="16"/>
  <c r="K286" i="16"/>
  <c r="K207" i="16"/>
  <c r="K295" i="16"/>
  <c r="K223" i="16"/>
  <c r="K135" i="16"/>
  <c r="K222" i="16"/>
  <c r="K276" i="16"/>
  <c r="K273" i="16"/>
  <c r="K263" i="16"/>
  <c r="K91" i="16"/>
  <c r="K217" i="16"/>
  <c r="K115" i="16"/>
  <c r="K98" i="16"/>
  <c r="K190" i="16"/>
  <c r="K270" i="16"/>
  <c r="K169" i="16"/>
  <c r="K181" i="16"/>
  <c r="K120" i="16"/>
  <c r="K214" i="16"/>
  <c r="K241" i="16"/>
  <c r="K277" i="16"/>
  <c r="K230" i="16"/>
  <c r="K150" i="16"/>
  <c r="K343" i="16"/>
  <c r="AJ355" i="16"/>
  <c r="AJ222" i="16"/>
  <c r="AJ204" i="16"/>
  <c r="AJ207" i="16"/>
  <c r="AJ86" i="16"/>
  <c r="K359" i="16"/>
  <c r="K283" i="16"/>
  <c r="AJ304" i="16"/>
  <c r="AJ357" i="16"/>
  <c r="K329" i="16"/>
  <c r="K250" i="16"/>
  <c r="K216" i="16"/>
  <c r="K224" i="16"/>
  <c r="K124" i="16"/>
  <c r="K153" i="16"/>
  <c r="K155" i="16"/>
  <c r="K103" i="16"/>
  <c r="K210" i="16"/>
  <c r="K141" i="16"/>
  <c r="K152" i="16"/>
  <c r="K180" i="16"/>
  <c r="K297" i="16"/>
  <c r="K104" i="16"/>
  <c r="K125" i="16"/>
  <c r="K215" i="16"/>
  <c r="K197" i="16"/>
  <c r="K315" i="16"/>
  <c r="K129" i="16"/>
  <c r="K221" i="16"/>
  <c r="K218" i="16"/>
  <c r="K252" i="16"/>
  <c r="K300" i="16"/>
  <c r="K274" i="16"/>
  <c r="K147" i="16"/>
  <c r="K101" i="16"/>
  <c r="K278" i="16"/>
  <c r="K106" i="16"/>
  <c r="K204" i="16"/>
  <c r="K317" i="16"/>
  <c r="K178" i="16"/>
  <c r="K312" i="16"/>
  <c r="K294" i="16"/>
  <c r="K134" i="16"/>
  <c r="K325" i="16"/>
  <c r="K117" i="16"/>
  <c r="K269" i="16"/>
  <c r="K193" i="16"/>
  <c r="K318" i="16"/>
  <c r="K264" i="16"/>
  <c r="K143" i="16"/>
  <c r="K183" i="16"/>
  <c r="K149" i="16"/>
  <c r="K247" i="16"/>
  <c r="K97" i="16"/>
  <c r="K109" i="16"/>
  <c r="K170" i="16"/>
  <c r="K248" i="16"/>
  <c r="K108" i="16"/>
  <c r="K86" i="16"/>
  <c r="K185" i="16"/>
  <c r="K203" i="16"/>
  <c r="K243" i="16"/>
  <c r="K174" i="16"/>
  <c r="K257" i="16"/>
  <c r="K239" i="16"/>
  <c r="K187" i="16"/>
  <c r="K84" i="16"/>
  <c r="K292" i="16"/>
  <c r="K202" i="16"/>
  <c r="K240" i="16"/>
  <c r="K311" i="16"/>
  <c r="K281" i="16"/>
  <c r="K199" i="16"/>
  <c r="K235" i="16"/>
  <c r="K148" i="16"/>
  <c r="K175" i="16"/>
  <c r="K167" i="16"/>
  <c r="K161" i="16"/>
  <c r="K171" i="16"/>
  <c r="K206" i="16"/>
  <c r="K196" i="16"/>
  <c r="K234" i="16"/>
  <c r="K94" i="16"/>
  <c r="K112" i="16"/>
  <c r="K200" i="16"/>
  <c r="K306" i="16"/>
  <c r="K205" i="16"/>
  <c r="K188" i="16"/>
  <c r="K256" i="16"/>
  <c r="K321" i="16"/>
  <c r="AJ210" i="16"/>
  <c r="K345" i="16"/>
  <c r="K340" i="16"/>
  <c r="K212" i="16"/>
  <c r="K213" i="16"/>
  <c r="K293" i="16"/>
  <c r="K201" i="16"/>
  <c r="K211" i="16"/>
  <c r="K160" i="16"/>
  <c r="K253" i="16"/>
  <c r="K282" i="16"/>
  <c r="K226" i="16"/>
  <c r="K284" i="16"/>
  <c r="K87" i="16"/>
  <c r="K114" i="16"/>
  <c r="K227" i="16"/>
  <c r="K324" i="16"/>
  <c r="K314" i="16"/>
  <c r="K262" i="16"/>
  <c r="K299" i="16"/>
  <c r="K198" i="16"/>
  <c r="K265" i="16"/>
  <c r="K261" i="16"/>
  <c r="K310" i="16"/>
  <c r="K182" i="16"/>
  <c r="K159" i="16"/>
  <c r="K290" i="16"/>
  <c r="K140" i="16"/>
  <c r="K184" i="16"/>
  <c r="K121" i="16"/>
  <c r="K144" i="16"/>
  <c r="K142" i="16"/>
  <c r="K126" i="16"/>
  <c r="K138" i="16"/>
  <c r="K116" i="16"/>
  <c r="K165" i="16"/>
  <c r="K279" i="16"/>
  <c r="K179" i="16"/>
  <c r="K85" i="16"/>
  <c r="K189" i="16"/>
  <c r="K301" i="16"/>
  <c r="K242" i="16"/>
  <c r="K136" i="16"/>
  <c r="K326" i="16"/>
  <c r="K249" i="16"/>
  <c r="K287" i="16"/>
  <c r="K111" i="16"/>
  <c r="K102" i="16"/>
  <c r="K130" i="16"/>
  <c r="K132" i="16"/>
  <c r="K237" i="16"/>
  <c r="K275" i="16"/>
  <c r="K259" i="16"/>
  <c r="K266" i="16"/>
  <c r="K168" i="16"/>
  <c r="K123" i="16"/>
  <c r="K154" i="16"/>
  <c r="K145" i="16"/>
  <c r="K319" i="16"/>
  <c r="K246" i="16"/>
  <c r="K128" i="16"/>
  <c r="K195" i="16"/>
  <c r="K225" i="16"/>
  <c r="K255" i="16"/>
  <c r="K303" i="16"/>
  <c r="K176" i="16"/>
  <c r="K298" i="16"/>
  <c r="K192" i="16"/>
  <c r="K308" i="16"/>
  <c r="K110" i="16"/>
  <c r="K107" i="16"/>
  <c r="K302" i="16"/>
  <c r="K238" i="16"/>
  <c r="K113" i="16"/>
  <c r="K322" i="16"/>
  <c r="AJ319" i="16"/>
  <c r="AJ251" i="16"/>
  <c r="K362" i="16"/>
  <c r="AJ87" i="16"/>
  <c r="K330" i="16"/>
  <c r="K346" i="16"/>
  <c r="K341" i="16"/>
  <c r="K331" i="16"/>
  <c r="K347" i="16"/>
  <c r="K366" i="16"/>
  <c r="K357" i="16"/>
  <c r="K348" i="16"/>
  <c r="K367" i="16"/>
  <c r="K353" i="16"/>
  <c r="K335" i="16"/>
  <c r="K368" i="16"/>
  <c r="K337" i="16"/>
  <c r="K349" i="16"/>
  <c r="AJ365" i="16"/>
  <c r="K352" i="16"/>
  <c r="K338" i="16"/>
  <c r="K354" i="16"/>
  <c r="K344" i="16"/>
  <c r="AJ341" i="16"/>
  <c r="AJ112" i="16"/>
  <c r="AJ134" i="16"/>
  <c r="AJ330" i="16"/>
  <c r="K369" i="16"/>
  <c r="K339" i="16"/>
  <c r="K358" i="16"/>
  <c r="K361" i="16"/>
  <c r="AJ291" i="16"/>
  <c r="AJ366" i="16"/>
  <c r="AJ290" i="16"/>
  <c r="AJ266" i="16"/>
  <c r="AJ170" i="16"/>
  <c r="AJ362" i="16"/>
  <c r="AJ188" i="16"/>
  <c r="AJ152" i="16"/>
  <c r="AJ307" i="16"/>
  <c r="AJ331" i="16"/>
  <c r="AJ268" i="16"/>
  <c r="AJ296" i="16"/>
  <c r="T124" i="16"/>
  <c r="W124" i="16" s="1"/>
  <c r="T169" i="16"/>
  <c r="W169" i="16" s="1"/>
  <c r="T214" i="16"/>
  <c r="W214" i="16" s="1"/>
  <c r="T316" i="16"/>
  <c r="W316" i="16" s="1"/>
  <c r="T208" i="16"/>
  <c r="W208" i="16" s="1"/>
  <c r="T202" i="16"/>
  <c r="W202" i="16" s="1"/>
  <c r="T139" i="16"/>
  <c r="W139" i="16" s="1"/>
  <c r="T101" i="16"/>
  <c r="W101" i="16" s="1"/>
  <c r="T173" i="16"/>
  <c r="W173" i="16" s="1"/>
  <c r="T258" i="16"/>
  <c r="W258" i="16" s="1"/>
  <c r="T286" i="16"/>
  <c r="W286" i="16" s="1"/>
  <c r="T289" i="16"/>
  <c r="W289" i="16" s="1"/>
  <c r="T216" i="16"/>
  <c r="W216" i="16" s="1"/>
  <c r="T267" i="16"/>
  <c r="W267" i="16" s="1"/>
  <c r="T185" i="16"/>
  <c r="W185" i="16" s="1"/>
  <c r="T197" i="16"/>
  <c r="W197" i="16" s="1"/>
  <c r="T146" i="16"/>
  <c r="W146" i="16" s="1"/>
  <c r="AJ345" i="16"/>
  <c r="AJ127" i="16"/>
  <c r="AJ187" i="16"/>
  <c r="AJ135" i="16"/>
  <c r="AJ360" i="16"/>
  <c r="AJ192" i="16"/>
  <c r="AJ262" i="16"/>
  <c r="T249" i="16"/>
  <c r="W249" i="16" s="1"/>
  <c r="T121" i="16"/>
  <c r="W121" i="16" s="1"/>
  <c r="T168" i="16"/>
  <c r="W168" i="16" s="1"/>
  <c r="T237" i="16"/>
  <c r="W237" i="16" s="1"/>
  <c r="T125" i="16"/>
  <c r="W125" i="16" s="1"/>
  <c r="T161" i="16"/>
  <c r="W161" i="16" s="1"/>
  <c r="T241" i="16"/>
  <c r="W241" i="16" s="1"/>
  <c r="T93" i="16"/>
  <c r="W93" i="16" s="1"/>
  <c r="T326" i="16"/>
  <c r="W326" i="16" s="1"/>
  <c r="T261" i="16"/>
  <c r="W261" i="16" s="1"/>
  <c r="T120" i="16"/>
  <c r="W120" i="16" s="1"/>
  <c r="T180" i="16"/>
  <c r="W180" i="16" s="1"/>
  <c r="T140" i="16"/>
  <c r="W140" i="16" s="1"/>
  <c r="T217" i="16"/>
  <c r="W217" i="16" s="1"/>
  <c r="T190" i="16"/>
  <c r="W190" i="16" s="1"/>
  <c r="T145" i="16"/>
  <c r="W145" i="16" s="1"/>
  <c r="T128" i="16"/>
  <c r="W128" i="16" s="1"/>
  <c r="T133" i="16"/>
  <c r="W133" i="16" s="1"/>
  <c r="AJ175" i="16"/>
  <c r="AJ106" i="16"/>
  <c r="AJ260" i="16"/>
  <c r="T252" i="16"/>
  <c r="W252" i="16" s="1"/>
  <c r="T297" i="16"/>
  <c r="W297" i="16" s="1"/>
  <c r="T308" i="16"/>
  <c r="W308" i="16" s="1"/>
  <c r="T193" i="16"/>
  <c r="W193" i="16" s="1"/>
  <c r="T119" i="16"/>
  <c r="W119" i="16" s="1"/>
  <c r="T284" i="16"/>
  <c r="W284" i="16" s="1"/>
  <c r="T280" i="16"/>
  <c r="W280" i="16" s="1"/>
  <c r="T233" i="16"/>
  <c r="W233" i="16" s="1"/>
  <c r="T130" i="16"/>
  <c r="W130" i="16" s="1"/>
  <c r="T247" i="16"/>
  <c r="W247" i="16" s="1"/>
  <c r="T150" i="16"/>
  <c r="W150" i="16" s="1"/>
  <c r="T305" i="16"/>
  <c r="W305" i="16" s="1"/>
  <c r="T183" i="16"/>
  <c r="W183" i="16" s="1"/>
  <c r="T212" i="16"/>
  <c r="W212" i="16" s="1"/>
  <c r="T201" i="16"/>
  <c r="W201" i="16" s="1"/>
  <c r="T274" i="16"/>
  <c r="W274" i="16" s="1"/>
  <c r="T149" i="16"/>
  <c r="W149" i="16" s="1"/>
  <c r="AJ218" i="16"/>
  <c r="AJ143" i="16"/>
  <c r="AJ88" i="16"/>
  <c r="AJ90" i="16"/>
  <c r="AJ122" i="16"/>
  <c r="AJ275" i="16"/>
  <c r="AJ356" i="16"/>
  <c r="AJ108" i="16"/>
  <c r="AJ242" i="16"/>
  <c r="AJ344" i="16"/>
  <c r="AJ263" i="16"/>
  <c r="AJ99" i="16"/>
  <c r="AJ272" i="16"/>
  <c r="T281" i="16"/>
  <c r="W281" i="16" s="1"/>
  <c r="T245" i="16"/>
  <c r="W245" i="16" s="1"/>
  <c r="T288" i="16"/>
  <c r="W288" i="16" s="1"/>
  <c r="T85" i="16"/>
  <c r="W85" i="16" s="1"/>
  <c r="T95" i="16"/>
  <c r="W95" i="16" s="1"/>
  <c r="T111" i="16"/>
  <c r="W111" i="16" s="1"/>
  <c r="T221" i="16"/>
  <c r="W221" i="16" s="1"/>
  <c r="T235" i="16"/>
  <c r="W235" i="16" s="1"/>
  <c r="T321" i="16"/>
  <c r="W321" i="16" s="1"/>
  <c r="T113" i="16"/>
  <c r="W113" i="16" s="1"/>
  <c r="T114" i="16"/>
  <c r="W114" i="16" s="1"/>
  <c r="T198" i="16"/>
  <c r="W198" i="16" s="1"/>
  <c r="T189" i="16"/>
  <c r="W189" i="16" s="1"/>
  <c r="T148" i="16"/>
  <c r="W148" i="16" s="1"/>
  <c r="T109" i="16"/>
  <c r="W109" i="16" s="1"/>
  <c r="T248" i="16"/>
  <c r="W248" i="16" s="1"/>
  <c r="T151" i="16"/>
  <c r="W151" i="16" s="1"/>
  <c r="T177" i="16"/>
  <c r="W177" i="16" s="1"/>
  <c r="T129" i="16"/>
  <c r="W129" i="16" s="1"/>
  <c r="T172" i="16"/>
  <c r="W172" i="16" s="1"/>
  <c r="AJ200" i="16"/>
  <c r="AJ279" i="16"/>
  <c r="T116" i="16"/>
  <c r="W116" i="16" s="1"/>
  <c r="T269" i="16"/>
  <c r="W269" i="16" s="1"/>
  <c r="T253" i="16"/>
  <c r="W253" i="16" s="1"/>
  <c r="T171" i="16"/>
  <c r="W171" i="16" s="1"/>
  <c r="T325" i="16"/>
  <c r="W325" i="16" s="1"/>
  <c r="T293" i="16"/>
  <c r="W293" i="16" s="1"/>
  <c r="T265" i="16"/>
  <c r="W265" i="16" s="1"/>
  <c r="AJ259" i="16"/>
  <c r="AJ162" i="16"/>
  <c r="AJ334" i="16"/>
  <c r="AJ199" i="16"/>
  <c r="AJ232" i="16"/>
  <c r="AJ364" i="16"/>
  <c r="W84" i="16"/>
  <c r="T230" i="16"/>
  <c r="W230" i="16" s="1"/>
  <c r="T323" i="16"/>
  <c r="W323" i="16" s="1"/>
  <c r="T205" i="16"/>
  <c r="W205" i="16" s="1"/>
  <c r="T157" i="16"/>
  <c r="W157" i="16" s="1"/>
  <c r="T153" i="16"/>
  <c r="W153" i="16" s="1"/>
  <c r="T313" i="16"/>
  <c r="W313" i="16" s="1"/>
  <c r="T117" i="16"/>
  <c r="W117" i="16" s="1"/>
  <c r="T159" i="16"/>
  <c r="W159" i="16" s="1"/>
  <c r="T229" i="16"/>
  <c r="W229" i="16" s="1"/>
  <c r="T264" i="16"/>
  <c r="W264" i="16" s="1"/>
  <c r="T213" i="16"/>
  <c r="W213" i="16" s="1"/>
  <c r="T100" i="16"/>
  <c r="W100" i="16" s="1"/>
  <c r="T298" i="16"/>
  <c r="W298" i="16" s="1"/>
  <c r="T103" i="16"/>
  <c r="W103" i="16" s="1"/>
  <c r="T277" i="16"/>
  <c r="W277" i="16" s="1"/>
  <c r="T302" i="16"/>
  <c r="W302" i="16" s="1"/>
  <c r="T282" i="16"/>
  <c r="W282" i="16" s="1"/>
  <c r="T223" i="16"/>
  <c r="W223" i="16" s="1"/>
  <c r="T194" i="16"/>
  <c r="W194" i="16" s="1"/>
  <c r="T227" i="16"/>
  <c r="W227" i="16" s="1"/>
  <c r="T126" i="16"/>
  <c r="W126" i="16" s="1"/>
  <c r="T295" i="16"/>
  <c r="W295" i="16" s="1"/>
  <c r="AJ292" i="16"/>
  <c r="AJ343" i="16"/>
  <c r="AJ283" i="16"/>
  <c r="T246" i="16"/>
  <c r="W246" i="16" s="1"/>
  <c r="T240" i="16"/>
  <c r="W240" i="16" s="1"/>
  <c r="T182" i="16"/>
  <c r="W182" i="16" s="1"/>
  <c r="T89" i="16"/>
  <c r="W89" i="16" s="1"/>
  <c r="T317" i="16"/>
  <c r="W317" i="16" s="1"/>
  <c r="T97" i="16"/>
  <c r="W97" i="16" s="1"/>
  <c r="T141" i="16"/>
  <c r="W141" i="16" s="1"/>
  <c r="T132" i="16"/>
  <c r="W132" i="16" s="1"/>
  <c r="T309" i="16"/>
  <c r="W309" i="16" s="1"/>
  <c r="T176" i="16"/>
  <c r="W176" i="16" s="1"/>
  <c r="T136" i="16"/>
  <c r="W136" i="16" s="1"/>
  <c r="T118" i="16"/>
  <c r="W118" i="16" s="1"/>
  <c r="T243" i="16"/>
  <c r="W243" i="16" s="1"/>
  <c r="T147" i="16"/>
  <c r="W147" i="16" s="1"/>
  <c r="T301" i="16"/>
  <c r="W301" i="16" s="1"/>
  <c r="T276" i="16"/>
  <c r="W276" i="16" s="1"/>
  <c r="T209" i="16"/>
  <c r="W209" i="16" s="1"/>
  <c r="AJ234" i="16"/>
  <c r="AJ186" i="16"/>
  <c r="AJ299" i="16"/>
  <c r="AJ184" i="16"/>
  <c r="AJ104" i="16"/>
  <c r="AJ367" i="16"/>
  <c r="AJ300" i="16"/>
  <c r="AJ131" i="16"/>
  <c r="AJ340" i="16"/>
  <c r="AJ255" i="16"/>
  <c r="AJ352" i="16"/>
  <c r="AJ164" i="16"/>
  <c r="AJ158" i="16"/>
  <c r="AJ215" i="16"/>
  <c r="AJ354" i="16"/>
  <c r="AJ178" i="16"/>
  <c r="T165" i="16"/>
  <c r="W165" i="16" s="1"/>
  <c r="T303" i="16"/>
  <c r="W303" i="16" s="1"/>
  <c r="T254" i="16"/>
  <c r="W254" i="16" s="1"/>
  <c r="T91" i="16"/>
  <c r="W91" i="16" s="1"/>
  <c r="T225" i="16"/>
  <c r="W225" i="16" s="1"/>
  <c r="T228" i="16"/>
  <c r="W228" i="16" s="1"/>
  <c r="T320" i="16"/>
  <c r="W320" i="16" s="1"/>
  <c r="T257" i="16"/>
  <c r="W257" i="16" s="1"/>
  <c r="T314" i="16"/>
  <c r="W314" i="16" s="1"/>
  <c r="T285" i="16"/>
  <c r="W285" i="16" s="1"/>
  <c r="T250" i="16"/>
  <c r="W250" i="16" s="1"/>
  <c r="T137" i="16"/>
  <c r="W137" i="16" s="1"/>
  <c r="T244" i="16"/>
  <c r="W244" i="16" s="1"/>
  <c r="T166" i="16"/>
  <c r="W166" i="16" s="1"/>
  <c r="T273" i="16"/>
  <c r="W273" i="16" s="1"/>
  <c r="T105" i="16"/>
  <c r="W105" i="16" s="1"/>
  <c r="T142" i="16"/>
  <c r="W142" i="16" s="1"/>
  <c r="T181" i="16"/>
  <c r="W181" i="16" s="1"/>
  <c r="AJ123" i="16"/>
  <c r="AJ337" i="16"/>
  <c r="AJ287" i="16"/>
  <c r="AJ271" i="16"/>
  <c r="AJ138" i="16"/>
  <c r="AJ332" i="16"/>
  <c r="AJ318" i="16"/>
  <c r="AJ312" i="16"/>
  <c r="AJ94" i="16"/>
  <c r="AJ206" i="16"/>
  <c r="C154" i="20"/>
  <c r="C24" i="28"/>
  <c r="C32" i="24"/>
  <c r="AK300" i="32"/>
  <c r="AK293" i="32"/>
  <c r="AK60" i="32"/>
  <c r="AK27" i="32"/>
  <c r="AK226" i="32"/>
  <c r="AK93" i="32"/>
  <c r="AK239" i="32"/>
  <c r="AK144" i="32"/>
  <c r="AK120" i="32"/>
  <c r="AK79" i="32"/>
  <c r="AK297" i="32"/>
  <c r="AK229" i="32"/>
  <c r="AK58" i="32"/>
  <c r="AK220" i="32"/>
  <c r="AK99" i="32"/>
  <c r="AK92" i="32"/>
  <c r="AK281" i="32"/>
  <c r="T31" i="32"/>
  <c r="W31" i="32"/>
  <c r="T35" i="32"/>
  <c r="AK35" i="32" s="1"/>
  <c r="W35" i="32"/>
  <c r="T95" i="32"/>
  <c r="W95" i="32"/>
  <c r="T43" i="32"/>
  <c r="W43" i="32"/>
  <c r="T50" i="32"/>
  <c r="AK50" i="32" s="1"/>
  <c r="W50" i="32"/>
  <c r="T77" i="32"/>
  <c r="W77" i="32"/>
  <c r="T65" i="32"/>
  <c r="AK65" i="32" s="1"/>
  <c r="W65" i="32"/>
  <c r="T119" i="32"/>
  <c r="W119" i="32"/>
  <c r="T29" i="32"/>
  <c r="W29" i="32"/>
  <c r="T111" i="32"/>
  <c r="AK111" i="32" s="1"/>
  <c r="W111" i="32"/>
  <c r="T76" i="32"/>
  <c r="W76" i="32"/>
  <c r="T57" i="32"/>
  <c r="AK57" i="32" s="1"/>
  <c r="W57" i="32"/>
  <c r="T39" i="32"/>
  <c r="W39" i="32"/>
  <c r="AK179" i="32"/>
  <c r="AK245" i="32"/>
  <c r="T75" i="32"/>
  <c r="W75" i="32"/>
  <c r="AK272" i="32"/>
  <c r="AK285" i="32"/>
  <c r="T87" i="32"/>
  <c r="W87" i="32"/>
  <c r="AK52" i="32"/>
  <c r="AK256" i="32"/>
  <c r="T37" i="32"/>
  <c r="W37" i="32"/>
  <c r="T81" i="32"/>
  <c r="W81" i="32"/>
  <c r="AK189" i="32"/>
  <c r="AK84" i="32"/>
  <c r="AK253" i="32"/>
  <c r="AK152" i="32"/>
  <c r="AK218" i="32"/>
  <c r="AK131" i="32"/>
  <c r="T36" i="32"/>
  <c r="AK36" i="32" s="1"/>
  <c r="W36" i="32"/>
  <c r="AK269" i="32"/>
  <c r="T103" i="32"/>
  <c r="AK103" i="32" s="1"/>
  <c r="W103" i="32"/>
  <c r="T73" i="32"/>
  <c r="W73" i="32"/>
  <c r="T45" i="32"/>
  <c r="AK45" i="32" s="1"/>
  <c r="W45" i="32"/>
  <c r="T49" i="32"/>
  <c r="W49" i="32"/>
  <c r="T78" i="32"/>
  <c r="AK78" i="32" s="1"/>
  <c r="W78" i="32"/>
  <c r="T74" i="32"/>
  <c r="AK74" i="32" s="1"/>
  <c r="W74" i="32"/>
  <c r="K363" i="16"/>
  <c r="K332" i="16"/>
  <c r="K365" i="16"/>
  <c r="K334" i="16"/>
  <c r="K356" i="16"/>
  <c r="K364" i="16"/>
  <c r="K355" i="16"/>
  <c r="K327" i="16"/>
  <c r="K333" i="16"/>
  <c r="K360" i="16"/>
  <c r="K351" i="16"/>
  <c r="K342" i="16"/>
  <c r="K350" i="16"/>
  <c r="K328" i="16"/>
  <c r="AJ243" i="16"/>
  <c r="AJ202" i="16"/>
  <c r="AJ166" i="16"/>
  <c r="AJ247" i="16"/>
  <c r="AJ267" i="16"/>
  <c r="AJ180" i="16"/>
  <c r="F32" i="11"/>
  <c r="H32" i="11" s="1"/>
  <c r="D30" i="11"/>
  <c r="F30" i="11" s="1"/>
  <c r="C72" i="20"/>
  <c r="C27" i="7"/>
  <c r="D50" i="4"/>
  <c r="D51" i="4"/>
  <c r="D52" i="4"/>
  <c r="D53" i="4"/>
  <c r="D54" i="4"/>
  <c r="D55" i="4"/>
  <c r="D56" i="4"/>
  <c r="D57" i="4"/>
  <c r="D58" i="4"/>
  <c r="D59" i="4"/>
  <c r="D60" i="4"/>
  <c r="D61" i="4"/>
  <c r="D62" i="4"/>
  <c r="D63" i="4"/>
  <c r="D64" i="4"/>
  <c r="D49" i="4"/>
  <c r="P49" i="4" s="1"/>
  <c r="AK45" i="9"/>
  <c r="AK53" i="9"/>
  <c r="AK61" i="9"/>
  <c r="AK69" i="9"/>
  <c r="AK77" i="9"/>
  <c r="AK85" i="9"/>
  <c r="AK46" i="9"/>
  <c r="AK54" i="9"/>
  <c r="AK62" i="9"/>
  <c r="AK70" i="9"/>
  <c r="AK78" i="9"/>
  <c r="AK86" i="9"/>
  <c r="AK48" i="9"/>
  <c r="AK56" i="9"/>
  <c r="AK64" i="9"/>
  <c r="AK72" i="9"/>
  <c r="AK80" i="9"/>
  <c r="AK88" i="9"/>
  <c r="AK41" i="9"/>
  <c r="AK49" i="9"/>
  <c r="AK57" i="9"/>
  <c r="AK65" i="9"/>
  <c r="AK73" i="9"/>
  <c r="AK81" i="9"/>
  <c r="AK89" i="9"/>
  <c r="AK42" i="9"/>
  <c r="AK50" i="9"/>
  <c r="AK58" i="9"/>
  <c r="AK66" i="9"/>
  <c r="AK74" i="9"/>
  <c r="AK82" i="9"/>
  <c r="AK40" i="9"/>
  <c r="AK43" i="9"/>
  <c r="AK51" i="9"/>
  <c r="AK59" i="9"/>
  <c r="AK67" i="9"/>
  <c r="AK75" i="9"/>
  <c r="AK83" i="9"/>
  <c r="AK39" i="9"/>
  <c r="AK44" i="9"/>
  <c r="AK52" i="9"/>
  <c r="AK60" i="9"/>
  <c r="AK68" i="9"/>
  <c r="AK76" i="9"/>
  <c r="AK84" i="9"/>
  <c r="AK55" i="9"/>
  <c r="AK63" i="9"/>
  <c r="AK71" i="9"/>
  <c r="AK79" i="9"/>
  <c r="AK87" i="9"/>
  <c r="AK47" i="9"/>
  <c r="C107" i="1"/>
  <c r="C21" i="28"/>
  <c r="C133" i="28" s="1"/>
  <c r="C134" i="28" s="1"/>
  <c r="I85" i="9"/>
  <c r="I93" i="9"/>
  <c r="I101" i="9"/>
  <c r="I109" i="9"/>
  <c r="I117" i="9"/>
  <c r="I125" i="9"/>
  <c r="I133" i="9"/>
  <c r="I141" i="9"/>
  <c r="I149" i="9"/>
  <c r="I157" i="9"/>
  <c r="I165" i="9"/>
  <c r="I173" i="9"/>
  <c r="I181" i="9"/>
  <c r="I189" i="9"/>
  <c r="I197" i="9"/>
  <c r="I205" i="9"/>
  <c r="I213" i="9"/>
  <c r="I221" i="9"/>
  <c r="I229" i="9"/>
  <c r="I237" i="9"/>
  <c r="I245" i="9"/>
  <c r="I253" i="9"/>
  <c r="I261" i="9"/>
  <c r="I269" i="9"/>
  <c r="I277" i="9"/>
  <c r="I285" i="9"/>
  <c r="I293" i="9"/>
  <c r="I301" i="9"/>
  <c r="I309" i="9"/>
  <c r="I317" i="9"/>
  <c r="I325" i="9"/>
  <c r="I333" i="9"/>
  <c r="I341" i="9"/>
  <c r="I349" i="9"/>
  <c r="I357" i="9"/>
  <c r="I365" i="9"/>
  <c r="I373" i="9"/>
  <c r="I381" i="9"/>
  <c r="I389" i="9"/>
  <c r="I397" i="9"/>
  <c r="I405" i="9"/>
  <c r="I413" i="9"/>
  <c r="I421" i="9"/>
  <c r="I429" i="9"/>
  <c r="I437" i="9"/>
  <c r="I78" i="9"/>
  <c r="I86" i="9"/>
  <c r="I94" i="9"/>
  <c r="I102" i="9"/>
  <c r="I110" i="9"/>
  <c r="I118" i="9"/>
  <c r="I126" i="9"/>
  <c r="I134" i="9"/>
  <c r="I142" i="9"/>
  <c r="I150" i="9"/>
  <c r="I158" i="9"/>
  <c r="I166" i="9"/>
  <c r="I174" i="9"/>
  <c r="I182" i="9"/>
  <c r="I190" i="9"/>
  <c r="I198" i="9"/>
  <c r="I206" i="9"/>
  <c r="I214" i="9"/>
  <c r="I222" i="9"/>
  <c r="I230" i="9"/>
  <c r="I238" i="9"/>
  <c r="I246" i="9"/>
  <c r="I254" i="9"/>
  <c r="I262" i="9"/>
  <c r="I270" i="9"/>
  <c r="I278" i="9"/>
  <c r="I286" i="9"/>
  <c r="I294" i="9"/>
  <c r="I302" i="9"/>
  <c r="I310" i="9"/>
  <c r="I318" i="9"/>
  <c r="I326" i="9"/>
  <c r="I334" i="9"/>
  <c r="I342" i="9"/>
  <c r="I350" i="9"/>
  <c r="I358" i="9"/>
  <c r="I366" i="9"/>
  <c r="I374" i="9"/>
  <c r="I382" i="9"/>
  <c r="I390" i="9"/>
  <c r="I398" i="9"/>
  <c r="I406" i="9"/>
  <c r="I414" i="9"/>
  <c r="I422" i="9"/>
  <c r="I430" i="9"/>
  <c r="I79" i="9"/>
  <c r="I87" i="9"/>
  <c r="I95" i="9"/>
  <c r="I103" i="9"/>
  <c r="I111" i="9"/>
  <c r="I119" i="9"/>
  <c r="I127" i="9"/>
  <c r="I135" i="9"/>
  <c r="I143" i="9"/>
  <c r="I151" i="9"/>
  <c r="I159" i="9"/>
  <c r="I167" i="9"/>
  <c r="I175" i="9"/>
  <c r="I183" i="9"/>
  <c r="I191" i="9"/>
  <c r="I199" i="9"/>
  <c r="I207" i="9"/>
  <c r="I215" i="9"/>
  <c r="I223" i="9"/>
  <c r="I231" i="9"/>
  <c r="I239" i="9"/>
  <c r="I247" i="9"/>
  <c r="I255" i="9"/>
  <c r="I263" i="9"/>
  <c r="I271" i="9"/>
  <c r="I279" i="9"/>
  <c r="I287" i="9"/>
  <c r="I295" i="9"/>
  <c r="I303" i="9"/>
  <c r="I311" i="9"/>
  <c r="I319" i="9"/>
  <c r="I327" i="9"/>
  <c r="I335" i="9"/>
  <c r="I343" i="9"/>
  <c r="I351" i="9"/>
  <c r="I359" i="9"/>
  <c r="I367" i="9"/>
  <c r="I375" i="9"/>
  <c r="I383" i="9"/>
  <c r="I391" i="9"/>
  <c r="I399" i="9"/>
  <c r="I407" i="9"/>
  <c r="I415" i="9"/>
  <c r="I423" i="9"/>
  <c r="I431" i="9"/>
  <c r="I80" i="9"/>
  <c r="I88" i="9"/>
  <c r="I96" i="9"/>
  <c r="I104" i="9"/>
  <c r="I112" i="9"/>
  <c r="I120" i="9"/>
  <c r="I128" i="9"/>
  <c r="I136" i="9"/>
  <c r="I144" i="9"/>
  <c r="I152" i="9"/>
  <c r="I160" i="9"/>
  <c r="I168" i="9"/>
  <c r="I176" i="9"/>
  <c r="I184" i="9"/>
  <c r="I192" i="9"/>
  <c r="I200" i="9"/>
  <c r="I208" i="9"/>
  <c r="I216" i="9"/>
  <c r="I224" i="9"/>
  <c r="I232" i="9"/>
  <c r="I240" i="9"/>
  <c r="I248" i="9"/>
  <c r="I256" i="9"/>
  <c r="I264" i="9"/>
  <c r="I272" i="9"/>
  <c r="I280" i="9"/>
  <c r="I288" i="9"/>
  <c r="I296" i="9"/>
  <c r="I304" i="9"/>
  <c r="I312" i="9"/>
  <c r="I320" i="9"/>
  <c r="I328" i="9"/>
  <c r="I336" i="9"/>
  <c r="I344" i="9"/>
  <c r="I352" i="9"/>
  <c r="I360" i="9"/>
  <c r="I368" i="9"/>
  <c r="I376" i="9"/>
  <c r="I384" i="9"/>
  <c r="I392" i="9"/>
  <c r="I400" i="9"/>
  <c r="I408" i="9"/>
  <c r="I416" i="9"/>
  <c r="I424" i="9"/>
  <c r="I432" i="9"/>
  <c r="I82" i="9"/>
  <c r="I90" i="9"/>
  <c r="I98" i="9"/>
  <c r="I106" i="9"/>
  <c r="I114" i="9"/>
  <c r="I122" i="9"/>
  <c r="I130" i="9"/>
  <c r="I138" i="9"/>
  <c r="I146" i="9"/>
  <c r="I154" i="9"/>
  <c r="I162" i="9"/>
  <c r="I170" i="9"/>
  <c r="I178" i="9"/>
  <c r="I186" i="9"/>
  <c r="I194" i="9"/>
  <c r="I202" i="9"/>
  <c r="I210" i="9"/>
  <c r="I218" i="9"/>
  <c r="I226" i="9"/>
  <c r="I234" i="9"/>
  <c r="I242" i="9"/>
  <c r="I250" i="9"/>
  <c r="I258" i="9"/>
  <c r="I266" i="9"/>
  <c r="I274" i="9"/>
  <c r="I282" i="9"/>
  <c r="I290" i="9"/>
  <c r="I298" i="9"/>
  <c r="I306" i="9"/>
  <c r="I314" i="9"/>
  <c r="I322" i="9"/>
  <c r="I330" i="9"/>
  <c r="I338" i="9"/>
  <c r="I346" i="9"/>
  <c r="I354" i="9"/>
  <c r="I362" i="9"/>
  <c r="I370" i="9"/>
  <c r="I378" i="9"/>
  <c r="I386" i="9"/>
  <c r="I394" i="9"/>
  <c r="I402" i="9"/>
  <c r="I410" i="9"/>
  <c r="I418" i="9"/>
  <c r="I426" i="9"/>
  <c r="I434" i="9"/>
  <c r="I83" i="9"/>
  <c r="I91" i="9"/>
  <c r="I99" i="9"/>
  <c r="I107" i="9"/>
  <c r="I115" i="9"/>
  <c r="I123" i="9"/>
  <c r="I131" i="9"/>
  <c r="I139" i="9"/>
  <c r="I147" i="9"/>
  <c r="I155" i="9"/>
  <c r="I163" i="9"/>
  <c r="I171" i="9"/>
  <c r="I179" i="9"/>
  <c r="I187" i="9"/>
  <c r="I195" i="9"/>
  <c r="I203" i="9"/>
  <c r="I211" i="9"/>
  <c r="I219" i="9"/>
  <c r="I227" i="9"/>
  <c r="I235" i="9"/>
  <c r="I243" i="9"/>
  <c r="I251" i="9"/>
  <c r="I259" i="9"/>
  <c r="I267" i="9"/>
  <c r="I275" i="9"/>
  <c r="I283" i="9"/>
  <c r="I291" i="9"/>
  <c r="I299" i="9"/>
  <c r="I307" i="9"/>
  <c r="I315" i="9"/>
  <c r="I323" i="9"/>
  <c r="I331" i="9"/>
  <c r="I339" i="9"/>
  <c r="I347" i="9"/>
  <c r="I355" i="9"/>
  <c r="I363" i="9"/>
  <c r="I371" i="9"/>
  <c r="I379" i="9"/>
  <c r="I387" i="9"/>
  <c r="I395" i="9"/>
  <c r="I403" i="9"/>
  <c r="I411" i="9"/>
  <c r="I419" i="9"/>
  <c r="I427" i="9"/>
  <c r="I435" i="9"/>
  <c r="I108" i="9"/>
  <c r="I140" i="9"/>
  <c r="I172" i="9"/>
  <c r="I204" i="9"/>
  <c r="I236" i="9"/>
  <c r="I268" i="9"/>
  <c r="I300" i="9"/>
  <c r="I332" i="9"/>
  <c r="I364" i="9"/>
  <c r="I396" i="9"/>
  <c r="I428" i="9"/>
  <c r="I81" i="9"/>
  <c r="I113" i="9"/>
  <c r="I145" i="9"/>
  <c r="I177" i="9"/>
  <c r="I209" i="9"/>
  <c r="I241" i="9"/>
  <c r="I273" i="9"/>
  <c r="I305" i="9"/>
  <c r="I337" i="9"/>
  <c r="I369" i="9"/>
  <c r="I401" i="9"/>
  <c r="I433" i="9"/>
  <c r="I84" i="9"/>
  <c r="I116" i="9"/>
  <c r="I148" i="9"/>
  <c r="I180" i="9"/>
  <c r="I212" i="9"/>
  <c r="I244" i="9"/>
  <c r="I276" i="9"/>
  <c r="I308" i="9"/>
  <c r="I340" i="9"/>
  <c r="I372" i="9"/>
  <c r="I404" i="9"/>
  <c r="I436" i="9"/>
  <c r="I89" i="9"/>
  <c r="I121" i="9"/>
  <c r="I153" i="9"/>
  <c r="I185" i="9"/>
  <c r="I217" i="9"/>
  <c r="I249" i="9"/>
  <c r="I281" i="9"/>
  <c r="I313" i="9"/>
  <c r="I345" i="9"/>
  <c r="I377" i="9"/>
  <c r="I409" i="9"/>
  <c r="I92" i="9"/>
  <c r="I124" i="9"/>
  <c r="I156" i="9"/>
  <c r="I188" i="9"/>
  <c r="I220" i="9"/>
  <c r="I252" i="9"/>
  <c r="I284" i="9"/>
  <c r="I316" i="9"/>
  <c r="I348" i="9"/>
  <c r="I380" i="9"/>
  <c r="I412" i="9"/>
  <c r="I97" i="9"/>
  <c r="I129" i="9"/>
  <c r="I161" i="9"/>
  <c r="I193" i="9"/>
  <c r="I225" i="9"/>
  <c r="I257" i="9"/>
  <c r="I289" i="9"/>
  <c r="I321" i="9"/>
  <c r="I353" i="9"/>
  <c r="I385" i="9"/>
  <c r="I417" i="9"/>
  <c r="I100" i="9"/>
  <c r="I132" i="9"/>
  <c r="I164" i="9"/>
  <c r="I196" i="9"/>
  <c r="I228" i="9"/>
  <c r="I260" i="9"/>
  <c r="I292" i="9"/>
  <c r="I324" i="9"/>
  <c r="I356" i="9"/>
  <c r="I388" i="9"/>
  <c r="I420" i="9"/>
  <c r="I105" i="9"/>
  <c r="I361" i="9"/>
  <c r="I137" i="9"/>
  <c r="I393" i="9"/>
  <c r="I169" i="9"/>
  <c r="I425" i="9"/>
  <c r="I201" i="9"/>
  <c r="I233" i="9"/>
  <c r="I265" i="9"/>
  <c r="I297" i="9"/>
  <c r="I329" i="9"/>
  <c r="I70" i="9"/>
  <c r="I39" i="9"/>
  <c r="I47" i="9"/>
  <c r="I55" i="9"/>
  <c r="I63" i="9"/>
  <c r="I60" i="9"/>
  <c r="I71" i="9"/>
  <c r="I40" i="9"/>
  <c r="I48" i="9"/>
  <c r="I56" i="9"/>
  <c r="I64" i="9"/>
  <c r="I72" i="9"/>
  <c r="I41" i="9"/>
  <c r="I49" i="9"/>
  <c r="I57" i="9"/>
  <c r="I65" i="9"/>
  <c r="I51" i="9"/>
  <c r="I67" i="9"/>
  <c r="I73" i="9"/>
  <c r="I42" i="9"/>
  <c r="I50" i="9"/>
  <c r="I58" i="9"/>
  <c r="I66" i="9"/>
  <c r="I74" i="9"/>
  <c r="I43" i="9"/>
  <c r="I59" i="9"/>
  <c r="I68" i="9"/>
  <c r="I76" i="9"/>
  <c r="I45" i="9"/>
  <c r="I53" i="9"/>
  <c r="I61" i="9"/>
  <c r="I69" i="9"/>
  <c r="I75" i="9"/>
  <c r="I52" i="9"/>
  <c r="I77" i="9"/>
  <c r="I38" i="9"/>
  <c r="I46" i="9"/>
  <c r="I54" i="9"/>
  <c r="I62" i="9"/>
  <c r="I37" i="9"/>
  <c r="I44" i="9"/>
  <c r="C244" i="17"/>
  <c r="C151" i="17"/>
  <c r="C150" i="17" s="1"/>
  <c r="C208" i="17" s="1"/>
  <c r="H6" i="17" s="1"/>
  <c r="C169" i="17"/>
  <c r="N95" i="29"/>
  <c r="N99" i="29"/>
  <c r="N103" i="29"/>
  <c r="N107" i="29"/>
  <c r="N96" i="29"/>
  <c r="N100" i="29"/>
  <c r="N104" i="29"/>
  <c r="N108" i="29"/>
  <c r="N101" i="29"/>
  <c r="N106" i="29"/>
  <c r="N97" i="29"/>
  <c r="N102" i="29"/>
  <c r="N98" i="29"/>
  <c r="N109" i="29"/>
  <c r="N94" i="29"/>
  <c r="N105" i="29"/>
  <c r="C60" i="28"/>
  <c r="C61" i="28"/>
  <c r="C82" i="29"/>
  <c r="C62" i="29"/>
  <c r="C87" i="29" s="1"/>
  <c r="C32" i="29"/>
  <c r="C233" i="17"/>
  <c r="G115" i="29"/>
  <c r="C10" i="14"/>
  <c r="C79" i="28"/>
  <c r="D63" i="29"/>
  <c r="D65" i="29"/>
  <c r="F83" i="29"/>
  <c r="F86" i="29"/>
  <c r="F64" i="29"/>
  <c r="F66" i="29" s="1"/>
  <c r="F65" i="29"/>
  <c r="C21" i="20"/>
  <c r="C138" i="20" s="1"/>
  <c r="C215" i="17"/>
  <c r="C217" i="17" s="1"/>
  <c r="C86" i="17"/>
  <c r="C87" i="17" s="1"/>
  <c r="C29" i="21"/>
  <c r="C67" i="21"/>
  <c r="C260" i="17"/>
  <c r="C187" i="17"/>
  <c r="C14" i="5"/>
  <c r="C15" i="5" s="1"/>
  <c r="C18" i="5" s="1"/>
  <c r="P22" i="11"/>
  <c r="D25" i="11"/>
  <c r="F25" i="11" s="1"/>
  <c r="C31" i="6"/>
  <c r="C30" i="6"/>
  <c r="C20" i="21"/>
  <c r="C32" i="6"/>
  <c r="C52" i="21"/>
  <c r="F54" i="6"/>
  <c r="F56" i="6" s="1"/>
  <c r="F55" i="6"/>
  <c r="F57" i="6" s="1"/>
  <c r="D54" i="6"/>
  <c r="D56" i="6" s="1"/>
  <c r="D55" i="6"/>
  <c r="D57" i="6" s="1"/>
  <c r="C54" i="6"/>
  <c r="C56" i="6" s="1"/>
  <c r="C55" i="6"/>
  <c r="C57" i="6" s="1"/>
  <c r="E82" i="6"/>
  <c r="E62" i="6"/>
  <c r="C10" i="20"/>
  <c r="C75" i="20" s="1"/>
  <c r="C9" i="20"/>
  <c r="C53" i="21"/>
  <c r="F38" i="6"/>
  <c r="C87" i="21" s="1"/>
  <c r="C88" i="21" s="1"/>
  <c r="D38" i="6"/>
  <c r="E38" i="6"/>
  <c r="C12" i="20"/>
  <c r="C11" i="20"/>
  <c r="C23" i="4"/>
  <c r="C79" i="4"/>
  <c r="C40" i="4"/>
  <c r="C35" i="4"/>
  <c r="C43" i="4" s="1"/>
  <c r="C36" i="4"/>
  <c r="H26" i="11"/>
  <c r="H27" i="11"/>
  <c r="J3" i="11"/>
  <c r="H7" i="4"/>
  <c r="H8" i="4"/>
  <c r="H9" i="4"/>
  <c r="H12" i="4"/>
  <c r="H13" i="4"/>
  <c r="H6" i="4"/>
  <c r="E14" i="4"/>
  <c r="C14" i="4"/>
  <c r="D14" i="4"/>
  <c r="F14" i="4"/>
  <c r="G14" i="4"/>
  <c r="B14" i="4"/>
  <c r="K51" i="32" l="1"/>
  <c r="K138" i="32"/>
  <c r="K273" i="32"/>
  <c r="K59" i="32"/>
  <c r="K215" i="32"/>
  <c r="K144" i="32"/>
  <c r="K194" i="32"/>
  <c r="K33" i="32"/>
  <c r="K214" i="32"/>
  <c r="K236" i="32"/>
  <c r="K75" i="32"/>
  <c r="K105" i="32"/>
  <c r="K207" i="32"/>
  <c r="K178" i="32"/>
  <c r="K106" i="32"/>
  <c r="K157" i="32"/>
  <c r="K128" i="32"/>
  <c r="K70" i="32"/>
  <c r="K268" i="32"/>
  <c r="K161" i="32"/>
  <c r="K199" i="32"/>
  <c r="K114" i="32"/>
  <c r="K246" i="32"/>
  <c r="K221" i="32"/>
  <c r="K30" i="32"/>
  <c r="K304" i="32"/>
  <c r="K90" i="32"/>
  <c r="K127" i="32"/>
  <c r="K251" i="32"/>
  <c r="K156" i="32"/>
  <c r="K205" i="32"/>
  <c r="K97" i="32"/>
  <c r="K280" i="32"/>
  <c r="K103" i="32"/>
  <c r="K88" i="32"/>
  <c r="K217" i="32"/>
  <c r="K185" i="32"/>
  <c r="K239" i="32"/>
  <c r="K213" i="32"/>
  <c r="K111" i="32"/>
  <c r="K294" i="32"/>
  <c r="K309" i="32"/>
  <c r="K76" i="32"/>
  <c r="K277" i="32"/>
  <c r="K310" i="32"/>
  <c r="K242" i="32"/>
  <c r="K225" i="32"/>
  <c r="K58" i="32"/>
  <c r="K278" i="32"/>
  <c r="K165" i="32"/>
  <c r="K183" i="32"/>
  <c r="K131" i="32"/>
  <c r="K311" i="32"/>
  <c r="K267" i="32"/>
  <c r="K303" i="32"/>
  <c r="K27" i="32"/>
  <c r="K134" i="32"/>
  <c r="K69" i="32"/>
  <c r="K149" i="32"/>
  <c r="K230" i="32"/>
  <c r="K223" i="32"/>
  <c r="K295" i="32"/>
  <c r="K85" i="32"/>
  <c r="K227" i="32"/>
  <c r="K177" i="32"/>
  <c r="K245" i="32"/>
  <c r="K302" i="32"/>
  <c r="K232" i="32"/>
  <c r="K130" i="32"/>
  <c r="K182" i="32"/>
  <c r="K61" i="32"/>
  <c r="K71" i="32"/>
  <c r="K184" i="32"/>
  <c r="K211" i="32"/>
  <c r="K244" i="32"/>
  <c r="K171" i="32"/>
  <c r="K222" i="32"/>
  <c r="K248" i="32"/>
  <c r="K109" i="32"/>
  <c r="K34" i="32"/>
  <c r="K220" i="32"/>
  <c r="K203" i="32"/>
  <c r="K258" i="32"/>
  <c r="K36" i="32"/>
  <c r="K47" i="32"/>
  <c r="K158" i="32"/>
  <c r="K100" i="32"/>
  <c r="K73" i="32"/>
  <c r="K301" i="32"/>
  <c r="K143" i="32"/>
  <c r="K198" i="32"/>
  <c r="K99" i="32"/>
  <c r="K115" i="32"/>
  <c r="K113" i="32"/>
  <c r="K300" i="32"/>
  <c r="K226" i="32"/>
  <c r="K93" i="32"/>
  <c r="K41" i="32"/>
  <c r="K52" i="32"/>
  <c r="K269" i="32"/>
  <c r="K135" i="32"/>
  <c r="K108" i="32"/>
  <c r="K204" i="32"/>
  <c r="K238" i="32"/>
  <c r="K67" i="32"/>
  <c r="K160" i="32"/>
  <c r="K57" i="32"/>
  <c r="K288" i="32"/>
  <c r="K81" i="32"/>
  <c r="K210" i="32"/>
  <c r="K312" i="32"/>
  <c r="K116" i="32"/>
  <c r="K153" i="32"/>
  <c r="K234" i="32"/>
  <c r="K308" i="32"/>
  <c r="K229" i="32"/>
  <c r="K282" i="32"/>
  <c r="K101" i="32"/>
  <c r="K125" i="32"/>
  <c r="K285" i="32"/>
  <c r="K72" i="32"/>
  <c r="K190" i="32"/>
  <c r="K293" i="32"/>
  <c r="K122" i="32"/>
  <c r="K259" i="32"/>
  <c r="K240" i="32"/>
  <c r="K74" i="32"/>
  <c r="K28" i="32"/>
  <c r="K152" i="32"/>
  <c r="K195" i="32"/>
  <c r="K150" i="32"/>
  <c r="K257" i="32"/>
  <c r="K284" i="32"/>
  <c r="K261" i="32"/>
  <c r="K290" i="32"/>
  <c r="K292" i="32"/>
  <c r="K91" i="32"/>
  <c r="K140" i="32"/>
  <c r="K202" i="32"/>
  <c r="K175" i="32"/>
  <c r="K168" i="32"/>
  <c r="K260" i="32"/>
  <c r="K136" i="32"/>
  <c r="K192" i="32"/>
  <c r="K117" i="32"/>
  <c r="K112" i="32"/>
  <c r="K266" i="32"/>
  <c r="K118" i="32"/>
  <c r="K263" i="32"/>
  <c r="K249" i="32"/>
  <c r="K237" i="32"/>
  <c r="K264" i="32"/>
  <c r="K256" i="32"/>
  <c r="K201" i="32"/>
  <c r="K180" i="32"/>
  <c r="K145" i="32"/>
  <c r="K98" i="32"/>
  <c r="K162" i="32"/>
  <c r="K271" i="32"/>
  <c r="K275" i="32"/>
  <c r="K255" i="32"/>
  <c r="K129" i="32"/>
  <c r="K133" i="32"/>
  <c r="K147" i="32"/>
  <c r="K86" i="32"/>
  <c r="K84" i="32"/>
  <c r="K124" i="32"/>
  <c r="K231" i="32"/>
  <c r="K252" i="32"/>
  <c r="K53" i="32"/>
  <c r="K209" i="32"/>
  <c r="K254" i="32"/>
  <c r="K68" i="32"/>
  <c r="K297" i="32"/>
  <c r="K250" i="32"/>
  <c r="K286" i="32"/>
  <c r="K172" i="32"/>
  <c r="K274" i="32"/>
  <c r="K169" i="32"/>
  <c r="K60" i="32"/>
  <c r="K235" i="32"/>
  <c r="K96" i="32"/>
  <c r="K40" i="32"/>
  <c r="K31" i="32"/>
  <c r="K272" i="32"/>
  <c r="K212" i="32"/>
  <c r="K170" i="32"/>
  <c r="K265" i="32"/>
  <c r="K79" i="32"/>
  <c r="K188" i="32"/>
  <c r="K29" i="32"/>
  <c r="K253" i="32"/>
  <c r="K77" i="32"/>
  <c r="K224" i="32"/>
  <c r="K38" i="32"/>
  <c r="K141" i="32"/>
  <c r="K173" i="32"/>
  <c r="K176" i="32"/>
  <c r="K241" i="32"/>
  <c r="K289" i="32"/>
  <c r="K43" i="32"/>
  <c r="K243" i="32"/>
  <c r="K137" i="32"/>
  <c r="K306" i="32"/>
  <c r="K283" i="32"/>
  <c r="K139" i="32"/>
  <c r="K62" i="32"/>
  <c r="K44" i="32"/>
  <c r="K110" i="32"/>
  <c r="K80" i="32"/>
  <c r="K287" i="32"/>
  <c r="K299" i="32"/>
  <c r="K48" i="32"/>
  <c r="K167" i="32"/>
  <c r="K142" i="32"/>
  <c r="K298" i="32"/>
  <c r="K166" i="32"/>
  <c r="K46" i="32"/>
  <c r="K65" i="32"/>
  <c r="K35" i="32"/>
  <c r="K228" i="32"/>
  <c r="K154" i="32"/>
  <c r="K132" i="32"/>
  <c r="K186" i="32"/>
  <c r="K216" i="32"/>
  <c r="K155" i="32"/>
  <c r="K233" i="32"/>
  <c r="K305" i="32"/>
  <c r="K56" i="32"/>
  <c r="K107" i="32"/>
  <c r="K179" i="32"/>
  <c r="K104" i="32"/>
  <c r="K279" i="32"/>
  <c r="K82" i="32"/>
  <c r="K208" i="32"/>
  <c r="K247" i="32"/>
  <c r="K121" i="32"/>
  <c r="K276" i="32"/>
  <c r="K187" i="32"/>
  <c r="K197" i="32"/>
  <c r="K32" i="32"/>
  <c r="K50" i="32"/>
  <c r="K39" i="32"/>
  <c r="K126" i="32"/>
  <c r="K83" i="32"/>
  <c r="K296" i="32"/>
  <c r="K66" i="32"/>
  <c r="K54" i="32"/>
  <c r="K163" i="32"/>
  <c r="K123" i="32"/>
  <c r="K189" i="32"/>
  <c r="K45" i="32"/>
  <c r="K92" i="32"/>
  <c r="K174" i="32"/>
  <c r="K270" i="32"/>
  <c r="AJ313" i="16"/>
  <c r="K146" i="32"/>
  <c r="K219" i="32"/>
  <c r="K181" i="32"/>
  <c r="AJ289" i="16"/>
  <c r="K148" i="32"/>
  <c r="K191" i="32"/>
  <c r="K200" i="32"/>
  <c r="K37" i="32"/>
  <c r="K78" i="32"/>
  <c r="K89" i="32"/>
  <c r="K94" i="32"/>
  <c r="K218" i="32"/>
  <c r="K63" i="32"/>
  <c r="K55" i="32"/>
  <c r="K196" i="32"/>
  <c r="K206" i="32"/>
  <c r="K291" i="32"/>
  <c r="K159" i="32"/>
  <c r="AJ157" i="16"/>
  <c r="K307" i="32"/>
  <c r="K42" i="32"/>
  <c r="K164" i="32"/>
  <c r="K87" i="32"/>
  <c r="K49" i="32"/>
  <c r="K262" i="32"/>
  <c r="K64" i="32"/>
  <c r="AJ140" i="16"/>
  <c r="AJ233" i="16"/>
  <c r="K102" i="32"/>
  <c r="K151" i="32"/>
  <c r="K95" i="32"/>
  <c r="K119" i="32"/>
  <c r="K281" i="32"/>
  <c r="AJ125" i="16"/>
  <c r="AJ193" i="16"/>
  <c r="AJ235" i="16"/>
  <c r="AJ258" i="16"/>
  <c r="AJ245" i="16"/>
  <c r="AJ208" i="16"/>
  <c r="AJ133" i="16"/>
  <c r="AJ109" i="16"/>
  <c r="AJ161" i="16"/>
  <c r="AJ320" i="16"/>
  <c r="AJ173" i="16"/>
  <c r="AJ326" i="16"/>
  <c r="AJ221" i="16"/>
  <c r="AJ128" i="16"/>
  <c r="AJ148" i="16"/>
  <c r="AJ323" i="16"/>
  <c r="AJ169" i="16"/>
  <c r="AJ309" i="16"/>
  <c r="AJ223" i="16"/>
  <c r="AJ146" i="16"/>
  <c r="AJ124" i="16"/>
  <c r="AJ130" i="16"/>
  <c r="AJ264" i="16"/>
  <c r="AJ249" i="16"/>
  <c r="AJ246" i="16"/>
  <c r="AJ257" i="16"/>
  <c r="AJ121" i="16"/>
  <c r="AJ305" i="16"/>
  <c r="AJ111" i="16"/>
  <c r="AJ217" i="16"/>
  <c r="AJ185" i="16"/>
  <c r="AJ261" i="16"/>
  <c r="AJ139" i="16"/>
  <c r="AJ129" i="16"/>
  <c r="AJ197" i="16"/>
  <c r="AJ101" i="16"/>
  <c r="AJ137" i="16"/>
  <c r="AJ277" i="16"/>
  <c r="AJ145" i="16"/>
  <c r="AJ132" i="16"/>
  <c r="AJ308" i="16"/>
  <c r="AJ317" i="16"/>
  <c r="AJ103" i="16"/>
  <c r="AJ91" i="16"/>
  <c r="AJ141" i="16"/>
  <c r="AJ293" i="16"/>
  <c r="AJ216" i="16"/>
  <c r="AJ297" i="16"/>
  <c r="AJ230" i="16"/>
  <c r="AJ244" i="16"/>
  <c r="AJ228" i="16"/>
  <c r="AJ288" i="16"/>
  <c r="AJ97" i="16"/>
  <c r="AJ325" i="16"/>
  <c r="AJ114" i="16"/>
  <c r="AJ149" i="16"/>
  <c r="AJ252" i="16"/>
  <c r="AJ120" i="16"/>
  <c r="AJ201" i="16"/>
  <c r="AJ165" i="16"/>
  <c r="AJ168" i="16"/>
  <c r="AJ285" i="16"/>
  <c r="AJ212" i="16"/>
  <c r="AJ119" i="16"/>
  <c r="AJ284" i="16"/>
  <c r="AJ269" i="16"/>
  <c r="AJ314" i="16"/>
  <c r="AJ183" i="16"/>
  <c r="AJ213" i="16"/>
  <c r="AJ316" i="16"/>
  <c r="AJ181" i="16"/>
  <c r="AJ225" i="16"/>
  <c r="AJ182" i="16"/>
  <c r="AJ147" i="16"/>
  <c r="AJ240" i="16"/>
  <c r="AJ116" i="16"/>
  <c r="AJ142" i="16"/>
  <c r="AJ176" i="16"/>
  <c r="AJ303" i="16"/>
  <c r="AJ194" i="16"/>
  <c r="AJ136" i="16"/>
  <c r="AJ280" i="16"/>
  <c r="AJ151" i="16"/>
  <c r="AJ189" i="16"/>
  <c r="AJ89" i="16"/>
  <c r="AJ281" i="16"/>
  <c r="AJ126" i="16"/>
  <c r="AJ241" i="16"/>
  <c r="AJ254" i="16"/>
  <c r="AJ172" i="16"/>
  <c r="AJ93" i="16"/>
  <c r="AJ229" i="16"/>
  <c r="AJ171" i="16"/>
  <c r="AJ118" i="16"/>
  <c r="AJ286" i="16"/>
  <c r="AJ105" i="16"/>
  <c r="AJ253" i="16"/>
  <c r="AJ150" i="16"/>
  <c r="AJ248" i="16"/>
  <c r="AJ159" i="16"/>
  <c r="AJ321" i="16"/>
  <c r="AJ190" i="16"/>
  <c r="AJ153" i="16"/>
  <c r="AJ250" i="16"/>
  <c r="AJ273" i="16"/>
  <c r="AJ282" i="16"/>
  <c r="AJ209" i="16"/>
  <c r="AJ227" i="16"/>
  <c r="AJ95" i="16"/>
  <c r="AJ265" i="16"/>
  <c r="AJ298" i="16"/>
  <c r="AJ302" i="16"/>
  <c r="AJ276" i="16"/>
  <c r="AJ177" i="16"/>
  <c r="AJ100" i="16"/>
  <c r="AJ237" i="16"/>
  <c r="AJ85" i="16"/>
  <c r="AJ214" i="16"/>
  <c r="AJ295" i="16"/>
  <c r="AJ198" i="16"/>
  <c r="AJ205" i="16"/>
  <c r="AJ117" i="16"/>
  <c r="AJ274" i="16"/>
  <c r="AJ113" i="16"/>
  <c r="AJ301" i="16"/>
  <c r="C76" i="20"/>
  <c r="C60" i="20" s="1"/>
  <c r="AK29" i="32"/>
  <c r="AK49" i="32"/>
  <c r="AK31" i="32"/>
  <c r="AK37" i="32"/>
  <c r="AK39" i="32"/>
  <c r="AK87" i="32"/>
  <c r="AK75" i="32"/>
  <c r="AK76" i="32"/>
  <c r="AK43" i="32"/>
  <c r="AK77" i="32"/>
  <c r="AK81" i="32"/>
  <c r="AK73" i="32"/>
  <c r="AK95" i="32"/>
  <c r="AK119" i="32"/>
  <c r="C144" i="20"/>
  <c r="C109" i="29"/>
  <c r="C28" i="7"/>
  <c r="C48" i="7"/>
  <c r="C45" i="28"/>
  <c r="C46" i="28" s="1"/>
  <c r="C47" i="28" s="1"/>
  <c r="C140" i="28"/>
  <c r="C141" i="28" s="1"/>
  <c r="P58" i="4"/>
  <c r="O58" i="4"/>
  <c r="N58" i="4" s="1"/>
  <c r="Q58" i="4" s="1"/>
  <c r="P54" i="4"/>
  <c r="O54" i="4"/>
  <c r="O57" i="4"/>
  <c r="P57" i="4"/>
  <c r="P59" i="4"/>
  <c r="O59" i="4"/>
  <c r="P63" i="4"/>
  <c r="O63" i="4"/>
  <c r="N63" i="4" s="1"/>
  <c r="Q63" i="4" s="1"/>
  <c r="P62" i="4"/>
  <c r="O62" i="4"/>
  <c r="O49" i="4"/>
  <c r="N49" i="4" s="1"/>
  <c r="Q49" i="4" s="1"/>
  <c r="O61" i="4"/>
  <c r="P61" i="4"/>
  <c r="P64" i="4"/>
  <c r="O64" i="4"/>
  <c r="P60" i="4"/>
  <c r="O60" i="4"/>
  <c r="N60" i="4" s="1"/>
  <c r="Q60" i="4" s="1"/>
  <c r="O51" i="4"/>
  <c r="P51" i="4"/>
  <c r="P55" i="4"/>
  <c r="O55" i="4"/>
  <c r="P50" i="4"/>
  <c r="O50" i="4"/>
  <c r="N50" i="4" s="1"/>
  <c r="Q50" i="4" s="1"/>
  <c r="O53" i="4"/>
  <c r="P53" i="4"/>
  <c r="O56" i="4"/>
  <c r="P56" i="4"/>
  <c r="P52" i="4"/>
  <c r="O52" i="4"/>
  <c r="N52" i="4" s="1"/>
  <c r="Q52" i="4" s="1"/>
  <c r="C108" i="6"/>
  <c r="C155" i="17"/>
  <c r="C162" i="17" s="1"/>
  <c r="D64" i="29"/>
  <c r="D66" i="29" s="1"/>
  <c r="C65" i="29"/>
  <c r="C139" i="20"/>
  <c r="C216" i="17"/>
  <c r="C64" i="29"/>
  <c r="C66" i="29"/>
  <c r="E208" i="17"/>
  <c r="I6" i="17" s="1"/>
  <c r="C23" i="5"/>
  <c r="C20" i="5"/>
  <c r="C16" i="5"/>
  <c r="C19" i="5" s="1"/>
  <c r="C21" i="5" s="1"/>
  <c r="F31" i="11"/>
  <c r="H31" i="11" s="1"/>
  <c r="C83" i="20"/>
  <c r="C45" i="20"/>
  <c r="G40" i="1"/>
  <c r="C82" i="6"/>
  <c r="C62" i="6"/>
  <c r="F58" i="6"/>
  <c r="C30" i="21"/>
  <c r="C21" i="21"/>
  <c r="C22" i="21" s="1"/>
  <c r="E53" i="21"/>
  <c r="G53" i="21"/>
  <c r="C58" i="6"/>
  <c r="E52" i="21"/>
  <c r="G52" i="21"/>
  <c r="D58" i="6"/>
  <c r="D42" i="6"/>
  <c r="D44" i="6" s="1"/>
  <c r="D41" i="6"/>
  <c r="D43" i="6" s="1"/>
  <c r="F42" i="6"/>
  <c r="F44" i="6" s="1"/>
  <c r="F41" i="6"/>
  <c r="F43" i="6" s="1"/>
  <c r="H14" i="4"/>
  <c r="C18" i="4" s="1"/>
  <c r="I14" i="4"/>
  <c r="C19" i="4" s="1"/>
  <c r="C25" i="4" s="1"/>
  <c r="D28" i="11"/>
  <c r="F28" i="11" s="1"/>
  <c r="H28" i="11" s="1"/>
  <c r="J37" i="11"/>
  <c r="H25" i="11"/>
  <c r="J38" i="11"/>
  <c r="J39" i="11"/>
  <c r="C68" i="29" l="1"/>
  <c r="C69" i="29"/>
  <c r="C46" i="20"/>
  <c r="C96" i="1" s="1"/>
  <c r="C97" i="1"/>
  <c r="C95" i="1"/>
  <c r="F29" i="11"/>
  <c r="C145" i="20"/>
  <c r="C142" i="28"/>
  <c r="C149" i="28" s="1"/>
  <c r="C49" i="28"/>
  <c r="C50" i="28" s="1"/>
  <c r="C69" i="28"/>
  <c r="N59" i="4"/>
  <c r="Q59" i="4" s="1"/>
  <c r="N64" i="4"/>
  <c r="Q64" i="4" s="1"/>
  <c r="N54" i="4"/>
  <c r="Q54" i="4" s="1"/>
  <c r="N62" i="4"/>
  <c r="Q62" i="4" s="1"/>
  <c r="N61" i="4"/>
  <c r="Q61" i="4" s="1"/>
  <c r="N55" i="4"/>
  <c r="Q55" i="4" s="1"/>
  <c r="N57" i="4"/>
  <c r="Q57" i="4" s="1"/>
  <c r="N53" i="4"/>
  <c r="Q53" i="4" s="1"/>
  <c r="N56" i="4"/>
  <c r="Q56" i="4" s="1"/>
  <c r="N51" i="4"/>
  <c r="Q51" i="4" s="1"/>
  <c r="H30" i="11"/>
  <c r="J40" i="11" s="1"/>
  <c r="J42" i="11" s="1"/>
  <c r="C26" i="4"/>
  <c r="C32" i="25"/>
  <c r="C34" i="27"/>
  <c r="C52" i="1" s="1"/>
  <c r="C13" i="25"/>
  <c r="C14" i="25" s="1"/>
  <c r="C15" i="27"/>
  <c r="C33" i="1" s="1"/>
  <c r="C47" i="20"/>
  <c r="C98" i="1" s="1"/>
  <c r="I49" i="21"/>
  <c r="I48" i="21"/>
  <c r="D45" i="6"/>
  <c r="D63" i="6" s="1"/>
  <c r="I47" i="21"/>
  <c r="I46" i="21"/>
  <c r="F45" i="6"/>
  <c r="F63" i="6" s="1"/>
  <c r="C50" i="20" l="1"/>
  <c r="C51" i="20" s="1"/>
  <c r="I40" i="11"/>
  <c r="C146" i="20"/>
  <c r="C156" i="20" s="1"/>
  <c r="C48" i="11"/>
  <c r="B57" i="11" s="1"/>
  <c r="B58" i="11" s="1"/>
  <c r="I48" i="11"/>
  <c r="Q58" i="11" s="1"/>
  <c r="C47" i="11"/>
  <c r="G58" i="11" s="1"/>
  <c r="I47" i="11"/>
  <c r="C157" i="20"/>
  <c r="J67" i="16" s="1"/>
  <c r="I356" i="20"/>
  <c r="I368" i="20"/>
  <c r="I380" i="20"/>
  <c r="K385" i="20"/>
  <c r="I357" i="20"/>
  <c r="I369" i="20"/>
  <c r="I381" i="20"/>
  <c r="I354" i="20"/>
  <c r="I358" i="20"/>
  <c r="I370" i="20"/>
  <c r="I382" i="20"/>
  <c r="I359" i="20"/>
  <c r="I371" i="20"/>
  <c r="I383" i="20"/>
  <c r="I366" i="20"/>
  <c r="I360" i="20"/>
  <c r="I372" i="20"/>
  <c r="I384" i="20"/>
  <c r="I378" i="20"/>
  <c r="I361" i="20"/>
  <c r="I373" i="20"/>
  <c r="I385" i="20"/>
  <c r="I362" i="20"/>
  <c r="I374" i="20"/>
  <c r="D355" i="20"/>
  <c r="I363" i="20"/>
  <c r="I375" i="20"/>
  <c r="I364" i="20"/>
  <c r="I376" i="20"/>
  <c r="I365" i="20"/>
  <c r="I377" i="20"/>
  <c r="I355" i="20"/>
  <c r="I367" i="20"/>
  <c r="I379" i="20"/>
  <c r="D363" i="20"/>
  <c r="D375" i="20"/>
  <c r="D357" i="20"/>
  <c r="D364" i="20"/>
  <c r="D376" i="20"/>
  <c r="D356" i="20"/>
  <c r="D365" i="20"/>
  <c r="D377" i="20"/>
  <c r="D362" i="20"/>
  <c r="D366" i="20"/>
  <c r="D378" i="20"/>
  <c r="D367" i="20"/>
  <c r="D379" i="20"/>
  <c r="D385" i="20"/>
  <c r="D368" i="20"/>
  <c r="D380" i="20"/>
  <c r="D373" i="20"/>
  <c r="D369" i="20"/>
  <c r="D381" i="20"/>
  <c r="D358" i="20"/>
  <c r="D370" i="20"/>
  <c r="D382" i="20"/>
  <c r="D359" i="20"/>
  <c r="D371" i="20"/>
  <c r="D383" i="20"/>
  <c r="D374" i="20"/>
  <c r="D360" i="20"/>
  <c r="D372" i="20"/>
  <c r="D384" i="20"/>
  <c r="D361" i="20"/>
  <c r="C189" i="20"/>
  <c r="C172" i="20"/>
  <c r="C191" i="20"/>
  <c r="C190" i="20"/>
  <c r="C173" i="20"/>
  <c r="C185" i="20"/>
  <c r="C174" i="20"/>
  <c r="C186" i="20"/>
  <c r="C175" i="20"/>
  <c r="C187" i="20"/>
  <c r="C176" i="20"/>
  <c r="C188" i="20"/>
  <c r="C177" i="20"/>
  <c r="C178" i="20"/>
  <c r="C179" i="20"/>
  <c r="C192" i="20"/>
  <c r="C180" i="20"/>
  <c r="C193" i="20"/>
  <c r="C181" i="20"/>
  <c r="C183" i="20"/>
  <c r="C182" i="20"/>
  <c r="C184" i="20"/>
  <c r="C148" i="28"/>
  <c r="C37" i="28" s="1"/>
  <c r="C135" i="28" s="1"/>
  <c r="C136" i="28" s="1"/>
  <c r="J5" i="32"/>
  <c r="F81" i="11"/>
  <c r="F78" i="11"/>
  <c r="F82" i="11"/>
  <c r="F83" i="11"/>
  <c r="F77" i="11"/>
  <c r="F75" i="11"/>
  <c r="F76" i="11"/>
  <c r="F79" i="11"/>
  <c r="F80" i="11"/>
  <c r="F59" i="11"/>
  <c r="F72" i="11"/>
  <c r="F73" i="11"/>
  <c r="F74" i="11"/>
  <c r="F68" i="11"/>
  <c r="F57" i="11"/>
  <c r="D94" i="11"/>
  <c r="D95" i="11" s="1"/>
  <c r="D96" i="11" s="1"/>
  <c r="F67" i="11"/>
  <c r="K32" i="11"/>
  <c r="F58" i="11"/>
  <c r="O78" i="4"/>
  <c r="AC31" i="4" s="1"/>
  <c r="O77" i="4"/>
  <c r="C75" i="29"/>
  <c r="C13" i="28"/>
  <c r="D75" i="6"/>
  <c r="D80" i="6" s="1"/>
  <c r="D75" i="29"/>
  <c r="E75" i="29"/>
  <c r="F66" i="11"/>
  <c r="F65" i="11"/>
  <c r="F64" i="11"/>
  <c r="F63" i="11"/>
  <c r="F61" i="11"/>
  <c r="F60" i="11"/>
  <c r="E75" i="6"/>
  <c r="E80" i="6" s="1"/>
  <c r="E83" i="6" s="1"/>
  <c r="C16" i="27"/>
  <c r="C25" i="6"/>
  <c r="F62" i="11"/>
  <c r="C13" i="20"/>
  <c r="C75" i="6"/>
  <c r="F69" i="11"/>
  <c r="F70" i="11"/>
  <c r="F71" i="11"/>
  <c r="F64" i="6"/>
  <c r="F83" i="6"/>
  <c r="D64" i="6"/>
  <c r="D66" i="6" s="1"/>
  <c r="D65" i="6"/>
  <c r="F65" i="6"/>
  <c r="D17" i="9" l="1"/>
  <c r="D36" i="9" s="1"/>
  <c r="D37" i="9" s="1"/>
  <c r="BH40" i="9" s="1"/>
  <c r="BP39" i="9" s="1"/>
  <c r="I51" i="11"/>
  <c r="V62" i="11"/>
  <c r="V70" i="11"/>
  <c r="V78" i="11"/>
  <c r="V63" i="11"/>
  <c r="V71" i="11"/>
  <c r="V79" i="11"/>
  <c r="V69" i="11"/>
  <c r="V81" i="11"/>
  <c r="V60" i="11"/>
  <c r="V72" i="11"/>
  <c r="V82" i="11"/>
  <c r="V61" i="11"/>
  <c r="V73" i="11"/>
  <c r="V83" i="11"/>
  <c r="V64" i="11"/>
  <c r="V74" i="11"/>
  <c r="V84" i="11"/>
  <c r="V65" i="11"/>
  <c r="V75" i="11"/>
  <c r="V59" i="11"/>
  <c r="V68" i="11"/>
  <c r="V76" i="11"/>
  <c r="V77" i="11"/>
  <c r="V80" i="11"/>
  <c r="V66" i="11"/>
  <c r="V67" i="11"/>
  <c r="B68" i="11"/>
  <c r="I43" i="11"/>
  <c r="K25" i="11"/>
  <c r="H355" i="20"/>
  <c r="H367" i="20"/>
  <c r="H379" i="20"/>
  <c r="H356" i="20"/>
  <c r="H368" i="20"/>
  <c r="H380" i="20"/>
  <c r="H357" i="20"/>
  <c r="H369" i="20"/>
  <c r="H381" i="20"/>
  <c r="H359" i="20"/>
  <c r="H358" i="20"/>
  <c r="H370" i="20"/>
  <c r="H382" i="20"/>
  <c r="H371" i="20"/>
  <c r="H360" i="20"/>
  <c r="H372" i="20"/>
  <c r="H361" i="20"/>
  <c r="H373" i="20"/>
  <c r="H362" i="20"/>
  <c r="H374" i="20"/>
  <c r="H363" i="20"/>
  <c r="H375" i="20"/>
  <c r="H364" i="20"/>
  <c r="H376" i="20"/>
  <c r="H365" i="20"/>
  <c r="H377" i="20"/>
  <c r="H354" i="20"/>
  <c r="H366" i="20"/>
  <c r="H378" i="20"/>
  <c r="Q60" i="11"/>
  <c r="Q76" i="11"/>
  <c r="Q61" i="11"/>
  <c r="Q77" i="11"/>
  <c r="Q62" i="11"/>
  <c r="Q78" i="11"/>
  <c r="Q63" i="11"/>
  <c r="Q79" i="11"/>
  <c r="Q64" i="11"/>
  <c r="Q80" i="11"/>
  <c r="Q65" i="11"/>
  <c r="Q81" i="11"/>
  <c r="Q75" i="11"/>
  <c r="Q66" i="11"/>
  <c r="Q82" i="11"/>
  <c r="Q67" i="11"/>
  <c r="Q83" i="11"/>
  <c r="Q68" i="11"/>
  <c r="Q84" i="11"/>
  <c r="Q69" i="11"/>
  <c r="Q59" i="11"/>
  <c r="Q70" i="11"/>
  <c r="Q71" i="11"/>
  <c r="Q72" i="11"/>
  <c r="Q73" i="11"/>
  <c r="Q74" i="11"/>
  <c r="B80" i="11"/>
  <c r="B65" i="11"/>
  <c r="B82" i="11"/>
  <c r="B77" i="11"/>
  <c r="B71" i="11"/>
  <c r="B76" i="11"/>
  <c r="B63" i="11"/>
  <c r="B67" i="11"/>
  <c r="B83" i="11"/>
  <c r="B79" i="11"/>
  <c r="B61" i="11"/>
  <c r="B64" i="11"/>
  <c r="B74" i="11"/>
  <c r="B75" i="11"/>
  <c r="B81" i="11"/>
  <c r="B78" i="11"/>
  <c r="B60" i="11"/>
  <c r="B70" i="11"/>
  <c r="B73" i="11"/>
  <c r="B59" i="11"/>
  <c r="B69" i="11"/>
  <c r="B72" i="11"/>
  <c r="B66" i="11"/>
  <c r="B62" i="11"/>
  <c r="J66" i="16"/>
  <c r="C48" i="28"/>
  <c r="C129" i="28"/>
  <c r="C38" i="28"/>
  <c r="C145" i="28"/>
  <c r="C52" i="28"/>
  <c r="C41" i="28"/>
  <c r="C111" i="28" s="1"/>
  <c r="J4" i="32"/>
  <c r="G64" i="11"/>
  <c r="G78" i="11"/>
  <c r="G79" i="11"/>
  <c r="G80" i="11"/>
  <c r="G81" i="11"/>
  <c r="G83" i="11"/>
  <c r="G82" i="11"/>
  <c r="G76" i="11"/>
  <c r="G77" i="11"/>
  <c r="G75" i="11"/>
  <c r="G62" i="11"/>
  <c r="G72" i="11"/>
  <c r="G73" i="11"/>
  <c r="G74" i="11"/>
  <c r="G59" i="11"/>
  <c r="G70" i="11"/>
  <c r="G68" i="11"/>
  <c r="G65" i="11"/>
  <c r="G71" i="11"/>
  <c r="G67" i="11"/>
  <c r="G66" i="11"/>
  <c r="G63" i="11"/>
  <c r="G60" i="11"/>
  <c r="C51" i="11"/>
  <c r="BD47" i="9"/>
  <c r="BD55" i="9"/>
  <c r="BD63" i="9"/>
  <c r="BD71" i="9"/>
  <c r="BD79" i="9"/>
  <c r="BD87" i="9"/>
  <c r="BB44" i="9"/>
  <c r="BB52" i="9"/>
  <c r="BB60" i="9"/>
  <c r="BB68" i="9"/>
  <c r="BB76" i="9"/>
  <c r="BB84" i="9"/>
  <c r="AZ41" i="9"/>
  <c r="AZ49" i="9"/>
  <c r="AZ57" i="9"/>
  <c r="AZ65" i="9"/>
  <c r="AZ73" i="9"/>
  <c r="AZ81" i="9"/>
  <c r="AZ89" i="9"/>
  <c r="AX46" i="9"/>
  <c r="AX54" i="9"/>
  <c r="AX62" i="9"/>
  <c r="AX70" i="9"/>
  <c r="AX78" i="9"/>
  <c r="AX86" i="9"/>
  <c r="BD40" i="9"/>
  <c r="BD48" i="9"/>
  <c r="BD56" i="9"/>
  <c r="BD64" i="9"/>
  <c r="BD72" i="9"/>
  <c r="BD80" i="9"/>
  <c r="BD88" i="9"/>
  <c r="BB45" i="9"/>
  <c r="BB53" i="9"/>
  <c r="BB61" i="9"/>
  <c r="BB69" i="9"/>
  <c r="BB77" i="9"/>
  <c r="BB85" i="9"/>
  <c r="AZ42" i="9"/>
  <c r="AZ50" i="9"/>
  <c r="AZ58" i="9"/>
  <c r="AZ66" i="9"/>
  <c r="AZ74" i="9"/>
  <c r="AZ82" i="9"/>
  <c r="AZ39" i="9"/>
  <c r="AX47" i="9"/>
  <c r="AX55" i="9"/>
  <c r="AX63" i="9"/>
  <c r="AX71" i="9"/>
  <c r="AX79" i="9"/>
  <c r="AX87" i="9"/>
  <c r="BD41" i="9"/>
  <c r="BB54" i="9"/>
  <c r="BB86" i="9"/>
  <c r="AZ67" i="9"/>
  <c r="AX48" i="9"/>
  <c r="AX88" i="9"/>
  <c r="BD42" i="9"/>
  <c r="BD50" i="9"/>
  <c r="BD58" i="9"/>
  <c r="BD66" i="9"/>
  <c r="BD74" i="9"/>
  <c r="BD82" i="9"/>
  <c r="BD39" i="9"/>
  <c r="BB47" i="9"/>
  <c r="BB55" i="9"/>
  <c r="BB63" i="9"/>
  <c r="BB71" i="9"/>
  <c r="BB79" i="9"/>
  <c r="BB87" i="9"/>
  <c r="AZ44" i="9"/>
  <c r="AZ52" i="9"/>
  <c r="AZ60" i="9"/>
  <c r="AZ68" i="9"/>
  <c r="AZ76" i="9"/>
  <c r="AZ84" i="9"/>
  <c r="AX41" i="9"/>
  <c r="AX49" i="9"/>
  <c r="AX57" i="9"/>
  <c r="AX65" i="9"/>
  <c r="AX73" i="9"/>
  <c r="AX81" i="9"/>
  <c r="AX89" i="9"/>
  <c r="BD81" i="9"/>
  <c r="BB46" i="9"/>
  <c r="BB78" i="9"/>
  <c r="AZ59" i="9"/>
  <c r="AX40" i="9"/>
  <c r="AX80" i="9"/>
  <c r="BD43" i="9"/>
  <c r="BD51" i="9"/>
  <c r="BD59" i="9"/>
  <c r="BD67" i="9"/>
  <c r="BD75" i="9"/>
  <c r="BD83" i="9"/>
  <c r="BB40" i="9"/>
  <c r="BB48" i="9"/>
  <c r="BB56" i="9"/>
  <c r="BB64" i="9"/>
  <c r="BB72" i="9"/>
  <c r="BB80" i="9"/>
  <c r="BB88" i="9"/>
  <c r="AZ45" i="9"/>
  <c r="AZ53" i="9"/>
  <c r="AZ61" i="9"/>
  <c r="AZ69" i="9"/>
  <c r="AZ77" i="9"/>
  <c r="AZ85" i="9"/>
  <c r="AX42" i="9"/>
  <c r="AX50" i="9"/>
  <c r="AX58" i="9"/>
  <c r="AX66" i="9"/>
  <c r="AX74" i="9"/>
  <c r="AX82" i="9"/>
  <c r="AX39" i="9"/>
  <c r="BD89" i="9"/>
  <c r="BB62" i="9"/>
  <c r="AZ51" i="9"/>
  <c r="AZ83" i="9"/>
  <c r="AX72" i="9"/>
  <c r="BD44" i="9"/>
  <c r="BD52" i="9"/>
  <c r="BD60" i="9"/>
  <c r="BD68" i="9"/>
  <c r="BD76" i="9"/>
  <c r="BD84" i="9"/>
  <c r="BB41" i="9"/>
  <c r="BB49" i="9"/>
  <c r="BB57" i="9"/>
  <c r="BB65" i="9"/>
  <c r="BB73" i="9"/>
  <c r="BB81" i="9"/>
  <c r="BB89" i="9"/>
  <c r="AZ46" i="9"/>
  <c r="AZ54" i="9"/>
  <c r="AZ62" i="9"/>
  <c r="AZ70" i="9"/>
  <c r="AZ78" i="9"/>
  <c r="AZ86" i="9"/>
  <c r="AX43" i="9"/>
  <c r="AX51" i="9"/>
  <c r="AX59" i="9"/>
  <c r="AX67" i="9"/>
  <c r="AX75" i="9"/>
  <c r="AX83" i="9"/>
  <c r="BD45" i="9"/>
  <c r="BD53" i="9"/>
  <c r="BD61" i="9"/>
  <c r="BD69" i="9"/>
  <c r="BD77" i="9"/>
  <c r="BD85" i="9"/>
  <c r="BB42" i="9"/>
  <c r="BB50" i="9"/>
  <c r="BB58" i="9"/>
  <c r="BB66" i="9"/>
  <c r="BB74" i="9"/>
  <c r="BB82" i="9"/>
  <c r="BB39" i="9"/>
  <c r="AZ47" i="9"/>
  <c r="AZ55" i="9"/>
  <c r="AZ63" i="9"/>
  <c r="AZ71" i="9"/>
  <c r="AZ79" i="9"/>
  <c r="AZ87" i="9"/>
  <c r="AX44" i="9"/>
  <c r="AX52" i="9"/>
  <c r="AX60" i="9"/>
  <c r="AX68" i="9"/>
  <c r="AX76" i="9"/>
  <c r="AX84" i="9"/>
  <c r="BD65" i="9"/>
  <c r="AX64" i="9"/>
  <c r="BD46" i="9"/>
  <c r="BD54" i="9"/>
  <c r="BD62" i="9"/>
  <c r="BD70" i="9"/>
  <c r="BD78" i="9"/>
  <c r="BD86" i="9"/>
  <c r="BB43" i="9"/>
  <c r="BB51" i="9"/>
  <c r="BB59" i="9"/>
  <c r="BB67" i="9"/>
  <c r="BB75" i="9"/>
  <c r="BB83" i="9"/>
  <c r="AZ40" i="9"/>
  <c r="AZ48" i="9"/>
  <c r="AZ56" i="9"/>
  <c r="AZ64" i="9"/>
  <c r="AZ72" i="9"/>
  <c r="AZ80" i="9"/>
  <c r="AZ88" i="9"/>
  <c r="AX45" i="9"/>
  <c r="AX53" i="9"/>
  <c r="AX61" i="9"/>
  <c r="AX69" i="9"/>
  <c r="AX77" i="9"/>
  <c r="AX85" i="9"/>
  <c r="BD49" i="9"/>
  <c r="BB70" i="9"/>
  <c r="AZ43" i="9"/>
  <c r="AZ75" i="9"/>
  <c r="AX56" i="9"/>
  <c r="BD57" i="9"/>
  <c r="BD73" i="9"/>
  <c r="C37" i="20"/>
  <c r="C69" i="27" s="1"/>
  <c r="C152" i="20" s="1"/>
  <c r="Z39" i="9"/>
  <c r="Z51" i="9"/>
  <c r="Z63" i="9"/>
  <c r="Z75" i="9"/>
  <c r="Z87" i="9"/>
  <c r="Z99" i="9"/>
  <c r="Z111" i="9"/>
  <c r="Z123" i="9"/>
  <c r="Z135" i="9"/>
  <c r="Z147" i="9"/>
  <c r="Z159" i="9"/>
  <c r="Z171" i="9"/>
  <c r="Z183" i="9"/>
  <c r="Z195" i="9"/>
  <c r="Z207" i="9"/>
  <c r="Z219" i="9"/>
  <c r="Z231" i="9"/>
  <c r="Z243" i="9"/>
  <c r="Z255" i="9"/>
  <c r="Z267" i="9"/>
  <c r="Z279" i="9"/>
  <c r="Z291" i="9"/>
  <c r="Z303" i="9"/>
  <c r="Z315" i="9"/>
  <c r="Z327" i="9"/>
  <c r="Z339" i="9"/>
  <c r="Z351" i="9"/>
  <c r="Z363" i="9"/>
  <c r="Z375" i="9"/>
  <c r="Z387" i="9"/>
  <c r="Z399" i="9"/>
  <c r="Z411" i="9"/>
  <c r="Z423" i="9"/>
  <c r="Z435" i="9"/>
  <c r="Y46" i="9"/>
  <c r="Y58" i="9"/>
  <c r="Y70" i="9"/>
  <c r="Y82" i="9"/>
  <c r="Y94" i="9"/>
  <c r="Y106" i="9"/>
  <c r="Y118" i="9"/>
  <c r="Y130" i="9"/>
  <c r="Y142" i="9"/>
  <c r="Y154" i="9"/>
  <c r="Y166" i="9"/>
  <c r="Y178" i="9"/>
  <c r="Y190" i="9"/>
  <c r="Y202" i="9"/>
  <c r="Y214" i="9"/>
  <c r="Y226" i="9"/>
  <c r="Y238" i="9"/>
  <c r="Y250" i="9"/>
  <c r="Y262" i="9"/>
  <c r="Y274" i="9"/>
  <c r="Y286" i="9"/>
  <c r="Y298" i="9"/>
  <c r="Y310" i="9"/>
  <c r="Y322" i="9"/>
  <c r="Y334" i="9"/>
  <c r="Y346" i="9"/>
  <c r="Y358" i="9"/>
  <c r="Y370" i="9"/>
  <c r="Y382" i="9"/>
  <c r="Y394" i="9"/>
  <c r="Y406" i="9"/>
  <c r="Y418" i="9"/>
  <c r="Y430" i="9"/>
  <c r="Z109" i="9"/>
  <c r="Z40" i="9"/>
  <c r="Z52" i="9"/>
  <c r="Z64" i="9"/>
  <c r="Z76" i="9"/>
  <c r="Z88" i="9"/>
  <c r="Z100" i="9"/>
  <c r="Z112" i="9"/>
  <c r="Z124" i="9"/>
  <c r="Z136" i="9"/>
  <c r="Z148" i="9"/>
  <c r="Z160" i="9"/>
  <c r="Z172" i="9"/>
  <c r="Z184" i="9"/>
  <c r="Z196" i="9"/>
  <c r="Z208" i="9"/>
  <c r="Z220" i="9"/>
  <c r="Z232" i="9"/>
  <c r="Z244" i="9"/>
  <c r="Z256" i="9"/>
  <c r="Z268" i="9"/>
  <c r="Z280" i="9"/>
  <c r="Z292" i="9"/>
  <c r="Z304" i="9"/>
  <c r="Z316" i="9"/>
  <c r="Z328" i="9"/>
  <c r="Z340" i="9"/>
  <c r="Z352" i="9"/>
  <c r="Z364" i="9"/>
  <c r="Z376" i="9"/>
  <c r="Z388" i="9"/>
  <c r="Z400" i="9"/>
  <c r="Z412" i="9"/>
  <c r="Z424" i="9"/>
  <c r="Z436" i="9"/>
  <c r="Y47" i="9"/>
  <c r="Y59" i="9"/>
  <c r="Y71" i="9"/>
  <c r="Y83" i="9"/>
  <c r="Y95" i="9"/>
  <c r="Y107" i="9"/>
  <c r="Y119" i="9"/>
  <c r="Y131" i="9"/>
  <c r="Y143" i="9"/>
  <c r="Y155" i="9"/>
  <c r="Y167" i="9"/>
  <c r="Y179" i="9"/>
  <c r="Y191" i="9"/>
  <c r="Y203" i="9"/>
  <c r="Y215" i="9"/>
  <c r="Y227" i="9"/>
  <c r="Y239" i="9"/>
  <c r="Y251" i="9"/>
  <c r="Y263" i="9"/>
  <c r="Y275" i="9"/>
  <c r="Y287" i="9"/>
  <c r="Y299" i="9"/>
  <c r="Y311" i="9"/>
  <c r="Y323" i="9"/>
  <c r="Y335" i="9"/>
  <c r="Y347" i="9"/>
  <c r="Y359" i="9"/>
  <c r="Y371" i="9"/>
  <c r="Y383" i="9"/>
  <c r="Y395" i="9"/>
  <c r="Y407" i="9"/>
  <c r="Y419" i="9"/>
  <c r="Y431" i="9"/>
  <c r="Z41" i="9"/>
  <c r="Z53" i="9"/>
  <c r="Z65" i="9"/>
  <c r="Z77" i="9"/>
  <c r="Z89" i="9"/>
  <c r="Z101" i="9"/>
  <c r="Z113" i="9"/>
  <c r="Z125" i="9"/>
  <c r="Z137" i="9"/>
  <c r="Z149" i="9"/>
  <c r="Z161" i="9"/>
  <c r="Z173" i="9"/>
  <c r="Z185" i="9"/>
  <c r="Z197" i="9"/>
  <c r="Z209" i="9"/>
  <c r="Z221" i="9"/>
  <c r="Z233" i="9"/>
  <c r="Z245" i="9"/>
  <c r="Z257" i="9"/>
  <c r="Z269" i="9"/>
  <c r="Z281" i="9"/>
  <c r="Z293" i="9"/>
  <c r="Z305" i="9"/>
  <c r="Z317" i="9"/>
  <c r="Z329" i="9"/>
  <c r="Z341" i="9"/>
  <c r="Z353" i="9"/>
  <c r="Z365" i="9"/>
  <c r="Z377" i="9"/>
  <c r="Z389" i="9"/>
  <c r="Z401" i="9"/>
  <c r="Z413" i="9"/>
  <c r="Z425" i="9"/>
  <c r="Z437" i="9"/>
  <c r="Y48" i="9"/>
  <c r="Y60" i="9"/>
  <c r="Y72" i="9"/>
  <c r="Y84" i="9"/>
  <c r="Y96" i="9"/>
  <c r="Y108" i="9"/>
  <c r="Y120" i="9"/>
  <c r="Y132" i="9"/>
  <c r="Y144" i="9"/>
  <c r="Y156" i="9"/>
  <c r="Y168" i="9"/>
  <c r="Y180" i="9"/>
  <c r="Y192" i="9"/>
  <c r="Y204" i="9"/>
  <c r="Y216" i="9"/>
  <c r="Y228" i="9"/>
  <c r="Y240" i="9"/>
  <c r="Y252" i="9"/>
  <c r="Y264" i="9"/>
  <c r="Y276" i="9"/>
  <c r="Y288" i="9"/>
  <c r="Y300" i="9"/>
  <c r="Y312" i="9"/>
  <c r="Y324" i="9"/>
  <c r="Y336" i="9"/>
  <c r="Y348" i="9"/>
  <c r="Y360" i="9"/>
  <c r="Y372" i="9"/>
  <c r="Y384" i="9"/>
  <c r="Y396" i="9"/>
  <c r="Y408" i="9"/>
  <c r="Y420" i="9"/>
  <c r="Y432" i="9"/>
  <c r="Z97" i="9"/>
  <c r="Z181" i="9"/>
  <c r="Z217" i="9"/>
  <c r="Z241" i="9"/>
  <c r="Z277" i="9"/>
  <c r="Z301" i="9"/>
  <c r="Z349" i="9"/>
  <c r="Z373" i="9"/>
  <c r="Z409" i="9"/>
  <c r="Y44" i="9"/>
  <c r="Y92" i="9"/>
  <c r="Y140" i="9"/>
  <c r="Y176" i="9"/>
  <c r="Z42" i="9"/>
  <c r="Z54" i="9"/>
  <c r="Z66" i="9"/>
  <c r="Z78" i="9"/>
  <c r="Z90" i="9"/>
  <c r="Z102" i="9"/>
  <c r="Z114" i="9"/>
  <c r="Z126" i="9"/>
  <c r="Z138" i="9"/>
  <c r="Z150" i="9"/>
  <c r="Z162" i="9"/>
  <c r="Z174" i="9"/>
  <c r="Z186" i="9"/>
  <c r="Z198" i="9"/>
  <c r="Z210" i="9"/>
  <c r="Z222" i="9"/>
  <c r="Z234" i="9"/>
  <c r="Z246" i="9"/>
  <c r="Z258" i="9"/>
  <c r="Z270" i="9"/>
  <c r="Z282" i="9"/>
  <c r="Z294" i="9"/>
  <c r="Z306" i="9"/>
  <c r="Z318" i="9"/>
  <c r="Z330" i="9"/>
  <c r="Z342" i="9"/>
  <c r="Z354" i="9"/>
  <c r="Z366" i="9"/>
  <c r="Z378" i="9"/>
  <c r="Z390" i="9"/>
  <c r="Z402" i="9"/>
  <c r="Z414" i="9"/>
  <c r="Z426" i="9"/>
  <c r="Z37" i="9"/>
  <c r="Y49" i="9"/>
  <c r="Y61" i="9"/>
  <c r="Y73" i="9"/>
  <c r="Y85" i="9"/>
  <c r="Y97" i="9"/>
  <c r="Y109" i="9"/>
  <c r="Y121" i="9"/>
  <c r="Y133" i="9"/>
  <c r="Y145" i="9"/>
  <c r="Y157" i="9"/>
  <c r="Y169" i="9"/>
  <c r="Y181" i="9"/>
  <c r="Y193" i="9"/>
  <c r="Y205" i="9"/>
  <c r="Y217" i="9"/>
  <c r="Y229" i="9"/>
  <c r="Y241" i="9"/>
  <c r="Y253" i="9"/>
  <c r="Y265" i="9"/>
  <c r="Y277" i="9"/>
  <c r="Y289" i="9"/>
  <c r="Y301" i="9"/>
  <c r="Y313" i="9"/>
  <c r="Y325" i="9"/>
  <c r="Y337" i="9"/>
  <c r="Y349" i="9"/>
  <c r="Y361" i="9"/>
  <c r="Y373" i="9"/>
  <c r="Y385" i="9"/>
  <c r="Y397" i="9"/>
  <c r="Y409" i="9"/>
  <c r="Y421" i="9"/>
  <c r="Y433" i="9"/>
  <c r="Z85" i="9"/>
  <c r="Z325" i="9"/>
  <c r="Y56" i="9"/>
  <c r="Z43" i="9"/>
  <c r="Z55" i="9"/>
  <c r="Z67" i="9"/>
  <c r="Z79" i="9"/>
  <c r="Z91" i="9"/>
  <c r="Z103" i="9"/>
  <c r="Z115" i="9"/>
  <c r="Z127" i="9"/>
  <c r="Z139" i="9"/>
  <c r="Z151" i="9"/>
  <c r="Z163" i="9"/>
  <c r="Z175" i="9"/>
  <c r="Z187" i="9"/>
  <c r="Z199" i="9"/>
  <c r="Z211" i="9"/>
  <c r="Z223" i="9"/>
  <c r="Z235" i="9"/>
  <c r="Z247" i="9"/>
  <c r="Z259" i="9"/>
  <c r="Z271" i="9"/>
  <c r="Z283" i="9"/>
  <c r="Z295" i="9"/>
  <c r="Z307" i="9"/>
  <c r="Z319" i="9"/>
  <c r="Z331" i="9"/>
  <c r="Z343" i="9"/>
  <c r="Z355" i="9"/>
  <c r="Z367" i="9"/>
  <c r="Z379" i="9"/>
  <c r="Z391" i="9"/>
  <c r="Z403" i="9"/>
  <c r="Z415" i="9"/>
  <c r="Z427" i="9"/>
  <c r="Y38" i="9"/>
  <c r="Y50" i="9"/>
  <c r="Y62" i="9"/>
  <c r="Y74" i="9"/>
  <c r="Y86" i="9"/>
  <c r="Y98" i="9"/>
  <c r="Y110" i="9"/>
  <c r="Y122" i="9"/>
  <c r="Y134" i="9"/>
  <c r="Y146" i="9"/>
  <c r="Y158" i="9"/>
  <c r="Y170" i="9"/>
  <c r="Y182" i="9"/>
  <c r="Y194" i="9"/>
  <c r="Y206" i="9"/>
  <c r="Y218" i="9"/>
  <c r="Y230" i="9"/>
  <c r="Y242" i="9"/>
  <c r="Y254" i="9"/>
  <c r="Y266" i="9"/>
  <c r="Y278" i="9"/>
  <c r="Y290" i="9"/>
  <c r="Y302" i="9"/>
  <c r="Y314" i="9"/>
  <c r="Y326" i="9"/>
  <c r="Y338" i="9"/>
  <c r="Y350" i="9"/>
  <c r="Y362" i="9"/>
  <c r="Y374" i="9"/>
  <c r="Y386" i="9"/>
  <c r="Y398" i="9"/>
  <c r="Y410" i="9"/>
  <c r="Y422" i="9"/>
  <c r="Y434" i="9"/>
  <c r="Z73" i="9"/>
  <c r="Z133" i="9"/>
  <c r="Z157" i="9"/>
  <c r="Z193" i="9"/>
  <c r="Z205" i="9"/>
  <c r="Z229" i="9"/>
  <c r="Z253" i="9"/>
  <c r="Z265" i="9"/>
  <c r="Z289" i="9"/>
  <c r="Z313" i="9"/>
  <c r="Z361" i="9"/>
  <c r="Z385" i="9"/>
  <c r="Z397" i="9"/>
  <c r="Z433" i="9"/>
  <c r="Y80" i="9"/>
  <c r="Z44" i="9"/>
  <c r="Z56" i="9"/>
  <c r="Z68" i="9"/>
  <c r="Z80" i="9"/>
  <c r="Z92" i="9"/>
  <c r="Z104" i="9"/>
  <c r="Z116" i="9"/>
  <c r="Z128" i="9"/>
  <c r="Z140" i="9"/>
  <c r="Z152" i="9"/>
  <c r="Z164" i="9"/>
  <c r="Z176" i="9"/>
  <c r="Z188" i="9"/>
  <c r="Z200" i="9"/>
  <c r="Z212" i="9"/>
  <c r="Z224" i="9"/>
  <c r="Z236" i="9"/>
  <c r="Z248" i="9"/>
  <c r="Z260" i="9"/>
  <c r="Z272" i="9"/>
  <c r="Z284" i="9"/>
  <c r="Z296" i="9"/>
  <c r="Z308" i="9"/>
  <c r="Z320" i="9"/>
  <c r="Z332" i="9"/>
  <c r="Z344" i="9"/>
  <c r="Z356" i="9"/>
  <c r="Z368" i="9"/>
  <c r="Z380" i="9"/>
  <c r="Z392" i="9"/>
  <c r="Z404" i="9"/>
  <c r="Z416" i="9"/>
  <c r="Z428" i="9"/>
  <c r="Y39" i="9"/>
  <c r="Y51" i="9"/>
  <c r="Y63" i="9"/>
  <c r="Y75" i="9"/>
  <c r="Y87" i="9"/>
  <c r="Y99" i="9"/>
  <c r="Y111" i="9"/>
  <c r="Y123" i="9"/>
  <c r="Y135" i="9"/>
  <c r="Y147" i="9"/>
  <c r="Y159" i="9"/>
  <c r="Y171" i="9"/>
  <c r="Y183" i="9"/>
  <c r="Y195" i="9"/>
  <c r="Y207" i="9"/>
  <c r="Y219" i="9"/>
  <c r="Y231" i="9"/>
  <c r="Y243" i="9"/>
  <c r="Y255" i="9"/>
  <c r="Y267" i="9"/>
  <c r="Y279" i="9"/>
  <c r="Y291" i="9"/>
  <c r="Y303" i="9"/>
  <c r="Y315" i="9"/>
  <c r="Y327" i="9"/>
  <c r="Y339" i="9"/>
  <c r="Y351" i="9"/>
  <c r="Y363" i="9"/>
  <c r="Y375" i="9"/>
  <c r="Y387" i="9"/>
  <c r="Y399" i="9"/>
  <c r="Y411" i="9"/>
  <c r="Y423" i="9"/>
  <c r="Y435" i="9"/>
  <c r="Z45" i="9"/>
  <c r="Z57" i="9"/>
  <c r="Z69" i="9"/>
  <c r="Z81" i="9"/>
  <c r="Z93" i="9"/>
  <c r="Z105" i="9"/>
  <c r="Z117" i="9"/>
  <c r="Z129" i="9"/>
  <c r="Z141" i="9"/>
  <c r="Z153" i="9"/>
  <c r="Z165" i="9"/>
  <c r="Z177" i="9"/>
  <c r="Z189" i="9"/>
  <c r="Z201" i="9"/>
  <c r="Z213" i="9"/>
  <c r="Z225" i="9"/>
  <c r="Z237" i="9"/>
  <c r="Z249" i="9"/>
  <c r="Z261" i="9"/>
  <c r="Z273" i="9"/>
  <c r="Z285" i="9"/>
  <c r="Z297" i="9"/>
  <c r="Z309" i="9"/>
  <c r="Z321" i="9"/>
  <c r="Z333" i="9"/>
  <c r="Z345" i="9"/>
  <c r="Z357" i="9"/>
  <c r="Z369" i="9"/>
  <c r="Z381" i="9"/>
  <c r="Z393" i="9"/>
  <c r="Z405" i="9"/>
  <c r="Z417" i="9"/>
  <c r="Z429" i="9"/>
  <c r="Y40" i="9"/>
  <c r="Y52" i="9"/>
  <c r="Y64" i="9"/>
  <c r="Y76" i="9"/>
  <c r="Y88" i="9"/>
  <c r="Y100" i="9"/>
  <c r="Y112" i="9"/>
  <c r="Y124" i="9"/>
  <c r="Y136" i="9"/>
  <c r="Y148" i="9"/>
  <c r="Y160" i="9"/>
  <c r="Y172" i="9"/>
  <c r="Y184" i="9"/>
  <c r="Y196" i="9"/>
  <c r="Y208" i="9"/>
  <c r="Y220" i="9"/>
  <c r="Y232" i="9"/>
  <c r="Y244" i="9"/>
  <c r="Y256" i="9"/>
  <c r="Y268" i="9"/>
  <c r="Y280" i="9"/>
  <c r="Y292" i="9"/>
  <c r="Y304" i="9"/>
  <c r="Y316" i="9"/>
  <c r="Y328" i="9"/>
  <c r="Y340" i="9"/>
  <c r="Y352" i="9"/>
  <c r="Y364" i="9"/>
  <c r="Y376" i="9"/>
  <c r="Y388" i="9"/>
  <c r="Y400" i="9"/>
  <c r="Y412" i="9"/>
  <c r="Y424" i="9"/>
  <c r="Y436" i="9"/>
  <c r="Z61" i="9"/>
  <c r="Z421" i="9"/>
  <c r="Z46" i="9"/>
  <c r="Z58" i="9"/>
  <c r="Z70" i="9"/>
  <c r="Z82" i="9"/>
  <c r="Z94" i="9"/>
  <c r="Z106" i="9"/>
  <c r="Z118" i="9"/>
  <c r="Z130" i="9"/>
  <c r="Z142" i="9"/>
  <c r="Z154" i="9"/>
  <c r="Z166" i="9"/>
  <c r="Z178" i="9"/>
  <c r="Z190" i="9"/>
  <c r="Z202" i="9"/>
  <c r="Z214" i="9"/>
  <c r="Z226" i="9"/>
  <c r="Z238" i="9"/>
  <c r="Z250" i="9"/>
  <c r="Z262" i="9"/>
  <c r="Z274" i="9"/>
  <c r="Z286" i="9"/>
  <c r="Z298" i="9"/>
  <c r="Z310" i="9"/>
  <c r="Z322" i="9"/>
  <c r="Z334" i="9"/>
  <c r="Z346" i="9"/>
  <c r="Z358" i="9"/>
  <c r="Z370" i="9"/>
  <c r="Z382" i="9"/>
  <c r="Z394" i="9"/>
  <c r="Z406" i="9"/>
  <c r="Z418" i="9"/>
  <c r="Z430" i="9"/>
  <c r="Y41" i="9"/>
  <c r="Y53" i="9"/>
  <c r="Y65" i="9"/>
  <c r="Y77" i="9"/>
  <c r="Y89" i="9"/>
  <c r="Y101" i="9"/>
  <c r="Y113" i="9"/>
  <c r="Y125" i="9"/>
  <c r="Y137" i="9"/>
  <c r="Y149" i="9"/>
  <c r="Y161" i="9"/>
  <c r="Y173" i="9"/>
  <c r="Y185" i="9"/>
  <c r="Y197" i="9"/>
  <c r="Y209" i="9"/>
  <c r="Y221" i="9"/>
  <c r="Y233" i="9"/>
  <c r="Y245" i="9"/>
  <c r="Y257" i="9"/>
  <c r="Y269" i="9"/>
  <c r="Y281" i="9"/>
  <c r="Y293" i="9"/>
  <c r="Y305" i="9"/>
  <c r="Y317" i="9"/>
  <c r="Y329" i="9"/>
  <c r="Y341" i="9"/>
  <c r="Y353" i="9"/>
  <c r="Y365" i="9"/>
  <c r="Y377" i="9"/>
  <c r="Y389" i="9"/>
  <c r="Y401" i="9"/>
  <c r="Y413" i="9"/>
  <c r="Y425" i="9"/>
  <c r="Y437" i="9"/>
  <c r="Z49" i="9"/>
  <c r="Z337" i="9"/>
  <c r="Y68" i="9"/>
  <c r="Z47" i="9"/>
  <c r="Z59" i="9"/>
  <c r="Z71" i="9"/>
  <c r="Z83" i="9"/>
  <c r="Z95" i="9"/>
  <c r="Z107" i="9"/>
  <c r="Z119" i="9"/>
  <c r="Z131" i="9"/>
  <c r="Z143" i="9"/>
  <c r="Z155" i="9"/>
  <c r="Z167" i="9"/>
  <c r="Z179" i="9"/>
  <c r="Z191" i="9"/>
  <c r="Z203" i="9"/>
  <c r="Z215" i="9"/>
  <c r="Z227" i="9"/>
  <c r="Z239" i="9"/>
  <c r="Z251" i="9"/>
  <c r="Z263" i="9"/>
  <c r="Z275" i="9"/>
  <c r="Z287" i="9"/>
  <c r="Z299" i="9"/>
  <c r="Z311" i="9"/>
  <c r="Z323" i="9"/>
  <c r="Z335" i="9"/>
  <c r="Z347" i="9"/>
  <c r="Z359" i="9"/>
  <c r="Z371" i="9"/>
  <c r="Z383" i="9"/>
  <c r="Z395" i="9"/>
  <c r="Z407" i="9"/>
  <c r="Z419" i="9"/>
  <c r="Z431" i="9"/>
  <c r="Y42" i="9"/>
  <c r="Y54" i="9"/>
  <c r="Y66" i="9"/>
  <c r="Y78" i="9"/>
  <c r="Y90" i="9"/>
  <c r="Y102" i="9"/>
  <c r="Y114" i="9"/>
  <c r="Y126" i="9"/>
  <c r="Y138" i="9"/>
  <c r="Y150" i="9"/>
  <c r="Y162" i="9"/>
  <c r="Y174" i="9"/>
  <c r="Y186" i="9"/>
  <c r="Y198" i="9"/>
  <c r="Y210" i="9"/>
  <c r="Y222" i="9"/>
  <c r="Y234" i="9"/>
  <c r="Y246" i="9"/>
  <c r="Y258" i="9"/>
  <c r="Y270" i="9"/>
  <c r="Y282" i="9"/>
  <c r="Y294" i="9"/>
  <c r="Y306" i="9"/>
  <c r="Y318" i="9"/>
  <c r="Y330" i="9"/>
  <c r="Y342" i="9"/>
  <c r="Y354" i="9"/>
  <c r="Y366" i="9"/>
  <c r="Y378" i="9"/>
  <c r="Y390" i="9"/>
  <c r="Y402" i="9"/>
  <c r="Y414" i="9"/>
  <c r="Y426" i="9"/>
  <c r="Y37" i="9"/>
  <c r="Z169" i="9"/>
  <c r="Z48" i="9"/>
  <c r="Z60" i="9"/>
  <c r="Z72" i="9"/>
  <c r="Z84" i="9"/>
  <c r="Z96" i="9"/>
  <c r="Z108" i="9"/>
  <c r="Z120" i="9"/>
  <c r="Z132" i="9"/>
  <c r="Z144" i="9"/>
  <c r="Z156" i="9"/>
  <c r="Z168" i="9"/>
  <c r="Z180" i="9"/>
  <c r="Z192" i="9"/>
  <c r="Z204" i="9"/>
  <c r="Z216" i="9"/>
  <c r="Z228" i="9"/>
  <c r="Z240" i="9"/>
  <c r="Z252" i="9"/>
  <c r="Z264" i="9"/>
  <c r="Z276" i="9"/>
  <c r="Z288" i="9"/>
  <c r="Z300" i="9"/>
  <c r="Z312" i="9"/>
  <c r="Z324" i="9"/>
  <c r="Z336" i="9"/>
  <c r="Z348" i="9"/>
  <c r="Z360" i="9"/>
  <c r="Z372" i="9"/>
  <c r="Z384" i="9"/>
  <c r="Z396" i="9"/>
  <c r="Z408" i="9"/>
  <c r="Z420" i="9"/>
  <c r="Z432" i="9"/>
  <c r="Y43" i="9"/>
  <c r="Y55" i="9"/>
  <c r="Y67" i="9"/>
  <c r="Y79" i="9"/>
  <c r="Y91" i="9"/>
  <c r="Y103" i="9"/>
  <c r="Y115" i="9"/>
  <c r="Y127" i="9"/>
  <c r="Y139" i="9"/>
  <c r="Y151" i="9"/>
  <c r="Y163" i="9"/>
  <c r="Y175" i="9"/>
  <c r="Y187" i="9"/>
  <c r="Y199" i="9"/>
  <c r="Y211" i="9"/>
  <c r="Y223" i="9"/>
  <c r="Y235" i="9"/>
  <c r="Y247" i="9"/>
  <c r="Y259" i="9"/>
  <c r="Y271" i="9"/>
  <c r="Y283" i="9"/>
  <c r="Y295" i="9"/>
  <c r="Y307" i="9"/>
  <c r="Y319" i="9"/>
  <c r="Y331" i="9"/>
  <c r="Y343" i="9"/>
  <c r="Y355" i="9"/>
  <c r="Y367" i="9"/>
  <c r="Y379" i="9"/>
  <c r="Y391" i="9"/>
  <c r="Y403" i="9"/>
  <c r="Y415" i="9"/>
  <c r="Y427" i="9"/>
  <c r="Z145" i="9"/>
  <c r="Z86" i="9"/>
  <c r="Z218" i="9"/>
  <c r="Z362" i="9"/>
  <c r="Y104" i="9"/>
  <c r="Y260" i="9"/>
  <c r="Y332" i="9"/>
  <c r="Y404" i="9"/>
  <c r="Z98" i="9"/>
  <c r="Z230" i="9"/>
  <c r="Z374" i="9"/>
  <c r="Y105" i="9"/>
  <c r="Y189" i="9"/>
  <c r="Y261" i="9"/>
  <c r="Y333" i="9"/>
  <c r="Y405" i="9"/>
  <c r="Z110" i="9"/>
  <c r="Z242" i="9"/>
  <c r="Z386" i="9"/>
  <c r="Y116" i="9"/>
  <c r="Y200" i="9"/>
  <c r="Y272" i="9"/>
  <c r="Y344" i="9"/>
  <c r="Y416" i="9"/>
  <c r="Z121" i="9"/>
  <c r="Z254" i="9"/>
  <c r="Z398" i="9"/>
  <c r="Y117" i="9"/>
  <c r="Y201" i="9"/>
  <c r="Y273" i="9"/>
  <c r="Y345" i="9"/>
  <c r="Y417" i="9"/>
  <c r="Z122" i="9"/>
  <c r="Z266" i="9"/>
  <c r="Z410" i="9"/>
  <c r="Y128" i="9"/>
  <c r="Y212" i="9"/>
  <c r="Y284" i="9"/>
  <c r="Y356" i="9"/>
  <c r="Y428" i="9"/>
  <c r="Z134" i="9"/>
  <c r="Z278" i="9"/>
  <c r="Z422" i="9"/>
  <c r="Y129" i="9"/>
  <c r="Y213" i="9"/>
  <c r="Y285" i="9"/>
  <c r="Y357" i="9"/>
  <c r="Y429" i="9"/>
  <c r="Z146" i="9"/>
  <c r="Z290" i="9"/>
  <c r="Z434" i="9"/>
  <c r="Y141" i="9"/>
  <c r="Y224" i="9"/>
  <c r="Y296" i="9"/>
  <c r="Y368" i="9"/>
  <c r="Z158" i="9"/>
  <c r="Z302" i="9"/>
  <c r="Y45" i="9"/>
  <c r="Y152" i="9"/>
  <c r="Y225" i="9"/>
  <c r="Y297" i="9"/>
  <c r="Y369" i="9"/>
  <c r="Z38" i="9"/>
  <c r="Z170" i="9"/>
  <c r="Z314" i="9"/>
  <c r="Y57" i="9"/>
  <c r="Y153" i="9"/>
  <c r="Y236" i="9"/>
  <c r="Y308" i="9"/>
  <c r="Y380" i="9"/>
  <c r="Z50" i="9"/>
  <c r="Z182" i="9"/>
  <c r="Z326" i="9"/>
  <c r="Y69" i="9"/>
  <c r="Y164" i="9"/>
  <c r="Y237" i="9"/>
  <c r="Y309" i="9"/>
  <c r="Y381" i="9"/>
  <c r="Z62" i="9"/>
  <c r="Z194" i="9"/>
  <c r="Z338" i="9"/>
  <c r="Y81" i="9"/>
  <c r="Y165" i="9"/>
  <c r="Y248" i="9"/>
  <c r="Y320" i="9"/>
  <c r="Y392" i="9"/>
  <c r="Z74" i="9"/>
  <c r="Z206" i="9"/>
  <c r="Z350" i="9"/>
  <c r="Y93" i="9"/>
  <c r="Y177" i="9"/>
  <c r="Y249" i="9"/>
  <c r="Y321" i="9"/>
  <c r="Y393" i="9"/>
  <c r="Y188" i="9"/>
  <c r="U158" i="9"/>
  <c r="U254" i="9"/>
  <c r="U350" i="9"/>
  <c r="T86" i="9"/>
  <c r="T182" i="9"/>
  <c r="T278" i="9"/>
  <c r="T374" i="9"/>
  <c r="S110" i="9"/>
  <c r="S206" i="9"/>
  <c r="S302" i="9"/>
  <c r="S398" i="9"/>
  <c r="R133" i="9"/>
  <c r="U87" i="9"/>
  <c r="U183" i="9"/>
  <c r="U279" i="9"/>
  <c r="U375" i="9"/>
  <c r="T111" i="9"/>
  <c r="T207" i="9"/>
  <c r="T303" i="9"/>
  <c r="T399" i="9"/>
  <c r="S135" i="9"/>
  <c r="S231" i="9"/>
  <c r="S327" i="9"/>
  <c r="U104" i="9"/>
  <c r="U200" i="9"/>
  <c r="U296" i="9"/>
  <c r="U392" i="9"/>
  <c r="T128" i="9"/>
  <c r="T224" i="9"/>
  <c r="T320" i="9"/>
  <c r="T416" i="9"/>
  <c r="S152" i="9"/>
  <c r="S248" i="9"/>
  <c r="S344" i="9"/>
  <c r="U145" i="9"/>
  <c r="U241" i="9"/>
  <c r="U337" i="9"/>
  <c r="U433" i="9"/>
  <c r="T169" i="9"/>
  <c r="T265" i="9"/>
  <c r="T361" i="9"/>
  <c r="S97" i="9"/>
  <c r="S193" i="9"/>
  <c r="S289" i="9"/>
  <c r="U90" i="9"/>
  <c r="U186" i="9"/>
  <c r="U282" i="9"/>
  <c r="U378" i="9"/>
  <c r="T114" i="9"/>
  <c r="T210" i="9"/>
  <c r="T306" i="9"/>
  <c r="T402" i="9"/>
  <c r="S138" i="9"/>
  <c r="S234" i="9"/>
  <c r="U140" i="9"/>
  <c r="U236" i="9"/>
  <c r="U332" i="9"/>
  <c r="U428" i="9"/>
  <c r="T164" i="9"/>
  <c r="T260" i="9"/>
  <c r="T356" i="9"/>
  <c r="S92" i="9"/>
  <c r="S188" i="9"/>
  <c r="S284" i="9"/>
  <c r="U157" i="9"/>
  <c r="U253" i="9"/>
  <c r="U349" i="9"/>
  <c r="T85" i="9"/>
  <c r="T181" i="9"/>
  <c r="T277" i="9"/>
  <c r="T373" i="9"/>
  <c r="S109" i="9"/>
  <c r="S205" i="9"/>
  <c r="S301" i="9"/>
  <c r="S123" i="9"/>
  <c r="S416" i="9"/>
  <c r="R164" i="9"/>
  <c r="R267" i="9"/>
  <c r="R363" i="9"/>
  <c r="U211" i="9"/>
  <c r="S259" i="9"/>
  <c r="S435" i="9"/>
  <c r="R184" i="9"/>
  <c r="R284" i="9"/>
  <c r="R380" i="9"/>
  <c r="U166" i="9"/>
  <c r="U262" i="9"/>
  <c r="U358" i="9"/>
  <c r="T94" i="9"/>
  <c r="T190" i="9"/>
  <c r="T286" i="9"/>
  <c r="T382" i="9"/>
  <c r="S118" i="9"/>
  <c r="S214" i="9"/>
  <c r="S310" i="9"/>
  <c r="S406" i="9"/>
  <c r="R141" i="9"/>
  <c r="U95" i="9"/>
  <c r="U191" i="9"/>
  <c r="U287" i="9"/>
  <c r="U383" i="9"/>
  <c r="T119" i="9"/>
  <c r="T215" i="9"/>
  <c r="T311" i="9"/>
  <c r="T407" i="9"/>
  <c r="S143" i="9"/>
  <c r="S239" i="9"/>
  <c r="S335" i="9"/>
  <c r="U112" i="9"/>
  <c r="U208" i="9"/>
  <c r="U304" i="9"/>
  <c r="U400" i="9"/>
  <c r="T136" i="9"/>
  <c r="T232" i="9"/>
  <c r="T328" i="9"/>
  <c r="T424" i="9"/>
  <c r="S160" i="9"/>
  <c r="S256" i="9"/>
  <c r="S352" i="9"/>
  <c r="U153" i="9"/>
  <c r="U249" i="9"/>
  <c r="U345" i="9"/>
  <c r="T81" i="9"/>
  <c r="T177" i="9"/>
  <c r="T273" i="9"/>
  <c r="T369" i="9"/>
  <c r="S105" i="9"/>
  <c r="S201" i="9"/>
  <c r="S297" i="9"/>
  <c r="U98" i="9"/>
  <c r="U194" i="9"/>
  <c r="U290" i="9"/>
  <c r="U386" i="9"/>
  <c r="T122" i="9"/>
  <c r="T218" i="9"/>
  <c r="T314" i="9"/>
  <c r="T410" i="9"/>
  <c r="S146" i="9"/>
  <c r="S242" i="9"/>
  <c r="U148" i="9"/>
  <c r="U244" i="9"/>
  <c r="U340" i="9"/>
  <c r="U436" i="9"/>
  <c r="T172" i="9"/>
  <c r="T268" i="9"/>
  <c r="T364" i="9"/>
  <c r="S100" i="9"/>
  <c r="S196" i="9"/>
  <c r="S292" i="9"/>
  <c r="U165" i="9"/>
  <c r="U261" i="9"/>
  <c r="U357" i="9"/>
  <c r="T93" i="9"/>
  <c r="T189" i="9"/>
  <c r="T285" i="9"/>
  <c r="T381" i="9"/>
  <c r="S117" i="9"/>
  <c r="S213" i="9"/>
  <c r="U139" i="9"/>
  <c r="S187" i="9"/>
  <c r="S425" i="9"/>
  <c r="R174" i="9"/>
  <c r="R275" i="9"/>
  <c r="R371" i="9"/>
  <c r="U275" i="9"/>
  <c r="S298" i="9"/>
  <c r="R83" i="9"/>
  <c r="R193" i="9"/>
  <c r="R292" i="9"/>
  <c r="U78" i="9"/>
  <c r="U174" i="9"/>
  <c r="U270" i="9"/>
  <c r="U366" i="9"/>
  <c r="T102" i="9"/>
  <c r="T198" i="9"/>
  <c r="T294" i="9"/>
  <c r="T390" i="9"/>
  <c r="S126" i="9"/>
  <c r="S222" i="9"/>
  <c r="S318" i="9"/>
  <c r="S414" i="9"/>
  <c r="R149" i="9"/>
  <c r="U103" i="9"/>
  <c r="U199" i="9"/>
  <c r="U295" i="9"/>
  <c r="U391" i="9"/>
  <c r="T127" i="9"/>
  <c r="T223" i="9"/>
  <c r="T319" i="9"/>
  <c r="T415" i="9"/>
  <c r="S151" i="9"/>
  <c r="S247" i="9"/>
  <c r="S343" i="9"/>
  <c r="U120" i="9"/>
  <c r="U216" i="9"/>
  <c r="U312" i="9"/>
  <c r="U408" i="9"/>
  <c r="T144" i="9"/>
  <c r="T240" i="9"/>
  <c r="T336" i="9"/>
  <c r="T432" i="9"/>
  <c r="S168" i="9"/>
  <c r="S264" i="9"/>
  <c r="S360" i="9"/>
  <c r="U161" i="9"/>
  <c r="U257" i="9"/>
  <c r="U353" i="9"/>
  <c r="T89" i="9"/>
  <c r="T185" i="9"/>
  <c r="T281" i="9"/>
  <c r="T377" i="9"/>
  <c r="S113" i="9"/>
  <c r="S209" i="9"/>
  <c r="S305" i="9"/>
  <c r="U106" i="9"/>
  <c r="U202" i="9"/>
  <c r="U298" i="9"/>
  <c r="U394" i="9"/>
  <c r="T130" i="9"/>
  <c r="T226" i="9"/>
  <c r="T322" i="9"/>
  <c r="T418" i="9"/>
  <c r="S154" i="9"/>
  <c r="S250" i="9"/>
  <c r="U156" i="9"/>
  <c r="U252" i="9"/>
  <c r="U348" i="9"/>
  <c r="T84" i="9"/>
  <c r="T180" i="9"/>
  <c r="T276" i="9"/>
  <c r="T372" i="9"/>
  <c r="S108" i="9"/>
  <c r="S204" i="9"/>
  <c r="S300" i="9"/>
  <c r="U173" i="9"/>
  <c r="U269" i="9"/>
  <c r="U365" i="9"/>
  <c r="T101" i="9"/>
  <c r="T197" i="9"/>
  <c r="T293" i="9"/>
  <c r="T389" i="9"/>
  <c r="S125" i="9"/>
  <c r="S221" i="9"/>
  <c r="U203" i="9"/>
  <c r="S251" i="9"/>
  <c r="S434" i="9"/>
  <c r="R183" i="9"/>
  <c r="R283" i="9"/>
  <c r="R379" i="9"/>
  <c r="U339" i="9"/>
  <c r="S316" i="9"/>
  <c r="R92" i="9"/>
  <c r="R202" i="9"/>
  <c r="R300" i="9"/>
  <c r="U86" i="9"/>
  <c r="U182" i="9"/>
  <c r="U278" i="9"/>
  <c r="U374" i="9"/>
  <c r="T110" i="9"/>
  <c r="T206" i="9"/>
  <c r="T302" i="9"/>
  <c r="T398" i="9"/>
  <c r="S134" i="9"/>
  <c r="S230" i="9"/>
  <c r="S326" i="9"/>
  <c r="S422" i="9"/>
  <c r="R157" i="9"/>
  <c r="U111" i="9"/>
  <c r="U207" i="9"/>
  <c r="U303" i="9"/>
  <c r="U399" i="9"/>
  <c r="T135" i="9"/>
  <c r="T231" i="9"/>
  <c r="T327" i="9"/>
  <c r="T423" i="9"/>
  <c r="S159" i="9"/>
  <c r="S255" i="9"/>
  <c r="S351" i="9"/>
  <c r="U128" i="9"/>
  <c r="U224" i="9"/>
  <c r="U320" i="9"/>
  <c r="U416" i="9"/>
  <c r="T152" i="9"/>
  <c r="T248" i="9"/>
  <c r="T344" i="9"/>
  <c r="S80" i="9"/>
  <c r="S176" i="9"/>
  <c r="S272" i="9"/>
  <c r="S368" i="9"/>
  <c r="U169" i="9"/>
  <c r="U265" i="9"/>
  <c r="U361" i="9"/>
  <c r="T97" i="9"/>
  <c r="T193" i="9"/>
  <c r="T289" i="9"/>
  <c r="T385" i="9"/>
  <c r="S121" i="9"/>
  <c r="S217" i="9"/>
  <c r="S313" i="9"/>
  <c r="U114" i="9"/>
  <c r="U210" i="9"/>
  <c r="U306" i="9"/>
  <c r="U402" i="9"/>
  <c r="T138" i="9"/>
  <c r="T234" i="9"/>
  <c r="T330" i="9"/>
  <c r="T426" i="9"/>
  <c r="S162" i="9"/>
  <c r="S258" i="9"/>
  <c r="U164" i="9"/>
  <c r="U260" i="9"/>
  <c r="U356" i="9"/>
  <c r="T92" i="9"/>
  <c r="T188" i="9"/>
  <c r="T284" i="9"/>
  <c r="T380" i="9"/>
  <c r="S116" i="9"/>
  <c r="S212" i="9"/>
  <c r="U85" i="9"/>
  <c r="U181" i="9"/>
  <c r="U277" i="9"/>
  <c r="U373" i="9"/>
  <c r="T109" i="9"/>
  <c r="T205" i="9"/>
  <c r="T301" i="9"/>
  <c r="T397" i="9"/>
  <c r="S133" i="9"/>
  <c r="S229" i="9"/>
  <c r="U267" i="9"/>
  <c r="S291" i="9"/>
  <c r="R82" i="9"/>
  <c r="R192" i="9"/>
  <c r="R291" i="9"/>
  <c r="R387" i="9"/>
  <c r="U403" i="9"/>
  <c r="S332" i="9"/>
  <c r="R102" i="9"/>
  <c r="R211" i="9"/>
  <c r="R308" i="9"/>
  <c r="U94" i="9"/>
  <c r="U190" i="9"/>
  <c r="U286" i="9"/>
  <c r="U382" i="9"/>
  <c r="T118" i="9"/>
  <c r="T214" i="9"/>
  <c r="T310" i="9"/>
  <c r="T406" i="9"/>
  <c r="S142" i="9"/>
  <c r="S238" i="9"/>
  <c r="S334" i="9"/>
  <c r="S430" i="9"/>
  <c r="R165" i="9"/>
  <c r="U119" i="9"/>
  <c r="U215" i="9"/>
  <c r="U311" i="9"/>
  <c r="U407" i="9"/>
  <c r="T143" i="9"/>
  <c r="T239" i="9"/>
  <c r="T335" i="9"/>
  <c r="T431" i="9"/>
  <c r="S167" i="9"/>
  <c r="S263" i="9"/>
  <c r="S359" i="9"/>
  <c r="U136" i="9"/>
  <c r="U232" i="9"/>
  <c r="U328" i="9"/>
  <c r="U424" i="9"/>
  <c r="T160" i="9"/>
  <c r="T256" i="9"/>
  <c r="T352" i="9"/>
  <c r="S88" i="9"/>
  <c r="S184" i="9"/>
  <c r="S280" i="9"/>
  <c r="U81" i="9"/>
  <c r="U177" i="9"/>
  <c r="U273" i="9"/>
  <c r="U369" i="9"/>
  <c r="T105" i="9"/>
  <c r="T201" i="9"/>
  <c r="T297" i="9"/>
  <c r="T393" i="9"/>
  <c r="S129" i="9"/>
  <c r="S225" i="9"/>
  <c r="S321" i="9"/>
  <c r="U122" i="9"/>
  <c r="U218" i="9"/>
  <c r="U314" i="9"/>
  <c r="U410" i="9"/>
  <c r="T146" i="9"/>
  <c r="T242" i="9"/>
  <c r="T338" i="9"/>
  <c r="T434" i="9"/>
  <c r="S170" i="9"/>
  <c r="S266" i="9"/>
  <c r="U172" i="9"/>
  <c r="U268" i="9"/>
  <c r="U364" i="9"/>
  <c r="T100" i="9"/>
  <c r="T196" i="9"/>
  <c r="T292" i="9"/>
  <c r="T388" i="9"/>
  <c r="S124" i="9"/>
  <c r="S220" i="9"/>
  <c r="U93" i="9"/>
  <c r="U189" i="9"/>
  <c r="U285" i="9"/>
  <c r="U381" i="9"/>
  <c r="T117" i="9"/>
  <c r="T213" i="9"/>
  <c r="T309" i="9"/>
  <c r="T405" i="9"/>
  <c r="S141" i="9"/>
  <c r="S237" i="9"/>
  <c r="U331" i="9"/>
  <c r="S315" i="9"/>
  <c r="R91" i="9"/>
  <c r="R201" i="9"/>
  <c r="R299" i="9"/>
  <c r="R395" i="9"/>
  <c r="T107" i="9"/>
  <c r="S348" i="9"/>
  <c r="R111" i="9"/>
  <c r="R220" i="9"/>
  <c r="R316" i="9"/>
  <c r="U102" i="9"/>
  <c r="U198" i="9"/>
  <c r="U294" i="9"/>
  <c r="U390" i="9"/>
  <c r="T126" i="9"/>
  <c r="T222" i="9"/>
  <c r="T318" i="9"/>
  <c r="T414" i="9"/>
  <c r="S150" i="9"/>
  <c r="S246" i="9"/>
  <c r="S342" i="9"/>
  <c r="S77" i="9"/>
  <c r="R173" i="9"/>
  <c r="U127" i="9"/>
  <c r="U223" i="9"/>
  <c r="U319" i="9"/>
  <c r="U415" i="9"/>
  <c r="T151" i="9"/>
  <c r="T247" i="9"/>
  <c r="T343" i="9"/>
  <c r="S79" i="9"/>
  <c r="S175" i="9"/>
  <c r="S271" i="9"/>
  <c r="S367" i="9"/>
  <c r="U144" i="9"/>
  <c r="U240" i="9"/>
  <c r="U336" i="9"/>
  <c r="U432" i="9"/>
  <c r="T168" i="9"/>
  <c r="T264" i="9"/>
  <c r="T360" i="9"/>
  <c r="S96" i="9"/>
  <c r="S192" i="9"/>
  <c r="S288" i="9"/>
  <c r="U89" i="9"/>
  <c r="U185" i="9"/>
  <c r="U281" i="9"/>
  <c r="U377" i="9"/>
  <c r="T113" i="9"/>
  <c r="T209" i="9"/>
  <c r="T305" i="9"/>
  <c r="T401" i="9"/>
  <c r="S137" i="9"/>
  <c r="S233" i="9"/>
  <c r="S329" i="9"/>
  <c r="U130" i="9"/>
  <c r="U226" i="9"/>
  <c r="U322" i="9"/>
  <c r="U418" i="9"/>
  <c r="T154" i="9"/>
  <c r="T250" i="9"/>
  <c r="T346" i="9"/>
  <c r="S82" i="9"/>
  <c r="S178" i="9"/>
  <c r="U84" i="9"/>
  <c r="U180" i="9"/>
  <c r="U276" i="9"/>
  <c r="U372" i="9"/>
  <c r="T108" i="9"/>
  <c r="T204" i="9"/>
  <c r="T300" i="9"/>
  <c r="T396" i="9"/>
  <c r="S132" i="9"/>
  <c r="S228" i="9"/>
  <c r="U101" i="9"/>
  <c r="U197" i="9"/>
  <c r="U293" i="9"/>
  <c r="U389" i="9"/>
  <c r="T125" i="9"/>
  <c r="T221" i="9"/>
  <c r="T317" i="9"/>
  <c r="T413" i="9"/>
  <c r="S149" i="9"/>
  <c r="S245" i="9"/>
  <c r="U395" i="9"/>
  <c r="S331" i="9"/>
  <c r="R100" i="9"/>
  <c r="R210" i="9"/>
  <c r="R307" i="9"/>
  <c r="R403" i="9"/>
  <c r="T171" i="9"/>
  <c r="S364" i="9"/>
  <c r="R120" i="9"/>
  <c r="R228" i="9"/>
  <c r="R324" i="9"/>
  <c r="U110" i="9"/>
  <c r="U206" i="9"/>
  <c r="U302" i="9"/>
  <c r="U398" i="9"/>
  <c r="T134" i="9"/>
  <c r="T230" i="9"/>
  <c r="T326" i="9"/>
  <c r="T422" i="9"/>
  <c r="S158" i="9"/>
  <c r="S254" i="9"/>
  <c r="S350" i="9"/>
  <c r="R85" i="9"/>
  <c r="R181" i="9"/>
  <c r="U135" i="9"/>
  <c r="U231" i="9"/>
  <c r="U327" i="9"/>
  <c r="U423" i="9"/>
  <c r="T159" i="9"/>
  <c r="T255" i="9"/>
  <c r="T351" i="9"/>
  <c r="S87" i="9"/>
  <c r="S183" i="9"/>
  <c r="S279" i="9"/>
  <c r="S375" i="9"/>
  <c r="U152" i="9"/>
  <c r="U248" i="9"/>
  <c r="U344" i="9"/>
  <c r="T80" i="9"/>
  <c r="T176" i="9"/>
  <c r="T272" i="9"/>
  <c r="T368" i="9"/>
  <c r="S104" i="9"/>
  <c r="S200" i="9"/>
  <c r="S296" i="9"/>
  <c r="U97" i="9"/>
  <c r="U193" i="9"/>
  <c r="U289" i="9"/>
  <c r="U385" i="9"/>
  <c r="T121" i="9"/>
  <c r="T217" i="9"/>
  <c r="T313" i="9"/>
  <c r="T409" i="9"/>
  <c r="S145" i="9"/>
  <c r="S241" i="9"/>
  <c r="S337" i="9"/>
  <c r="U138" i="9"/>
  <c r="U234" i="9"/>
  <c r="U330" i="9"/>
  <c r="U426" i="9"/>
  <c r="T162" i="9"/>
  <c r="T258" i="9"/>
  <c r="T354" i="9"/>
  <c r="S90" i="9"/>
  <c r="S186" i="9"/>
  <c r="U92" i="9"/>
  <c r="U188" i="9"/>
  <c r="U284" i="9"/>
  <c r="U380" i="9"/>
  <c r="T116" i="9"/>
  <c r="T212" i="9"/>
  <c r="T308" i="9"/>
  <c r="T404" i="9"/>
  <c r="S140" i="9"/>
  <c r="S236" i="9"/>
  <c r="U109" i="9"/>
  <c r="U205" i="9"/>
  <c r="U301" i="9"/>
  <c r="U397" i="9"/>
  <c r="T133" i="9"/>
  <c r="T229" i="9"/>
  <c r="T325" i="9"/>
  <c r="T421" i="9"/>
  <c r="S157" i="9"/>
  <c r="S253" i="9"/>
  <c r="T99" i="9"/>
  <c r="S347" i="9"/>
  <c r="R110" i="9"/>
  <c r="R219" i="9"/>
  <c r="R315" i="9"/>
  <c r="R411" i="9"/>
  <c r="T235" i="9"/>
  <c r="S378" i="9"/>
  <c r="R129" i="9"/>
  <c r="R236" i="9"/>
  <c r="R332" i="9"/>
  <c r="U118" i="9"/>
  <c r="U214" i="9"/>
  <c r="U310" i="9"/>
  <c r="U406" i="9"/>
  <c r="T142" i="9"/>
  <c r="T238" i="9"/>
  <c r="T334" i="9"/>
  <c r="T430" i="9"/>
  <c r="S166" i="9"/>
  <c r="S262" i="9"/>
  <c r="S358" i="9"/>
  <c r="R93" i="9"/>
  <c r="R189" i="9"/>
  <c r="U143" i="9"/>
  <c r="U239" i="9"/>
  <c r="U335" i="9"/>
  <c r="U431" i="9"/>
  <c r="T167" i="9"/>
  <c r="T263" i="9"/>
  <c r="T359" i="9"/>
  <c r="S95" i="9"/>
  <c r="S191" i="9"/>
  <c r="S287" i="9"/>
  <c r="S383" i="9"/>
  <c r="U160" i="9"/>
  <c r="U256" i="9"/>
  <c r="U352" i="9"/>
  <c r="T88" i="9"/>
  <c r="T184" i="9"/>
  <c r="T280" i="9"/>
  <c r="T376" i="9"/>
  <c r="S112" i="9"/>
  <c r="S208" i="9"/>
  <c r="S304" i="9"/>
  <c r="U105" i="9"/>
  <c r="U201" i="9"/>
  <c r="U297" i="9"/>
  <c r="U393" i="9"/>
  <c r="T129" i="9"/>
  <c r="T225" i="9"/>
  <c r="T321" i="9"/>
  <c r="T417" i="9"/>
  <c r="S153" i="9"/>
  <c r="S249" i="9"/>
  <c r="S345" i="9"/>
  <c r="U146" i="9"/>
  <c r="U242" i="9"/>
  <c r="U338" i="9"/>
  <c r="U434" i="9"/>
  <c r="T170" i="9"/>
  <c r="T266" i="9"/>
  <c r="T362" i="9"/>
  <c r="S98" i="9"/>
  <c r="S194" i="9"/>
  <c r="U100" i="9"/>
  <c r="U196" i="9"/>
  <c r="U292" i="9"/>
  <c r="U388" i="9"/>
  <c r="T124" i="9"/>
  <c r="T220" i="9"/>
  <c r="T316" i="9"/>
  <c r="T412" i="9"/>
  <c r="S148" i="9"/>
  <c r="S244" i="9"/>
  <c r="U117" i="9"/>
  <c r="U213" i="9"/>
  <c r="U309" i="9"/>
  <c r="U405" i="9"/>
  <c r="T141" i="9"/>
  <c r="T237" i="9"/>
  <c r="T333" i="9"/>
  <c r="T429" i="9"/>
  <c r="S165" i="9"/>
  <c r="S261" i="9"/>
  <c r="T163" i="9"/>
  <c r="S363" i="9"/>
  <c r="R119" i="9"/>
  <c r="R227" i="9"/>
  <c r="R323" i="9"/>
  <c r="R419" i="9"/>
  <c r="T299" i="9"/>
  <c r="S388" i="9"/>
  <c r="R138" i="9"/>
  <c r="R244" i="9"/>
  <c r="R340" i="9"/>
  <c r="U126" i="9"/>
  <c r="U222" i="9"/>
  <c r="U318" i="9"/>
  <c r="U414" i="9"/>
  <c r="T150" i="9"/>
  <c r="T246" i="9"/>
  <c r="T342" i="9"/>
  <c r="S78" i="9"/>
  <c r="S174" i="9"/>
  <c r="S270" i="9"/>
  <c r="S366" i="9"/>
  <c r="R101" i="9"/>
  <c r="R197" i="9"/>
  <c r="U151" i="9"/>
  <c r="U247" i="9"/>
  <c r="U343" i="9"/>
  <c r="T79" i="9"/>
  <c r="T175" i="9"/>
  <c r="T271" i="9"/>
  <c r="T367" i="9"/>
  <c r="S103" i="9"/>
  <c r="S199" i="9"/>
  <c r="S295" i="9"/>
  <c r="S391" i="9"/>
  <c r="U168" i="9"/>
  <c r="U264" i="9"/>
  <c r="U360" i="9"/>
  <c r="T96" i="9"/>
  <c r="T192" i="9"/>
  <c r="T288" i="9"/>
  <c r="T384" i="9"/>
  <c r="S120" i="9"/>
  <c r="S216" i="9"/>
  <c r="S312" i="9"/>
  <c r="U113" i="9"/>
  <c r="U209" i="9"/>
  <c r="U305" i="9"/>
  <c r="U401" i="9"/>
  <c r="T137" i="9"/>
  <c r="T233" i="9"/>
  <c r="T329" i="9"/>
  <c r="T425" i="9"/>
  <c r="S161" i="9"/>
  <c r="S257" i="9"/>
  <c r="S353" i="9"/>
  <c r="U154" i="9"/>
  <c r="U250" i="9"/>
  <c r="U346" i="9"/>
  <c r="T82" i="9"/>
  <c r="T178" i="9"/>
  <c r="T274" i="9"/>
  <c r="T370" i="9"/>
  <c r="S106" i="9"/>
  <c r="S202" i="9"/>
  <c r="U108" i="9"/>
  <c r="U204" i="9"/>
  <c r="U300" i="9"/>
  <c r="U396" i="9"/>
  <c r="T132" i="9"/>
  <c r="T228" i="9"/>
  <c r="T324" i="9"/>
  <c r="T420" i="9"/>
  <c r="S156" i="9"/>
  <c r="S252" i="9"/>
  <c r="U125" i="9"/>
  <c r="U221" i="9"/>
  <c r="U317" i="9"/>
  <c r="U413" i="9"/>
  <c r="T149" i="9"/>
  <c r="T245" i="9"/>
  <c r="T341" i="9"/>
  <c r="T437" i="9"/>
  <c r="S173" i="9"/>
  <c r="S269" i="9"/>
  <c r="T227" i="9"/>
  <c r="S377" i="9"/>
  <c r="R128" i="9"/>
  <c r="R235" i="9"/>
  <c r="R331" i="9"/>
  <c r="R427" i="9"/>
  <c r="T363" i="9"/>
  <c r="S399" i="9"/>
  <c r="R147" i="9"/>
  <c r="R252" i="9"/>
  <c r="R348" i="9"/>
  <c r="U134" i="9"/>
  <c r="U230" i="9"/>
  <c r="U326" i="9"/>
  <c r="U422" i="9"/>
  <c r="T158" i="9"/>
  <c r="T254" i="9"/>
  <c r="T350" i="9"/>
  <c r="S86" i="9"/>
  <c r="S182" i="9"/>
  <c r="S278" i="9"/>
  <c r="S374" i="9"/>
  <c r="R109" i="9"/>
  <c r="R205" i="9"/>
  <c r="U159" i="9"/>
  <c r="U255" i="9"/>
  <c r="U351" i="9"/>
  <c r="T87" i="9"/>
  <c r="T183" i="9"/>
  <c r="T279" i="9"/>
  <c r="T375" i="9"/>
  <c r="S111" i="9"/>
  <c r="S207" i="9"/>
  <c r="S303" i="9"/>
  <c r="U80" i="9"/>
  <c r="U176" i="9"/>
  <c r="U272" i="9"/>
  <c r="U368" i="9"/>
  <c r="T104" i="9"/>
  <c r="T200" i="9"/>
  <c r="T296" i="9"/>
  <c r="T392" i="9"/>
  <c r="S128" i="9"/>
  <c r="S224" i="9"/>
  <c r="S320" i="9"/>
  <c r="U121" i="9"/>
  <c r="U217" i="9"/>
  <c r="U313" i="9"/>
  <c r="U409" i="9"/>
  <c r="T145" i="9"/>
  <c r="T241" i="9"/>
  <c r="T337" i="9"/>
  <c r="T433" i="9"/>
  <c r="S169" i="9"/>
  <c r="S265" i="9"/>
  <c r="S361" i="9"/>
  <c r="U162" i="9"/>
  <c r="U258" i="9"/>
  <c r="U354" i="9"/>
  <c r="T90" i="9"/>
  <c r="T186" i="9"/>
  <c r="T282" i="9"/>
  <c r="T378" i="9"/>
  <c r="S114" i="9"/>
  <c r="S210" i="9"/>
  <c r="U116" i="9"/>
  <c r="U212" i="9"/>
  <c r="U308" i="9"/>
  <c r="U404" i="9"/>
  <c r="T140" i="9"/>
  <c r="T236" i="9"/>
  <c r="T332" i="9"/>
  <c r="T428" i="9"/>
  <c r="S164" i="9"/>
  <c r="S260" i="9"/>
  <c r="U133" i="9"/>
  <c r="U229" i="9"/>
  <c r="U325" i="9"/>
  <c r="U421" i="9"/>
  <c r="T157" i="9"/>
  <c r="T253" i="9"/>
  <c r="T349" i="9"/>
  <c r="S85" i="9"/>
  <c r="S181" i="9"/>
  <c r="S277" i="9"/>
  <c r="T291" i="9"/>
  <c r="S387" i="9"/>
  <c r="R137" i="9"/>
  <c r="R243" i="9"/>
  <c r="R339" i="9"/>
  <c r="R435" i="9"/>
  <c r="T427" i="9"/>
  <c r="S408" i="9"/>
  <c r="R156" i="9"/>
  <c r="R260" i="9"/>
  <c r="R356" i="9"/>
  <c r="U142" i="9"/>
  <c r="U238" i="9"/>
  <c r="U334" i="9"/>
  <c r="U430" i="9"/>
  <c r="T166" i="9"/>
  <c r="T262" i="9"/>
  <c r="T358" i="9"/>
  <c r="S94" i="9"/>
  <c r="S190" i="9"/>
  <c r="S286" i="9"/>
  <c r="S382" i="9"/>
  <c r="R117" i="9"/>
  <c r="R213" i="9"/>
  <c r="U167" i="9"/>
  <c r="U263" i="9"/>
  <c r="U359" i="9"/>
  <c r="T95" i="9"/>
  <c r="T191" i="9"/>
  <c r="T287" i="9"/>
  <c r="T383" i="9"/>
  <c r="S119" i="9"/>
  <c r="S215" i="9"/>
  <c r="S311" i="9"/>
  <c r="U88" i="9"/>
  <c r="U184" i="9"/>
  <c r="U280" i="9"/>
  <c r="U376" i="9"/>
  <c r="T112" i="9"/>
  <c r="T208" i="9"/>
  <c r="T304" i="9"/>
  <c r="T400" i="9"/>
  <c r="S136" i="9"/>
  <c r="S232" i="9"/>
  <c r="S328" i="9"/>
  <c r="U129" i="9"/>
  <c r="U225" i="9"/>
  <c r="U321" i="9"/>
  <c r="U417" i="9"/>
  <c r="T153" i="9"/>
  <c r="T249" i="9"/>
  <c r="T345" i="9"/>
  <c r="S81" i="9"/>
  <c r="S177" i="9"/>
  <c r="S273" i="9"/>
  <c r="S369" i="9"/>
  <c r="U170" i="9"/>
  <c r="U266" i="9"/>
  <c r="U362" i="9"/>
  <c r="T98" i="9"/>
  <c r="T194" i="9"/>
  <c r="T290" i="9"/>
  <c r="T386" i="9"/>
  <c r="S122" i="9"/>
  <c r="S218" i="9"/>
  <c r="U124" i="9"/>
  <c r="U220" i="9"/>
  <c r="U316" i="9"/>
  <c r="U412" i="9"/>
  <c r="T148" i="9"/>
  <c r="T244" i="9"/>
  <c r="T340" i="9"/>
  <c r="T436" i="9"/>
  <c r="S172" i="9"/>
  <c r="S268" i="9"/>
  <c r="U141" i="9"/>
  <c r="U237" i="9"/>
  <c r="U333" i="9"/>
  <c r="U429" i="9"/>
  <c r="T165" i="9"/>
  <c r="T261" i="9"/>
  <c r="T357" i="9"/>
  <c r="S93" i="9"/>
  <c r="S189" i="9"/>
  <c r="S285" i="9"/>
  <c r="T355" i="9"/>
  <c r="S397" i="9"/>
  <c r="R146" i="9"/>
  <c r="R251" i="9"/>
  <c r="R347" i="9"/>
  <c r="U83" i="9"/>
  <c r="S131" i="9"/>
  <c r="S417" i="9"/>
  <c r="R166" i="9"/>
  <c r="R268" i="9"/>
  <c r="R364" i="9"/>
  <c r="U150" i="9"/>
  <c r="U246" i="9"/>
  <c r="U342" i="9"/>
  <c r="T78" i="9"/>
  <c r="T174" i="9"/>
  <c r="T270" i="9"/>
  <c r="T366" i="9"/>
  <c r="S102" i="9"/>
  <c r="S198" i="9"/>
  <c r="S294" i="9"/>
  <c r="S390" i="9"/>
  <c r="R125" i="9"/>
  <c r="U79" i="9"/>
  <c r="U175" i="9"/>
  <c r="U271" i="9"/>
  <c r="U367" i="9"/>
  <c r="T103" i="9"/>
  <c r="T199" i="9"/>
  <c r="T295" i="9"/>
  <c r="T391" i="9"/>
  <c r="S127" i="9"/>
  <c r="S223" i="9"/>
  <c r="S319" i="9"/>
  <c r="U96" i="9"/>
  <c r="U192" i="9"/>
  <c r="U288" i="9"/>
  <c r="U384" i="9"/>
  <c r="T120" i="9"/>
  <c r="T216" i="9"/>
  <c r="T312" i="9"/>
  <c r="T408" i="9"/>
  <c r="S144" i="9"/>
  <c r="S240" i="9"/>
  <c r="S336" i="9"/>
  <c r="U137" i="9"/>
  <c r="U233" i="9"/>
  <c r="U329" i="9"/>
  <c r="U425" i="9"/>
  <c r="T161" i="9"/>
  <c r="T257" i="9"/>
  <c r="T353" i="9"/>
  <c r="S89" i="9"/>
  <c r="S185" i="9"/>
  <c r="S281" i="9"/>
  <c r="U82" i="9"/>
  <c r="U178" i="9"/>
  <c r="U274" i="9"/>
  <c r="U370" i="9"/>
  <c r="T106" i="9"/>
  <c r="T202" i="9"/>
  <c r="T298" i="9"/>
  <c r="T394" i="9"/>
  <c r="S130" i="9"/>
  <c r="S226" i="9"/>
  <c r="U132" i="9"/>
  <c r="U228" i="9"/>
  <c r="U324" i="9"/>
  <c r="U420" i="9"/>
  <c r="T156" i="9"/>
  <c r="T252" i="9"/>
  <c r="T348" i="9"/>
  <c r="S84" i="9"/>
  <c r="S180" i="9"/>
  <c r="S276" i="9"/>
  <c r="U149" i="9"/>
  <c r="U245" i="9"/>
  <c r="U341" i="9"/>
  <c r="U437" i="9"/>
  <c r="T173" i="9"/>
  <c r="T269" i="9"/>
  <c r="T365" i="9"/>
  <c r="S101" i="9"/>
  <c r="S197" i="9"/>
  <c r="S293" i="9"/>
  <c r="T419" i="9"/>
  <c r="S407" i="9"/>
  <c r="R155" i="9"/>
  <c r="R259" i="9"/>
  <c r="R355" i="9"/>
  <c r="U147" i="9"/>
  <c r="S195" i="9"/>
  <c r="S426" i="9"/>
  <c r="R175" i="9"/>
  <c r="R276" i="9"/>
  <c r="R372" i="9"/>
  <c r="U283" i="9"/>
  <c r="S299" i="9"/>
  <c r="R84" i="9"/>
  <c r="R194" i="9"/>
  <c r="R293" i="9"/>
  <c r="R389" i="9"/>
  <c r="U419" i="9"/>
  <c r="S338" i="9"/>
  <c r="R104" i="9"/>
  <c r="R214" i="9"/>
  <c r="R310" i="9"/>
  <c r="R406" i="9"/>
  <c r="T259" i="9"/>
  <c r="S381" i="9"/>
  <c r="R132" i="9"/>
  <c r="R239" i="9"/>
  <c r="R335" i="9"/>
  <c r="R431" i="9"/>
  <c r="S107" i="9"/>
  <c r="S413" i="9"/>
  <c r="R162" i="9"/>
  <c r="R265" i="9"/>
  <c r="R361" i="9"/>
  <c r="U259" i="9"/>
  <c r="S290" i="9"/>
  <c r="R81" i="9"/>
  <c r="R191" i="9"/>
  <c r="R290" i="9"/>
  <c r="R386" i="9"/>
  <c r="R256" i="9"/>
  <c r="T49" i="9"/>
  <c r="R232" i="9"/>
  <c r="R198" i="9"/>
  <c r="T42" i="9"/>
  <c r="U115" i="9"/>
  <c r="R75" i="9"/>
  <c r="S66" i="9"/>
  <c r="T69" i="9"/>
  <c r="R216" i="9"/>
  <c r="T44" i="9"/>
  <c r="U243" i="9"/>
  <c r="S52" i="9"/>
  <c r="R304" i="9"/>
  <c r="T47" i="9"/>
  <c r="R77" i="9"/>
  <c r="S394" i="9"/>
  <c r="U57" i="9"/>
  <c r="R54" i="9"/>
  <c r="U347" i="9"/>
  <c r="S317" i="9"/>
  <c r="R94" i="9"/>
  <c r="R203" i="9"/>
  <c r="R301" i="9"/>
  <c r="R397" i="9"/>
  <c r="T123" i="9"/>
  <c r="S354" i="9"/>
  <c r="R113" i="9"/>
  <c r="R222" i="9"/>
  <c r="R318" i="9"/>
  <c r="R414" i="9"/>
  <c r="T323" i="9"/>
  <c r="S393" i="9"/>
  <c r="R142" i="9"/>
  <c r="R247" i="9"/>
  <c r="R343" i="9"/>
  <c r="U123" i="9"/>
  <c r="S171" i="9"/>
  <c r="S423" i="9"/>
  <c r="R171" i="9"/>
  <c r="R273" i="9"/>
  <c r="R369" i="9"/>
  <c r="U323" i="9"/>
  <c r="S314" i="9"/>
  <c r="R90" i="9"/>
  <c r="R200" i="9"/>
  <c r="R298" i="9"/>
  <c r="R394" i="9"/>
  <c r="R320" i="9"/>
  <c r="T57" i="9"/>
  <c r="R360" i="9"/>
  <c r="R264" i="9"/>
  <c r="T50" i="9"/>
  <c r="T267" i="9"/>
  <c r="U44" i="9"/>
  <c r="R41" i="9"/>
  <c r="S44" i="9"/>
  <c r="T52" i="9"/>
  <c r="S356" i="9"/>
  <c r="R43" i="9"/>
  <c r="T55" i="9"/>
  <c r="S99" i="9"/>
  <c r="R106" i="9"/>
  <c r="U65" i="9"/>
  <c r="R62" i="9"/>
  <c r="R388" i="9"/>
  <c r="U411" i="9"/>
  <c r="S333" i="9"/>
  <c r="R103" i="9"/>
  <c r="R212" i="9"/>
  <c r="R309" i="9"/>
  <c r="R405" i="9"/>
  <c r="T187" i="9"/>
  <c r="S370" i="9"/>
  <c r="R122" i="9"/>
  <c r="R230" i="9"/>
  <c r="R326" i="9"/>
  <c r="R422" i="9"/>
  <c r="T387" i="9"/>
  <c r="S402" i="9"/>
  <c r="R151" i="9"/>
  <c r="R255" i="9"/>
  <c r="R351" i="9"/>
  <c r="U187" i="9"/>
  <c r="S235" i="9"/>
  <c r="S432" i="9"/>
  <c r="R180" i="9"/>
  <c r="R281" i="9"/>
  <c r="R377" i="9"/>
  <c r="U387" i="9"/>
  <c r="S330" i="9"/>
  <c r="R99" i="9"/>
  <c r="R209" i="9"/>
  <c r="R306" i="9"/>
  <c r="R402" i="9"/>
  <c r="R384" i="9"/>
  <c r="T65" i="9"/>
  <c r="R70" i="9"/>
  <c r="R328" i="9"/>
  <c r="T58" i="9"/>
  <c r="S324" i="9"/>
  <c r="U52" i="9"/>
  <c r="R49" i="9"/>
  <c r="S60" i="9"/>
  <c r="R344" i="9"/>
  <c r="T60" i="9"/>
  <c r="R79" i="9"/>
  <c r="R67" i="9"/>
  <c r="R432" i="9"/>
  <c r="T63" i="9"/>
  <c r="R424" i="9"/>
  <c r="R179" i="9"/>
  <c r="T40" i="9"/>
  <c r="R37" i="9"/>
  <c r="R396" i="9"/>
  <c r="T115" i="9"/>
  <c r="S349" i="9"/>
  <c r="R112" i="9"/>
  <c r="R221" i="9"/>
  <c r="R317" i="9"/>
  <c r="R413" i="9"/>
  <c r="T251" i="9"/>
  <c r="S380" i="9"/>
  <c r="R131" i="9"/>
  <c r="R238" i="9"/>
  <c r="R334" i="9"/>
  <c r="R430" i="9"/>
  <c r="S91" i="9"/>
  <c r="S411" i="9"/>
  <c r="R160" i="9"/>
  <c r="R263" i="9"/>
  <c r="R359" i="9"/>
  <c r="U251" i="9"/>
  <c r="S283" i="9"/>
  <c r="R80" i="9"/>
  <c r="R190" i="9"/>
  <c r="R289" i="9"/>
  <c r="R385" i="9"/>
  <c r="T91" i="9"/>
  <c r="S346" i="9"/>
  <c r="R108" i="9"/>
  <c r="R218" i="9"/>
  <c r="R314" i="9"/>
  <c r="R410" i="9"/>
  <c r="U72" i="9"/>
  <c r="S40" i="9"/>
  <c r="U47" i="9"/>
  <c r="R392" i="9"/>
  <c r="T66" i="9"/>
  <c r="S421" i="9"/>
  <c r="U60" i="9"/>
  <c r="R57" i="9"/>
  <c r="S68" i="9"/>
  <c r="R408" i="9"/>
  <c r="T68" i="9"/>
  <c r="R152" i="9"/>
  <c r="S372" i="9"/>
  <c r="U70" i="9"/>
  <c r="S38" i="9"/>
  <c r="U77" i="9"/>
  <c r="R248" i="9"/>
  <c r="T48" i="9"/>
  <c r="S76" i="9"/>
  <c r="R404" i="9"/>
  <c r="T179" i="9"/>
  <c r="S365" i="9"/>
  <c r="R121" i="9"/>
  <c r="R229" i="9"/>
  <c r="R325" i="9"/>
  <c r="R421" i="9"/>
  <c r="T315" i="9"/>
  <c r="S392" i="9"/>
  <c r="R140" i="9"/>
  <c r="R246" i="9"/>
  <c r="R342" i="9"/>
  <c r="U107" i="9"/>
  <c r="S155" i="9"/>
  <c r="S420" i="9"/>
  <c r="R169" i="9"/>
  <c r="R271" i="9"/>
  <c r="R367" i="9"/>
  <c r="U315" i="9"/>
  <c r="S309" i="9"/>
  <c r="R89" i="9"/>
  <c r="R199" i="9"/>
  <c r="R297" i="9"/>
  <c r="R393" i="9"/>
  <c r="T155" i="9"/>
  <c r="S362" i="9"/>
  <c r="R118" i="9"/>
  <c r="R226" i="9"/>
  <c r="R322" i="9"/>
  <c r="R418" i="9"/>
  <c r="T72" i="9"/>
  <c r="S48" i="9"/>
  <c r="T38" i="9"/>
  <c r="U73" i="9"/>
  <c r="S41" i="9"/>
  <c r="R134" i="9"/>
  <c r="U68" i="9"/>
  <c r="R65" i="9"/>
  <c r="R51" i="9"/>
  <c r="U75" i="9"/>
  <c r="S43" i="9"/>
  <c r="R224" i="9"/>
  <c r="R296" i="9"/>
  <c r="T70" i="9"/>
  <c r="S46" i="9"/>
  <c r="U39" i="9"/>
  <c r="R312" i="9"/>
  <c r="T56" i="9"/>
  <c r="U307" i="9"/>
  <c r="R412" i="9"/>
  <c r="T243" i="9"/>
  <c r="S379" i="9"/>
  <c r="R130" i="9"/>
  <c r="R237" i="9"/>
  <c r="R333" i="9"/>
  <c r="R429" i="9"/>
  <c r="T379" i="9"/>
  <c r="S401" i="9"/>
  <c r="R150" i="9"/>
  <c r="R254" i="9"/>
  <c r="R350" i="9"/>
  <c r="U171" i="9"/>
  <c r="S219" i="9"/>
  <c r="S429" i="9"/>
  <c r="R178" i="9"/>
  <c r="R279" i="9"/>
  <c r="R375" i="9"/>
  <c r="U379" i="9"/>
  <c r="S325" i="9"/>
  <c r="R98" i="9"/>
  <c r="R208" i="9"/>
  <c r="R305" i="9"/>
  <c r="R401" i="9"/>
  <c r="T219" i="9"/>
  <c r="S376" i="9"/>
  <c r="R127" i="9"/>
  <c r="R234" i="9"/>
  <c r="R330" i="9"/>
  <c r="R426" i="9"/>
  <c r="S72" i="9"/>
  <c r="S56" i="9"/>
  <c r="T62" i="9"/>
  <c r="T73" i="9"/>
  <c r="S49" i="9"/>
  <c r="R207" i="9"/>
  <c r="T43" i="9"/>
  <c r="T395" i="9"/>
  <c r="R59" i="9"/>
  <c r="T75" i="9"/>
  <c r="S51" i="9"/>
  <c r="R288" i="9"/>
  <c r="S45" i="9"/>
  <c r="S70" i="9"/>
  <c r="S54" i="9"/>
  <c r="U55" i="9"/>
  <c r="R376" i="9"/>
  <c r="T64" i="9"/>
  <c r="T77" i="9"/>
  <c r="R420" i="9"/>
  <c r="T307" i="9"/>
  <c r="S389" i="9"/>
  <c r="R139" i="9"/>
  <c r="R245" i="9"/>
  <c r="R341" i="9"/>
  <c r="R437" i="9"/>
  <c r="S83" i="9"/>
  <c r="S410" i="9"/>
  <c r="R159" i="9"/>
  <c r="R262" i="9"/>
  <c r="R358" i="9"/>
  <c r="U235" i="9"/>
  <c r="S275" i="9"/>
  <c r="R78" i="9"/>
  <c r="R187" i="9"/>
  <c r="R287" i="9"/>
  <c r="R383" i="9"/>
  <c r="T83" i="9"/>
  <c r="S341" i="9"/>
  <c r="R107" i="9"/>
  <c r="R217" i="9"/>
  <c r="R313" i="9"/>
  <c r="R409" i="9"/>
  <c r="T283" i="9"/>
  <c r="S386" i="9"/>
  <c r="R136" i="9"/>
  <c r="R242" i="9"/>
  <c r="R338" i="9"/>
  <c r="R434" i="9"/>
  <c r="R73" i="9"/>
  <c r="S64" i="9"/>
  <c r="S61" i="9"/>
  <c r="S73" i="9"/>
  <c r="S57" i="9"/>
  <c r="R272" i="9"/>
  <c r="T51" i="9"/>
  <c r="U76" i="9"/>
  <c r="R161" i="9"/>
  <c r="S75" i="9"/>
  <c r="S59" i="9"/>
  <c r="R352" i="9"/>
  <c r="U371" i="9"/>
  <c r="R71" i="9"/>
  <c r="S62" i="9"/>
  <c r="T46" i="9"/>
  <c r="U71" i="9"/>
  <c r="S39" i="9"/>
  <c r="U63" i="9"/>
  <c r="R428" i="9"/>
  <c r="T371" i="9"/>
  <c r="S400" i="9"/>
  <c r="R148" i="9"/>
  <c r="R253" i="9"/>
  <c r="R349" i="9"/>
  <c r="U99" i="9"/>
  <c r="S147" i="9"/>
  <c r="S419" i="9"/>
  <c r="R168" i="9"/>
  <c r="R270" i="9"/>
  <c r="R366" i="9"/>
  <c r="U299" i="9"/>
  <c r="S307" i="9"/>
  <c r="R87" i="9"/>
  <c r="R196" i="9"/>
  <c r="R295" i="9"/>
  <c r="R391" i="9"/>
  <c r="T147" i="9"/>
  <c r="S357" i="9"/>
  <c r="R116" i="9"/>
  <c r="R225" i="9"/>
  <c r="R321" i="9"/>
  <c r="R417" i="9"/>
  <c r="T347" i="9"/>
  <c r="S396" i="9"/>
  <c r="R145" i="9"/>
  <c r="R250" i="9"/>
  <c r="R346" i="9"/>
  <c r="T139" i="9"/>
  <c r="U42" i="9"/>
  <c r="R39" i="9"/>
  <c r="R52" i="9"/>
  <c r="R74" i="9"/>
  <c r="S65" i="9"/>
  <c r="R336" i="9"/>
  <c r="T59" i="9"/>
  <c r="U38" i="9"/>
  <c r="U179" i="9"/>
  <c r="R76" i="9"/>
  <c r="S67" i="9"/>
  <c r="R416" i="9"/>
  <c r="S163" i="9"/>
  <c r="U40" i="9"/>
  <c r="S37" i="9"/>
  <c r="T37" i="9"/>
  <c r="T71" i="9"/>
  <c r="S47" i="9"/>
  <c r="T54" i="9"/>
  <c r="T203" i="9"/>
  <c r="R436" i="9"/>
  <c r="T435" i="9"/>
  <c r="S409" i="9"/>
  <c r="R158" i="9"/>
  <c r="R261" i="9"/>
  <c r="R357" i="9"/>
  <c r="U163" i="9"/>
  <c r="S211" i="9"/>
  <c r="S428" i="9"/>
  <c r="R177" i="9"/>
  <c r="R278" i="9"/>
  <c r="R374" i="9"/>
  <c r="U363" i="9"/>
  <c r="S323" i="9"/>
  <c r="R96" i="9"/>
  <c r="R206" i="9"/>
  <c r="R303" i="9"/>
  <c r="R399" i="9"/>
  <c r="T211" i="9"/>
  <c r="S373" i="9"/>
  <c r="R126" i="9"/>
  <c r="R233" i="9"/>
  <c r="R329" i="9"/>
  <c r="R425" i="9"/>
  <c r="T411" i="9"/>
  <c r="S405" i="9"/>
  <c r="R154" i="9"/>
  <c r="R258" i="9"/>
  <c r="R354" i="9"/>
  <c r="S282" i="9"/>
  <c r="U50" i="9"/>
  <c r="R47" i="9"/>
  <c r="U43" i="9"/>
  <c r="R40" i="9"/>
  <c r="R400" i="9"/>
  <c r="T67" i="9"/>
  <c r="U54" i="9"/>
  <c r="T331" i="9"/>
  <c r="U45" i="9"/>
  <c r="R42" i="9"/>
  <c r="T76" i="9"/>
  <c r="S384" i="9"/>
  <c r="U48" i="9"/>
  <c r="R45" i="9"/>
  <c r="S69" i="9"/>
  <c r="S71" i="9"/>
  <c r="S55" i="9"/>
  <c r="S53" i="9"/>
  <c r="U91" i="9"/>
  <c r="S139" i="9"/>
  <c r="S418" i="9"/>
  <c r="R167" i="9"/>
  <c r="R269" i="9"/>
  <c r="R365" i="9"/>
  <c r="U227" i="9"/>
  <c r="S274" i="9"/>
  <c r="S437" i="9"/>
  <c r="R186" i="9"/>
  <c r="R286" i="9"/>
  <c r="R382" i="9"/>
  <c r="U427" i="9"/>
  <c r="S339" i="9"/>
  <c r="R105" i="9"/>
  <c r="R215" i="9"/>
  <c r="R311" i="9"/>
  <c r="R407" i="9"/>
  <c r="T275" i="9"/>
  <c r="S385" i="9"/>
  <c r="R135" i="9"/>
  <c r="R241" i="9"/>
  <c r="R337" i="9"/>
  <c r="R433" i="9"/>
  <c r="S115" i="9"/>
  <c r="S415" i="9"/>
  <c r="R163" i="9"/>
  <c r="R266" i="9"/>
  <c r="R362" i="9"/>
  <c r="S403" i="9"/>
  <c r="U58" i="9"/>
  <c r="R55" i="9"/>
  <c r="S308" i="9"/>
  <c r="U51" i="9"/>
  <c r="R48" i="9"/>
  <c r="U74" i="9"/>
  <c r="S42" i="9"/>
  <c r="U62" i="9"/>
  <c r="S340" i="9"/>
  <c r="U53" i="9"/>
  <c r="R50" i="9"/>
  <c r="U46" i="9"/>
  <c r="R97" i="9"/>
  <c r="U56" i="9"/>
  <c r="R53" i="9"/>
  <c r="R60" i="9"/>
  <c r="R72" i="9"/>
  <c r="S63" i="9"/>
  <c r="R44" i="9"/>
  <c r="U155" i="9"/>
  <c r="S203" i="9"/>
  <c r="S427" i="9"/>
  <c r="R176" i="9"/>
  <c r="R277" i="9"/>
  <c r="R373" i="9"/>
  <c r="U291" i="9"/>
  <c r="S306" i="9"/>
  <c r="R86" i="9"/>
  <c r="R195" i="9"/>
  <c r="R294" i="9"/>
  <c r="R390" i="9"/>
  <c r="T131" i="9"/>
  <c r="S355" i="9"/>
  <c r="R114" i="9"/>
  <c r="R223" i="9"/>
  <c r="R319" i="9"/>
  <c r="R415" i="9"/>
  <c r="T339" i="9"/>
  <c r="S395" i="9"/>
  <c r="R144" i="9"/>
  <c r="R249" i="9"/>
  <c r="R345" i="9"/>
  <c r="U131" i="9"/>
  <c r="S179" i="9"/>
  <c r="S424" i="9"/>
  <c r="R172" i="9"/>
  <c r="R274" i="9"/>
  <c r="R370" i="9"/>
  <c r="R115" i="9"/>
  <c r="U66" i="9"/>
  <c r="R63" i="9"/>
  <c r="S412" i="9"/>
  <c r="U59" i="9"/>
  <c r="R56" i="9"/>
  <c r="T74" i="9"/>
  <c r="S50" i="9"/>
  <c r="T45" i="9"/>
  <c r="S431" i="9"/>
  <c r="U61" i="9"/>
  <c r="R58" i="9"/>
  <c r="U37" i="9"/>
  <c r="R170" i="9"/>
  <c r="U64" i="9"/>
  <c r="R61" i="9"/>
  <c r="U435" i="9"/>
  <c r="U41" i="9"/>
  <c r="R38" i="9"/>
  <c r="R68" i="9"/>
  <c r="R280" i="9"/>
  <c r="U219" i="9"/>
  <c r="S267" i="9"/>
  <c r="S436" i="9"/>
  <c r="R185" i="9"/>
  <c r="R285" i="9"/>
  <c r="R381" i="9"/>
  <c r="U355" i="9"/>
  <c r="S322" i="9"/>
  <c r="R95" i="9"/>
  <c r="R204" i="9"/>
  <c r="R302" i="9"/>
  <c r="R398" i="9"/>
  <c r="T195" i="9"/>
  <c r="S371" i="9"/>
  <c r="R123" i="9"/>
  <c r="R231" i="9"/>
  <c r="R327" i="9"/>
  <c r="R423" i="9"/>
  <c r="T403" i="9"/>
  <c r="S404" i="9"/>
  <c r="R153" i="9"/>
  <c r="R257" i="9"/>
  <c r="R353" i="9"/>
  <c r="U195" i="9"/>
  <c r="S243" i="9"/>
  <c r="S433" i="9"/>
  <c r="R182" i="9"/>
  <c r="R282" i="9"/>
  <c r="R378" i="9"/>
  <c r="R188" i="9"/>
  <c r="T41" i="9"/>
  <c r="R88" i="9"/>
  <c r="R124" i="9"/>
  <c r="U67" i="9"/>
  <c r="R64" i="9"/>
  <c r="S74" i="9"/>
  <c r="S58" i="9"/>
  <c r="T53" i="9"/>
  <c r="R143" i="9"/>
  <c r="U69" i="9"/>
  <c r="R66" i="9"/>
  <c r="T61" i="9"/>
  <c r="R240" i="9"/>
  <c r="T39" i="9"/>
  <c r="R69" i="9"/>
  <c r="S227" i="9"/>
  <c r="U49" i="9"/>
  <c r="R46" i="9"/>
  <c r="R368" i="9"/>
  <c r="D76" i="6"/>
  <c r="C76" i="29"/>
  <c r="C80" i="29"/>
  <c r="E76" i="29"/>
  <c r="E80" i="29"/>
  <c r="E83" i="29" s="1"/>
  <c r="E76" i="6"/>
  <c r="D76" i="29"/>
  <c r="D80" i="29"/>
  <c r="G61" i="11"/>
  <c r="G69" i="11"/>
  <c r="G57" i="11"/>
  <c r="D83" i="6"/>
  <c r="C26" i="6"/>
  <c r="C34" i="1"/>
  <c r="C80" i="6"/>
  <c r="C76" i="6"/>
  <c r="F66" i="6"/>
  <c r="Q118" i="6" l="1"/>
  <c r="Q126" i="6"/>
  <c r="Q134" i="6"/>
  <c r="Q119" i="6"/>
  <c r="Q127" i="6"/>
  <c r="Q135" i="6"/>
  <c r="Q120" i="6"/>
  <c r="Q128" i="6"/>
  <c r="Q136" i="6"/>
  <c r="Q113" i="6"/>
  <c r="Q121" i="6"/>
  <c r="Q129" i="6"/>
  <c r="Q137" i="6"/>
  <c r="Q114" i="6"/>
  <c r="Q122" i="6"/>
  <c r="Q130" i="6"/>
  <c r="Q138" i="6"/>
  <c r="Q115" i="6"/>
  <c r="Q123" i="6"/>
  <c r="Q131" i="6"/>
  <c r="Q139" i="6"/>
  <c r="Q116" i="6"/>
  <c r="Q124" i="6"/>
  <c r="Q132" i="6"/>
  <c r="Q117" i="6"/>
  <c r="Q125" i="6"/>
  <c r="Q133" i="6"/>
  <c r="I85" i="16"/>
  <c r="C78" i="28"/>
  <c r="C80" i="28" s="1"/>
  <c r="C146" i="28" s="1"/>
  <c r="C106" i="29" s="1"/>
  <c r="C42" i="28"/>
  <c r="C155" i="28" s="1"/>
  <c r="K118" i="29"/>
  <c r="C90" i="29"/>
  <c r="K115" i="29"/>
  <c r="K120" i="29"/>
  <c r="K130" i="29"/>
  <c r="K135" i="29"/>
  <c r="K133" i="29"/>
  <c r="K125" i="29"/>
  <c r="K117" i="29"/>
  <c r="K128" i="29"/>
  <c r="K138" i="29"/>
  <c r="K132" i="29"/>
  <c r="K122" i="29"/>
  <c r="K127" i="29"/>
  <c r="K124" i="29"/>
  <c r="K137" i="29"/>
  <c r="K119" i="29"/>
  <c r="K116" i="29"/>
  <c r="K129" i="29"/>
  <c r="K134" i="29"/>
  <c r="K131" i="29"/>
  <c r="K121" i="29"/>
  <c r="K126" i="29"/>
  <c r="K123" i="29"/>
  <c r="K136" i="29"/>
  <c r="I304" i="32"/>
  <c r="I258" i="32"/>
  <c r="I43" i="32"/>
  <c r="I305" i="32"/>
  <c r="I137" i="32"/>
  <c r="I256" i="32"/>
  <c r="I157" i="32"/>
  <c r="I233" i="32"/>
  <c r="I283" i="32"/>
  <c r="I44" i="32"/>
  <c r="I202" i="32"/>
  <c r="I184" i="32"/>
  <c r="I131" i="32"/>
  <c r="I82" i="32"/>
  <c r="I223" i="32"/>
  <c r="I297" i="32"/>
  <c r="I245" i="32"/>
  <c r="I151" i="32"/>
  <c r="I257" i="32"/>
  <c r="I290" i="32"/>
  <c r="I217" i="32"/>
  <c r="I213" i="32"/>
  <c r="I146" i="32"/>
  <c r="I212" i="32"/>
  <c r="I218" i="32"/>
  <c r="I138" i="32"/>
  <c r="I192" i="32"/>
  <c r="I55" i="32"/>
  <c r="I126" i="32"/>
  <c r="I120" i="32"/>
  <c r="I243" i="32"/>
  <c r="I177" i="32"/>
  <c r="I293" i="32"/>
  <c r="I205" i="32"/>
  <c r="I141" i="32"/>
  <c r="I114" i="32"/>
  <c r="I70" i="32"/>
  <c r="I242" i="32"/>
  <c r="I231" i="32"/>
  <c r="I311" i="32"/>
  <c r="I287" i="32"/>
  <c r="I142" i="32"/>
  <c r="I46" i="32"/>
  <c r="I116" i="32"/>
  <c r="I178" i="32"/>
  <c r="I208" i="32"/>
  <c r="I310" i="32"/>
  <c r="I136" i="32"/>
  <c r="I227" i="32"/>
  <c r="I185" i="32"/>
  <c r="I235" i="32"/>
  <c r="I123" i="32"/>
  <c r="I54" i="32"/>
  <c r="I204" i="32"/>
  <c r="I51" i="32"/>
  <c r="I191" i="32"/>
  <c r="I76" i="32"/>
  <c r="I270" i="32"/>
  <c r="I83" i="32"/>
  <c r="I234" i="32"/>
  <c r="I56" i="32"/>
  <c r="I206" i="32"/>
  <c r="I63" i="32"/>
  <c r="I94" i="32"/>
  <c r="I73" i="32"/>
  <c r="I194" i="32"/>
  <c r="I294" i="32"/>
  <c r="I261" i="32"/>
  <c r="I124" i="32"/>
  <c r="I80" i="32"/>
  <c r="I228" i="32"/>
  <c r="I47" i="32"/>
  <c r="I254" i="32"/>
  <c r="I168" i="32"/>
  <c r="I99" i="32"/>
  <c r="I282" i="32"/>
  <c r="I127" i="32"/>
  <c r="I112" i="32"/>
  <c r="I175" i="32"/>
  <c r="I295" i="32"/>
  <c r="I153" i="32"/>
  <c r="I187" i="32"/>
  <c r="I172" i="32"/>
  <c r="I155" i="32"/>
  <c r="I68" i="32"/>
  <c r="I209" i="32"/>
  <c r="I288" i="32"/>
  <c r="I134" i="32"/>
  <c r="I48" i="32"/>
  <c r="I190" i="32"/>
  <c r="I81" i="32"/>
  <c r="I140" i="32"/>
  <c r="I298" i="32"/>
  <c r="I160" i="32"/>
  <c r="I211" i="32"/>
  <c r="I286" i="32"/>
  <c r="I97" i="32"/>
  <c r="I58" i="32"/>
  <c r="I247" i="32"/>
  <c r="I309" i="32"/>
  <c r="I188" i="32"/>
  <c r="I96" i="32"/>
  <c r="I52" i="32"/>
  <c r="I239" i="32"/>
  <c r="I108" i="32"/>
  <c r="I61" i="32"/>
  <c r="I246" i="32"/>
  <c r="I250" i="32"/>
  <c r="I102" i="32"/>
  <c r="I266" i="32"/>
  <c r="I93" i="32"/>
  <c r="I144" i="32"/>
  <c r="I65" i="32"/>
  <c r="I103" i="32"/>
  <c r="I39" i="32"/>
  <c r="I299" i="32"/>
  <c r="I302" i="32"/>
  <c r="I276" i="32"/>
  <c r="I57" i="32"/>
  <c r="I251" i="32"/>
  <c r="I301" i="32"/>
  <c r="I203" i="32"/>
  <c r="I72" i="32"/>
  <c r="I173" i="32"/>
  <c r="I164" i="32"/>
  <c r="I271" i="32"/>
  <c r="I224" i="32"/>
  <c r="I133" i="32"/>
  <c r="I281" i="32"/>
  <c r="I38" i="32"/>
  <c r="I279" i="32"/>
  <c r="I148" i="32"/>
  <c r="I292" i="32"/>
  <c r="I195" i="32"/>
  <c r="I149" i="32"/>
  <c r="I237" i="32"/>
  <c r="I253" i="32"/>
  <c r="I89" i="32"/>
  <c r="I125" i="32"/>
  <c r="I85" i="32"/>
  <c r="I252" i="32"/>
  <c r="I264" i="32"/>
  <c r="I90" i="32"/>
  <c r="I220" i="32"/>
  <c r="I171" i="32"/>
  <c r="I274" i="32"/>
  <c r="I300" i="32"/>
  <c r="I130" i="32"/>
  <c r="I277" i="32"/>
  <c r="I129" i="32"/>
  <c r="I255" i="32"/>
  <c r="I296" i="32"/>
  <c r="I95" i="32"/>
  <c r="I267" i="32"/>
  <c r="I147" i="32"/>
  <c r="I222" i="32"/>
  <c r="I284" i="32"/>
  <c r="I307" i="32"/>
  <c r="I207" i="32"/>
  <c r="I186" i="32"/>
  <c r="I165" i="32"/>
  <c r="I128" i="32"/>
  <c r="I278" i="32"/>
  <c r="I241" i="32"/>
  <c r="I152" i="32"/>
  <c r="I107" i="32"/>
  <c r="I27" i="32"/>
  <c r="I169" i="32"/>
  <c r="I87" i="32"/>
  <c r="I216" i="32"/>
  <c r="I91" i="32"/>
  <c r="I122" i="32"/>
  <c r="I280" i="32"/>
  <c r="I268" i="32"/>
  <c r="I104" i="32"/>
  <c r="I249" i="32"/>
  <c r="I248" i="32"/>
  <c r="I150" i="32"/>
  <c r="I42" i="32"/>
  <c r="I64" i="32"/>
  <c r="I308" i="32"/>
  <c r="I179" i="32"/>
  <c r="I77" i="32"/>
  <c r="I60" i="32"/>
  <c r="I109" i="32"/>
  <c r="I105" i="32"/>
  <c r="I181" i="32"/>
  <c r="I37" i="32"/>
  <c r="I75" i="32"/>
  <c r="I182" i="32"/>
  <c r="I156" i="32"/>
  <c r="I162" i="32"/>
  <c r="I158" i="32"/>
  <c r="I106" i="32"/>
  <c r="I145" i="32"/>
  <c r="I263" i="32"/>
  <c r="I176" i="32"/>
  <c r="I161" i="32"/>
  <c r="I265" i="32"/>
  <c r="I84" i="32"/>
  <c r="I273" i="32"/>
  <c r="I71" i="32"/>
  <c r="I62" i="32"/>
  <c r="I67" i="32"/>
  <c r="I92" i="32"/>
  <c r="I45" i="32"/>
  <c r="I119" i="32"/>
  <c r="I98" i="32"/>
  <c r="I312" i="32"/>
  <c r="I198" i="32"/>
  <c r="I32" i="32"/>
  <c r="I115" i="32"/>
  <c r="I225" i="32"/>
  <c r="I118" i="32"/>
  <c r="I40" i="32"/>
  <c r="I291" i="32"/>
  <c r="I193" i="32"/>
  <c r="I41" i="32"/>
  <c r="I59" i="32"/>
  <c r="I143" i="32"/>
  <c r="I189" i="32"/>
  <c r="I174" i="32"/>
  <c r="I49" i="32"/>
  <c r="I111" i="32"/>
  <c r="I240" i="32"/>
  <c r="I229" i="32"/>
  <c r="I201" i="32"/>
  <c r="I50" i="32"/>
  <c r="I232" i="32"/>
  <c r="I159" i="32"/>
  <c r="I269" i="32"/>
  <c r="I139" i="32"/>
  <c r="I219" i="32"/>
  <c r="I88" i="32"/>
  <c r="I262" i="32"/>
  <c r="I196" i="32"/>
  <c r="I29" i="32"/>
  <c r="I78" i="32"/>
  <c r="I259" i="32"/>
  <c r="I306" i="32"/>
  <c r="I113" i="32"/>
  <c r="I289" i="32"/>
  <c r="I110" i="32"/>
  <c r="I69" i="32"/>
  <c r="I197" i="32"/>
  <c r="I244" i="32"/>
  <c r="I28" i="32"/>
  <c r="I66" i="32"/>
  <c r="I30" i="32"/>
  <c r="I285" i="32"/>
  <c r="I86" i="32"/>
  <c r="I36" i="32"/>
  <c r="I180" i="32"/>
  <c r="I230" i="32"/>
  <c r="I132" i="32"/>
  <c r="I303" i="32"/>
  <c r="I199" i="32"/>
  <c r="I121" i="32"/>
  <c r="I183" i="32"/>
  <c r="I135" i="32"/>
  <c r="I238" i="32"/>
  <c r="I214" i="32"/>
  <c r="I170" i="32"/>
  <c r="I275" i="32"/>
  <c r="I215" i="32"/>
  <c r="I117" i="32"/>
  <c r="I163" i="32"/>
  <c r="I226" i="32"/>
  <c r="I74" i="32"/>
  <c r="I221" i="32"/>
  <c r="I53" i="32"/>
  <c r="I167" i="32"/>
  <c r="I210" i="32"/>
  <c r="I260" i="32"/>
  <c r="I154" i="32"/>
  <c r="I34" i="32"/>
  <c r="I166" i="32"/>
  <c r="I33" i="32"/>
  <c r="I236" i="32"/>
  <c r="I79" i="32"/>
  <c r="I100" i="32"/>
  <c r="I200" i="32"/>
  <c r="I101" i="32"/>
  <c r="I272" i="32"/>
  <c r="I35" i="32"/>
  <c r="I31" i="32"/>
  <c r="C25" i="17"/>
  <c r="C77" i="17" s="1"/>
  <c r="C164" i="17" s="1"/>
  <c r="F11" i="6"/>
  <c r="C36" i="6"/>
  <c r="I364" i="16"/>
  <c r="I369" i="16"/>
  <c r="I337" i="16"/>
  <c r="I349" i="16"/>
  <c r="I358" i="16"/>
  <c r="I354" i="16"/>
  <c r="I329" i="16"/>
  <c r="I368" i="16"/>
  <c r="I334" i="16"/>
  <c r="I341" i="16"/>
  <c r="I353" i="16"/>
  <c r="I362" i="16"/>
  <c r="I347" i="16"/>
  <c r="I330" i="16"/>
  <c r="I352" i="16"/>
  <c r="I357" i="16"/>
  <c r="I339" i="16"/>
  <c r="I365" i="16"/>
  <c r="I327" i="16"/>
  <c r="I350" i="16"/>
  <c r="I359" i="16"/>
  <c r="I351" i="16"/>
  <c r="I332" i="16"/>
  <c r="I361" i="16"/>
  <c r="I345" i="16"/>
  <c r="I333" i="16"/>
  <c r="I356" i="16"/>
  <c r="I360" i="16"/>
  <c r="I335" i="16"/>
  <c r="I346" i="16"/>
  <c r="I348" i="16"/>
  <c r="I336" i="16"/>
  <c r="I363" i="16"/>
  <c r="I355" i="16"/>
  <c r="I342" i="16"/>
  <c r="I331" i="16"/>
  <c r="I344" i="16"/>
  <c r="I366" i="16"/>
  <c r="I328" i="16"/>
  <c r="I367" i="16"/>
  <c r="I338" i="16"/>
  <c r="I343" i="16"/>
  <c r="I340" i="16"/>
  <c r="I86" i="16"/>
  <c r="I87" i="16"/>
  <c r="I88" i="16"/>
  <c r="I89" i="16"/>
  <c r="I90" i="16"/>
  <c r="I91" i="16"/>
  <c r="I92" i="16"/>
  <c r="I93" i="16"/>
  <c r="I94" i="16"/>
  <c r="I95" i="16"/>
  <c r="I96" i="16"/>
  <c r="I97" i="16"/>
  <c r="I98" i="16"/>
  <c r="I99" i="16"/>
  <c r="I100" i="16"/>
  <c r="I101" i="16"/>
  <c r="I102" i="16"/>
  <c r="I103" i="16"/>
  <c r="I104" i="16"/>
  <c r="I105" i="16"/>
  <c r="I106" i="16"/>
  <c r="I107" i="16"/>
  <c r="I108" i="16"/>
  <c r="I109" i="16"/>
  <c r="I110" i="16"/>
  <c r="I111" i="16"/>
  <c r="I112" i="16"/>
  <c r="I113" i="16"/>
  <c r="I114" i="16"/>
  <c r="I115" i="16"/>
  <c r="I116" i="16"/>
  <c r="I117" i="16"/>
  <c r="I118" i="16"/>
  <c r="I119" i="16"/>
  <c r="I120" i="16"/>
  <c r="I121" i="16"/>
  <c r="I122" i="16"/>
  <c r="I123" i="16"/>
  <c r="I124" i="16"/>
  <c r="I125" i="16"/>
  <c r="I126" i="16"/>
  <c r="I127" i="16"/>
  <c r="I128" i="16"/>
  <c r="I129" i="16"/>
  <c r="I130" i="16"/>
  <c r="I131" i="16"/>
  <c r="I132" i="16"/>
  <c r="I133" i="16"/>
  <c r="I134" i="16"/>
  <c r="I135" i="16"/>
  <c r="I136" i="16"/>
  <c r="I137" i="16"/>
  <c r="I138" i="16"/>
  <c r="I139" i="16"/>
  <c r="I140" i="16"/>
  <c r="I141" i="16"/>
  <c r="I142" i="16"/>
  <c r="I143" i="16"/>
  <c r="I144" i="16"/>
  <c r="I145" i="16"/>
  <c r="I146" i="16"/>
  <c r="I147" i="16"/>
  <c r="I148" i="16"/>
  <c r="I149" i="16"/>
  <c r="I150" i="16"/>
  <c r="I151" i="16"/>
  <c r="I152" i="16"/>
  <c r="I153" i="16"/>
  <c r="I154" i="16"/>
  <c r="I155" i="16"/>
  <c r="I156" i="16"/>
  <c r="I157" i="16"/>
  <c r="I158" i="16"/>
  <c r="I159" i="16"/>
  <c r="I160" i="16"/>
  <c r="I161" i="16"/>
  <c r="I162" i="16"/>
  <c r="I163" i="16"/>
  <c r="I164" i="16"/>
  <c r="I165" i="16"/>
  <c r="I166" i="16"/>
  <c r="I167" i="16"/>
  <c r="I168" i="16"/>
  <c r="I169" i="16"/>
  <c r="I170" i="16"/>
  <c r="I171" i="16"/>
  <c r="I172" i="16"/>
  <c r="I173" i="16"/>
  <c r="I174" i="16"/>
  <c r="I175" i="16"/>
  <c r="I176" i="16"/>
  <c r="I177" i="16"/>
  <c r="I178" i="16"/>
  <c r="I179" i="16"/>
  <c r="I180" i="16"/>
  <c r="I181" i="16"/>
  <c r="I182" i="16"/>
  <c r="I183" i="16"/>
  <c r="I184" i="16"/>
  <c r="I185" i="16"/>
  <c r="I186" i="16"/>
  <c r="I187" i="16"/>
  <c r="I188" i="16"/>
  <c r="I189" i="16"/>
  <c r="I190" i="16"/>
  <c r="I191" i="16"/>
  <c r="I192" i="16"/>
  <c r="I193" i="16"/>
  <c r="I194" i="16"/>
  <c r="I195" i="16"/>
  <c r="I196" i="16"/>
  <c r="I197" i="16"/>
  <c r="I198" i="16"/>
  <c r="I199" i="16"/>
  <c r="I200" i="16"/>
  <c r="I201" i="16"/>
  <c r="I202" i="16"/>
  <c r="I203" i="16"/>
  <c r="I204" i="16"/>
  <c r="I205" i="16"/>
  <c r="I206" i="16"/>
  <c r="I207" i="16"/>
  <c r="I208" i="16"/>
  <c r="I209" i="16"/>
  <c r="I210" i="16"/>
  <c r="I211" i="16"/>
  <c r="I212" i="16"/>
  <c r="I213" i="16"/>
  <c r="I214" i="16"/>
  <c r="I215" i="16"/>
  <c r="I216" i="16"/>
  <c r="I217" i="16"/>
  <c r="I218" i="16"/>
  <c r="I219" i="16"/>
  <c r="I220" i="16"/>
  <c r="I221" i="16"/>
  <c r="I222" i="16"/>
  <c r="I223" i="16"/>
  <c r="I224" i="16"/>
  <c r="I225" i="16"/>
  <c r="I226" i="16"/>
  <c r="I227" i="16"/>
  <c r="I228" i="16"/>
  <c r="I229" i="16"/>
  <c r="I230" i="16"/>
  <c r="I231" i="16"/>
  <c r="I232" i="16"/>
  <c r="I233" i="16"/>
  <c r="I234" i="16"/>
  <c r="I235" i="16"/>
  <c r="I236" i="16"/>
  <c r="I237" i="16"/>
  <c r="I238" i="16"/>
  <c r="I239" i="16"/>
  <c r="I240" i="16"/>
  <c r="I241" i="16"/>
  <c r="I242" i="16"/>
  <c r="I243" i="16"/>
  <c r="I244" i="16"/>
  <c r="I245" i="16"/>
  <c r="I246" i="16"/>
  <c r="I247" i="16"/>
  <c r="I248" i="16"/>
  <c r="I249" i="16"/>
  <c r="I250" i="16"/>
  <c r="I251" i="16"/>
  <c r="I252" i="16"/>
  <c r="I253" i="16"/>
  <c r="I254" i="16"/>
  <c r="I255" i="16"/>
  <c r="I256" i="16"/>
  <c r="I257" i="16"/>
  <c r="I258" i="16"/>
  <c r="I259" i="16"/>
  <c r="I260" i="16"/>
  <c r="I261" i="16"/>
  <c r="I262" i="16"/>
  <c r="I263" i="16"/>
  <c r="I264" i="16"/>
  <c r="I265" i="16"/>
  <c r="I266" i="16"/>
  <c r="I267" i="16"/>
  <c r="I268" i="16"/>
  <c r="I269" i="16"/>
  <c r="I270" i="16"/>
  <c r="I271" i="16"/>
  <c r="I272" i="16"/>
  <c r="I273" i="16"/>
  <c r="I274" i="16"/>
  <c r="I275" i="16"/>
  <c r="I276" i="16"/>
  <c r="I277" i="16"/>
  <c r="I278" i="16"/>
  <c r="I279" i="16"/>
  <c r="I280" i="16"/>
  <c r="I281" i="16"/>
  <c r="I282" i="16"/>
  <c r="I283" i="16"/>
  <c r="I284" i="16"/>
  <c r="I285" i="16"/>
  <c r="I286" i="16"/>
  <c r="I287" i="16"/>
  <c r="I288" i="16"/>
  <c r="I289" i="16"/>
  <c r="I290" i="16"/>
  <c r="I291" i="16"/>
  <c r="I292" i="16"/>
  <c r="I293" i="16"/>
  <c r="I294" i="16"/>
  <c r="I295" i="16"/>
  <c r="I296" i="16"/>
  <c r="I297" i="16"/>
  <c r="I298" i="16"/>
  <c r="I299" i="16"/>
  <c r="I300" i="16"/>
  <c r="I301" i="16"/>
  <c r="I302" i="16"/>
  <c r="I303" i="16"/>
  <c r="I304" i="16"/>
  <c r="I305" i="16"/>
  <c r="I306" i="16"/>
  <c r="I307" i="16"/>
  <c r="I308" i="16"/>
  <c r="I309" i="16"/>
  <c r="I310" i="16"/>
  <c r="I311" i="16"/>
  <c r="I312" i="16"/>
  <c r="I313" i="16"/>
  <c r="I314" i="16"/>
  <c r="I315" i="16"/>
  <c r="I316" i="16"/>
  <c r="I317" i="16"/>
  <c r="I318" i="16"/>
  <c r="I319" i="16"/>
  <c r="I320" i="16"/>
  <c r="I321" i="16"/>
  <c r="I322" i="16"/>
  <c r="I323" i="16"/>
  <c r="I324" i="16"/>
  <c r="I325" i="16"/>
  <c r="I326" i="16"/>
  <c r="I84" i="16"/>
  <c r="D83" i="29"/>
  <c r="D86" i="29"/>
  <c r="C86" i="29"/>
  <c r="C83" i="29"/>
  <c r="C37" i="6"/>
  <c r="C37" i="14"/>
  <c r="C163" i="17" l="1"/>
  <c r="C165" i="17" s="1"/>
  <c r="C212" i="17" s="1"/>
  <c r="C84" i="29"/>
  <c r="C95" i="29" s="1"/>
  <c r="I128" i="29" s="1"/>
  <c r="D217" i="20"/>
  <c r="D225" i="20"/>
  <c r="D233" i="20"/>
  <c r="D241" i="20"/>
  <c r="D249" i="20"/>
  <c r="D257" i="20"/>
  <c r="D265" i="20"/>
  <c r="D273" i="20"/>
  <c r="D281" i="20"/>
  <c r="D289" i="20"/>
  <c r="D297" i="20"/>
  <c r="D231" i="20"/>
  <c r="D271" i="20"/>
  <c r="D240" i="20"/>
  <c r="D264" i="20"/>
  <c r="D218" i="20"/>
  <c r="D226" i="20"/>
  <c r="D234" i="20"/>
  <c r="D242" i="20"/>
  <c r="D250" i="20"/>
  <c r="D258" i="20"/>
  <c r="D266" i="20"/>
  <c r="D274" i="20"/>
  <c r="D282" i="20"/>
  <c r="D290" i="20"/>
  <c r="D298" i="20"/>
  <c r="D223" i="20"/>
  <c r="D279" i="20"/>
  <c r="D232" i="20"/>
  <c r="D288" i="20"/>
  <c r="D219" i="20"/>
  <c r="D227" i="20"/>
  <c r="D235" i="20"/>
  <c r="D243" i="20"/>
  <c r="D251" i="20"/>
  <c r="D259" i="20"/>
  <c r="D267" i="20"/>
  <c r="D275" i="20"/>
  <c r="D283" i="20"/>
  <c r="D291" i="20"/>
  <c r="D299" i="20"/>
  <c r="D239" i="20"/>
  <c r="D300" i="20"/>
  <c r="D220" i="20"/>
  <c r="D228" i="20"/>
  <c r="D236" i="20"/>
  <c r="D244" i="20"/>
  <c r="D252" i="20"/>
  <c r="D260" i="20"/>
  <c r="D268" i="20"/>
  <c r="D276" i="20"/>
  <c r="D284" i="20"/>
  <c r="D292" i="20"/>
  <c r="D255" i="20"/>
  <c r="D287" i="20"/>
  <c r="D248" i="20"/>
  <c r="D272" i="20"/>
  <c r="D221" i="20"/>
  <c r="D229" i="20"/>
  <c r="D237" i="20"/>
  <c r="D245" i="20"/>
  <c r="D253" i="20"/>
  <c r="D261" i="20"/>
  <c r="D269" i="20"/>
  <c r="D277" i="20"/>
  <c r="D285" i="20"/>
  <c r="D293" i="20"/>
  <c r="D247" i="20"/>
  <c r="D263" i="20"/>
  <c r="D295" i="20"/>
  <c r="D256" i="20"/>
  <c r="D280" i="20"/>
  <c r="D222" i="20"/>
  <c r="D230" i="20"/>
  <c r="D238" i="20"/>
  <c r="D246" i="20"/>
  <c r="D254" i="20"/>
  <c r="D262" i="20"/>
  <c r="D270" i="20"/>
  <c r="D278" i="20"/>
  <c r="D286" i="20"/>
  <c r="D294" i="20"/>
  <c r="D224" i="20"/>
  <c r="D296" i="20"/>
  <c r="C38" i="6"/>
  <c r="C42" i="6" s="1"/>
  <c r="C44" i="6" s="1"/>
  <c r="L136" i="29"/>
  <c r="I138" i="29"/>
  <c r="I130" i="29"/>
  <c r="L115" i="29"/>
  <c r="M98" i="29"/>
  <c r="M100" i="29"/>
  <c r="M102" i="29"/>
  <c r="M108" i="29"/>
  <c r="M104" i="29"/>
  <c r="M105" i="29"/>
  <c r="M106" i="29"/>
  <c r="L133" i="29"/>
  <c r="I126" i="29"/>
  <c r="L131" i="29"/>
  <c r="L117" i="29"/>
  <c r="L124" i="29"/>
  <c r="L122" i="29"/>
  <c r="I135" i="29"/>
  <c r="I129" i="29"/>
  <c r="L120" i="29"/>
  <c r="L129" i="29"/>
  <c r="L137" i="29"/>
  <c r="C108" i="29" l="1"/>
  <c r="L135" i="29"/>
  <c r="M95" i="29"/>
  <c r="L130" i="29"/>
  <c r="I121" i="29"/>
  <c r="I133" i="29"/>
  <c r="M103" i="29"/>
  <c r="I124" i="29"/>
  <c r="I131" i="29"/>
  <c r="L128" i="29"/>
  <c r="L119" i="29"/>
  <c r="I125" i="29"/>
  <c r="I123" i="29"/>
  <c r="I120" i="29"/>
  <c r="L116" i="29"/>
  <c r="M101" i="29"/>
  <c r="I136" i="29"/>
  <c r="C250" i="17"/>
  <c r="I119" i="29"/>
  <c r="L126" i="29"/>
  <c r="M94" i="29"/>
  <c r="L138" i="29"/>
  <c r="L118" i="29"/>
  <c r="I122" i="29"/>
  <c r="L134" i="29"/>
  <c r="M109" i="29"/>
  <c r="L123" i="29"/>
  <c r="I127" i="29"/>
  <c r="I117" i="29"/>
  <c r="L132" i="29"/>
  <c r="M97" i="29"/>
  <c r="L125" i="29"/>
  <c r="I132" i="29"/>
  <c r="I118" i="29"/>
  <c r="C98" i="29"/>
  <c r="S5" i="29" s="1"/>
  <c r="M99" i="29"/>
  <c r="C252" i="17"/>
  <c r="C41" i="6"/>
  <c r="C43" i="6" s="1"/>
  <c r="C45" i="6" s="1"/>
  <c r="C63" i="6" s="1"/>
  <c r="C64" i="6" s="1"/>
  <c r="C66" i="6" s="1"/>
  <c r="C69" i="6" s="1"/>
  <c r="L121" i="29"/>
  <c r="I137" i="29"/>
  <c r="I116" i="29"/>
  <c r="L127" i="29"/>
  <c r="I134" i="29"/>
  <c r="M107" i="29"/>
  <c r="M96" i="29"/>
  <c r="I115" i="29"/>
  <c r="C111" i="29"/>
  <c r="K158" i="29"/>
  <c r="K175" i="29"/>
  <c r="K216" i="29"/>
  <c r="K170" i="29"/>
  <c r="K163" i="29"/>
  <c r="K157" i="29"/>
  <c r="K207" i="29"/>
  <c r="K146" i="29"/>
  <c r="K174" i="29"/>
  <c r="K197" i="29"/>
  <c r="K152" i="29"/>
  <c r="K182" i="29"/>
  <c r="K201" i="29"/>
  <c r="K203" i="29"/>
  <c r="K202" i="29"/>
  <c r="K189" i="29"/>
  <c r="K214" i="29"/>
  <c r="K161" i="29"/>
  <c r="K162" i="29"/>
  <c r="K180" i="29"/>
  <c r="K150" i="29"/>
  <c r="K167" i="29"/>
  <c r="K208" i="29"/>
  <c r="K217" i="29"/>
  <c r="K155" i="29"/>
  <c r="K213" i="29"/>
  <c r="K184" i="29"/>
  <c r="K183" i="29"/>
  <c r="K194" i="29"/>
  <c r="K187" i="29"/>
  <c r="K204" i="29"/>
  <c r="K206" i="29"/>
  <c r="K159" i="29"/>
  <c r="K200" i="29"/>
  <c r="K154" i="29"/>
  <c r="K172" i="29"/>
  <c r="K164" i="29"/>
  <c r="K195" i="29"/>
  <c r="K212" i="29"/>
  <c r="K148" i="29"/>
  <c r="K181" i="29"/>
  <c r="K143" i="29"/>
  <c r="K144" i="29"/>
  <c r="K153" i="29"/>
  <c r="K218" i="29"/>
  <c r="K149" i="29"/>
  <c r="K199" i="29"/>
  <c r="K166" i="29"/>
  <c r="K176" i="29"/>
  <c r="K188" i="29"/>
  <c r="K191" i="29"/>
  <c r="K186" i="29"/>
  <c r="K179" i="29"/>
  <c r="K173" i="29"/>
  <c r="K198" i="29"/>
  <c r="K215" i="29"/>
  <c r="K209" i="29"/>
  <c r="K211" i="29"/>
  <c r="K168" i="29"/>
  <c r="K193" i="29"/>
  <c r="K178" i="29"/>
  <c r="K196" i="29"/>
  <c r="K165" i="29"/>
  <c r="K151" i="29"/>
  <c r="K145" i="29"/>
  <c r="K147" i="29"/>
  <c r="K156" i="29"/>
  <c r="K205" i="29"/>
  <c r="K169" i="29"/>
  <c r="K171" i="29"/>
  <c r="K190" i="29"/>
  <c r="K192" i="29"/>
  <c r="K210" i="29"/>
  <c r="K185" i="29"/>
  <c r="K177" i="29"/>
  <c r="K160" i="29"/>
  <c r="S9" i="29" l="1"/>
  <c r="Q7" i="29"/>
  <c r="Q9" i="29"/>
  <c r="S10" i="29"/>
  <c r="R5" i="29"/>
  <c r="Q5" i="29"/>
  <c r="S12" i="29"/>
  <c r="Q11" i="29"/>
  <c r="Q8" i="29"/>
  <c r="S7" i="29"/>
  <c r="Q15" i="29"/>
  <c r="R10" i="29"/>
  <c r="S13" i="29"/>
  <c r="T7" i="29"/>
  <c r="Q13" i="29"/>
  <c r="T15" i="29"/>
  <c r="R13" i="29"/>
  <c r="T9" i="29"/>
  <c r="R12" i="29"/>
  <c r="R6" i="29"/>
  <c r="R15" i="29"/>
  <c r="R11" i="29"/>
  <c r="T10" i="29"/>
  <c r="C102" i="29"/>
  <c r="C103" i="29" s="1"/>
  <c r="C99" i="29"/>
  <c r="T8" i="29"/>
  <c r="R8" i="29"/>
  <c r="T12" i="29"/>
  <c r="T11" i="29"/>
  <c r="R9" i="29"/>
  <c r="S15" i="29"/>
  <c r="Q12" i="29"/>
  <c r="S11" i="29"/>
  <c r="R7" i="29"/>
  <c r="S14" i="29"/>
  <c r="T13" i="29"/>
  <c r="T14" i="29"/>
  <c r="Q6" i="29"/>
  <c r="T5" i="29"/>
  <c r="S6" i="29"/>
  <c r="Q14" i="29"/>
  <c r="R14" i="29"/>
  <c r="S8" i="29"/>
  <c r="Q10" i="29"/>
  <c r="T6" i="29"/>
  <c r="C68" i="6"/>
  <c r="C87" i="1" s="1"/>
  <c r="C65" i="6"/>
  <c r="C83" i="6"/>
  <c r="C84" i="6" s="1"/>
  <c r="C92" i="6" s="1"/>
  <c r="S113" i="6" l="1"/>
  <c r="C5" i="34"/>
  <c r="I51" i="34" s="1"/>
  <c r="P51" i="34" s="1"/>
  <c r="W51" i="34" s="1"/>
  <c r="O113" i="6"/>
  <c r="M37" i="34"/>
  <c r="T37" i="34" s="1"/>
  <c r="AA37" i="34" s="1"/>
  <c r="M25" i="34"/>
  <c r="T25" i="34" s="1"/>
  <c r="AA25" i="34" s="1"/>
  <c r="I34" i="34"/>
  <c r="P34" i="34" s="1"/>
  <c r="W34" i="34" s="1"/>
  <c r="I15" i="34"/>
  <c r="P15" i="34" s="1"/>
  <c r="W15" i="34" s="1"/>
  <c r="I86" i="34"/>
  <c r="P86" i="34" s="1"/>
  <c r="W86" i="34" s="1"/>
  <c r="M33" i="34"/>
  <c r="T33" i="34" s="1"/>
  <c r="AA33" i="34" s="1"/>
  <c r="M58" i="34"/>
  <c r="T58" i="34" s="1"/>
  <c r="AA58" i="34" s="1"/>
  <c r="M7" i="34"/>
  <c r="T7" i="34" s="1"/>
  <c r="AA7" i="34" s="1"/>
  <c r="M57" i="34"/>
  <c r="T57" i="34" s="1"/>
  <c r="AA57" i="34" s="1"/>
  <c r="L32" i="34"/>
  <c r="S32" i="34" s="1"/>
  <c r="Z32" i="34" s="1"/>
  <c r="J33" i="34"/>
  <c r="Q33" i="34" s="1"/>
  <c r="X33" i="34" s="1"/>
  <c r="J86" i="34"/>
  <c r="Q86" i="34" s="1"/>
  <c r="X86" i="34" s="1"/>
  <c r="J52" i="34"/>
  <c r="Q52" i="34" s="1"/>
  <c r="X52" i="34" s="1"/>
  <c r="L49" i="34"/>
  <c r="S49" i="34" s="1"/>
  <c r="Z49" i="34" s="1"/>
  <c r="L34" i="34"/>
  <c r="S34" i="34" s="1"/>
  <c r="Z34" i="34" s="1"/>
  <c r="M10" i="34"/>
  <c r="T10" i="34" s="1"/>
  <c r="AA10" i="34" s="1"/>
  <c r="M12" i="34"/>
  <c r="T12" i="34" s="1"/>
  <c r="AA12" i="34" s="1"/>
  <c r="M5" i="34"/>
  <c r="T5" i="34" s="1"/>
  <c r="AA5" i="34" s="1"/>
  <c r="M26" i="34"/>
  <c r="T26" i="34" s="1"/>
  <c r="AA26" i="34" s="1"/>
  <c r="J8" i="34"/>
  <c r="Q8" i="34" s="1"/>
  <c r="X8" i="34" s="1"/>
  <c r="J17" i="34"/>
  <c r="Q17" i="34" s="1"/>
  <c r="X17" i="34" s="1"/>
  <c r="I52" i="34"/>
  <c r="P52" i="34" s="1"/>
  <c r="W52" i="34" s="1"/>
  <c r="I27" i="34"/>
  <c r="P27" i="34" s="1"/>
  <c r="W27" i="34" s="1"/>
  <c r="I20" i="34"/>
  <c r="P20" i="34" s="1"/>
  <c r="W20" i="34" s="1"/>
  <c r="I53" i="34"/>
  <c r="P53" i="34" s="1"/>
  <c r="W53" i="34" s="1"/>
  <c r="L75" i="34"/>
  <c r="S75" i="34" s="1"/>
  <c r="Z75" i="34" s="1"/>
  <c r="L10" i="34"/>
  <c r="S10" i="34" s="1"/>
  <c r="Z10" i="34" s="1"/>
  <c r="L21" i="34"/>
  <c r="S21" i="34" s="1"/>
  <c r="Z21" i="34" s="1"/>
  <c r="M62" i="34"/>
  <c r="T62" i="34" s="1"/>
  <c r="AA62" i="34" s="1"/>
  <c r="L86" i="34"/>
  <c r="S86" i="34" s="1"/>
  <c r="Z86" i="34" s="1"/>
  <c r="J49" i="34"/>
  <c r="Q49" i="34" s="1"/>
  <c r="X49" i="34" s="1"/>
  <c r="M28" i="34"/>
  <c r="T28" i="34" s="1"/>
  <c r="AA28" i="34" s="1"/>
  <c r="L29" i="34"/>
  <c r="S29" i="34" s="1"/>
  <c r="Z29" i="34" s="1"/>
  <c r="L13" i="34"/>
  <c r="S13" i="34" s="1"/>
  <c r="Z13" i="34" s="1"/>
  <c r="L63" i="34"/>
  <c r="S63" i="34" s="1"/>
  <c r="Z63" i="34" s="1"/>
  <c r="L53" i="34"/>
  <c r="S53" i="34" s="1"/>
  <c r="Z53" i="34" s="1"/>
  <c r="L12" i="34"/>
  <c r="S12" i="34" s="1"/>
  <c r="Z12" i="34" s="1"/>
  <c r="L72" i="34"/>
  <c r="S72" i="34" s="1"/>
  <c r="Z72" i="34" s="1"/>
  <c r="J31" i="34"/>
  <c r="Q31" i="34" s="1"/>
  <c r="X31" i="34" s="1"/>
  <c r="J62" i="34"/>
  <c r="Q62" i="34" s="1"/>
  <c r="X62" i="34" s="1"/>
  <c r="J23" i="34"/>
  <c r="Q23" i="34" s="1"/>
  <c r="X23" i="34" s="1"/>
  <c r="I40" i="34"/>
  <c r="P40" i="34" s="1"/>
  <c r="W40" i="34" s="1"/>
  <c r="I56" i="34"/>
  <c r="P56" i="34" s="1"/>
  <c r="W56" i="34" s="1"/>
  <c r="I46" i="34"/>
  <c r="P46" i="34" s="1"/>
  <c r="W46" i="34" s="1"/>
  <c r="I31" i="34"/>
  <c r="P31" i="34" s="1"/>
  <c r="W31" i="34" s="1"/>
  <c r="I67" i="34"/>
  <c r="P67" i="34" s="1"/>
  <c r="W67" i="34" s="1"/>
  <c r="L71" i="34"/>
  <c r="S71" i="34" s="1"/>
  <c r="Z71" i="34" s="1"/>
  <c r="L69" i="34"/>
  <c r="S69" i="34" s="1"/>
  <c r="Z69" i="34" s="1"/>
  <c r="L14" i="34"/>
  <c r="S14" i="34" s="1"/>
  <c r="Z14" i="34" s="1"/>
  <c r="J68" i="34"/>
  <c r="Q68" i="34" s="1"/>
  <c r="X68" i="34" s="1"/>
  <c r="L82" i="34"/>
  <c r="S82" i="34" s="1"/>
  <c r="Z82" i="34" s="1"/>
  <c r="J44" i="34"/>
  <c r="Q44" i="34" s="1"/>
  <c r="X44" i="34" s="1"/>
  <c r="J76" i="34"/>
  <c r="Q76" i="34" s="1"/>
  <c r="X76" i="34" s="1"/>
  <c r="L9" i="34"/>
  <c r="S9" i="34" s="1"/>
  <c r="Z9" i="34" s="1"/>
  <c r="L24" i="34"/>
  <c r="S24" i="34" s="1"/>
  <c r="Z24" i="34" s="1"/>
  <c r="L67" i="34"/>
  <c r="S67" i="34" s="1"/>
  <c r="Z67" i="34" s="1"/>
  <c r="L57" i="34"/>
  <c r="S57" i="34" s="1"/>
  <c r="Z57" i="34" s="1"/>
  <c r="L3" i="34"/>
  <c r="S3" i="34" s="1"/>
  <c r="Z3" i="34" s="1"/>
  <c r="M59" i="34"/>
  <c r="T59" i="34" s="1"/>
  <c r="AA59" i="34" s="1"/>
  <c r="J20" i="34"/>
  <c r="Q20" i="34" s="1"/>
  <c r="X20" i="34" s="1"/>
  <c r="J58" i="34"/>
  <c r="Q58" i="34" s="1"/>
  <c r="X58" i="34" s="1"/>
  <c r="I13" i="34"/>
  <c r="P13" i="34" s="1"/>
  <c r="W13" i="34" s="1"/>
  <c r="I63" i="34"/>
  <c r="P63" i="34" s="1"/>
  <c r="W63" i="34" s="1"/>
  <c r="I7" i="34"/>
  <c r="P7" i="34" s="1"/>
  <c r="W7" i="34" s="1"/>
  <c r="I60" i="34"/>
  <c r="P60" i="34" s="1"/>
  <c r="W60" i="34" s="1"/>
  <c r="I38" i="34"/>
  <c r="P38" i="34" s="1"/>
  <c r="W38" i="34" s="1"/>
  <c r="I79" i="34"/>
  <c r="P79" i="34" s="1"/>
  <c r="W79" i="34" s="1"/>
  <c r="I72" i="34"/>
  <c r="P72" i="34" s="1"/>
  <c r="W72" i="34" s="1"/>
  <c r="L68" i="34"/>
  <c r="S68" i="34" s="1"/>
  <c r="Z68" i="34" s="1"/>
  <c r="J66" i="34"/>
  <c r="Q66" i="34" s="1"/>
  <c r="X66" i="34" s="1"/>
  <c r="M82" i="34"/>
  <c r="T82" i="34" s="1"/>
  <c r="AA82" i="34" s="1"/>
  <c r="M52" i="34"/>
  <c r="T52" i="34" s="1"/>
  <c r="AA52" i="34" s="1"/>
  <c r="L78" i="34"/>
  <c r="S78" i="34" s="1"/>
  <c r="Z78" i="34" s="1"/>
  <c r="L85" i="34"/>
  <c r="S85" i="34" s="1"/>
  <c r="Z85" i="34" s="1"/>
  <c r="L23" i="34"/>
  <c r="S23" i="34" s="1"/>
  <c r="Z23" i="34" s="1"/>
  <c r="L16" i="34"/>
  <c r="S16" i="34" s="1"/>
  <c r="Z16" i="34" s="1"/>
  <c r="L28" i="34"/>
  <c r="S28" i="34" s="1"/>
  <c r="Z28" i="34" s="1"/>
  <c r="M84" i="34"/>
  <c r="T84" i="34" s="1"/>
  <c r="AA84" i="34" s="1"/>
  <c r="J65" i="34"/>
  <c r="Q65" i="34" s="1"/>
  <c r="X65" i="34" s="1"/>
  <c r="L48" i="34"/>
  <c r="S48" i="34" s="1"/>
  <c r="Z48" i="34" s="1"/>
  <c r="M48" i="34"/>
  <c r="T48" i="34" s="1"/>
  <c r="AA48" i="34" s="1"/>
  <c r="M9" i="34"/>
  <c r="T9" i="34" s="1"/>
  <c r="AA9" i="34" s="1"/>
  <c r="J28" i="34"/>
  <c r="Q28" i="34" s="1"/>
  <c r="X28" i="34" s="1"/>
  <c r="I24" i="34"/>
  <c r="P24" i="34" s="1"/>
  <c r="W24" i="34" s="1"/>
  <c r="I3" i="34"/>
  <c r="P3" i="34" s="1"/>
  <c r="W3" i="34" s="1"/>
  <c r="I77" i="34"/>
  <c r="P77" i="34" s="1"/>
  <c r="W77" i="34" s="1"/>
  <c r="I61" i="34"/>
  <c r="P61" i="34" s="1"/>
  <c r="W61" i="34" s="1"/>
  <c r="I26" i="34"/>
  <c r="P26" i="34" s="1"/>
  <c r="W26" i="34" s="1"/>
  <c r="I83" i="34"/>
  <c r="P83" i="34" s="1"/>
  <c r="W83" i="34" s="1"/>
  <c r="M70" i="34"/>
  <c r="T70" i="34" s="1"/>
  <c r="AA70" i="34" s="1"/>
  <c r="M41" i="34"/>
  <c r="T41" i="34" s="1"/>
  <c r="AA41" i="34" s="1"/>
  <c r="M69" i="34"/>
  <c r="T69" i="34" s="1"/>
  <c r="AA69" i="34" s="1"/>
  <c r="J79" i="34"/>
  <c r="Q79" i="34" s="1"/>
  <c r="X79" i="34" s="1"/>
  <c r="J4" i="34"/>
  <c r="Q4" i="34" s="1"/>
  <c r="X4" i="34" s="1"/>
  <c r="J78" i="34"/>
  <c r="Q78" i="34" s="1"/>
  <c r="X78" i="34" s="1"/>
  <c r="L81" i="34"/>
  <c r="S81" i="34" s="1"/>
  <c r="Z81" i="34" s="1"/>
  <c r="L27" i="34"/>
  <c r="S27" i="34" s="1"/>
  <c r="Z27" i="34" s="1"/>
  <c r="M36" i="34"/>
  <c r="T36" i="34" s="1"/>
  <c r="AA36" i="34" s="1"/>
  <c r="M13" i="34"/>
  <c r="T13" i="34" s="1"/>
  <c r="AA13" i="34" s="1"/>
  <c r="J81" i="34"/>
  <c r="Q81" i="34" s="1"/>
  <c r="X81" i="34" s="1"/>
  <c r="L56" i="34"/>
  <c r="S56" i="34" s="1"/>
  <c r="Z56" i="34" s="1"/>
  <c r="M22" i="34"/>
  <c r="T22" i="34" s="1"/>
  <c r="AA22" i="34" s="1"/>
  <c r="J21" i="34"/>
  <c r="Q21" i="34" s="1"/>
  <c r="X21" i="34" s="1"/>
  <c r="J3" i="34"/>
  <c r="Q3" i="34" s="1"/>
  <c r="X3" i="34" s="1"/>
  <c r="M27" i="34"/>
  <c r="T27" i="34" s="1"/>
  <c r="AA27" i="34" s="1"/>
  <c r="I58" i="34"/>
  <c r="P58" i="34" s="1"/>
  <c r="W58" i="34" s="1"/>
  <c r="I39" i="34"/>
  <c r="P39" i="34" s="1"/>
  <c r="W39" i="34" s="1"/>
  <c r="I81" i="34"/>
  <c r="P81" i="34" s="1"/>
  <c r="W81" i="34" s="1"/>
  <c r="I74" i="34"/>
  <c r="P74" i="34" s="1"/>
  <c r="W74" i="34" s="1"/>
  <c r="J57" i="34"/>
  <c r="Q57" i="34" s="1"/>
  <c r="X57" i="34" s="1"/>
  <c r="M46" i="34"/>
  <c r="T46" i="34" s="1"/>
  <c r="AA46" i="34" s="1"/>
  <c r="M20" i="34"/>
  <c r="T20" i="34" s="1"/>
  <c r="AA20" i="34" s="1"/>
  <c r="M45" i="34"/>
  <c r="T45" i="34" s="1"/>
  <c r="AA45" i="34" s="1"/>
  <c r="J14" i="34"/>
  <c r="Q14" i="34" s="1"/>
  <c r="X14" i="34" s="1"/>
  <c r="L64" i="34"/>
  <c r="S64" i="34" s="1"/>
  <c r="Z64" i="34" s="1"/>
  <c r="M79" i="34"/>
  <c r="T79" i="34" s="1"/>
  <c r="AA79" i="34" s="1"/>
  <c r="M77" i="34"/>
  <c r="T77" i="34" s="1"/>
  <c r="AA77" i="34" s="1"/>
  <c r="L26" i="34"/>
  <c r="S26" i="34" s="1"/>
  <c r="Z26" i="34" s="1"/>
  <c r="L8" i="34"/>
  <c r="S8" i="34" s="1"/>
  <c r="Z8" i="34" s="1"/>
  <c r="J29" i="34"/>
  <c r="Q29" i="34" s="1"/>
  <c r="X29" i="34" s="1"/>
  <c r="J11" i="34"/>
  <c r="Q11" i="34" s="1"/>
  <c r="X11" i="34" s="1"/>
  <c r="M15" i="34"/>
  <c r="T15" i="34" s="1"/>
  <c r="AA15" i="34" s="1"/>
  <c r="J46" i="34"/>
  <c r="Q46" i="34" s="1"/>
  <c r="X46" i="34" s="1"/>
  <c r="J12" i="34"/>
  <c r="Q12" i="34" s="1"/>
  <c r="X12" i="34" s="1"/>
  <c r="M6" i="34"/>
  <c r="T6" i="34" s="1"/>
  <c r="AA6" i="34" s="1"/>
  <c r="I29" i="34"/>
  <c r="P29" i="34" s="1"/>
  <c r="W29" i="34" s="1"/>
  <c r="I5" i="34"/>
  <c r="P5" i="34" s="1"/>
  <c r="W5" i="34" s="1"/>
  <c r="I62" i="34"/>
  <c r="P62" i="34" s="1"/>
  <c r="W62" i="34" s="1"/>
  <c r="I8" i="34"/>
  <c r="P8" i="34" s="1"/>
  <c r="W8" i="34" s="1"/>
  <c r="I84" i="34"/>
  <c r="P84" i="34" s="1"/>
  <c r="W84" i="34" s="1"/>
  <c r="M44" i="34"/>
  <c r="T44" i="34" s="1"/>
  <c r="AA44" i="34" s="1"/>
  <c r="L44" i="34"/>
  <c r="S44" i="34" s="1"/>
  <c r="Z44" i="34" s="1"/>
  <c r="M50" i="34"/>
  <c r="T50" i="34" s="1"/>
  <c r="AA50" i="34" s="1"/>
  <c r="J39" i="34"/>
  <c r="Q39" i="34" s="1"/>
  <c r="X39" i="34" s="1"/>
  <c r="M64" i="34"/>
  <c r="T64" i="34" s="1"/>
  <c r="AA64" i="34" s="1"/>
  <c r="J7" i="34"/>
  <c r="Q7" i="34" s="1"/>
  <c r="X7" i="34" s="1"/>
  <c r="M55" i="34"/>
  <c r="T55" i="34" s="1"/>
  <c r="AA55" i="34" s="1"/>
  <c r="L35" i="34"/>
  <c r="S35" i="34" s="1"/>
  <c r="Z35" i="34" s="1"/>
  <c r="L51" i="34"/>
  <c r="S51" i="34" s="1"/>
  <c r="Z51" i="34" s="1"/>
  <c r="L30" i="34"/>
  <c r="S30" i="34" s="1"/>
  <c r="Z30" i="34" s="1"/>
  <c r="L15" i="34"/>
  <c r="S15" i="34" s="1"/>
  <c r="Z15" i="34" s="1"/>
  <c r="L84" i="34"/>
  <c r="S84" i="34" s="1"/>
  <c r="Z84" i="34" s="1"/>
  <c r="J26" i="34"/>
  <c r="Q26" i="34" s="1"/>
  <c r="X26" i="34" s="1"/>
  <c r="J9" i="34"/>
  <c r="Q9" i="34" s="1"/>
  <c r="X9" i="34" s="1"/>
  <c r="M30" i="34"/>
  <c r="T30" i="34" s="1"/>
  <c r="AA30" i="34" s="1"/>
  <c r="I47" i="34"/>
  <c r="P47" i="34" s="1"/>
  <c r="W47" i="34" s="1"/>
  <c r="I32" i="34"/>
  <c r="P32" i="34" s="1"/>
  <c r="W32" i="34" s="1"/>
  <c r="I44" i="34"/>
  <c r="P44" i="34" s="1"/>
  <c r="W44" i="34" s="1"/>
  <c r="I12" i="34"/>
  <c r="P12" i="34" s="1"/>
  <c r="W12" i="34" s="1"/>
  <c r="I69" i="34"/>
  <c r="P69" i="34" s="1"/>
  <c r="W69" i="34" s="1"/>
  <c r="I19" i="34"/>
  <c r="P19" i="34" s="1"/>
  <c r="W19" i="34" s="1"/>
  <c r="L83" i="34"/>
  <c r="S83" i="34" s="1"/>
  <c r="Z83" i="34" s="1"/>
  <c r="M21" i="34"/>
  <c r="T21" i="34" s="1"/>
  <c r="AA21" i="34" s="1"/>
  <c r="M75" i="34"/>
  <c r="T75" i="34" s="1"/>
  <c r="AA75" i="34" s="1"/>
  <c r="M74" i="34"/>
  <c r="T74" i="34" s="1"/>
  <c r="AA74" i="34" s="1"/>
  <c r="J80" i="34"/>
  <c r="Q80" i="34" s="1"/>
  <c r="X80" i="34" s="1"/>
  <c r="J60" i="34"/>
  <c r="Q60" i="34" s="1"/>
  <c r="X60" i="34" s="1"/>
  <c r="L65" i="34"/>
  <c r="S65" i="34" s="1"/>
  <c r="Z65" i="34" s="1"/>
  <c r="L54" i="34"/>
  <c r="S54" i="34" s="1"/>
  <c r="Z54" i="34" s="1"/>
  <c r="L6" i="34"/>
  <c r="S6" i="34" s="1"/>
  <c r="Z6" i="34" s="1"/>
  <c r="L55" i="34"/>
  <c r="S55" i="34" s="1"/>
  <c r="Z55" i="34" s="1"/>
  <c r="M76" i="34"/>
  <c r="T76" i="34" s="1"/>
  <c r="AA76" i="34" s="1"/>
  <c r="J34" i="34"/>
  <c r="Q34" i="34" s="1"/>
  <c r="X34" i="34" s="1"/>
  <c r="L80" i="34"/>
  <c r="S80" i="34" s="1"/>
  <c r="Z80" i="34" s="1"/>
  <c r="J35" i="34"/>
  <c r="Q35" i="34" s="1"/>
  <c r="X35" i="34" s="1"/>
  <c r="J55" i="34"/>
  <c r="Q55" i="34" s="1"/>
  <c r="X55" i="34" s="1"/>
  <c r="J13" i="34"/>
  <c r="Q13" i="34" s="1"/>
  <c r="X13" i="34" s="1"/>
  <c r="S114" i="6"/>
  <c r="O114" i="6" s="1"/>
  <c r="S133" i="6"/>
  <c r="O133" i="6" s="1"/>
  <c r="C12" i="14"/>
  <c r="S123" i="6"/>
  <c r="O123" i="6" s="1"/>
  <c r="C86" i="1"/>
  <c r="C88" i="1" s="1"/>
  <c r="S127" i="6"/>
  <c r="O127" i="6" s="1"/>
  <c r="S131" i="6"/>
  <c r="O131" i="6" s="1"/>
  <c r="S137" i="6"/>
  <c r="O137" i="6" s="1"/>
  <c r="S136" i="6"/>
  <c r="O136" i="6" s="1"/>
  <c r="S117" i="6"/>
  <c r="O117" i="6" s="1"/>
  <c r="C56" i="33"/>
  <c r="S134" i="6"/>
  <c r="O134" i="6" s="1"/>
  <c r="S124" i="6"/>
  <c r="O124" i="6" s="1"/>
  <c r="S135" i="6"/>
  <c r="O135" i="6" s="1"/>
  <c r="S139" i="6"/>
  <c r="O139" i="6" s="1"/>
  <c r="S130" i="6"/>
  <c r="O130" i="6" s="1"/>
  <c r="S120" i="6"/>
  <c r="O120" i="6" s="1"/>
  <c r="S129" i="6"/>
  <c r="O129" i="6" s="1"/>
  <c r="S119" i="6"/>
  <c r="O119" i="6" s="1"/>
  <c r="S118" i="6"/>
  <c r="O118" i="6" s="1"/>
  <c r="S138" i="6"/>
  <c r="O138" i="6" s="1"/>
  <c r="S132" i="6"/>
  <c r="O132" i="6" s="1"/>
  <c r="S116" i="6"/>
  <c r="O116" i="6" s="1"/>
  <c r="J7" i="32"/>
  <c r="B5" i="33" s="1"/>
  <c r="C15" i="19"/>
  <c r="S115" i="6"/>
  <c r="O115" i="6" s="1"/>
  <c r="J69" i="16"/>
  <c r="J369" i="16" s="1"/>
  <c r="L369" i="16" s="1"/>
  <c r="S126" i="6"/>
  <c r="O126" i="6" s="1"/>
  <c r="S128" i="6"/>
  <c r="O128" i="6" s="1"/>
  <c r="S125" i="6"/>
  <c r="O125" i="6" s="1"/>
  <c r="S122" i="6"/>
  <c r="O122" i="6" s="1"/>
  <c r="S121" i="6"/>
  <c r="O121" i="6" s="1"/>
  <c r="I16" i="34" l="1"/>
  <c r="P16" i="34" s="1"/>
  <c r="W16" i="34" s="1"/>
  <c r="J32" i="34"/>
  <c r="Q32" i="34" s="1"/>
  <c r="X32" i="34" s="1"/>
  <c r="M73" i="34"/>
  <c r="T73" i="34" s="1"/>
  <c r="AA73" i="34" s="1"/>
  <c r="M23" i="34"/>
  <c r="T23" i="34" s="1"/>
  <c r="AA23" i="34" s="1"/>
  <c r="L50" i="34"/>
  <c r="S50" i="34" s="1"/>
  <c r="Z50" i="34" s="1"/>
  <c r="M32" i="34"/>
  <c r="T32" i="34" s="1"/>
  <c r="AA32" i="34" s="1"/>
  <c r="J48" i="34"/>
  <c r="Q48" i="34" s="1"/>
  <c r="X48" i="34" s="1"/>
  <c r="I68" i="34"/>
  <c r="P68" i="34" s="1"/>
  <c r="W68" i="34" s="1"/>
  <c r="L5" i="34"/>
  <c r="S5" i="34" s="1"/>
  <c r="Z5" i="34" s="1"/>
  <c r="I6" i="34"/>
  <c r="P6" i="34" s="1"/>
  <c r="W6" i="34" s="1"/>
  <c r="I59" i="34"/>
  <c r="P59" i="34" s="1"/>
  <c r="W59" i="34" s="1"/>
  <c r="J56" i="34"/>
  <c r="Q56" i="34" s="1"/>
  <c r="X56" i="34" s="1"/>
  <c r="M53" i="34"/>
  <c r="T53" i="34" s="1"/>
  <c r="AA53" i="34" s="1"/>
  <c r="I82" i="34"/>
  <c r="P82" i="34" s="1"/>
  <c r="W82" i="34" s="1"/>
  <c r="M43" i="34"/>
  <c r="T43" i="34" s="1"/>
  <c r="AA43" i="34" s="1"/>
  <c r="J75" i="34"/>
  <c r="Q75" i="34" s="1"/>
  <c r="X75" i="34" s="1"/>
  <c r="I57" i="34"/>
  <c r="P57" i="34" s="1"/>
  <c r="W57" i="34" s="1"/>
  <c r="I17" i="34"/>
  <c r="P17" i="34" s="1"/>
  <c r="W17" i="34" s="1"/>
  <c r="L47" i="34"/>
  <c r="S47" i="34" s="1"/>
  <c r="Z47" i="34" s="1"/>
  <c r="J69" i="34"/>
  <c r="Q69" i="34" s="1"/>
  <c r="X69" i="34" s="1"/>
  <c r="J50" i="34"/>
  <c r="Q50" i="34" s="1"/>
  <c r="X50" i="34" s="1"/>
  <c r="J41" i="34"/>
  <c r="Q41" i="34" s="1"/>
  <c r="X41" i="34" s="1"/>
  <c r="M42" i="34"/>
  <c r="T42" i="34" s="1"/>
  <c r="AA42" i="34" s="1"/>
  <c r="M39" i="34"/>
  <c r="T39" i="34" s="1"/>
  <c r="AA39" i="34" s="1"/>
  <c r="L36" i="34"/>
  <c r="S36" i="34" s="1"/>
  <c r="Z36" i="34" s="1"/>
  <c r="M81" i="34"/>
  <c r="T81" i="34" s="1"/>
  <c r="AA81" i="34" s="1"/>
  <c r="M18" i="34"/>
  <c r="T18" i="34" s="1"/>
  <c r="AA18" i="34" s="1"/>
  <c r="I18" i="34"/>
  <c r="P18" i="34" s="1"/>
  <c r="W18" i="34" s="1"/>
  <c r="J43" i="34"/>
  <c r="Q43" i="34" s="1"/>
  <c r="X43" i="34" s="1"/>
  <c r="L66" i="34"/>
  <c r="S66" i="34" s="1"/>
  <c r="Z66" i="34" s="1"/>
  <c r="M47" i="34"/>
  <c r="T47" i="34" s="1"/>
  <c r="AA47" i="34" s="1"/>
  <c r="J83" i="34"/>
  <c r="Q83" i="34" s="1"/>
  <c r="X83" i="34" s="1"/>
  <c r="I75" i="34"/>
  <c r="P75" i="34" s="1"/>
  <c r="W75" i="34" s="1"/>
  <c r="J22" i="34"/>
  <c r="Q22" i="34" s="1"/>
  <c r="X22" i="34" s="1"/>
  <c r="L62" i="34"/>
  <c r="S62" i="34" s="1"/>
  <c r="Z62" i="34" s="1"/>
  <c r="L70" i="34"/>
  <c r="S70" i="34" s="1"/>
  <c r="Z70" i="34" s="1"/>
  <c r="I41" i="34"/>
  <c r="P41" i="34" s="1"/>
  <c r="W41" i="34" s="1"/>
  <c r="I21" i="34"/>
  <c r="P21" i="34" s="1"/>
  <c r="W21" i="34" s="1"/>
  <c r="M34" i="34"/>
  <c r="T34" i="34" s="1"/>
  <c r="AA34" i="34" s="1"/>
  <c r="L59" i="34"/>
  <c r="S59" i="34" s="1"/>
  <c r="Z59" i="34" s="1"/>
  <c r="L52" i="34"/>
  <c r="S52" i="34" s="1"/>
  <c r="Z52" i="34" s="1"/>
  <c r="M14" i="34"/>
  <c r="T14" i="34" s="1"/>
  <c r="AA14" i="34" s="1"/>
  <c r="I23" i="34"/>
  <c r="P23" i="34" s="1"/>
  <c r="W23" i="34" s="1"/>
  <c r="J15" i="34"/>
  <c r="Q15" i="34" s="1"/>
  <c r="X15" i="34" s="1"/>
  <c r="M51" i="34"/>
  <c r="T51" i="34" s="1"/>
  <c r="AA51" i="34" s="1"/>
  <c r="L37" i="34"/>
  <c r="S37" i="34" s="1"/>
  <c r="Z37" i="34" s="1"/>
  <c r="M35" i="34"/>
  <c r="T35" i="34" s="1"/>
  <c r="AA35" i="34" s="1"/>
  <c r="I11" i="34"/>
  <c r="P11" i="34" s="1"/>
  <c r="W11" i="34" s="1"/>
  <c r="J59" i="34"/>
  <c r="Q59" i="34" s="1"/>
  <c r="X59" i="34" s="1"/>
  <c r="J77" i="34"/>
  <c r="Q77" i="34" s="1"/>
  <c r="X77" i="34" s="1"/>
  <c r="L73" i="34"/>
  <c r="S73" i="34" s="1"/>
  <c r="Z73" i="34" s="1"/>
  <c r="M83" i="34"/>
  <c r="T83" i="34" s="1"/>
  <c r="AA83" i="34" s="1"/>
  <c r="I49" i="34"/>
  <c r="P49" i="34" s="1"/>
  <c r="W49" i="34" s="1"/>
  <c r="I43" i="34"/>
  <c r="P43" i="34" s="1"/>
  <c r="W43" i="34" s="1"/>
  <c r="L17" i="34"/>
  <c r="S17" i="34" s="1"/>
  <c r="Z17" i="34" s="1"/>
  <c r="L31" i="34"/>
  <c r="S31" i="34" s="1"/>
  <c r="Z31" i="34" s="1"/>
  <c r="L25" i="34"/>
  <c r="S25" i="34" s="1"/>
  <c r="Z25" i="34" s="1"/>
  <c r="I80" i="34"/>
  <c r="P80" i="34" s="1"/>
  <c r="W80" i="34" s="1"/>
  <c r="I25" i="34"/>
  <c r="P25" i="34" s="1"/>
  <c r="W25" i="34" s="1"/>
  <c r="J16" i="34"/>
  <c r="Q16" i="34" s="1"/>
  <c r="X16" i="34" s="1"/>
  <c r="L22" i="34"/>
  <c r="S22" i="34" s="1"/>
  <c r="Z22" i="34" s="1"/>
  <c r="J6" i="34"/>
  <c r="Q6" i="34" s="1"/>
  <c r="X6" i="34" s="1"/>
  <c r="L60" i="34"/>
  <c r="S60" i="34" s="1"/>
  <c r="Z60" i="34" s="1"/>
  <c r="I54" i="34"/>
  <c r="P54" i="34" s="1"/>
  <c r="W54" i="34" s="1"/>
  <c r="J38" i="34"/>
  <c r="Q38" i="34" s="1"/>
  <c r="X38" i="34" s="1"/>
  <c r="L42" i="34"/>
  <c r="S42" i="34" s="1"/>
  <c r="Z42" i="34" s="1"/>
  <c r="L18" i="34"/>
  <c r="S18" i="34" s="1"/>
  <c r="Z18" i="34" s="1"/>
  <c r="J67" i="34"/>
  <c r="Q67" i="34" s="1"/>
  <c r="X67" i="34" s="1"/>
  <c r="I73" i="34"/>
  <c r="P73" i="34" s="1"/>
  <c r="W73" i="34" s="1"/>
  <c r="J10" i="34"/>
  <c r="Q10" i="34" s="1"/>
  <c r="X10" i="34" s="1"/>
  <c r="J85" i="34"/>
  <c r="Q85" i="34" s="1"/>
  <c r="X85" i="34" s="1"/>
  <c r="L11" i="34"/>
  <c r="S11" i="34" s="1"/>
  <c r="Z11" i="34" s="1"/>
  <c r="M65" i="34"/>
  <c r="T65" i="34" s="1"/>
  <c r="AA65" i="34" s="1"/>
  <c r="I33" i="34"/>
  <c r="P33" i="34" s="1"/>
  <c r="W33" i="34" s="1"/>
  <c r="J47" i="34"/>
  <c r="Q47" i="34" s="1"/>
  <c r="X47" i="34" s="1"/>
  <c r="M72" i="34"/>
  <c r="T72" i="34" s="1"/>
  <c r="AA72" i="34" s="1"/>
  <c r="J61" i="34"/>
  <c r="Q61" i="34" s="1"/>
  <c r="X61" i="34" s="1"/>
  <c r="M86" i="34"/>
  <c r="T86" i="34" s="1"/>
  <c r="AA86" i="34" s="1"/>
  <c r="I71" i="34"/>
  <c r="P71" i="34" s="1"/>
  <c r="W71" i="34" s="1"/>
  <c r="I55" i="34"/>
  <c r="P55" i="34" s="1"/>
  <c r="W55" i="34" s="1"/>
  <c r="L76" i="34"/>
  <c r="S76" i="34" s="1"/>
  <c r="Z76" i="34" s="1"/>
  <c r="L39" i="34"/>
  <c r="S39" i="34" s="1"/>
  <c r="Z39" i="34" s="1"/>
  <c r="M68" i="34"/>
  <c r="T68" i="34" s="1"/>
  <c r="AA68" i="34" s="1"/>
  <c r="L79" i="34"/>
  <c r="S79" i="34" s="1"/>
  <c r="Z79" i="34" s="1"/>
  <c r="I48" i="34"/>
  <c r="P48" i="34" s="1"/>
  <c r="W48" i="34" s="1"/>
  <c r="J27" i="34"/>
  <c r="Q27" i="34" s="1"/>
  <c r="X27" i="34" s="1"/>
  <c r="L19" i="34"/>
  <c r="S19" i="34" s="1"/>
  <c r="Z19" i="34" s="1"/>
  <c r="M40" i="34"/>
  <c r="T40" i="34" s="1"/>
  <c r="AA40" i="34" s="1"/>
  <c r="M54" i="34"/>
  <c r="T54" i="34" s="1"/>
  <c r="AA54" i="34" s="1"/>
  <c r="I22" i="34"/>
  <c r="P22" i="34" s="1"/>
  <c r="W22" i="34" s="1"/>
  <c r="J36" i="34"/>
  <c r="Q36" i="34" s="1"/>
  <c r="X36" i="34" s="1"/>
  <c r="M3" i="34"/>
  <c r="T3" i="34" s="1"/>
  <c r="AA3" i="34" s="1"/>
  <c r="J74" i="34"/>
  <c r="Q74" i="34" s="1"/>
  <c r="X74" i="34" s="1"/>
  <c r="M49" i="34"/>
  <c r="T49" i="34" s="1"/>
  <c r="AA49" i="34" s="1"/>
  <c r="I78" i="34"/>
  <c r="P78" i="34" s="1"/>
  <c r="W78" i="34" s="1"/>
  <c r="J24" i="34"/>
  <c r="Q24" i="34" s="1"/>
  <c r="X24" i="34" s="1"/>
  <c r="J53" i="34"/>
  <c r="Q53" i="34" s="1"/>
  <c r="X53" i="34" s="1"/>
  <c r="L46" i="34"/>
  <c r="S46" i="34" s="1"/>
  <c r="Z46" i="34" s="1"/>
  <c r="M78" i="34"/>
  <c r="T78" i="34" s="1"/>
  <c r="AA78" i="34" s="1"/>
  <c r="I37" i="34"/>
  <c r="P37" i="34" s="1"/>
  <c r="W37" i="34" s="1"/>
  <c r="I10" i="34"/>
  <c r="P10" i="34" s="1"/>
  <c r="W10" i="34" s="1"/>
  <c r="L41" i="34"/>
  <c r="S41" i="34" s="1"/>
  <c r="Z41" i="34" s="1"/>
  <c r="L43" i="34"/>
  <c r="S43" i="34" s="1"/>
  <c r="Z43" i="34" s="1"/>
  <c r="L74" i="34"/>
  <c r="S74" i="34" s="1"/>
  <c r="Z74" i="34" s="1"/>
  <c r="M60" i="34"/>
  <c r="T60" i="34" s="1"/>
  <c r="AA60" i="34" s="1"/>
  <c r="I64" i="34"/>
  <c r="P64" i="34" s="1"/>
  <c r="W64" i="34" s="1"/>
  <c r="J54" i="34"/>
  <c r="Q54" i="34" s="1"/>
  <c r="X54" i="34" s="1"/>
  <c r="L61" i="34"/>
  <c r="S61" i="34" s="1"/>
  <c r="Z61" i="34" s="1"/>
  <c r="M71" i="34"/>
  <c r="T71" i="34" s="1"/>
  <c r="AA71" i="34" s="1"/>
  <c r="M38" i="34"/>
  <c r="T38" i="34" s="1"/>
  <c r="AA38" i="34" s="1"/>
  <c r="I35" i="34"/>
  <c r="P35" i="34" s="1"/>
  <c r="W35" i="34" s="1"/>
  <c r="J40" i="34"/>
  <c r="Q40" i="34" s="1"/>
  <c r="X40" i="34" s="1"/>
  <c r="J45" i="34"/>
  <c r="Q45" i="34" s="1"/>
  <c r="X45" i="34" s="1"/>
  <c r="J82" i="34"/>
  <c r="Q82" i="34" s="1"/>
  <c r="X82" i="34" s="1"/>
  <c r="M11" i="34"/>
  <c r="T11" i="34" s="1"/>
  <c r="AA11" i="34" s="1"/>
  <c r="I66" i="34"/>
  <c r="P66" i="34" s="1"/>
  <c r="W66" i="34" s="1"/>
  <c r="M16" i="34"/>
  <c r="T16" i="34" s="1"/>
  <c r="AA16" i="34" s="1"/>
  <c r="J84" i="34"/>
  <c r="Q84" i="34" s="1"/>
  <c r="X84" i="34" s="1"/>
  <c r="L40" i="34"/>
  <c r="S40" i="34" s="1"/>
  <c r="Z40" i="34" s="1"/>
  <c r="M61" i="34"/>
  <c r="T61" i="34" s="1"/>
  <c r="AA61" i="34" s="1"/>
  <c r="I4" i="34"/>
  <c r="P4" i="34" s="1"/>
  <c r="W4" i="34" s="1"/>
  <c r="L7" i="34"/>
  <c r="S7" i="34" s="1"/>
  <c r="Z7" i="34" s="1"/>
  <c r="M24" i="34"/>
  <c r="T24" i="34" s="1"/>
  <c r="AA24" i="34" s="1"/>
  <c r="L58" i="34"/>
  <c r="S58" i="34" s="1"/>
  <c r="Z58" i="34" s="1"/>
  <c r="J71" i="34"/>
  <c r="Q71" i="34" s="1"/>
  <c r="X71" i="34" s="1"/>
  <c r="I30" i="34"/>
  <c r="P30" i="34" s="1"/>
  <c r="W30" i="34" s="1"/>
  <c r="I36" i="34"/>
  <c r="P36" i="34" s="1"/>
  <c r="W36" i="34" s="1"/>
  <c r="M8" i="34"/>
  <c r="T8" i="34" s="1"/>
  <c r="AA8" i="34" s="1"/>
  <c r="L45" i="34"/>
  <c r="S45" i="34" s="1"/>
  <c r="Z45" i="34" s="1"/>
  <c r="M67" i="34"/>
  <c r="T67" i="34" s="1"/>
  <c r="AA67" i="34" s="1"/>
  <c r="J37" i="34"/>
  <c r="Q37" i="34" s="1"/>
  <c r="X37" i="34" s="1"/>
  <c r="I9" i="34"/>
  <c r="P9" i="34" s="1"/>
  <c r="W9" i="34" s="1"/>
  <c r="J19" i="34"/>
  <c r="Q19" i="34" s="1"/>
  <c r="X19" i="34" s="1"/>
  <c r="J18" i="34"/>
  <c r="Q18" i="34" s="1"/>
  <c r="X18" i="34" s="1"/>
  <c r="J72" i="34"/>
  <c r="Q72" i="34" s="1"/>
  <c r="X72" i="34" s="1"/>
  <c r="M31" i="34"/>
  <c r="T31" i="34" s="1"/>
  <c r="AA31" i="34" s="1"/>
  <c r="I85" i="34"/>
  <c r="P85" i="34" s="1"/>
  <c r="W85" i="34" s="1"/>
  <c r="J63" i="34"/>
  <c r="Q63" i="34" s="1"/>
  <c r="X63" i="34" s="1"/>
  <c r="M80" i="34"/>
  <c r="T80" i="34" s="1"/>
  <c r="AA80" i="34" s="1"/>
  <c r="L77" i="34"/>
  <c r="S77" i="34" s="1"/>
  <c r="Z77" i="34" s="1"/>
  <c r="J70" i="34"/>
  <c r="Q70" i="34" s="1"/>
  <c r="X70" i="34" s="1"/>
  <c r="I42" i="34"/>
  <c r="P42" i="34" s="1"/>
  <c r="W42" i="34" s="1"/>
  <c r="I28" i="34"/>
  <c r="P28" i="34" s="1"/>
  <c r="W28" i="34" s="1"/>
  <c r="M17" i="34"/>
  <c r="T17" i="34" s="1"/>
  <c r="AA17" i="34" s="1"/>
  <c r="L20" i="34"/>
  <c r="S20" i="34" s="1"/>
  <c r="Z20" i="34" s="1"/>
  <c r="L33" i="34"/>
  <c r="S33" i="34" s="1"/>
  <c r="Z33" i="34" s="1"/>
  <c r="I76" i="34"/>
  <c r="P76" i="34" s="1"/>
  <c r="W76" i="34" s="1"/>
  <c r="I14" i="34"/>
  <c r="P14" i="34" s="1"/>
  <c r="W14" i="34" s="1"/>
  <c r="M19" i="34"/>
  <c r="T19" i="34" s="1"/>
  <c r="AA19" i="34" s="1"/>
  <c r="L4" i="34"/>
  <c r="S4" i="34" s="1"/>
  <c r="Z4" i="34" s="1"/>
  <c r="M29" i="34"/>
  <c r="T29" i="34" s="1"/>
  <c r="AA29" i="34" s="1"/>
  <c r="M63" i="34"/>
  <c r="T63" i="34" s="1"/>
  <c r="AA63" i="34" s="1"/>
  <c r="I50" i="34"/>
  <c r="P50" i="34" s="1"/>
  <c r="W50" i="34" s="1"/>
  <c r="J42" i="34"/>
  <c r="Q42" i="34" s="1"/>
  <c r="X42" i="34" s="1"/>
  <c r="L38" i="34"/>
  <c r="S38" i="34" s="1"/>
  <c r="Z38" i="34" s="1"/>
  <c r="J25" i="34"/>
  <c r="Q25" i="34" s="1"/>
  <c r="X25" i="34" s="1"/>
  <c r="M66" i="34"/>
  <c r="T66" i="34" s="1"/>
  <c r="AA66" i="34" s="1"/>
  <c r="I65" i="34"/>
  <c r="P65" i="34" s="1"/>
  <c r="W65" i="34" s="1"/>
  <c r="J5" i="34"/>
  <c r="Q5" i="34" s="1"/>
  <c r="X5" i="34" s="1"/>
  <c r="M56" i="34"/>
  <c r="T56" i="34" s="1"/>
  <c r="AA56" i="34" s="1"/>
  <c r="M85" i="34"/>
  <c r="T85" i="34" s="1"/>
  <c r="AA85" i="34" s="1"/>
  <c r="M4" i="34"/>
  <c r="T4" i="34" s="1"/>
  <c r="AA4" i="34" s="1"/>
  <c r="I45" i="34"/>
  <c r="P45" i="34" s="1"/>
  <c r="W45" i="34" s="1"/>
  <c r="J51" i="34"/>
  <c r="Q51" i="34" s="1"/>
  <c r="X51" i="34" s="1"/>
  <c r="J73" i="34"/>
  <c r="Q73" i="34" s="1"/>
  <c r="X73" i="34" s="1"/>
  <c r="J64" i="34"/>
  <c r="Q64" i="34" s="1"/>
  <c r="X64" i="34" s="1"/>
  <c r="J30" i="34"/>
  <c r="Q30" i="34" s="1"/>
  <c r="X30" i="34" s="1"/>
  <c r="I70" i="34"/>
  <c r="P70" i="34" s="1"/>
  <c r="W70" i="34" s="1"/>
  <c r="G65" i="33"/>
  <c r="G66" i="33"/>
  <c r="G95" i="33"/>
  <c r="J188" i="16"/>
  <c r="L188" i="16" s="1"/>
  <c r="S188" i="16" s="1"/>
  <c r="AE188" i="16" s="1"/>
  <c r="J147" i="16"/>
  <c r="L147" i="16" s="1"/>
  <c r="S147" i="16" s="1"/>
  <c r="AE147" i="16" s="1"/>
  <c r="J357" i="16"/>
  <c r="L357" i="16" s="1"/>
  <c r="O357" i="16" s="1"/>
  <c r="J227" i="16"/>
  <c r="L227" i="16" s="1"/>
  <c r="S227" i="16" s="1"/>
  <c r="AE227" i="16" s="1"/>
  <c r="J278" i="16"/>
  <c r="L278" i="16" s="1"/>
  <c r="N278" i="16" s="1"/>
  <c r="J219" i="16"/>
  <c r="L219" i="16" s="1"/>
  <c r="J328" i="16"/>
  <c r="L328" i="16" s="1"/>
  <c r="S328" i="16" s="1"/>
  <c r="AE328" i="16" s="1"/>
  <c r="J99" i="16"/>
  <c r="L99" i="16" s="1"/>
  <c r="M99" i="16" s="1"/>
  <c r="J265" i="16"/>
  <c r="L265" i="16" s="1"/>
  <c r="N265" i="16" s="1"/>
  <c r="J118" i="16"/>
  <c r="L118" i="16" s="1"/>
  <c r="O118" i="16" s="1"/>
  <c r="J309" i="16"/>
  <c r="L309" i="16" s="1"/>
  <c r="N309" i="16" s="1"/>
  <c r="J190" i="16"/>
  <c r="L190" i="16" s="1"/>
  <c r="O190" i="16" s="1"/>
  <c r="J247" i="16"/>
  <c r="L247" i="16" s="1"/>
  <c r="O247" i="16" s="1"/>
  <c r="J111" i="16"/>
  <c r="L111" i="16" s="1"/>
  <c r="N111" i="16" s="1"/>
  <c r="J225" i="16"/>
  <c r="L225" i="16" s="1"/>
  <c r="N225" i="16" s="1"/>
  <c r="J292" i="16"/>
  <c r="L292" i="16" s="1"/>
  <c r="S292" i="16" s="1"/>
  <c r="AE292" i="16" s="1"/>
  <c r="J121" i="16"/>
  <c r="L121" i="16" s="1"/>
  <c r="S121" i="16" s="1"/>
  <c r="AE121" i="16" s="1"/>
  <c r="J175" i="16"/>
  <c r="L175" i="16" s="1"/>
  <c r="N175" i="16" s="1"/>
  <c r="J252" i="16"/>
  <c r="L252" i="16" s="1"/>
  <c r="O252" i="16" s="1"/>
  <c r="J127" i="16"/>
  <c r="L127" i="16" s="1"/>
  <c r="N127" i="16" s="1"/>
  <c r="J244" i="16"/>
  <c r="L244" i="16" s="1"/>
  <c r="O244" i="16" s="1"/>
  <c r="J91" i="16"/>
  <c r="L91" i="16" s="1"/>
  <c r="S91" i="16" s="1"/>
  <c r="AE91" i="16" s="1"/>
  <c r="J217" i="16"/>
  <c r="L217" i="16" s="1"/>
  <c r="S217" i="16" s="1"/>
  <c r="AE217" i="16" s="1"/>
  <c r="J368" i="16"/>
  <c r="L368" i="16" s="1"/>
  <c r="O368" i="16" s="1"/>
  <c r="J277" i="16"/>
  <c r="L277" i="16" s="1"/>
  <c r="N277" i="16" s="1"/>
  <c r="J148" i="16"/>
  <c r="L148" i="16" s="1"/>
  <c r="N148" i="16" s="1"/>
  <c r="J282" i="16"/>
  <c r="L282" i="16" s="1"/>
  <c r="N282" i="16" s="1"/>
  <c r="J89" i="16"/>
  <c r="L89" i="16" s="1"/>
  <c r="O89" i="16" s="1"/>
  <c r="J311" i="16"/>
  <c r="L311" i="16" s="1"/>
  <c r="N311" i="16" s="1"/>
  <c r="J269" i="16"/>
  <c r="L269" i="16" s="1"/>
  <c r="N269" i="16" s="1"/>
  <c r="J274" i="16"/>
  <c r="L274" i="16" s="1"/>
  <c r="S274" i="16" s="1"/>
  <c r="AE274" i="16" s="1"/>
  <c r="J205" i="16"/>
  <c r="L205" i="16" s="1"/>
  <c r="N205" i="16" s="1"/>
  <c r="J279" i="16"/>
  <c r="L279" i="16" s="1"/>
  <c r="N279" i="16" s="1"/>
  <c r="J194" i="16"/>
  <c r="L194" i="16" s="1"/>
  <c r="S194" i="16" s="1"/>
  <c r="AE194" i="16" s="1"/>
  <c r="J216" i="16"/>
  <c r="L216" i="16" s="1"/>
  <c r="S216" i="16" s="1"/>
  <c r="AE216" i="16" s="1"/>
  <c r="J140" i="16"/>
  <c r="L140" i="16" s="1"/>
  <c r="N140" i="16" s="1"/>
  <c r="J173" i="16"/>
  <c r="L173" i="16" s="1"/>
  <c r="M173" i="16" s="1"/>
  <c r="J294" i="16"/>
  <c r="L294" i="16" s="1"/>
  <c r="S294" i="16" s="1"/>
  <c r="AE294" i="16" s="1"/>
  <c r="J162" i="16"/>
  <c r="L162" i="16" s="1"/>
  <c r="N162" i="16" s="1"/>
  <c r="J112" i="16"/>
  <c r="L112" i="16" s="1"/>
  <c r="O112" i="16" s="1"/>
  <c r="J165" i="16"/>
  <c r="L165" i="16" s="1"/>
  <c r="M165" i="16" s="1"/>
  <c r="J246" i="16"/>
  <c r="L246" i="16" s="1"/>
  <c r="M246" i="16" s="1"/>
  <c r="J146" i="16"/>
  <c r="L146" i="16" s="1"/>
  <c r="J321" i="16"/>
  <c r="L321" i="16" s="1"/>
  <c r="O321" i="16" s="1"/>
  <c r="J101" i="16"/>
  <c r="L101" i="16" s="1"/>
  <c r="O101" i="16" s="1"/>
  <c r="J275" i="16"/>
  <c r="L275" i="16" s="1"/>
  <c r="S275" i="16" s="1"/>
  <c r="AE275" i="16" s="1"/>
  <c r="J271" i="16"/>
  <c r="L271" i="16" s="1"/>
  <c r="N271" i="16" s="1"/>
  <c r="J320" i="16"/>
  <c r="L320" i="16" s="1"/>
  <c r="O320" i="16" s="1"/>
  <c r="J312" i="16"/>
  <c r="L312" i="16" s="1"/>
  <c r="M312" i="16" s="1"/>
  <c r="J248" i="16"/>
  <c r="L248" i="16" s="1"/>
  <c r="N248" i="16" s="1"/>
  <c r="J303" i="16"/>
  <c r="L303" i="16" s="1"/>
  <c r="N303" i="16" s="1"/>
  <c r="J197" i="16"/>
  <c r="L197" i="16" s="1"/>
  <c r="N197" i="16" s="1"/>
  <c r="J284" i="16"/>
  <c r="L284" i="16" s="1"/>
  <c r="S284" i="16" s="1"/>
  <c r="AE284" i="16" s="1"/>
  <c r="J231" i="16"/>
  <c r="L231" i="16" s="1"/>
  <c r="S231" i="16" s="1"/>
  <c r="AE231" i="16" s="1"/>
  <c r="J131" i="16"/>
  <c r="L131" i="16" s="1"/>
  <c r="S131" i="16" s="1"/>
  <c r="AE131" i="16" s="1"/>
  <c r="J306" i="16"/>
  <c r="L306" i="16" s="1"/>
  <c r="S306" i="16" s="1"/>
  <c r="AE306" i="16" s="1"/>
  <c r="J223" i="16"/>
  <c r="L223" i="16" s="1"/>
  <c r="O223" i="16" s="1"/>
  <c r="J113" i="16"/>
  <c r="L113" i="16" s="1"/>
  <c r="M113" i="16" s="1"/>
  <c r="J304" i="16"/>
  <c r="L304" i="16" s="1"/>
  <c r="O304" i="16" s="1"/>
  <c r="J341" i="16"/>
  <c r="L341" i="16" s="1"/>
  <c r="N341" i="16" s="1"/>
  <c r="J215" i="16"/>
  <c r="L215" i="16" s="1"/>
  <c r="S215" i="16" s="1"/>
  <c r="AE215" i="16" s="1"/>
  <c r="J285" i="16"/>
  <c r="L285" i="16" s="1"/>
  <c r="N285" i="16" s="1"/>
  <c r="J181" i="16"/>
  <c r="L181" i="16" s="1"/>
  <c r="S181" i="16" s="1"/>
  <c r="AE181" i="16" s="1"/>
  <c r="J295" i="16"/>
  <c r="L295" i="16" s="1"/>
  <c r="N295" i="16" s="1"/>
  <c r="J268" i="16"/>
  <c r="L268" i="16" s="1"/>
  <c r="S268" i="16" s="1"/>
  <c r="AE268" i="16" s="1"/>
  <c r="J156" i="16"/>
  <c r="L156" i="16" s="1"/>
  <c r="O156" i="16" s="1"/>
  <c r="J95" i="16"/>
  <c r="L95" i="16" s="1"/>
  <c r="O95" i="16" s="1"/>
  <c r="J243" i="16"/>
  <c r="L243" i="16" s="1"/>
  <c r="N243" i="16" s="1"/>
  <c r="J115" i="16"/>
  <c r="L115" i="16" s="1"/>
  <c r="O115" i="16" s="1"/>
  <c r="J290" i="16"/>
  <c r="L290" i="16" s="1"/>
  <c r="S290" i="16" s="1"/>
  <c r="AE290" i="16" s="1"/>
  <c r="J170" i="16"/>
  <c r="L170" i="16" s="1"/>
  <c r="S170" i="16" s="1"/>
  <c r="AE170" i="16" s="1"/>
  <c r="J103" i="16"/>
  <c r="L103" i="16" s="1"/>
  <c r="N103" i="16" s="1"/>
  <c r="J233" i="16"/>
  <c r="L233" i="16" s="1"/>
  <c r="S233" i="16" s="1"/>
  <c r="AE233" i="16" s="1"/>
  <c r="J97" i="16"/>
  <c r="L97" i="16" s="1"/>
  <c r="O97" i="16" s="1"/>
  <c r="J256" i="16"/>
  <c r="L256" i="16" s="1"/>
  <c r="M256" i="16" s="1"/>
  <c r="J322" i="16"/>
  <c r="L322" i="16" s="1"/>
  <c r="M322" i="16" s="1"/>
  <c r="J336" i="16"/>
  <c r="L336" i="16" s="1"/>
  <c r="O336" i="16" s="1"/>
  <c r="J261" i="16"/>
  <c r="L261" i="16" s="1"/>
  <c r="S261" i="16" s="1"/>
  <c r="AE261" i="16" s="1"/>
  <c r="J132" i="16"/>
  <c r="L132" i="16" s="1"/>
  <c r="N132" i="16" s="1"/>
  <c r="J208" i="16"/>
  <c r="L208" i="16" s="1"/>
  <c r="S208" i="16" s="1"/>
  <c r="AE208" i="16" s="1"/>
  <c r="J174" i="16"/>
  <c r="L174" i="16" s="1"/>
  <c r="O174" i="16" s="1"/>
  <c r="J237" i="16"/>
  <c r="L237" i="16" s="1"/>
  <c r="O237" i="16" s="1"/>
  <c r="J133" i="16"/>
  <c r="L133" i="16" s="1"/>
  <c r="O133" i="16" s="1"/>
  <c r="J126" i="16"/>
  <c r="L126" i="16" s="1"/>
  <c r="S126" i="16" s="1"/>
  <c r="AE126" i="16" s="1"/>
  <c r="J220" i="16"/>
  <c r="L220" i="16" s="1"/>
  <c r="S220" i="16" s="1"/>
  <c r="AE220" i="16" s="1"/>
  <c r="J116" i="16"/>
  <c r="L116" i="16" s="1"/>
  <c r="M116" i="16" s="1"/>
  <c r="J315" i="16"/>
  <c r="L315" i="16" s="1"/>
  <c r="O315" i="16" s="1"/>
  <c r="J187" i="16"/>
  <c r="L187" i="16" s="1"/>
  <c r="M187" i="16" s="1"/>
  <c r="J183" i="16"/>
  <c r="L183" i="16" s="1"/>
  <c r="S183" i="16" s="1"/>
  <c r="AE183" i="16" s="1"/>
  <c r="J242" i="16"/>
  <c r="L242" i="16" s="1"/>
  <c r="N242" i="16" s="1"/>
  <c r="J114" i="16"/>
  <c r="L114" i="16" s="1"/>
  <c r="S114" i="16" s="1"/>
  <c r="AE114" i="16" s="1"/>
  <c r="J305" i="16"/>
  <c r="L305" i="16" s="1"/>
  <c r="N305" i="16" s="1"/>
  <c r="J177" i="16"/>
  <c r="L177" i="16" s="1"/>
  <c r="S177" i="16" s="1"/>
  <c r="AE177" i="16" s="1"/>
  <c r="J222" i="16"/>
  <c r="L222" i="16" s="1"/>
  <c r="N222" i="16" s="1"/>
  <c r="J176" i="16"/>
  <c r="L176" i="16" s="1"/>
  <c r="S176" i="16" s="1"/>
  <c r="AE176" i="16" s="1"/>
  <c r="J351" i="16"/>
  <c r="L351" i="16" s="1"/>
  <c r="N351" i="16" s="1"/>
  <c r="J338" i="16"/>
  <c r="L338" i="16" s="1"/>
  <c r="S338" i="16" s="1"/>
  <c r="AE338" i="16" s="1"/>
  <c r="J310" i="16"/>
  <c r="L310" i="16" s="1"/>
  <c r="M310" i="16" s="1"/>
  <c r="J149" i="16"/>
  <c r="L149" i="16" s="1"/>
  <c r="N149" i="16" s="1"/>
  <c r="J302" i="16"/>
  <c r="L302" i="16" s="1"/>
  <c r="M302" i="16" s="1"/>
  <c r="J236" i="16"/>
  <c r="L236" i="16" s="1"/>
  <c r="M236" i="16" s="1"/>
  <c r="J198" i="16"/>
  <c r="L198" i="16" s="1"/>
  <c r="O198" i="16" s="1"/>
  <c r="J318" i="16"/>
  <c r="L318" i="16" s="1"/>
  <c r="S318" i="16" s="1"/>
  <c r="AE318" i="16" s="1"/>
  <c r="J195" i="16"/>
  <c r="L195" i="16" s="1"/>
  <c r="M195" i="16" s="1"/>
  <c r="J158" i="16"/>
  <c r="L158" i="16" s="1"/>
  <c r="O158" i="16" s="1"/>
  <c r="J229" i="16"/>
  <c r="L229" i="16" s="1"/>
  <c r="M229" i="16" s="1"/>
  <c r="J125" i="16"/>
  <c r="L125" i="16" s="1"/>
  <c r="M125" i="16" s="1"/>
  <c r="J316" i="16"/>
  <c r="L316" i="16" s="1"/>
  <c r="M316" i="16" s="1"/>
  <c r="J212" i="16"/>
  <c r="L212" i="16" s="1"/>
  <c r="M212" i="16" s="1"/>
  <c r="J108" i="16"/>
  <c r="L108" i="16" s="1"/>
  <c r="M108" i="16" s="1"/>
  <c r="J307" i="16"/>
  <c r="L307" i="16" s="1"/>
  <c r="O307" i="16" s="1"/>
  <c r="J179" i="16"/>
  <c r="L179" i="16" s="1"/>
  <c r="N179" i="16" s="1"/>
  <c r="J135" i="16"/>
  <c r="L135" i="16" s="1"/>
  <c r="O135" i="16" s="1"/>
  <c r="J234" i="16"/>
  <c r="L234" i="16" s="1"/>
  <c r="N234" i="16" s="1"/>
  <c r="J98" i="16"/>
  <c r="L98" i="16" s="1"/>
  <c r="S98" i="16" s="1"/>
  <c r="AE98" i="16" s="1"/>
  <c r="J297" i="16"/>
  <c r="L297" i="16" s="1"/>
  <c r="O297" i="16" s="1"/>
  <c r="J169" i="16"/>
  <c r="L169" i="16" s="1"/>
  <c r="S169" i="16" s="1"/>
  <c r="AE169" i="16" s="1"/>
  <c r="J182" i="16"/>
  <c r="L182" i="16" s="1"/>
  <c r="O182" i="16" s="1"/>
  <c r="J168" i="16"/>
  <c r="L168" i="16" s="1"/>
  <c r="M168" i="16" s="1"/>
  <c r="J331" i="16"/>
  <c r="L331" i="16" s="1"/>
  <c r="S331" i="16" s="1"/>
  <c r="AE331" i="16" s="1"/>
  <c r="J361" i="16"/>
  <c r="L361" i="16" s="1"/>
  <c r="M361" i="16" s="1"/>
  <c r="J211" i="16"/>
  <c r="L211" i="16" s="1"/>
  <c r="S211" i="16" s="1"/>
  <c r="AE211" i="16" s="1"/>
  <c r="J287" i="16"/>
  <c r="L287" i="16" s="1"/>
  <c r="S287" i="16" s="1"/>
  <c r="AE287" i="16" s="1"/>
  <c r="J266" i="16"/>
  <c r="L266" i="16" s="1"/>
  <c r="S266" i="16" s="1"/>
  <c r="AE266" i="16" s="1"/>
  <c r="J138" i="16"/>
  <c r="L138" i="16" s="1"/>
  <c r="N138" i="16" s="1"/>
  <c r="J150" i="16"/>
  <c r="L150" i="16" s="1"/>
  <c r="S150" i="16" s="1"/>
  <c r="AE150" i="16" s="1"/>
  <c r="J209" i="16"/>
  <c r="L209" i="16" s="1"/>
  <c r="N209" i="16" s="1"/>
  <c r="J327" i="16"/>
  <c r="L327" i="16" s="1"/>
  <c r="O327" i="16" s="1"/>
  <c r="J245" i="16"/>
  <c r="L245" i="16" s="1"/>
  <c r="S245" i="16" s="1"/>
  <c r="AE245" i="16" s="1"/>
  <c r="J238" i="16"/>
  <c r="L238" i="16" s="1"/>
  <c r="S238" i="16" s="1"/>
  <c r="AE238" i="16" s="1"/>
  <c r="J124" i="16"/>
  <c r="L124" i="16" s="1"/>
  <c r="N124" i="16" s="1"/>
  <c r="J239" i="16"/>
  <c r="L239" i="16" s="1"/>
  <c r="S239" i="16" s="1"/>
  <c r="AE239" i="16" s="1"/>
  <c r="J258" i="16"/>
  <c r="L258" i="16" s="1"/>
  <c r="S258" i="16" s="1"/>
  <c r="AE258" i="16" s="1"/>
  <c r="J86" i="16"/>
  <c r="L86" i="16" s="1"/>
  <c r="N86" i="16" s="1"/>
  <c r="J193" i="16"/>
  <c r="L193" i="16" s="1"/>
  <c r="N193" i="16" s="1"/>
  <c r="J286" i="16"/>
  <c r="L286" i="16" s="1"/>
  <c r="S286" i="16" s="1"/>
  <c r="AE286" i="16" s="1"/>
  <c r="J354" i="16"/>
  <c r="L354" i="16" s="1"/>
  <c r="N354" i="16" s="1"/>
  <c r="J110" i="16"/>
  <c r="L110" i="16" s="1"/>
  <c r="S110" i="16" s="1"/>
  <c r="AE110" i="16" s="1"/>
  <c r="J221" i="16"/>
  <c r="L221" i="16" s="1"/>
  <c r="S221" i="16" s="1"/>
  <c r="AE221" i="16" s="1"/>
  <c r="J117" i="16"/>
  <c r="L117" i="16" s="1"/>
  <c r="M117" i="16" s="1"/>
  <c r="J308" i="16"/>
  <c r="L308" i="16" s="1"/>
  <c r="S308" i="16" s="1"/>
  <c r="AE308" i="16" s="1"/>
  <c r="J204" i="16"/>
  <c r="L204" i="16" s="1"/>
  <c r="N204" i="16" s="1"/>
  <c r="J100" i="16"/>
  <c r="L100" i="16" s="1"/>
  <c r="O100" i="16" s="1"/>
  <c r="J291" i="16"/>
  <c r="L291" i="16" s="1"/>
  <c r="S291" i="16" s="1"/>
  <c r="AE291" i="16" s="1"/>
  <c r="J171" i="16"/>
  <c r="L171" i="16" s="1"/>
  <c r="M171" i="16" s="1"/>
  <c r="J87" i="16"/>
  <c r="L87" i="16" s="1"/>
  <c r="O87" i="16" s="1"/>
  <c r="J210" i="16"/>
  <c r="L210" i="16" s="1"/>
  <c r="M210" i="16" s="1"/>
  <c r="J90" i="16"/>
  <c r="L90" i="16" s="1"/>
  <c r="M90" i="16" s="1"/>
  <c r="J289" i="16"/>
  <c r="L289" i="16" s="1"/>
  <c r="O289" i="16" s="1"/>
  <c r="J153" i="16"/>
  <c r="L153" i="16" s="1"/>
  <c r="O153" i="16" s="1"/>
  <c r="J134" i="16"/>
  <c r="L134" i="16" s="1"/>
  <c r="M134" i="16" s="1"/>
  <c r="J160" i="16"/>
  <c r="L160" i="16" s="1"/>
  <c r="M160" i="16" s="1"/>
  <c r="J358" i="16"/>
  <c r="L358" i="16" s="1"/>
  <c r="O358" i="16" s="1"/>
  <c r="J353" i="16"/>
  <c r="L353" i="16" s="1"/>
  <c r="S353" i="16" s="1"/>
  <c r="AE353" i="16" s="1"/>
  <c r="J270" i="16"/>
  <c r="L270" i="16" s="1"/>
  <c r="S270" i="16" s="1"/>
  <c r="AE270" i="16" s="1"/>
  <c r="J141" i="16"/>
  <c r="L141" i="16" s="1"/>
  <c r="M141" i="16" s="1"/>
  <c r="J228" i="16"/>
  <c r="L228" i="16" s="1"/>
  <c r="N228" i="16" s="1"/>
  <c r="J102" i="16"/>
  <c r="L102" i="16" s="1"/>
  <c r="S102" i="16" s="1"/>
  <c r="AE102" i="16" s="1"/>
  <c r="J130" i="16"/>
  <c r="L130" i="16" s="1"/>
  <c r="M130" i="16" s="1"/>
  <c r="J192" i="16"/>
  <c r="L192" i="16" s="1"/>
  <c r="O192" i="16" s="1"/>
  <c r="J317" i="16"/>
  <c r="L317" i="16" s="1"/>
  <c r="S317" i="16" s="1"/>
  <c r="AE317" i="16" s="1"/>
  <c r="J213" i="16"/>
  <c r="L213" i="16" s="1"/>
  <c r="M213" i="16" s="1"/>
  <c r="J109" i="16"/>
  <c r="L109" i="16" s="1"/>
  <c r="O109" i="16" s="1"/>
  <c r="J300" i="16"/>
  <c r="L300" i="16" s="1"/>
  <c r="O300" i="16" s="1"/>
  <c r="J196" i="16"/>
  <c r="L196" i="16" s="1"/>
  <c r="O196" i="16" s="1"/>
  <c r="J92" i="16"/>
  <c r="L92" i="16" s="1"/>
  <c r="N92" i="16" s="1"/>
  <c r="J283" i="16"/>
  <c r="L283" i="16" s="1"/>
  <c r="O283" i="16" s="1"/>
  <c r="J163" i="16"/>
  <c r="L163" i="16" s="1"/>
  <c r="N163" i="16" s="1"/>
  <c r="J166" i="16"/>
  <c r="L166" i="16" s="1"/>
  <c r="S166" i="16" s="1"/>
  <c r="AE166" i="16" s="1"/>
  <c r="J202" i="16"/>
  <c r="L202" i="16" s="1"/>
  <c r="O202" i="16" s="1"/>
  <c r="J319" i="16"/>
  <c r="L319" i="16" s="1"/>
  <c r="M319" i="16" s="1"/>
  <c r="J273" i="16"/>
  <c r="L273" i="16" s="1"/>
  <c r="O273" i="16" s="1"/>
  <c r="J129" i="16"/>
  <c r="L129" i="16" s="1"/>
  <c r="O129" i="16" s="1"/>
  <c r="J94" i="16"/>
  <c r="L94" i="16" s="1"/>
  <c r="O94" i="16" s="1"/>
  <c r="J128" i="16"/>
  <c r="L128" i="16" s="1"/>
  <c r="S128" i="16" s="1"/>
  <c r="AE128" i="16" s="1"/>
  <c r="J350" i="16"/>
  <c r="L350" i="16" s="1"/>
  <c r="M350" i="16" s="1"/>
  <c r="J84" i="16"/>
  <c r="L84" i="16" s="1"/>
  <c r="N84" i="16" s="1"/>
  <c r="C34" i="14"/>
  <c r="W5" i="29" s="1"/>
  <c r="X5" i="29" s="1"/>
  <c r="J301" i="16"/>
  <c r="L301" i="16" s="1"/>
  <c r="O301" i="16" s="1"/>
  <c r="J93" i="16"/>
  <c r="L93" i="16" s="1"/>
  <c r="N93" i="16" s="1"/>
  <c r="J180" i="16"/>
  <c r="L180" i="16" s="1"/>
  <c r="S180" i="16" s="1"/>
  <c r="AE180" i="16" s="1"/>
  <c r="J259" i="16"/>
  <c r="L259" i="16" s="1"/>
  <c r="S259" i="16" s="1"/>
  <c r="AE259" i="16" s="1"/>
  <c r="J186" i="16"/>
  <c r="L186" i="16" s="1"/>
  <c r="N186" i="16" s="1"/>
  <c r="J257" i="16"/>
  <c r="L257" i="16" s="1"/>
  <c r="M257" i="16" s="1"/>
  <c r="J96" i="16"/>
  <c r="L96" i="16" s="1"/>
  <c r="N96" i="16" s="1"/>
  <c r="J263" i="16"/>
  <c r="L263" i="16" s="1"/>
  <c r="N263" i="16" s="1"/>
  <c r="J293" i="16"/>
  <c r="L293" i="16" s="1"/>
  <c r="S293" i="16" s="1"/>
  <c r="AE293" i="16" s="1"/>
  <c r="J189" i="16"/>
  <c r="L189" i="16" s="1"/>
  <c r="N189" i="16" s="1"/>
  <c r="J85" i="16"/>
  <c r="L85" i="16" s="1"/>
  <c r="S85" i="16" s="1"/>
  <c r="AE85" i="16" s="1"/>
  <c r="J276" i="16"/>
  <c r="L276" i="16" s="1"/>
  <c r="O276" i="16" s="1"/>
  <c r="J172" i="16"/>
  <c r="L172" i="16" s="1"/>
  <c r="O172" i="16" s="1"/>
  <c r="J143" i="16"/>
  <c r="L143" i="16" s="1"/>
  <c r="M143" i="16" s="1"/>
  <c r="J251" i="16"/>
  <c r="L251" i="16" s="1"/>
  <c r="M251" i="16" s="1"/>
  <c r="J123" i="16"/>
  <c r="L123" i="16" s="1"/>
  <c r="O123" i="16" s="1"/>
  <c r="J298" i="16"/>
  <c r="L298" i="16" s="1"/>
  <c r="M298" i="16" s="1"/>
  <c r="J178" i="16"/>
  <c r="L178" i="16" s="1"/>
  <c r="O178" i="16" s="1"/>
  <c r="J151" i="16"/>
  <c r="L151" i="16" s="1"/>
  <c r="N151" i="16" s="1"/>
  <c r="J241" i="16"/>
  <c r="L241" i="16" s="1"/>
  <c r="N241" i="16" s="1"/>
  <c r="J105" i="16"/>
  <c r="L105" i="16" s="1"/>
  <c r="M105" i="16" s="1"/>
  <c r="J288" i="16"/>
  <c r="L288" i="16" s="1"/>
  <c r="O288" i="16" s="1"/>
  <c r="J326" i="16"/>
  <c r="L326" i="16" s="1"/>
  <c r="O326" i="16" s="1"/>
  <c r="J356" i="16"/>
  <c r="L356" i="16" s="1"/>
  <c r="M356" i="16" s="1"/>
  <c r="J343" i="16"/>
  <c r="L343" i="16" s="1"/>
  <c r="S343" i="16" s="1"/>
  <c r="AE343" i="16" s="1"/>
  <c r="J362" i="16"/>
  <c r="L362" i="16" s="1"/>
  <c r="S362" i="16" s="1"/>
  <c r="AE362" i="16" s="1"/>
  <c r="J214" i="16"/>
  <c r="L214" i="16" s="1"/>
  <c r="O214" i="16" s="1"/>
  <c r="J253" i="16"/>
  <c r="L253" i="16" s="1"/>
  <c r="M253" i="16" s="1"/>
  <c r="J157" i="16"/>
  <c r="L157" i="16" s="1"/>
  <c r="N157" i="16" s="1"/>
  <c r="J167" i="16"/>
  <c r="L167" i="16" s="1"/>
  <c r="N167" i="16" s="1"/>
  <c r="J260" i="16"/>
  <c r="L260" i="16" s="1"/>
  <c r="M260" i="16" s="1"/>
  <c r="J164" i="16"/>
  <c r="L164" i="16" s="1"/>
  <c r="N164" i="16" s="1"/>
  <c r="J191" i="16"/>
  <c r="L191" i="16" s="1"/>
  <c r="O191" i="16" s="1"/>
  <c r="J267" i="16"/>
  <c r="L267" i="16" s="1"/>
  <c r="S267" i="16" s="1"/>
  <c r="AE267" i="16" s="1"/>
  <c r="J155" i="16"/>
  <c r="L155" i="16" s="1"/>
  <c r="S155" i="16" s="1"/>
  <c r="AE155" i="16" s="1"/>
  <c r="J206" i="16"/>
  <c r="L206" i="16" s="1"/>
  <c r="S206" i="16" s="1"/>
  <c r="AE206" i="16" s="1"/>
  <c r="J226" i="16"/>
  <c r="L226" i="16" s="1"/>
  <c r="N226" i="16" s="1"/>
  <c r="J106" i="16"/>
  <c r="L106" i="16" s="1"/>
  <c r="S106" i="16" s="1"/>
  <c r="AE106" i="16" s="1"/>
  <c r="J313" i="16"/>
  <c r="L313" i="16" s="1"/>
  <c r="S313" i="16" s="1"/>
  <c r="AE313" i="16" s="1"/>
  <c r="J201" i="16"/>
  <c r="L201" i="16" s="1"/>
  <c r="S201" i="16" s="1"/>
  <c r="AE201" i="16" s="1"/>
  <c r="J159" i="16"/>
  <c r="L159" i="16" s="1"/>
  <c r="S159" i="16" s="1"/>
  <c r="AE159" i="16" s="1"/>
  <c r="J240" i="16"/>
  <c r="L240" i="16" s="1"/>
  <c r="S240" i="16" s="1"/>
  <c r="AE240" i="16" s="1"/>
  <c r="J325" i="16"/>
  <c r="L325" i="16" s="1"/>
  <c r="O325" i="16" s="1"/>
  <c r="J329" i="16"/>
  <c r="L329" i="16" s="1"/>
  <c r="M329" i="16" s="1"/>
  <c r="G92" i="33"/>
  <c r="J144" i="16"/>
  <c r="L144" i="16" s="1"/>
  <c r="N144" i="16" s="1"/>
  <c r="J348" i="16"/>
  <c r="L348" i="16" s="1"/>
  <c r="S348" i="16" s="1"/>
  <c r="AE348" i="16" s="1"/>
  <c r="J345" i="16"/>
  <c r="L345" i="16" s="1"/>
  <c r="O345" i="16" s="1"/>
  <c r="J142" i="16"/>
  <c r="L142" i="16" s="1"/>
  <c r="M142" i="16" s="1"/>
  <c r="J235" i="16"/>
  <c r="L235" i="16" s="1"/>
  <c r="N235" i="16" s="1"/>
  <c r="J139" i="16"/>
  <c r="L139" i="16" s="1"/>
  <c r="M139" i="16" s="1"/>
  <c r="J262" i="16"/>
  <c r="L262" i="16" s="1"/>
  <c r="N262" i="16" s="1"/>
  <c r="J250" i="16"/>
  <c r="L250" i="16" s="1"/>
  <c r="O250" i="16" s="1"/>
  <c r="J154" i="16"/>
  <c r="L154" i="16" s="1"/>
  <c r="N154" i="16" s="1"/>
  <c r="J199" i="16"/>
  <c r="L199" i="16" s="1"/>
  <c r="N199" i="16" s="1"/>
  <c r="J281" i="16"/>
  <c r="L281" i="16" s="1"/>
  <c r="M281" i="16" s="1"/>
  <c r="AP96" i="16" s="1"/>
  <c r="J185" i="16"/>
  <c r="L185" i="16" s="1"/>
  <c r="N185" i="16" s="1"/>
  <c r="J255" i="16"/>
  <c r="L255" i="16" s="1"/>
  <c r="O255" i="16" s="1"/>
  <c r="J272" i="16"/>
  <c r="L272" i="16" s="1"/>
  <c r="O272" i="16" s="1"/>
  <c r="J136" i="16"/>
  <c r="L136" i="16" s="1"/>
  <c r="O136" i="16" s="1"/>
  <c r="J359" i="16"/>
  <c r="L359" i="16" s="1"/>
  <c r="O359" i="16" s="1"/>
  <c r="J340" i="16"/>
  <c r="L340" i="16" s="1"/>
  <c r="S340" i="16" s="1"/>
  <c r="AE340" i="16" s="1"/>
  <c r="J337" i="16"/>
  <c r="L337" i="16" s="1"/>
  <c r="M337" i="16" s="1"/>
  <c r="J166" i="32"/>
  <c r="L166" i="32" s="1"/>
  <c r="S166" i="32" s="1"/>
  <c r="J50" i="32"/>
  <c r="L50" i="32" s="1"/>
  <c r="M50" i="32" s="1"/>
  <c r="J299" i="16"/>
  <c r="L299" i="16" s="1"/>
  <c r="S299" i="16" s="1"/>
  <c r="AE299" i="16" s="1"/>
  <c r="J203" i="16"/>
  <c r="L203" i="16" s="1"/>
  <c r="N203" i="16" s="1"/>
  <c r="J107" i="16"/>
  <c r="L107" i="16" s="1"/>
  <c r="N107" i="16" s="1"/>
  <c r="J314" i="16"/>
  <c r="L314" i="16" s="1"/>
  <c r="M314" i="16" s="1"/>
  <c r="J218" i="16"/>
  <c r="L218" i="16" s="1"/>
  <c r="S218" i="16" s="1"/>
  <c r="AE218" i="16" s="1"/>
  <c r="J122" i="16"/>
  <c r="L122" i="16" s="1"/>
  <c r="S122" i="16" s="1"/>
  <c r="AE122" i="16" s="1"/>
  <c r="J230" i="16"/>
  <c r="L230" i="16" s="1"/>
  <c r="N230" i="16" s="1"/>
  <c r="J249" i="16"/>
  <c r="L249" i="16" s="1"/>
  <c r="N249" i="16" s="1"/>
  <c r="J137" i="16"/>
  <c r="L137" i="16" s="1"/>
  <c r="S137" i="16" s="1"/>
  <c r="AE137" i="16" s="1"/>
  <c r="J254" i="16"/>
  <c r="L254" i="16" s="1"/>
  <c r="O254" i="16" s="1"/>
  <c r="J224" i="16"/>
  <c r="L224" i="16" s="1"/>
  <c r="O224" i="16" s="1"/>
  <c r="J323" i="16"/>
  <c r="L323" i="16" s="1"/>
  <c r="M323" i="16" s="1"/>
  <c r="J366" i="16"/>
  <c r="L366" i="16" s="1"/>
  <c r="M366" i="16" s="1"/>
  <c r="J352" i="16"/>
  <c r="L352" i="16" s="1"/>
  <c r="N352" i="16" s="1"/>
  <c r="J137" i="32"/>
  <c r="L137" i="32" s="1"/>
  <c r="M137" i="32" s="1"/>
  <c r="J264" i="16"/>
  <c r="L264" i="16" s="1"/>
  <c r="M264" i="16" s="1"/>
  <c r="J152" i="16"/>
  <c r="L152" i="16" s="1"/>
  <c r="O152" i="16" s="1"/>
  <c r="J324" i="16"/>
  <c r="L324" i="16" s="1"/>
  <c r="N324" i="16" s="1"/>
  <c r="J342" i="16"/>
  <c r="L342" i="16" s="1"/>
  <c r="M342" i="16" s="1"/>
  <c r="J355" i="16"/>
  <c r="L355" i="16" s="1"/>
  <c r="O355" i="16" s="1"/>
  <c r="J305" i="32"/>
  <c r="L305" i="32" s="1"/>
  <c r="O305" i="32" s="1"/>
  <c r="J232" i="16"/>
  <c r="L232" i="16" s="1"/>
  <c r="S232" i="16" s="1"/>
  <c r="AE232" i="16" s="1"/>
  <c r="J120" i="16"/>
  <c r="L120" i="16" s="1"/>
  <c r="M120" i="16" s="1"/>
  <c r="J332" i="16"/>
  <c r="L332" i="16" s="1"/>
  <c r="N332" i="16" s="1"/>
  <c r="J364" i="16"/>
  <c r="L364" i="16" s="1"/>
  <c r="S364" i="16" s="1"/>
  <c r="AE364" i="16" s="1"/>
  <c r="J346" i="16"/>
  <c r="L346" i="16" s="1"/>
  <c r="M346" i="16" s="1"/>
  <c r="G79" i="33"/>
  <c r="J335" i="16"/>
  <c r="L335" i="16" s="1"/>
  <c r="S335" i="16" s="1"/>
  <c r="AE335" i="16" s="1"/>
  <c r="J144" i="32"/>
  <c r="L144" i="32" s="1"/>
  <c r="O144" i="32" s="1"/>
  <c r="J162" i="32"/>
  <c r="L162" i="32" s="1"/>
  <c r="S162" i="32" s="1"/>
  <c r="G80" i="33"/>
  <c r="J92" i="32"/>
  <c r="L92" i="32" s="1"/>
  <c r="S92" i="32" s="1"/>
  <c r="G75" i="33"/>
  <c r="J66" i="32"/>
  <c r="L66" i="32" s="1"/>
  <c r="S66" i="32" s="1"/>
  <c r="J200" i="32"/>
  <c r="L200" i="32" s="1"/>
  <c r="N200" i="32" s="1"/>
  <c r="G97" i="33"/>
  <c r="J202" i="32"/>
  <c r="L202" i="32" s="1"/>
  <c r="S202" i="32" s="1"/>
  <c r="J301" i="32"/>
  <c r="L301" i="32" s="1"/>
  <c r="M301" i="32" s="1"/>
  <c r="G71" i="33"/>
  <c r="J296" i="32"/>
  <c r="L296" i="32" s="1"/>
  <c r="N296" i="32" s="1"/>
  <c r="J240" i="32"/>
  <c r="L240" i="32" s="1"/>
  <c r="S240" i="32" s="1"/>
  <c r="G76" i="33"/>
  <c r="J261" i="32"/>
  <c r="L261" i="32" s="1"/>
  <c r="M261" i="32" s="1"/>
  <c r="J309" i="32"/>
  <c r="L309" i="32" s="1"/>
  <c r="N309" i="32" s="1"/>
  <c r="G72" i="33"/>
  <c r="J208" i="32"/>
  <c r="L208" i="32" s="1"/>
  <c r="M208" i="32" s="1"/>
  <c r="J96" i="32"/>
  <c r="L96" i="32" s="1"/>
  <c r="M96" i="32" s="1"/>
  <c r="J304" i="32"/>
  <c r="L304" i="32" s="1"/>
  <c r="S304" i="32" s="1"/>
  <c r="J130" i="32"/>
  <c r="L130" i="32" s="1"/>
  <c r="N130" i="32" s="1"/>
  <c r="J53" i="32"/>
  <c r="L53" i="32" s="1"/>
  <c r="S53" i="32" s="1"/>
  <c r="J172" i="32"/>
  <c r="L172" i="32" s="1"/>
  <c r="N172" i="32" s="1"/>
  <c r="J102" i="32"/>
  <c r="L102" i="32" s="1"/>
  <c r="N102" i="32" s="1"/>
  <c r="J228" i="32"/>
  <c r="L228" i="32" s="1"/>
  <c r="S228" i="32" s="1"/>
  <c r="J310" i="32"/>
  <c r="L310" i="32" s="1"/>
  <c r="N310" i="32" s="1"/>
  <c r="G82" i="33"/>
  <c r="G78" i="33"/>
  <c r="J330" i="16"/>
  <c r="L330" i="16" s="1"/>
  <c r="N330" i="16" s="1"/>
  <c r="J363" i="16"/>
  <c r="L363" i="16" s="1"/>
  <c r="N363" i="16" s="1"/>
  <c r="J344" i="16"/>
  <c r="L344" i="16" s="1"/>
  <c r="M344" i="16" s="1"/>
  <c r="J120" i="32"/>
  <c r="L120" i="32" s="1"/>
  <c r="O120" i="32" s="1"/>
  <c r="J115" i="32"/>
  <c r="L115" i="32" s="1"/>
  <c r="S115" i="32" s="1"/>
  <c r="J78" i="32"/>
  <c r="L78" i="32" s="1"/>
  <c r="S78" i="32" s="1"/>
  <c r="G74" i="33"/>
  <c r="G88" i="33"/>
  <c r="J161" i="16"/>
  <c r="L161" i="16" s="1"/>
  <c r="M161" i="16" s="1"/>
  <c r="J207" i="16"/>
  <c r="L207" i="16" s="1"/>
  <c r="S207" i="16" s="1"/>
  <c r="AE207" i="16" s="1"/>
  <c r="J296" i="16"/>
  <c r="L296" i="16" s="1"/>
  <c r="O296" i="16" s="1"/>
  <c r="J200" i="16"/>
  <c r="L200" i="16" s="1"/>
  <c r="N200" i="16" s="1"/>
  <c r="J104" i="16"/>
  <c r="L104" i="16" s="1"/>
  <c r="N104" i="16" s="1"/>
  <c r="J333" i="16"/>
  <c r="L333" i="16" s="1"/>
  <c r="S333" i="16" s="1"/>
  <c r="AE333" i="16" s="1"/>
  <c r="J365" i="16"/>
  <c r="L365" i="16" s="1"/>
  <c r="M365" i="16" s="1"/>
  <c r="J339" i="16"/>
  <c r="L339" i="16" s="1"/>
  <c r="M339" i="16" s="1"/>
  <c r="J347" i="16"/>
  <c r="L347" i="16" s="1"/>
  <c r="S347" i="16" s="1"/>
  <c r="AE347" i="16" s="1"/>
  <c r="J293" i="32"/>
  <c r="L293" i="32" s="1"/>
  <c r="M293" i="32" s="1"/>
  <c r="J217" i="32"/>
  <c r="L217" i="32" s="1"/>
  <c r="M217" i="32" s="1"/>
  <c r="J215" i="32"/>
  <c r="L215" i="32" s="1"/>
  <c r="M215" i="32" s="1"/>
  <c r="G100" i="33"/>
  <c r="J334" i="16"/>
  <c r="L334" i="16" s="1"/>
  <c r="S334" i="16" s="1"/>
  <c r="AE334" i="16" s="1"/>
  <c r="J184" i="32"/>
  <c r="L184" i="32" s="1"/>
  <c r="M184" i="32" s="1"/>
  <c r="J73" i="32"/>
  <c r="L73" i="32" s="1"/>
  <c r="M73" i="32" s="1"/>
  <c r="J213" i="32"/>
  <c r="L213" i="32" s="1"/>
  <c r="N213" i="32" s="1"/>
  <c r="G85" i="33"/>
  <c r="G89" i="33"/>
  <c r="J145" i="16"/>
  <c r="L145" i="16" s="1"/>
  <c r="O145" i="16" s="1"/>
  <c r="J119" i="16"/>
  <c r="L119" i="16" s="1"/>
  <c r="N119" i="16" s="1"/>
  <c r="J280" i="16"/>
  <c r="L280" i="16" s="1"/>
  <c r="M280" i="16" s="1"/>
  <c r="AP95" i="16" s="1"/>
  <c r="J184" i="16"/>
  <c r="L184" i="16" s="1"/>
  <c r="M184" i="16" s="1"/>
  <c r="J88" i="16"/>
  <c r="L88" i="16" s="1"/>
  <c r="O88" i="16" s="1"/>
  <c r="J367" i="16"/>
  <c r="L367" i="16" s="1"/>
  <c r="O367" i="16" s="1"/>
  <c r="J349" i="16"/>
  <c r="L349" i="16" s="1"/>
  <c r="S349" i="16" s="1"/>
  <c r="AE349" i="16" s="1"/>
  <c r="J360" i="16"/>
  <c r="L360" i="16" s="1"/>
  <c r="S360" i="16" s="1"/>
  <c r="AE360" i="16" s="1"/>
  <c r="J199" i="32"/>
  <c r="L199" i="32" s="1"/>
  <c r="N199" i="32" s="1"/>
  <c r="J158" i="32"/>
  <c r="L158" i="32" s="1"/>
  <c r="S158" i="32" s="1"/>
  <c r="J37" i="32"/>
  <c r="L37" i="32" s="1"/>
  <c r="N37" i="32" s="1"/>
  <c r="G90" i="33"/>
  <c r="C61" i="33"/>
  <c r="J186" i="32"/>
  <c r="L186" i="32" s="1"/>
  <c r="O186" i="32" s="1"/>
  <c r="J91" i="32"/>
  <c r="L91" i="32" s="1"/>
  <c r="M91" i="32" s="1"/>
  <c r="J209" i="32"/>
  <c r="L209" i="32" s="1"/>
  <c r="O209" i="32" s="1"/>
  <c r="J167" i="32"/>
  <c r="L167" i="32" s="1"/>
  <c r="N167" i="32" s="1"/>
  <c r="J51" i="32"/>
  <c r="L51" i="32" s="1"/>
  <c r="N51" i="32" s="1"/>
  <c r="J133" i="32"/>
  <c r="L133" i="32" s="1"/>
  <c r="S133" i="32" s="1"/>
  <c r="G69" i="33"/>
  <c r="G94" i="33"/>
  <c r="G77" i="33"/>
  <c r="J225" i="32"/>
  <c r="L225" i="32" s="1"/>
  <c r="O225" i="32" s="1"/>
  <c r="J233" i="32"/>
  <c r="L233" i="32" s="1"/>
  <c r="O233" i="32" s="1"/>
  <c r="J177" i="32"/>
  <c r="L177" i="32" s="1"/>
  <c r="S177" i="32" s="1"/>
  <c r="J42" i="32"/>
  <c r="L42" i="32" s="1"/>
  <c r="N42" i="32" s="1"/>
  <c r="J57" i="32"/>
  <c r="L57" i="32" s="1"/>
  <c r="S57" i="32" s="1"/>
  <c r="J256" i="32"/>
  <c r="L256" i="32" s="1"/>
  <c r="M256" i="32" s="1"/>
  <c r="G83" i="33"/>
  <c r="G96" i="33"/>
  <c r="G101" i="33"/>
  <c r="J292" i="32"/>
  <c r="L292" i="32" s="1"/>
  <c r="O292" i="32" s="1"/>
  <c r="J219" i="32"/>
  <c r="L219" i="32" s="1"/>
  <c r="M219" i="32" s="1"/>
  <c r="J157" i="32"/>
  <c r="L157" i="32" s="1"/>
  <c r="O157" i="32" s="1"/>
  <c r="J65" i="32"/>
  <c r="L65" i="32" s="1"/>
  <c r="S65" i="32" s="1"/>
  <c r="J80" i="32"/>
  <c r="L80" i="32" s="1"/>
  <c r="N80" i="32" s="1"/>
  <c r="G70" i="33"/>
  <c r="G86" i="33"/>
  <c r="G87" i="33"/>
  <c r="G73" i="33"/>
  <c r="J90" i="32"/>
  <c r="L90" i="32" s="1"/>
  <c r="S90" i="32" s="1"/>
  <c r="J311" i="32"/>
  <c r="L311" i="32" s="1"/>
  <c r="M311" i="32" s="1"/>
  <c r="J52" i="32"/>
  <c r="L52" i="32" s="1"/>
  <c r="M52" i="32" s="1"/>
  <c r="J267" i="32"/>
  <c r="L267" i="32" s="1"/>
  <c r="O267" i="32" s="1"/>
  <c r="J123" i="32"/>
  <c r="L123" i="32" s="1"/>
  <c r="O123" i="32" s="1"/>
  <c r="J168" i="32"/>
  <c r="L168" i="32" s="1"/>
  <c r="O168" i="32" s="1"/>
  <c r="G84" i="33"/>
  <c r="G93" i="33"/>
  <c r="G98" i="33"/>
  <c r="J181" i="32"/>
  <c r="L181" i="32" s="1"/>
  <c r="M181" i="32" s="1"/>
  <c r="J195" i="32"/>
  <c r="L195" i="32" s="1"/>
  <c r="M195" i="32" s="1"/>
  <c r="J99" i="32"/>
  <c r="L99" i="32" s="1"/>
  <c r="S99" i="32" s="1"/>
  <c r="J182" i="32"/>
  <c r="L182" i="32" s="1"/>
  <c r="M182" i="32" s="1"/>
  <c r="J58" i="32"/>
  <c r="L58" i="32" s="1"/>
  <c r="S58" i="32" s="1"/>
  <c r="J36" i="32"/>
  <c r="L36" i="32" s="1"/>
  <c r="N36" i="32" s="1"/>
  <c r="G67" i="33"/>
  <c r="G81" i="33"/>
  <c r="G99" i="33"/>
  <c r="J298" i="32"/>
  <c r="L298" i="32" s="1"/>
  <c r="N298" i="32" s="1"/>
  <c r="J134" i="32"/>
  <c r="L134" i="32" s="1"/>
  <c r="O134" i="32" s="1"/>
  <c r="J63" i="32"/>
  <c r="L63" i="32" s="1"/>
  <c r="N63" i="32" s="1"/>
  <c r="J44" i="32"/>
  <c r="L44" i="32" s="1"/>
  <c r="S44" i="32" s="1"/>
  <c r="J268" i="32"/>
  <c r="L268" i="32" s="1"/>
  <c r="O268" i="32" s="1"/>
  <c r="J104" i="32"/>
  <c r="L104" i="32" s="1"/>
  <c r="M104" i="32" s="1"/>
  <c r="G68" i="33"/>
  <c r="G91" i="33"/>
  <c r="J302" i="32"/>
  <c r="L302" i="32" s="1"/>
  <c r="O302" i="32" s="1"/>
  <c r="J121" i="32"/>
  <c r="L121" i="32" s="1"/>
  <c r="N121" i="32" s="1"/>
  <c r="J250" i="32"/>
  <c r="L250" i="32" s="1"/>
  <c r="N250" i="32" s="1"/>
  <c r="J161" i="32"/>
  <c r="L161" i="32" s="1"/>
  <c r="O161" i="32" s="1"/>
  <c r="J75" i="32"/>
  <c r="L75" i="32" s="1"/>
  <c r="S75" i="32" s="1"/>
  <c r="J33" i="32"/>
  <c r="L33" i="32" s="1"/>
  <c r="M33" i="32" s="1"/>
  <c r="J226" i="32"/>
  <c r="L226" i="32" s="1"/>
  <c r="O226" i="32" s="1"/>
  <c r="J111" i="32"/>
  <c r="L111" i="32" s="1"/>
  <c r="M111" i="32" s="1"/>
  <c r="J34" i="32"/>
  <c r="L34" i="32" s="1"/>
  <c r="N34" i="32" s="1"/>
  <c r="J139" i="32"/>
  <c r="L139" i="32" s="1"/>
  <c r="S139" i="32" s="1"/>
  <c r="J238" i="32"/>
  <c r="L238" i="32" s="1"/>
  <c r="M238" i="32" s="1"/>
  <c r="J108" i="32"/>
  <c r="L108" i="32" s="1"/>
  <c r="M108" i="32" s="1"/>
  <c r="J216" i="32"/>
  <c r="L216" i="32" s="1"/>
  <c r="N216" i="32" s="1"/>
  <c r="J221" i="32"/>
  <c r="L221" i="32" s="1"/>
  <c r="N221" i="32" s="1"/>
  <c r="J248" i="32"/>
  <c r="L248" i="32" s="1"/>
  <c r="O248" i="32" s="1"/>
  <c r="J141" i="32"/>
  <c r="L141" i="32" s="1"/>
  <c r="N141" i="32" s="1"/>
  <c r="J165" i="32"/>
  <c r="L165" i="32" s="1"/>
  <c r="O165" i="32" s="1"/>
  <c r="J244" i="32"/>
  <c r="L244" i="32" s="1"/>
  <c r="O244" i="32" s="1"/>
  <c r="J79" i="32"/>
  <c r="L79" i="32" s="1"/>
  <c r="M79" i="32" s="1"/>
  <c r="J88" i="32"/>
  <c r="L88" i="32" s="1"/>
  <c r="S88" i="32" s="1"/>
  <c r="J175" i="32"/>
  <c r="L175" i="32" s="1"/>
  <c r="N175" i="32" s="1"/>
  <c r="J140" i="32"/>
  <c r="L140" i="32" s="1"/>
  <c r="O140" i="32" s="1"/>
  <c r="J64" i="32"/>
  <c r="L64" i="32" s="1"/>
  <c r="M64" i="32" s="1"/>
  <c r="J87" i="32"/>
  <c r="L87" i="32" s="1"/>
  <c r="S87" i="32" s="1"/>
  <c r="AN5" i="33"/>
  <c r="J171" i="32"/>
  <c r="L171" i="32" s="1"/>
  <c r="S171" i="32" s="1"/>
  <c r="J260" i="32"/>
  <c r="L260" i="32" s="1"/>
  <c r="M260" i="32" s="1"/>
  <c r="J245" i="32"/>
  <c r="L245" i="32" s="1"/>
  <c r="M245" i="32" s="1"/>
  <c r="J239" i="32"/>
  <c r="L239" i="32" s="1"/>
  <c r="O239" i="32" s="1"/>
  <c r="J287" i="32"/>
  <c r="L287" i="32" s="1"/>
  <c r="S287" i="32" s="1"/>
  <c r="J283" i="32"/>
  <c r="L283" i="32" s="1"/>
  <c r="O283" i="32" s="1"/>
  <c r="J211" i="32"/>
  <c r="L211" i="32" s="1"/>
  <c r="N211" i="32" s="1"/>
  <c r="J312" i="32"/>
  <c r="L312" i="32" s="1"/>
  <c r="O312" i="32" s="1"/>
  <c r="J31" i="32"/>
  <c r="L31" i="32" s="1"/>
  <c r="O31" i="32" s="1"/>
  <c r="J183" i="32"/>
  <c r="L183" i="32" s="1"/>
  <c r="N183" i="32" s="1"/>
  <c r="J27" i="32"/>
  <c r="L27" i="32" s="1"/>
  <c r="M27" i="32" s="1"/>
  <c r="J101" i="32"/>
  <c r="L101" i="32" s="1"/>
  <c r="S101" i="32" s="1"/>
  <c r="J286" i="32"/>
  <c r="L286" i="32" s="1"/>
  <c r="M286" i="32" s="1"/>
  <c r="J122" i="32"/>
  <c r="L122" i="32" s="1"/>
  <c r="N122" i="32" s="1"/>
  <c r="J48" i="32"/>
  <c r="L48" i="32" s="1"/>
  <c r="N48" i="32" s="1"/>
  <c r="J55" i="32"/>
  <c r="L55" i="32" s="1"/>
  <c r="N55" i="32" s="1"/>
  <c r="J109" i="32"/>
  <c r="L109" i="32" s="1"/>
  <c r="S109" i="32" s="1"/>
  <c r="J279" i="32"/>
  <c r="L279" i="32" s="1"/>
  <c r="S279" i="32" s="1"/>
  <c r="J291" i="32"/>
  <c r="L291" i="32" s="1"/>
  <c r="O291" i="32" s="1"/>
  <c r="J254" i="32"/>
  <c r="L254" i="32" s="1"/>
  <c r="S254" i="32" s="1"/>
  <c r="J147" i="32"/>
  <c r="L147" i="32" s="1"/>
  <c r="N147" i="32" s="1"/>
  <c r="J274" i="32"/>
  <c r="L274" i="32" s="1"/>
  <c r="O274" i="32" s="1"/>
  <c r="J180" i="32"/>
  <c r="L180" i="32" s="1"/>
  <c r="N180" i="32" s="1"/>
  <c r="J220" i="32"/>
  <c r="L220" i="32" s="1"/>
  <c r="M220" i="32" s="1"/>
  <c r="J201" i="32"/>
  <c r="L201" i="32" s="1"/>
  <c r="N201" i="32" s="1"/>
  <c r="J81" i="32"/>
  <c r="L81" i="32" s="1"/>
  <c r="S81" i="32" s="1"/>
  <c r="J206" i="32"/>
  <c r="L206" i="32" s="1"/>
  <c r="O206" i="32" s="1"/>
  <c r="J138" i="32"/>
  <c r="L138" i="32" s="1"/>
  <c r="M138" i="32" s="1"/>
  <c r="J255" i="32"/>
  <c r="L255" i="32" s="1"/>
  <c r="S255" i="32" s="1"/>
  <c r="J232" i="32"/>
  <c r="L232" i="32" s="1"/>
  <c r="M232" i="32" s="1"/>
  <c r="J77" i="32"/>
  <c r="L77" i="32" s="1"/>
  <c r="S77" i="32" s="1"/>
  <c r="J265" i="32"/>
  <c r="L265" i="32" s="1"/>
  <c r="O265" i="32" s="1"/>
  <c r="J142" i="32"/>
  <c r="L142" i="32" s="1"/>
  <c r="S142" i="32" s="1"/>
  <c r="J242" i="32"/>
  <c r="L242" i="32" s="1"/>
  <c r="S242" i="32" s="1"/>
  <c r="J145" i="32"/>
  <c r="L145" i="32" s="1"/>
  <c r="N145" i="32" s="1"/>
  <c r="J41" i="32"/>
  <c r="L41" i="32" s="1"/>
  <c r="N41" i="32" s="1"/>
  <c r="J154" i="32"/>
  <c r="L154" i="32" s="1"/>
  <c r="N154" i="32" s="1"/>
  <c r="J129" i="32"/>
  <c r="L129" i="32" s="1"/>
  <c r="S129" i="32" s="1"/>
  <c r="J278" i="32"/>
  <c r="L278" i="32" s="1"/>
  <c r="M278" i="32" s="1"/>
  <c r="J156" i="32"/>
  <c r="L156" i="32" s="1"/>
  <c r="O156" i="32" s="1"/>
  <c r="J49" i="32"/>
  <c r="L49" i="32" s="1"/>
  <c r="N49" i="32" s="1"/>
  <c r="J280" i="32"/>
  <c r="L280" i="32" s="1"/>
  <c r="N280" i="32" s="1"/>
  <c r="J275" i="32"/>
  <c r="L275" i="32" s="1"/>
  <c r="M275" i="32" s="1"/>
  <c r="J89" i="32"/>
  <c r="L89" i="32" s="1"/>
  <c r="S89" i="32" s="1"/>
  <c r="J263" i="32"/>
  <c r="L263" i="32" s="1"/>
  <c r="O263" i="32" s="1"/>
  <c r="J235" i="32"/>
  <c r="L235" i="32" s="1"/>
  <c r="N235" i="32" s="1"/>
  <c r="J249" i="32"/>
  <c r="L249" i="32" s="1"/>
  <c r="O249" i="32" s="1"/>
  <c r="J155" i="32"/>
  <c r="L155" i="32" s="1"/>
  <c r="S155" i="32" s="1"/>
  <c r="J196" i="32"/>
  <c r="L196" i="32" s="1"/>
  <c r="S196" i="32" s="1"/>
  <c r="J281" i="32"/>
  <c r="L281" i="32" s="1"/>
  <c r="S281" i="32" s="1"/>
  <c r="J266" i="32"/>
  <c r="L266" i="32" s="1"/>
  <c r="N266" i="32" s="1"/>
  <c r="J227" i="32"/>
  <c r="L227" i="32" s="1"/>
  <c r="N227" i="32" s="1"/>
  <c r="J188" i="32"/>
  <c r="L188" i="32" s="1"/>
  <c r="M188" i="32" s="1"/>
  <c r="J294" i="32"/>
  <c r="L294" i="32" s="1"/>
  <c r="M294" i="32" s="1"/>
  <c r="J125" i="32"/>
  <c r="L125" i="32" s="1"/>
  <c r="M125" i="32" s="1"/>
  <c r="J204" i="32"/>
  <c r="L204" i="32" s="1"/>
  <c r="N204" i="32" s="1"/>
  <c r="J45" i="32"/>
  <c r="L45" i="32" s="1"/>
  <c r="O45" i="32" s="1"/>
  <c r="J241" i="32"/>
  <c r="L241" i="32" s="1"/>
  <c r="S241" i="32" s="1"/>
  <c r="J207" i="32"/>
  <c r="L207" i="32" s="1"/>
  <c r="N207" i="32" s="1"/>
  <c r="J300" i="32"/>
  <c r="L300" i="32" s="1"/>
  <c r="O300" i="32" s="1"/>
  <c r="J76" i="32"/>
  <c r="L76" i="32" s="1"/>
  <c r="N76" i="32" s="1"/>
  <c r="J276" i="32"/>
  <c r="L276" i="32" s="1"/>
  <c r="N276" i="32" s="1"/>
  <c r="J243" i="32"/>
  <c r="L243" i="32" s="1"/>
  <c r="O243" i="32" s="1"/>
  <c r="J236" i="32"/>
  <c r="L236" i="32" s="1"/>
  <c r="N236" i="32" s="1"/>
  <c r="J288" i="32"/>
  <c r="L288" i="32" s="1"/>
  <c r="N288" i="32" s="1"/>
  <c r="J70" i="32"/>
  <c r="L70" i="32" s="1"/>
  <c r="N70" i="32" s="1"/>
  <c r="J179" i="32"/>
  <c r="L179" i="32" s="1"/>
  <c r="M179" i="32" s="1"/>
  <c r="J38" i="32"/>
  <c r="L38" i="32" s="1"/>
  <c r="M38" i="32" s="1"/>
  <c r="J163" i="32"/>
  <c r="L163" i="32" s="1"/>
  <c r="M163" i="32" s="1"/>
  <c r="J135" i="32"/>
  <c r="L135" i="32" s="1"/>
  <c r="N135" i="32" s="1"/>
  <c r="J95" i="32"/>
  <c r="L95" i="32" s="1"/>
  <c r="S95" i="32" s="1"/>
  <c r="J143" i="32"/>
  <c r="L143" i="32" s="1"/>
  <c r="O143" i="32" s="1"/>
  <c r="J132" i="32"/>
  <c r="L132" i="32" s="1"/>
  <c r="O132" i="32" s="1"/>
  <c r="J210" i="32"/>
  <c r="L210" i="32" s="1"/>
  <c r="M210" i="32" s="1"/>
  <c r="J146" i="32"/>
  <c r="L146" i="32" s="1"/>
  <c r="S146" i="32" s="1"/>
  <c r="J128" i="32"/>
  <c r="L128" i="32" s="1"/>
  <c r="O128" i="32" s="1"/>
  <c r="J187" i="32"/>
  <c r="L187" i="32" s="1"/>
  <c r="S187" i="32" s="1"/>
  <c r="J190" i="32"/>
  <c r="L190" i="32" s="1"/>
  <c r="O190" i="32" s="1"/>
  <c r="J253" i="32"/>
  <c r="L253" i="32" s="1"/>
  <c r="M253" i="32" s="1"/>
  <c r="J308" i="32"/>
  <c r="L308" i="32" s="1"/>
  <c r="N308" i="32" s="1"/>
  <c r="J40" i="32"/>
  <c r="L40" i="32" s="1"/>
  <c r="M40" i="32" s="1"/>
  <c r="J262" i="32"/>
  <c r="L262" i="32" s="1"/>
  <c r="O262" i="32" s="1"/>
  <c r="J224" i="32"/>
  <c r="L224" i="32" s="1"/>
  <c r="N224" i="32" s="1"/>
  <c r="J289" i="32"/>
  <c r="L289" i="32" s="1"/>
  <c r="M289" i="32" s="1"/>
  <c r="J100" i="32"/>
  <c r="L100" i="32" s="1"/>
  <c r="N100" i="32" s="1"/>
  <c r="J185" i="32"/>
  <c r="L185" i="32" s="1"/>
  <c r="M185" i="32" s="1"/>
  <c r="J136" i="32"/>
  <c r="L136" i="32" s="1"/>
  <c r="M136" i="32" s="1"/>
  <c r="J83" i="32"/>
  <c r="L83" i="32" s="1"/>
  <c r="S83" i="32" s="1"/>
  <c r="J284" i="32"/>
  <c r="L284" i="32" s="1"/>
  <c r="M284" i="32" s="1"/>
  <c r="J105" i="32"/>
  <c r="L105" i="32" s="1"/>
  <c r="M105" i="32" s="1"/>
  <c r="J218" i="32"/>
  <c r="L218" i="32" s="1"/>
  <c r="N218" i="32" s="1"/>
  <c r="J46" i="32"/>
  <c r="L46" i="32" s="1"/>
  <c r="M46" i="32" s="1"/>
  <c r="J205" i="32"/>
  <c r="L205" i="32" s="1"/>
  <c r="O205" i="32" s="1"/>
  <c r="J192" i="32"/>
  <c r="L192" i="32" s="1"/>
  <c r="O192" i="32" s="1"/>
  <c r="J159" i="32"/>
  <c r="L159" i="32" s="1"/>
  <c r="M159" i="32" s="1"/>
  <c r="J114" i="32"/>
  <c r="L114" i="32" s="1"/>
  <c r="M114" i="32" s="1"/>
  <c r="J84" i="32"/>
  <c r="L84" i="32" s="1"/>
  <c r="M84" i="32" s="1"/>
  <c r="J270" i="32"/>
  <c r="L270" i="32" s="1"/>
  <c r="O270" i="32" s="1"/>
  <c r="J61" i="32"/>
  <c r="L61" i="32" s="1"/>
  <c r="O61" i="32" s="1"/>
  <c r="J59" i="32"/>
  <c r="L59" i="32" s="1"/>
  <c r="M59" i="32" s="1"/>
  <c r="J74" i="32"/>
  <c r="L74" i="32" s="1"/>
  <c r="N74" i="32" s="1"/>
  <c r="J39" i="32"/>
  <c r="L39" i="32" s="1"/>
  <c r="S39" i="32" s="1"/>
  <c r="J160" i="32"/>
  <c r="L160" i="32" s="1"/>
  <c r="M160" i="32" s="1"/>
  <c r="J169" i="32"/>
  <c r="L169" i="32" s="1"/>
  <c r="O169" i="32" s="1"/>
  <c r="J68" i="32"/>
  <c r="L68" i="32" s="1"/>
  <c r="M68" i="32" s="1"/>
  <c r="J85" i="32"/>
  <c r="L85" i="32" s="1"/>
  <c r="N85" i="32" s="1"/>
  <c r="J119" i="32"/>
  <c r="L119" i="32" s="1"/>
  <c r="S119" i="32" s="1"/>
  <c r="J269" i="32"/>
  <c r="L269" i="32" s="1"/>
  <c r="N269" i="32" s="1"/>
  <c r="J149" i="32"/>
  <c r="L149" i="32" s="1"/>
  <c r="S149" i="32" s="1"/>
  <c r="J222" i="32"/>
  <c r="L222" i="32" s="1"/>
  <c r="M222" i="32" s="1"/>
  <c r="J193" i="32"/>
  <c r="L193" i="32" s="1"/>
  <c r="O193" i="32" s="1"/>
  <c r="J153" i="32"/>
  <c r="L153" i="32" s="1"/>
  <c r="S153" i="32" s="1"/>
  <c r="J110" i="32"/>
  <c r="L110" i="32" s="1"/>
  <c r="O110" i="32" s="1"/>
  <c r="J258" i="32"/>
  <c r="L258" i="32" s="1"/>
  <c r="N258" i="32" s="1"/>
  <c r="J107" i="32"/>
  <c r="L107" i="32" s="1"/>
  <c r="O107" i="32" s="1"/>
  <c r="J93" i="32"/>
  <c r="L93" i="32" s="1"/>
  <c r="S93" i="32" s="1"/>
  <c r="J86" i="32"/>
  <c r="L86" i="32" s="1"/>
  <c r="S86" i="32" s="1"/>
  <c r="J198" i="32"/>
  <c r="L198" i="32" s="1"/>
  <c r="S198" i="32" s="1"/>
  <c r="J174" i="32"/>
  <c r="L174" i="32" s="1"/>
  <c r="N174" i="32" s="1"/>
  <c r="J117" i="32"/>
  <c r="L117" i="32" s="1"/>
  <c r="S117" i="32" s="1"/>
  <c r="J113" i="32"/>
  <c r="L113" i="32" s="1"/>
  <c r="S113" i="32" s="1"/>
  <c r="J82" i="32"/>
  <c r="L82" i="32" s="1"/>
  <c r="N82" i="32" s="1"/>
  <c r="J178" i="32"/>
  <c r="L178" i="32" s="1"/>
  <c r="M178" i="32" s="1"/>
  <c r="J191" i="32"/>
  <c r="L191" i="32" s="1"/>
  <c r="N191" i="32" s="1"/>
  <c r="J47" i="32"/>
  <c r="L47" i="32" s="1"/>
  <c r="O47" i="32" s="1"/>
  <c r="J116" i="32"/>
  <c r="L116" i="32" s="1"/>
  <c r="S116" i="32" s="1"/>
  <c r="J126" i="32"/>
  <c r="L126" i="32" s="1"/>
  <c r="M126" i="32" s="1"/>
  <c r="J282" i="32"/>
  <c r="L282" i="32" s="1"/>
  <c r="N282" i="32" s="1"/>
  <c r="J29" i="32"/>
  <c r="L29" i="32" s="1"/>
  <c r="O29" i="32" s="1"/>
  <c r="J60" i="32"/>
  <c r="L60" i="32" s="1"/>
  <c r="S60" i="32" s="1"/>
  <c r="J223" i="32"/>
  <c r="L223" i="32" s="1"/>
  <c r="S223" i="32" s="1"/>
  <c r="J295" i="32"/>
  <c r="L295" i="32" s="1"/>
  <c r="S295" i="32" s="1"/>
  <c r="J71" i="32"/>
  <c r="L71" i="32" s="1"/>
  <c r="O71" i="32" s="1"/>
  <c r="J194" i="32"/>
  <c r="L194" i="32" s="1"/>
  <c r="M194" i="32" s="1"/>
  <c r="J97" i="32"/>
  <c r="L97" i="32" s="1"/>
  <c r="O97" i="32" s="1"/>
  <c r="J273" i="32"/>
  <c r="L273" i="32" s="1"/>
  <c r="N273" i="32" s="1"/>
  <c r="J247" i="32"/>
  <c r="L247" i="32" s="1"/>
  <c r="M247" i="32" s="1"/>
  <c r="J118" i="32"/>
  <c r="L118" i="32" s="1"/>
  <c r="O118" i="32" s="1"/>
  <c r="J35" i="32"/>
  <c r="L35" i="32" s="1"/>
  <c r="O35" i="32" s="1"/>
  <c r="J307" i="32"/>
  <c r="L307" i="32" s="1"/>
  <c r="M307" i="32" s="1"/>
  <c r="J297" i="32"/>
  <c r="L297" i="32" s="1"/>
  <c r="M297" i="32" s="1"/>
  <c r="J189" i="32"/>
  <c r="L189" i="32" s="1"/>
  <c r="S189" i="32" s="1"/>
  <c r="J303" i="32"/>
  <c r="L303" i="32" s="1"/>
  <c r="O303" i="32" s="1"/>
  <c r="J164" i="32"/>
  <c r="L164" i="32" s="1"/>
  <c r="M164" i="32" s="1"/>
  <c r="J173" i="32"/>
  <c r="L173" i="32" s="1"/>
  <c r="M173" i="32" s="1"/>
  <c r="J32" i="32"/>
  <c r="L32" i="32" s="1"/>
  <c r="M32" i="32" s="1"/>
  <c r="J229" i="32"/>
  <c r="L229" i="32" s="1"/>
  <c r="O229" i="32" s="1"/>
  <c r="J306" i="32"/>
  <c r="L306" i="32" s="1"/>
  <c r="S306" i="32" s="1"/>
  <c r="J131" i="32"/>
  <c r="L131" i="32" s="1"/>
  <c r="O131" i="32" s="1"/>
  <c r="J271" i="32"/>
  <c r="L271" i="32" s="1"/>
  <c r="O271" i="32" s="1"/>
  <c r="J277" i="32"/>
  <c r="L277" i="32" s="1"/>
  <c r="M277" i="32" s="1"/>
  <c r="J251" i="32"/>
  <c r="L251" i="32" s="1"/>
  <c r="O251" i="32" s="1"/>
  <c r="J234" i="32"/>
  <c r="L234" i="32" s="1"/>
  <c r="N234" i="32" s="1"/>
  <c r="J72" i="32"/>
  <c r="L72" i="32" s="1"/>
  <c r="N72" i="32" s="1"/>
  <c r="J203" i="32"/>
  <c r="L203" i="32" s="1"/>
  <c r="N203" i="32" s="1"/>
  <c r="J246" i="32"/>
  <c r="L246" i="32" s="1"/>
  <c r="M246" i="32" s="1"/>
  <c r="J230" i="32"/>
  <c r="L230" i="32" s="1"/>
  <c r="M230" i="32" s="1"/>
  <c r="J299" i="32"/>
  <c r="L299" i="32" s="1"/>
  <c r="M299" i="32" s="1"/>
  <c r="J197" i="32"/>
  <c r="L197" i="32" s="1"/>
  <c r="M197" i="32" s="1"/>
  <c r="J257" i="32"/>
  <c r="L257" i="32" s="1"/>
  <c r="S257" i="32" s="1"/>
  <c r="J43" i="32"/>
  <c r="L43" i="32" s="1"/>
  <c r="M43" i="32" s="1"/>
  <c r="J56" i="32"/>
  <c r="L56" i="32" s="1"/>
  <c r="N56" i="32" s="1"/>
  <c r="J237" i="32"/>
  <c r="L237" i="32" s="1"/>
  <c r="O237" i="32" s="1"/>
  <c r="J94" i="32"/>
  <c r="L94" i="32" s="1"/>
  <c r="S94" i="32" s="1"/>
  <c r="J252" i="32"/>
  <c r="L252" i="32" s="1"/>
  <c r="S252" i="32" s="1"/>
  <c r="J103" i="32"/>
  <c r="L103" i="32" s="1"/>
  <c r="N103" i="32" s="1"/>
  <c r="J259" i="32"/>
  <c r="L259" i="32" s="1"/>
  <c r="O259" i="32" s="1"/>
  <c r="J170" i="32"/>
  <c r="L170" i="32" s="1"/>
  <c r="S170" i="32" s="1"/>
  <c r="J176" i="32"/>
  <c r="L176" i="32" s="1"/>
  <c r="M176" i="32" s="1"/>
  <c r="J272" i="32"/>
  <c r="L272" i="32" s="1"/>
  <c r="M272" i="32" s="1"/>
  <c r="J67" i="32"/>
  <c r="L67" i="32" s="1"/>
  <c r="O67" i="32" s="1"/>
  <c r="J127" i="32"/>
  <c r="L127" i="32" s="1"/>
  <c r="O127" i="32" s="1"/>
  <c r="J214" i="32"/>
  <c r="L214" i="32" s="1"/>
  <c r="M214" i="32" s="1"/>
  <c r="J98" i="32"/>
  <c r="L98" i="32" s="1"/>
  <c r="O98" i="32" s="1"/>
  <c r="J212" i="32"/>
  <c r="L212" i="32" s="1"/>
  <c r="O212" i="32" s="1"/>
  <c r="J148" i="32"/>
  <c r="L148" i="32" s="1"/>
  <c r="S148" i="32" s="1"/>
  <c r="J28" i="32"/>
  <c r="L28" i="32" s="1"/>
  <c r="S28" i="32" s="1"/>
  <c r="J30" i="32"/>
  <c r="L30" i="32" s="1"/>
  <c r="N30" i="32" s="1"/>
  <c r="J290" i="32"/>
  <c r="L290" i="32" s="1"/>
  <c r="S290" i="32" s="1"/>
  <c r="J231" i="32"/>
  <c r="L231" i="32" s="1"/>
  <c r="O231" i="32" s="1"/>
  <c r="J124" i="32"/>
  <c r="L124" i="32" s="1"/>
  <c r="M124" i="32" s="1"/>
  <c r="J264" i="32"/>
  <c r="L264" i="32" s="1"/>
  <c r="M264" i="32" s="1"/>
  <c r="J106" i="32"/>
  <c r="L106" i="32" s="1"/>
  <c r="S106" i="32" s="1"/>
  <c r="J285" i="32"/>
  <c r="L285" i="32" s="1"/>
  <c r="S285" i="32" s="1"/>
  <c r="J151" i="32"/>
  <c r="L151" i="32" s="1"/>
  <c r="N151" i="32" s="1"/>
  <c r="J69" i="32"/>
  <c r="L69" i="32" s="1"/>
  <c r="M69" i="32" s="1"/>
  <c r="J112" i="32"/>
  <c r="L112" i="32" s="1"/>
  <c r="M112" i="32" s="1"/>
  <c r="J152" i="32"/>
  <c r="L152" i="32" s="1"/>
  <c r="M152" i="32" s="1"/>
  <c r="J150" i="32"/>
  <c r="L150" i="32" s="1"/>
  <c r="N150" i="32" s="1"/>
  <c r="J62" i="32"/>
  <c r="L62" i="32" s="1"/>
  <c r="S62" i="32" s="1"/>
  <c r="J54" i="32"/>
  <c r="L54" i="32" s="1"/>
  <c r="N54" i="32" s="1"/>
  <c r="S327" i="16"/>
  <c r="AE327" i="16" s="1"/>
  <c r="M327" i="16"/>
  <c r="N327" i="16"/>
  <c r="S369" i="16"/>
  <c r="AE369" i="16" s="1"/>
  <c r="O369" i="16"/>
  <c r="M369" i="16"/>
  <c r="N369" i="16"/>
  <c r="S350" i="16"/>
  <c r="AE350" i="16" s="1"/>
  <c r="N257" i="16"/>
  <c r="N195" i="16"/>
  <c r="O195" i="16"/>
  <c r="M135" i="16"/>
  <c r="N112" i="16"/>
  <c r="S107" i="16"/>
  <c r="AE107" i="16" s="1"/>
  <c r="O225" i="16"/>
  <c r="N261" i="16"/>
  <c r="N160" i="16"/>
  <c r="S219" i="16"/>
  <c r="AE219" i="16" s="1"/>
  <c r="O219" i="16"/>
  <c r="N219" i="16"/>
  <c r="M219" i="16"/>
  <c r="M208" i="16"/>
  <c r="C36" i="7"/>
  <c r="N208" i="16" l="1"/>
  <c r="O292" i="16"/>
  <c r="O162" i="16"/>
  <c r="O147" i="16"/>
  <c r="S162" i="16"/>
  <c r="AE162" i="16" s="1"/>
  <c r="M175" i="16"/>
  <c r="N188" i="16"/>
  <c r="N121" i="33"/>
  <c r="N129" i="33"/>
  <c r="N137" i="33"/>
  <c r="N145" i="33"/>
  <c r="N153" i="33"/>
  <c r="N122" i="33"/>
  <c r="N130" i="33"/>
  <c r="N138" i="33"/>
  <c r="N146" i="33"/>
  <c r="N117" i="33"/>
  <c r="N123" i="33"/>
  <c r="N131" i="33"/>
  <c r="N139" i="33"/>
  <c r="N147" i="33"/>
  <c r="N124" i="33"/>
  <c r="N135" i="33"/>
  <c r="N149" i="33"/>
  <c r="N125" i="33"/>
  <c r="N136" i="33"/>
  <c r="N150" i="33"/>
  <c r="N126" i="33"/>
  <c r="N140" i="33"/>
  <c r="N151" i="33"/>
  <c r="N127" i="33"/>
  <c r="N141" i="33"/>
  <c r="N152" i="33"/>
  <c r="N128" i="33"/>
  <c r="N142" i="33"/>
  <c r="N118" i="33"/>
  <c r="N132" i="33"/>
  <c r="N143" i="33"/>
  <c r="N65" i="33"/>
  <c r="N119" i="33"/>
  <c r="N133" i="33"/>
  <c r="N148" i="33"/>
  <c r="N120" i="33"/>
  <c r="N134" i="33"/>
  <c r="N144" i="33"/>
  <c r="M147" i="16"/>
  <c r="AD147" i="16" s="1"/>
  <c r="N147" i="16"/>
  <c r="M188" i="16"/>
  <c r="AD188" i="16" s="1"/>
  <c r="O164" i="16"/>
  <c r="O188" i="16"/>
  <c r="N292" i="16"/>
  <c r="S210" i="16"/>
  <c r="AE210" i="16" s="1"/>
  <c r="O167" i="16"/>
  <c r="O218" i="16"/>
  <c r="O264" i="16"/>
  <c r="S303" i="16"/>
  <c r="AE303" i="16" s="1"/>
  <c r="N357" i="16"/>
  <c r="O127" i="16"/>
  <c r="N281" i="16"/>
  <c r="O175" i="16"/>
  <c r="S281" i="16"/>
  <c r="AE281" i="16" s="1"/>
  <c r="S87" i="16"/>
  <c r="AE87" i="16" s="1"/>
  <c r="S175" i="16"/>
  <c r="AE175" i="16" s="1"/>
  <c r="O281" i="16"/>
  <c r="S298" i="16"/>
  <c r="AE298" i="16" s="1"/>
  <c r="M321" i="16"/>
  <c r="Y321" i="16" s="1"/>
  <c r="Z321" i="16" s="1"/>
  <c r="M357" i="16"/>
  <c r="AD357" i="16" s="1"/>
  <c r="S157" i="16"/>
  <c r="AE157" i="16" s="1"/>
  <c r="M282" i="16"/>
  <c r="AD282" i="16" s="1"/>
  <c r="S357" i="16"/>
  <c r="AE357" i="16" s="1"/>
  <c r="O107" i="16"/>
  <c r="M186" i="16"/>
  <c r="AD186" i="16" s="1"/>
  <c r="N117" i="16"/>
  <c r="M300" i="16"/>
  <c r="Y300" i="16" s="1"/>
  <c r="Z300" i="16" s="1"/>
  <c r="N300" i="16"/>
  <c r="O243" i="16"/>
  <c r="N255" i="16"/>
  <c r="S243" i="16"/>
  <c r="AE243" i="16" s="1"/>
  <c r="O305" i="16"/>
  <c r="S300" i="16"/>
  <c r="V300" i="16" s="1"/>
  <c r="S305" i="16"/>
  <c r="V305" i="16" s="1"/>
  <c r="O240" i="16"/>
  <c r="M240" i="16"/>
  <c r="Y240" i="16" s="1"/>
  <c r="Z240" i="16" s="1"/>
  <c r="O278" i="16"/>
  <c r="O227" i="16"/>
  <c r="N156" i="16"/>
  <c r="S278" i="16"/>
  <c r="V278" i="16" s="1"/>
  <c r="M189" i="16"/>
  <c r="AC189" i="16" s="1"/>
  <c r="AI189" i="16" s="1"/>
  <c r="N227" i="16"/>
  <c r="N297" i="16"/>
  <c r="M267" i="16"/>
  <c r="Y267" i="16" s="1"/>
  <c r="Z267" i="16" s="1"/>
  <c r="M278" i="16"/>
  <c r="AP93" i="16" s="1"/>
  <c r="M197" i="16"/>
  <c r="Y197" i="16" s="1"/>
  <c r="Z197" i="16" s="1"/>
  <c r="S189" i="16"/>
  <c r="AE189" i="16" s="1"/>
  <c r="S117" i="16"/>
  <c r="AA117" i="16" s="1"/>
  <c r="AB117" i="16" s="1"/>
  <c r="O213" i="16"/>
  <c r="O189" i="16"/>
  <c r="M227" i="16"/>
  <c r="Y227" i="16" s="1"/>
  <c r="Z227" i="16" s="1"/>
  <c r="S90" i="16"/>
  <c r="AE90" i="16" s="1"/>
  <c r="S297" i="16"/>
  <c r="AE297" i="16" s="1"/>
  <c r="M178" i="16"/>
  <c r="AD178" i="16" s="1"/>
  <c r="N267" i="16"/>
  <c r="M255" i="16"/>
  <c r="Y255" i="16" s="1"/>
  <c r="Z255" i="16" s="1"/>
  <c r="O117" i="16"/>
  <c r="N178" i="16"/>
  <c r="N321" i="16"/>
  <c r="M146" i="16"/>
  <c r="AC146" i="16" s="1"/>
  <c r="AI146" i="16" s="1"/>
  <c r="N68" i="32"/>
  <c r="M51" i="32"/>
  <c r="Z51" i="32" s="1"/>
  <c r="AA51" i="32" s="1"/>
  <c r="S252" i="16"/>
  <c r="AE252" i="16" s="1"/>
  <c r="N328" i="16"/>
  <c r="M252" i="16"/>
  <c r="AC252" i="16" s="1"/>
  <c r="AI252" i="16" s="1"/>
  <c r="M328" i="16"/>
  <c r="AD328" i="16" s="1"/>
  <c r="N252" i="16"/>
  <c r="O293" i="16"/>
  <c r="O328" i="16"/>
  <c r="O208" i="16"/>
  <c r="M297" i="16"/>
  <c r="AC297" i="16" s="1"/>
  <c r="AI297" i="16" s="1"/>
  <c r="S195" i="16"/>
  <c r="M279" i="16"/>
  <c r="AP94" i="16" s="1"/>
  <c r="S127" i="16"/>
  <c r="AA127" i="16" s="1"/>
  <c r="AB127" i="16" s="1"/>
  <c r="S160" i="16"/>
  <c r="AE160" i="16" s="1"/>
  <c r="S99" i="16"/>
  <c r="AE99" i="16" s="1"/>
  <c r="M205" i="16"/>
  <c r="AC205" i="16" s="1"/>
  <c r="AI205" i="16" s="1"/>
  <c r="S264" i="16"/>
  <c r="AE264" i="16" s="1"/>
  <c r="S321" i="16"/>
  <c r="AE321" i="16" s="1"/>
  <c r="M335" i="16"/>
  <c r="AC335" i="16" s="1"/>
  <c r="AI335" i="16" s="1"/>
  <c r="S255" i="16"/>
  <c r="M127" i="16"/>
  <c r="Y127" i="16" s="1"/>
  <c r="Z127" i="16" s="1"/>
  <c r="O160" i="16"/>
  <c r="O99" i="16"/>
  <c r="S205" i="16"/>
  <c r="N264" i="16"/>
  <c r="N335" i="16"/>
  <c r="M144" i="16"/>
  <c r="Y144" i="16" s="1"/>
  <c r="Z144" i="16" s="1"/>
  <c r="N99" i="16"/>
  <c r="O205" i="16"/>
  <c r="M306" i="16"/>
  <c r="AD306" i="16" s="1"/>
  <c r="O335" i="16"/>
  <c r="N244" i="16"/>
  <c r="S144" i="16"/>
  <c r="S288" i="16"/>
  <c r="N306" i="16"/>
  <c r="O144" i="16"/>
  <c r="N288" i="16"/>
  <c r="N218" i="16"/>
  <c r="N184" i="16"/>
  <c r="O306" i="16"/>
  <c r="N350" i="16"/>
  <c r="O308" i="32"/>
  <c r="M243" i="16"/>
  <c r="Y243" i="16" s="1"/>
  <c r="Z243" i="16" s="1"/>
  <c r="M288" i="16"/>
  <c r="Y288" i="16" s="1"/>
  <c r="Z288" i="16" s="1"/>
  <c r="M218" i="16"/>
  <c r="Y218" i="16" s="1"/>
  <c r="Z218" i="16" s="1"/>
  <c r="M305" i="16"/>
  <c r="AC305" i="16" s="1"/>
  <c r="AI305" i="16" s="1"/>
  <c r="O267" i="16"/>
  <c r="O350" i="16"/>
  <c r="O256" i="32"/>
  <c r="M147" i="32"/>
  <c r="AD147" i="32" s="1"/>
  <c r="AJ147" i="32" s="1"/>
  <c r="O139" i="32"/>
  <c r="N104" i="32"/>
  <c r="N263" i="32"/>
  <c r="M31" i="32"/>
  <c r="AE31" i="32" s="1"/>
  <c r="M222" i="16"/>
  <c r="Y222" i="16" s="1"/>
  <c r="Z222" i="16" s="1"/>
  <c r="M99" i="32"/>
  <c r="AD99" i="32" s="1"/>
  <c r="AJ99" i="32" s="1"/>
  <c r="N206" i="16"/>
  <c r="S31" i="32"/>
  <c r="AB31" i="32" s="1"/>
  <c r="AC31" i="32" s="1"/>
  <c r="O92" i="16"/>
  <c r="N99" i="32"/>
  <c r="O184" i="16"/>
  <c r="M140" i="32"/>
  <c r="Z140" i="32" s="1"/>
  <c r="AA140" i="32" s="1"/>
  <c r="S215" i="32"/>
  <c r="V215" i="32" s="1"/>
  <c r="X215" i="32" s="1"/>
  <c r="Y215" i="32" s="1"/>
  <c r="N140" i="32"/>
  <c r="S104" i="32"/>
  <c r="V104" i="32" s="1"/>
  <c r="X104" i="32" s="1"/>
  <c r="Y104" i="32" s="1"/>
  <c r="S244" i="16"/>
  <c r="AE244" i="16" s="1"/>
  <c r="S140" i="32"/>
  <c r="AB140" i="32" s="1"/>
  <c r="AC140" i="32" s="1"/>
  <c r="N31" i="32"/>
  <c r="O279" i="16"/>
  <c r="S358" i="16"/>
  <c r="M263" i="32"/>
  <c r="Z263" i="32" s="1"/>
  <c r="AA263" i="32" s="1"/>
  <c r="O215" i="32"/>
  <c r="O142" i="32"/>
  <c r="S265" i="16"/>
  <c r="AE265" i="16" s="1"/>
  <c r="M177" i="16"/>
  <c r="Y177" i="16" s="1"/>
  <c r="Z177" i="16" s="1"/>
  <c r="O84" i="16"/>
  <c r="M142" i="32"/>
  <c r="AD142" i="32" s="1"/>
  <c r="AJ142" i="32" s="1"/>
  <c r="O175" i="32"/>
  <c r="M265" i="16"/>
  <c r="Y265" i="16" s="1"/>
  <c r="Z265" i="16" s="1"/>
  <c r="O296" i="32"/>
  <c r="O102" i="32"/>
  <c r="O265" i="16"/>
  <c r="M296" i="32"/>
  <c r="Z296" i="32" s="1"/>
  <c r="AA296" i="32" s="1"/>
  <c r="M102" i="32"/>
  <c r="AE102" i="32" s="1"/>
  <c r="S223" i="16"/>
  <c r="O245" i="16"/>
  <c r="S158" i="16"/>
  <c r="AE158" i="16" s="1"/>
  <c r="M174" i="16"/>
  <c r="AD174" i="16" s="1"/>
  <c r="S101" i="16"/>
  <c r="AA101" i="16" s="1"/>
  <c r="AB101" i="16" s="1"/>
  <c r="N326" i="16"/>
  <c r="M272" i="16"/>
  <c r="AP87" i="16" s="1"/>
  <c r="S174" i="16"/>
  <c r="N101" i="16"/>
  <c r="S144" i="32"/>
  <c r="AB144" i="32" s="1"/>
  <c r="AC144" i="32" s="1"/>
  <c r="M85" i="16"/>
  <c r="Y85" i="16" s="1"/>
  <c r="Z85" i="16" s="1"/>
  <c r="M101" i="16"/>
  <c r="AC101" i="16" s="1"/>
  <c r="AI101" i="16" s="1"/>
  <c r="O155" i="16"/>
  <c r="M348" i="16"/>
  <c r="Y348" i="16" s="1"/>
  <c r="Z348" i="16" s="1"/>
  <c r="S152" i="16"/>
  <c r="AA152" i="16" s="1"/>
  <c r="AB152" i="16" s="1"/>
  <c r="M244" i="16"/>
  <c r="Y244" i="16" s="1"/>
  <c r="Z244" i="16" s="1"/>
  <c r="S279" i="16"/>
  <c r="N115" i="16"/>
  <c r="O177" i="16"/>
  <c r="O184" i="32"/>
  <c r="M140" i="16"/>
  <c r="Y140" i="16" s="1"/>
  <c r="Z140" i="16" s="1"/>
  <c r="O140" i="16"/>
  <c r="O207" i="16"/>
  <c r="M310" i="32"/>
  <c r="Z310" i="32" s="1"/>
  <c r="AA310" i="32" s="1"/>
  <c r="O222" i="16"/>
  <c r="O206" i="16"/>
  <c r="M206" i="32"/>
  <c r="AD206" i="32" s="1"/>
  <c r="AJ206" i="32" s="1"/>
  <c r="S92" i="16"/>
  <c r="Z5" i="6"/>
  <c r="O204" i="16"/>
  <c r="M207" i="16"/>
  <c r="Y207" i="16" s="1"/>
  <c r="Z207" i="16" s="1"/>
  <c r="O113" i="16"/>
  <c r="N118" i="16"/>
  <c r="N113" i="16"/>
  <c r="N207" i="16"/>
  <c r="N136" i="16"/>
  <c r="M345" i="16"/>
  <c r="Y345" i="16" s="1"/>
  <c r="Z345" i="16" s="1"/>
  <c r="S118" i="16"/>
  <c r="AE118" i="16" s="1"/>
  <c r="S113" i="16"/>
  <c r="M136" i="16"/>
  <c r="Y136" i="16" s="1"/>
  <c r="Z136" i="16" s="1"/>
  <c r="S345" i="16"/>
  <c r="S136" i="16"/>
  <c r="O229" i="16"/>
  <c r="M247" i="16"/>
  <c r="AD247" i="16" s="1"/>
  <c r="S141" i="16"/>
  <c r="S190" i="16"/>
  <c r="N216" i="16"/>
  <c r="O331" i="16"/>
  <c r="O137" i="16"/>
  <c r="S140" i="16"/>
  <c r="AE140" i="16" s="1"/>
  <c r="M103" i="16"/>
  <c r="Y103" i="16" s="1"/>
  <c r="Z103" i="16" s="1"/>
  <c r="N217" i="16"/>
  <c r="M309" i="16"/>
  <c r="AD309" i="16" s="1"/>
  <c r="S356" i="16"/>
  <c r="M118" i="16"/>
  <c r="Y118" i="16" s="1"/>
  <c r="Z118" i="16" s="1"/>
  <c r="M92" i="16"/>
  <c r="Y92" i="16" s="1"/>
  <c r="Z92" i="16" s="1"/>
  <c r="M216" i="16"/>
  <c r="AD216" i="16" s="1"/>
  <c r="M206" i="16"/>
  <c r="Y206" i="16" s="1"/>
  <c r="Z206" i="16" s="1"/>
  <c r="S230" i="16"/>
  <c r="S312" i="16"/>
  <c r="O142" i="16"/>
  <c r="N237" i="16"/>
  <c r="N345" i="16"/>
  <c r="S222" i="16"/>
  <c r="N163" i="32"/>
  <c r="M217" i="16"/>
  <c r="Y217" i="16" s="1"/>
  <c r="Z217" i="16" s="1"/>
  <c r="N247" i="16"/>
  <c r="M204" i="16"/>
  <c r="Y204" i="16" s="1"/>
  <c r="Z204" i="16" s="1"/>
  <c r="N229" i="16"/>
  <c r="S276" i="16"/>
  <c r="O324" i="16"/>
  <c r="N343" i="16"/>
  <c r="M45" i="32"/>
  <c r="Z45" i="32" s="1"/>
  <c r="AA45" i="32" s="1"/>
  <c r="S45" i="32"/>
  <c r="V45" i="32" s="1"/>
  <c r="X45" i="32" s="1"/>
  <c r="Y45" i="32" s="1"/>
  <c r="O162" i="32"/>
  <c r="N182" i="16"/>
  <c r="N290" i="16"/>
  <c r="O91" i="16"/>
  <c r="S204" i="16"/>
  <c r="S229" i="16"/>
  <c r="M276" i="16"/>
  <c r="AP91" i="16" s="1"/>
  <c r="M324" i="16"/>
  <c r="AC324" i="16" s="1"/>
  <c r="AI324" i="16" s="1"/>
  <c r="O356" i="16"/>
  <c r="N353" i="16"/>
  <c r="O234" i="32"/>
  <c r="M86" i="32"/>
  <c r="AD86" i="32" s="1"/>
  <c r="AJ86" i="32" s="1"/>
  <c r="N45" i="32"/>
  <c r="S182" i="16"/>
  <c r="O194" i="16"/>
  <c r="O275" i="16"/>
  <c r="O290" i="16"/>
  <c r="N91" i="16"/>
  <c r="M238" i="16"/>
  <c r="AC238" i="16" s="1"/>
  <c r="AI238" i="16" s="1"/>
  <c r="N276" i="16"/>
  <c r="S324" i="16"/>
  <c r="N356" i="16"/>
  <c r="M353" i="16"/>
  <c r="AD353" i="16" s="1"/>
  <c r="N86" i="32"/>
  <c r="M29" i="32"/>
  <c r="Z29" i="32" s="1"/>
  <c r="AA29" i="32" s="1"/>
  <c r="O353" i="16"/>
  <c r="M182" i="16"/>
  <c r="AC182" i="16" s="1"/>
  <c r="AI182" i="16" s="1"/>
  <c r="N194" i="16"/>
  <c r="N275" i="16"/>
  <c r="M290" i="16"/>
  <c r="AC290" i="16" s="1"/>
  <c r="AI290" i="16" s="1"/>
  <c r="M91" i="16"/>
  <c r="Y91" i="16" s="1"/>
  <c r="Z91" i="16" s="1"/>
  <c r="O230" i="16"/>
  <c r="N238" i="16"/>
  <c r="M237" i="16"/>
  <c r="Y237" i="16" s="1"/>
  <c r="Z237" i="16" s="1"/>
  <c r="M193" i="32"/>
  <c r="AD193" i="32" s="1"/>
  <c r="AJ193" i="32" s="1"/>
  <c r="M275" i="16"/>
  <c r="AP90" i="16" s="1"/>
  <c r="S237" i="16"/>
  <c r="M271" i="16"/>
  <c r="AP86" i="16" s="1"/>
  <c r="M194" i="16"/>
  <c r="Y194" i="16" s="1"/>
  <c r="Z194" i="16" s="1"/>
  <c r="M230" i="16"/>
  <c r="Y230" i="16" s="1"/>
  <c r="Z230" i="16" s="1"/>
  <c r="O238" i="16"/>
  <c r="S309" i="16"/>
  <c r="O216" i="16"/>
  <c r="O312" i="16"/>
  <c r="N342" i="16"/>
  <c r="M166" i="32"/>
  <c r="AD166" i="32" s="1"/>
  <c r="AJ166" i="32" s="1"/>
  <c r="N291" i="16"/>
  <c r="O103" i="16"/>
  <c r="O309" i="16"/>
  <c r="S124" i="16"/>
  <c r="N126" i="16"/>
  <c r="O271" i="16"/>
  <c r="N190" i="16"/>
  <c r="M262" i="16"/>
  <c r="AD262" i="16" s="1"/>
  <c r="S248" i="16"/>
  <c r="M249" i="16"/>
  <c r="Y249" i="16" s="1"/>
  <c r="Z249" i="16" s="1"/>
  <c r="M368" i="16"/>
  <c r="AC368" i="16" s="1"/>
  <c r="AI368" i="16" s="1"/>
  <c r="S341" i="16"/>
  <c r="O171" i="16"/>
  <c r="O316" i="16"/>
  <c r="O217" i="16"/>
  <c r="N108" i="16"/>
  <c r="M235" i="16"/>
  <c r="Y235" i="16" s="1"/>
  <c r="Z235" i="16" s="1"/>
  <c r="M170" i="16"/>
  <c r="Y170" i="16" s="1"/>
  <c r="Z170" i="16" s="1"/>
  <c r="O173" i="16"/>
  <c r="N320" i="16"/>
  <c r="O92" i="32"/>
  <c r="S173" i="16"/>
  <c r="S108" i="16"/>
  <c r="N173" i="16"/>
  <c r="M320" i="16"/>
  <c r="AD320" i="16" s="1"/>
  <c r="M158" i="32"/>
  <c r="AE158" i="32" s="1"/>
  <c r="O222" i="32"/>
  <c r="S247" i="16"/>
  <c r="S235" i="16"/>
  <c r="M86" i="16"/>
  <c r="Y86" i="16" s="1"/>
  <c r="Z86" i="16" s="1"/>
  <c r="N202" i="16"/>
  <c r="M304" i="16"/>
  <c r="AD304" i="16" s="1"/>
  <c r="S277" i="16"/>
  <c r="S172" i="16"/>
  <c r="AE172" i="16" s="1"/>
  <c r="O104" i="16"/>
  <c r="S116" i="16"/>
  <c r="S320" i="16"/>
  <c r="O158" i="32"/>
  <c r="N178" i="32"/>
  <c r="M355" i="16"/>
  <c r="AD355" i="16" s="1"/>
  <c r="S104" i="16"/>
  <c r="M123" i="16"/>
  <c r="AC123" i="16" s="1"/>
  <c r="AI123" i="16" s="1"/>
  <c r="M148" i="16"/>
  <c r="Y148" i="16" s="1"/>
  <c r="Z148" i="16" s="1"/>
  <c r="O136" i="32"/>
  <c r="N66" i="32"/>
  <c r="N116" i="16"/>
  <c r="N283" i="16"/>
  <c r="O277" i="16"/>
  <c r="N224" i="16"/>
  <c r="N296" i="16"/>
  <c r="N251" i="16"/>
  <c r="N270" i="16"/>
  <c r="N239" i="16"/>
  <c r="O148" i="16"/>
  <c r="N368" i="16"/>
  <c r="O362" i="16"/>
  <c r="S136" i="32"/>
  <c r="V136" i="32" s="1"/>
  <c r="X136" i="32" s="1"/>
  <c r="Y136" i="32" s="1"/>
  <c r="N312" i="16"/>
  <c r="S171" i="16"/>
  <c r="M100" i="16"/>
  <c r="AD100" i="16" s="1"/>
  <c r="M277" i="16"/>
  <c r="AP92" i="16" s="1"/>
  <c r="S271" i="16"/>
  <c r="AA271" i="16" s="1"/>
  <c r="AB271" i="16" s="1"/>
  <c r="S228" i="16"/>
  <c r="M224" i="16"/>
  <c r="AC224" i="16" s="1"/>
  <c r="AI224" i="16" s="1"/>
  <c r="M190" i="16"/>
  <c r="AC190" i="16" s="1"/>
  <c r="AI190" i="16" s="1"/>
  <c r="S296" i="16"/>
  <c r="M93" i="16"/>
  <c r="Y93" i="16" s="1"/>
  <c r="Z93" i="16" s="1"/>
  <c r="S139" i="16"/>
  <c r="N212" i="16"/>
  <c r="O337" i="16"/>
  <c r="S368" i="16"/>
  <c r="O351" i="16"/>
  <c r="O363" i="16"/>
  <c r="M82" i="32"/>
  <c r="AE82" i="32" s="1"/>
  <c r="N172" i="16"/>
  <c r="O143" i="16"/>
  <c r="M228" i="16"/>
  <c r="Y228" i="16" s="1"/>
  <c r="Z228" i="16" s="1"/>
  <c r="S97" i="16"/>
  <c r="S262" i="16"/>
  <c r="O248" i="16"/>
  <c r="M259" i="16"/>
  <c r="AC259" i="16" s="1"/>
  <c r="AI259" i="16" s="1"/>
  <c r="N301" i="16"/>
  <c r="N337" i="16"/>
  <c r="S363" i="16"/>
  <c r="O303" i="16"/>
  <c r="S282" i="16"/>
  <c r="O149" i="16"/>
  <c r="N256" i="16"/>
  <c r="M250" i="16"/>
  <c r="AC250" i="16" s="1"/>
  <c r="AI250" i="16" s="1"/>
  <c r="O323" i="16"/>
  <c r="M123" i="32"/>
  <c r="AD123" i="32" s="1"/>
  <c r="AJ123" i="32" s="1"/>
  <c r="N250" i="16"/>
  <c r="N323" i="16"/>
  <c r="M200" i="32"/>
  <c r="AE200" i="32" s="1"/>
  <c r="S149" i="16"/>
  <c r="S256" i="16"/>
  <c r="O181" i="16"/>
  <c r="M149" i="16"/>
  <c r="AD149" i="16" s="1"/>
  <c r="O256" i="16"/>
  <c r="M193" i="16"/>
  <c r="Y193" i="16" s="1"/>
  <c r="Z193" i="16" s="1"/>
  <c r="S250" i="16"/>
  <c r="S323" i="16"/>
  <c r="N210" i="32"/>
  <c r="M270" i="32"/>
  <c r="AD270" i="32" s="1"/>
  <c r="AJ270" i="32" s="1"/>
  <c r="S276" i="32"/>
  <c r="AB276" i="32" s="1"/>
  <c r="AC276" i="32" s="1"/>
  <c r="N319" i="16"/>
  <c r="N315" i="16"/>
  <c r="M159" i="16"/>
  <c r="Y159" i="16" s="1"/>
  <c r="Z159" i="16" s="1"/>
  <c r="S193" i="16"/>
  <c r="N181" i="16"/>
  <c r="O319" i="16"/>
  <c r="N130" i="16"/>
  <c r="M287" i="16"/>
  <c r="AC287" i="16" s="1"/>
  <c r="AI287" i="16" s="1"/>
  <c r="M181" i="16"/>
  <c r="Y181" i="16" s="1"/>
  <c r="Z181" i="16" s="1"/>
  <c r="S319" i="16"/>
  <c r="S307" i="16"/>
  <c r="M315" i="16"/>
  <c r="AD315" i="16" s="1"/>
  <c r="N159" i="16"/>
  <c r="O193" i="16"/>
  <c r="O96" i="32"/>
  <c r="S315" i="16"/>
  <c r="M307" i="16"/>
  <c r="Y307" i="16" s="1"/>
  <c r="Z307" i="16" s="1"/>
  <c r="O130" i="16"/>
  <c r="O287" i="16"/>
  <c r="N307" i="16"/>
  <c r="O159" i="16"/>
  <c r="S194" i="32"/>
  <c r="V194" i="32" s="1"/>
  <c r="X194" i="32" s="1"/>
  <c r="Y194" i="32" s="1"/>
  <c r="N96" i="32"/>
  <c r="S272" i="32"/>
  <c r="V272" i="32" s="1"/>
  <c r="X272" i="32" s="1"/>
  <c r="Y272" i="32" s="1"/>
  <c r="N50" i="32"/>
  <c r="N287" i="16"/>
  <c r="N120" i="16"/>
  <c r="S130" i="16"/>
  <c r="M162" i="16"/>
  <c r="Y162" i="16" s="1"/>
  <c r="Z162" i="16" s="1"/>
  <c r="O210" i="16"/>
  <c r="S225" i="16"/>
  <c r="O120" i="16"/>
  <c r="N298" i="16"/>
  <c r="M157" i="16"/>
  <c r="AC157" i="16" s="1"/>
  <c r="AI157" i="16" s="1"/>
  <c r="O186" i="16"/>
  <c r="O365" i="16"/>
  <c r="O50" i="32"/>
  <c r="M303" i="16"/>
  <c r="AD303" i="16" s="1"/>
  <c r="N210" i="16"/>
  <c r="M225" i="16"/>
  <c r="AD225" i="16" s="1"/>
  <c r="O282" i="16"/>
  <c r="S120" i="16"/>
  <c r="O298" i="16"/>
  <c r="O157" i="16"/>
  <c r="S186" i="16"/>
  <c r="S365" i="16"/>
  <c r="N202" i="32"/>
  <c r="M202" i="16"/>
  <c r="Y202" i="16" s="1"/>
  <c r="Z202" i="16" s="1"/>
  <c r="S167" i="16"/>
  <c r="S224" i="16"/>
  <c r="O108" i="16"/>
  <c r="N97" i="16"/>
  <c r="N90" i="16"/>
  <c r="O262" i="16"/>
  <c r="O116" i="16"/>
  <c r="N240" i="16"/>
  <c r="S123" i="16"/>
  <c r="S178" i="16"/>
  <c r="M199" i="16"/>
  <c r="Y199" i="16" s="1"/>
  <c r="Z199" i="16" s="1"/>
  <c r="S148" i="16"/>
  <c r="M336" i="16"/>
  <c r="AC336" i="16" s="1"/>
  <c r="AI336" i="16" s="1"/>
  <c r="M364" i="16"/>
  <c r="AC364" i="16" s="1"/>
  <c r="AI364" i="16" s="1"/>
  <c r="O115" i="32"/>
  <c r="O66" i="32"/>
  <c r="N136" i="32"/>
  <c r="O63" i="32"/>
  <c r="S86" i="16"/>
  <c r="N211" i="16"/>
  <c r="S202" i="16"/>
  <c r="S253" i="16"/>
  <c r="S197" i="16"/>
  <c r="M97" i="16"/>
  <c r="Y97" i="16" s="1"/>
  <c r="Z97" i="16" s="1"/>
  <c r="O90" i="16"/>
  <c r="N123" i="16"/>
  <c r="S285" i="16"/>
  <c r="O259" i="16"/>
  <c r="N325" i="16"/>
  <c r="S336" i="16"/>
  <c r="M354" i="16"/>
  <c r="AC354" i="16" s="1"/>
  <c r="AI354" i="16" s="1"/>
  <c r="S161" i="32"/>
  <c r="V161" i="32" s="1"/>
  <c r="X161" i="32" s="1"/>
  <c r="Y161" i="32" s="1"/>
  <c r="M66" i="32"/>
  <c r="AE66" i="32" s="1"/>
  <c r="N67" i="32"/>
  <c r="N166" i="32"/>
  <c r="O86" i="16"/>
  <c r="O211" i="16"/>
  <c r="M111" i="16"/>
  <c r="Y111" i="16" s="1"/>
  <c r="Z111" i="16" s="1"/>
  <c r="O253" i="16"/>
  <c r="O236" i="16"/>
  <c r="O285" i="16"/>
  <c r="N259" i="16"/>
  <c r="N129" i="16"/>
  <c r="M325" i="16"/>
  <c r="Y325" i="16" s="1"/>
  <c r="Z325" i="16" s="1"/>
  <c r="N336" i="16"/>
  <c r="M333" i="16"/>
  <c r="AD333" i="16" s="1"/>
  <c r="M161" i="32"/>
  <c r="AE161" i="32" s="1"/>
  <c r="O245" i="32"/>
  <c r="O166" i="32"/>
  <c r="O146" i="32"/>
  <c r="N135" i="16"/>
  <c r="M211" i="16"/>
  <c r="AC211" i="16" s="1"/>
  <c r="AI211" i="16" s="1"/>
  <c r="S236" i="16"/>
  <c r="AA236" i="16" s="1"/>
  <c r="AB236" i="16" s="1"/>
  <c r="M285" i="16"/>
  <c r="AD285" i="16" s="1"/>
  <c r="O121" i="16"/>
  <c r="S129" i="16"/>
  <c r="S325" i="16"/>
  <c r="N333" i="16"/>
  <c r="N161" i="32"/>
  <c r="N208" i="32"/>
  <c r="S61" i="32"/>
  <c r="AB61" i="32" s="1"/>
  <c r="AC61" i="32" s="1"/>
  <c r="N146" i="32"/>
  <c r="N253" i="16"/>
  <c r="O201" i="16"/>
  <c r="O111" i="16"/>
  <c r="S89" i="16"/>
  <c r="M294" i="16"/>
  <c r="AD294" i="16" s="1"/>
  <c r="N121" i="16"/>
  <c r="N183" i="16"/>
  <c r="M102" i="16"/>
  <c r="Y102" i="16" s="1"/>
  <c r="Z102" i="16" s="1"/>
  <c r="M129" i="16"/>
  <c r="Y129" i="16" s="1"/>
  <c r="Z129" i="16" s="1"/>
  <c r="O333" i="16"/>
  <c r="M347" i="16"/>
  <c r="Y347" i="16" s="1"/>
  <c r="Z347" i="16" s="1"/>
  <c r="M266" i="32"/>
  <c r="AD266" i="32" s="1"/>
  <c r="AJ266" i="32" s="1"/>
  <c r="O278" i="32"/>
  <c r="S208" i="32"/>
  <c r="AB208" i="32" s="1"/>
  <c r="AC208" i="32" s="1"/>
  <c r="N61" i="32"/>
  <c r="N201" i="16"/>
  <c r="S111" i="16"/>
  <c r="M145" i="16"/>
  <c r="AC145" i="16" s="1"/>
  <c r="AI145" i="16" s="1"/>
  <c r="N89" i="16"/>
  <c r="N294" i="16"/>
  <c r="M232" i="16"/>
  <c r="Y232" i="16" s="1"/>
  <c r="Z232" i="16" s="1"/>
  <c r="M192" i="16"/>
  <c r="AD192" i="16" s="1"/>
  <c r="M121" i="16"/>
  <c r="Y121" i="16" s="1"/>
  <c r="Z121" i="16" s="1"/>
  <c r="O183" i="16"/>
  <c r="O102" i="16"/>
  <c r="S302" i="16"/>
  <c r="O310" i="16"/>
  <c r="S322" i="16"/>
  <c r="O347" i="16"/>
  <c r="O141" i="32"/>
  <c r="S278" i="32"/>
  <c r="AB278" i="32" s="1"/>
  <c r="AC278" i="32" s="1"/>
  <c r="O208" i="32"/>
  <c r="S168" i="32"/>
  <c r="AB168" i="32" s="1"/>
  <c r="AC168" i="32" s="1"/>
  <c r="S354" i="16"/>
  <c r="M201" i="16"/>
  <c r="AC201" i="16" s="1"/>
  <c r="AI201" i="16" s="1"/>
  <c r="N145" i="16"/>
  <c r="M89" i="16"/>
  <c r="Y89" i="16" s="1"/>
  <c r="Z89" i="16" s="1"/>
  <c r="O294" i="16"/>
  <c r="N232" i="16"/>
  <c r="M87" i="16"/>
  <c r="Y87" i="16" s="1"/>
  <c r="Z87" i="16" s="1"/>
  <c r="S192" i="16"/>
  <c r="M183" i="16"/>
  <c r="AC183" i="16" s="1"/>
  <c r="AI183" i="16" s="1"/>
  <c r="N102" i="16"/>
  <c r="N302" i="16"/>
  <c r="N310" i="16"/>
  <c r="S243" i="32"/>
  <c r="V243" i="32" s="1"/>
  <c r="X243" i="32" s="1"/>
  <c r="Y243" i="32" s="1"/>
  <c r="N278" i="32"/>
  <c r="M258" i="32"/>
  <c r="AD258" i="32" s="1"/>
  <c r="AJ258" i="32" s="1"/>
  <c r="M168" i="32"/>
  <c r="AE168" i="32" s="1"/>
  <c r="M292" i="16"/>
  <c r="Y292" i="16" s="1"/>
  <c r="Z292" i="16" s="1"/>
  <c r="S145" i="16"/>
  <c r="AE145" i="16" s="1"/>
  <c r="O232" i="16"/>
  <c r="N87" i="16"/>
  <c r="M248" i="16"/>
  <c r="Y248" i="16" s="1"/>
  <c r="Z248" i="16" s="1"/>
  <c r="O302" i="16"/>
  <c r="S310" i="16"/>
  <c r="M363" i="16"/>
  <c r="Y363" i="16" s="1"/>
  <c r="Z363" i="16" s="1"/>
  <c r="M243" i="32"/>
  <c r="AE243" i="32" s="1"/>
  <c r="M106" i="32"/>
  <c r="Z106" i="32" s="1"/>
  <c r="AA106" i="32" s="1"/>
  <c r="O213" i="32"/>
  <c r="N364" i="16"/>
  <c r="O199" i="16"/>
  <c r="N273" i="16"/>
  <c r="S135" i="16"/>
  <c r="M229" i="32"/>
  <c r="AD229" i="32" s="1"/>
  <c r="AJ229" i="32" s="1"/>
  <c r="N158" i="32"/>
  <c r="O48" i="32"/>
  <c r="S195" i="32"/>
  <c r="V195" i="32" s="1"/>
  <c r="X195" i="32" s="1"/>
  <c r="Y195" i="32" s="1"/>
  <c r="S38" i="32"/>
  <c r="AB38" i="32" s="1"/>
  <c r="AC38" i="32" s="1"/>
  <c r="M234" i="16"/>
  <c r="Y234" i="16" s="1"/>
  <c r="Z234" i="16" s="1"/>
  <c r="N152" i="32"/>
  <c r="S153" i="16"/>
  <c r="O261" i="16"/>
  <c r="O318" i="16"/>
  <c r="O241" i="16"/>
  <c r="O354" i="16"/>
  <c r="S282" i="32"/>
  <c r="AB282" i="32" s="1"/>
  <c r="AC282" i="32" s="1"/>
  <c r="S156" i="16"/>
  <c r="S164" i="16"/>
  <c r="M273" i="16"/>
  <c r="AP88" i="16" s="1"/>
  <c r="S138" i="16"/>
  <c r="M153" i="16"/>
  <c r="AD153" i="16" s="1"/>
  <c r="M261" i="16"/>
  <c r="AC261" i="16" s="1"/>
  <c r="AI261" i="16" s="1"/>
  <c r="M269" i="16"/>
  <c r="AP84" i="16" s="1"/>
  <c r="S112" i="16"/>
  <c r="S241" i="16"/>
  <c r="S234" i="16"/>
  <c r="S191" i="16"/>
  <c r="V191" i="16" s="1"/>
  <c r="M221" i="16"/>
  <c r="Y221" i="16" s="1"/>
  <c r="Z221" i="16" s="1"/>
  <c r="M242" i="16"/>
  <c r="AC242" i="16" s="1"/>
  <c r="AI242" i="16" s="1"/>
  <c r="N231" i="16"/>
  <c r="O268" i="16"/>
  <c r="O165" i="16"/>
  <c r="S199" i="16"/>
  <c r="S203" i="16"/>
  <c r="O322" i="16"/>
  <c r="O352" i="16"/>
  <c r="O307" i="32"/>
  <c r="N279" i="32"/>
  <c r="N254" i="32"/>
  <c r="O105" i="32"/>
  <c r="M34" i="32"/>
  <c r="Z34" i="32" s="1"/>
  <c r="AA34" i="32" s="1"/>
  <c r="M81" i="32"/>
  <c r="Z81" i="32" s="1"/>
  <c r="AA81" i="32" s="1"/>
  <c r="S146" i="16"/>
  <c r="M265" i="32"/>
  <c r="Z265" i="32" s="1"/>
  <c r="AA265" i="32" s="1"/>
  <c r="M164" i="16"/>
  <c r="Y164" i="16" s="1"/>
  <c r="Z164" i="16" s="1"/>
  <c r="S269" i="16"/>
  <c r="M156" i="16"/>
  <c r="Y156" i="16" s="1"/>
  <c r="Z156" i="16" s="1"/>
  <c r="S172" i="32"/>
  <c r="AB172" i="32" s="1"/>
  <c r="AC172" i="32" s="1"/>
  <c r="N198" i="16"/>
  <c r="N284" i="16"/>
  <c r="O317" i="16"/>
  <c r="S179" i="16"/>
  <c r="S273" i="16"/>
  <c r="M138" i="16"/>
  <c r="AC138" i="16" s="1"/>
  <c r="AI138" i="16" s="1"/>
  <c r="N153" i="16"/>
  <c r="N110" i="16"/>
  <c r="M286" i="16"/>
  <c r="Y286" i="16" s="1"/>
  <c r="Z286" i="16" s="1"/>
  <c r="N289" i="16"/>
  <c r="O154" i="16"/>
  <c r="O299" i="16"/>
  <c r="O295" i="16"/>
  <c r="O269" i="16"/>
  <c r="M112" i="16"/>
  <c r="Y112" i="16" s="1"/>
  <c r="Z112" i="16" s="1"/>
  <c r="M241" i="16"/>
  <c r="Y241" i="16" s="1"/>
  <c r="Z241" i="16" s="1"/>
  <c r="O234" i="16"/>
  <c r="O132" i="16"/>
  <c r="M94" i="16"/>
  <c r="Y94" i="16" s="1"/>
  <c r="Z94" i="16" s="1"/>
  <c r="O242" i="16"/>
  <c r="O231" i="16"/>
  <c r="M268" i="16"/>
  <c r="Y268" i="16" s="1"/>
  <c r="Z268" i="16" s="1"/>
  <c r="S165" i="16"/>
  <c r="M203" i="16"/>
  <c r="AC203" i="16" s="1"/>
  <c r="AI203" i="16" s="1"/>
  <c r="M109" i="16"/>
  <c r="Y109" i="16" s="1"/>
  <c r="Z109" i="16" s="1"/>
  <c r="N322" i="16"/>
  <c r="M352" i="16"/>
  <c r="Y352" i="16" s="1"/>
  <c r="Z352" i="16" s="1"/>
  <c r="O88" i="32"/>
  <c r="S34" i="32"/>
  <c r="AB34" i="32" s="1"/>
  <c r="AC34" i="32" s="1"/>
  <c r="N89" i="32"/>
  <c r="N46" i="32"/>
  <c r="M78" i="32"/>
  <c r="Z78" i="32" s="1"/>
  <c r="AA78" i="32" s="1"/>
  <c r="O91" i="32"/>
  <c r="N105" i="16"/>
  <c r="S242" i="16"/>
  <c r="S198" i="16"/>
  <c r="M284" i="16"/>
  <c r="AC284" i="16" s="1"/>
  <c r="AI284" i="16" s="1"/>
  <c r="M317" i="16"/>
  <c r="Y317" i="16" s="1"/>
  <c r="Z317" i="16" s="1"/>
  <c r="M179" i="16"/>
  <c r="Y179" i="16" s="1"/>
  <c r="Z179" i="16" s="1"/>
  <c r="M311" i="16"/>
  <c r="Y311" i="16" s="1"/>
  <c r="Z311" i="16" s="1"/>
  <c r="O138" i="16"/>
  <c r="M96" i="16"/>
  <c r="AC96" i="16" s="1"/>
  <c r="AI96" i="16" s="1"/>
  <c r="N274" i="16"/>
  <c r="O110" i="16"/>
  <c r="O286" i="16"/>
  <c r="M289" i="16"/>
  <c r="AD289" i="16" s="1"/>
  <c r="S154" i="16"/>
  <c r="N299" i="16"/>
  <c r="M295" i="16"/>
  <c r="AC295" i="16" s="1"/>
  <c r="AI295" i="16" s="1"/>
  <c r="N187" i="16"/>
  <c r="S260" i="16"/>
  <c r="N94" i="16"/>
  <c r="M151" i="16"/>
  <c r="AC151" i="16" s="1"/>
  <c r="AI151" i="16" s="1"/>
  <c r="M231" i="16"/>
  <c r="AD231" i="16" s="1"/>
  <c r="N268" i="16"/>
  <c r="N165" i="16"/>
  <c r="S134" i="16"/>
  <c r="O203" i="16"/>
  <c r="S352" i="16"/>
  <c r="O148" i="32"/>
  <c r="M150" i="32"/>
  <c r="Z150" i="32" s="1"/>
  <c r="AA150" i="32" s="1"/>
  <c r="M226" i="32"/>
  <c r="AD226" i="32" s="1"/>
  <c r="AJ226" i="32" s="1"/>
  <c r="M198" i="16"/>
  <c r="AD198" i="16" s="1"/>
  <c r="O284" i="16"/>
  <c r="N317" i="16"/>
  <c r="O179" i="16"/>
  <c r="S311" i="16"/>
  <c r="O150" i="16"/>
  <c r="O266" i="16"/>
  <c r="O246" i="16"/>
  <c r="O96" i="16"/>
  <c r="M274" i="16"/>
  <c r="AP89" i="16" s="1"/>
  <c r="M110" i="16"/>
  <c r="AC110" i="16" s="1"/>
  <c r="AI110" i="16" s="1"/>
  <c r="N286" i="16"/>
  <c r="S289" i="16"/>
  <c r="M154" i="16"/>
  <c r="Y154" i="16" s="1"/>
  <c r="Z154" i="16" s="1"/>
  <c r="M299" i="16"/>
  <c r="AC299" i="16" s="1"/>
  <c r="AI299" i="16" s="1"/>
  <c r="S295" i="16"/>
  <c r="M263" i="16"/>
  <c r="AD263" i="16" s="1"/>
  <c r="O187" i="16"/>
  <c r="N260" i="16"/>
  <c r="S94" i="16"/>
  <c r="O151" i="16"/>
  <c r="O134" i="16"/>
  <c r="N346" i="16"/>
  <c r="O332" i="16"/>
  <c r="O329" i="16"/>
  <c r="N366" i="16"/>
  <c r="M283" i="32"/>
  <c r="Z283" i="32" s="1"/>
  <c r="AA283" i="32" s="1"/>
  <c r="O150" i="32"/>
  <c r="S169" i="32"/>
  <c r="V169" i="32" s="1"/>
  <c r="X169" i="32" s="1"/>
  <c r="Y169" i="32" s="1"/>
  <c r="M94" i="32"/>
  <c r="Z94" i="32" s="1"/>
  <c r="AA94" i="32" s="1"/>
  <c r="M57" i="32"/>
  <c r="AE57" i="32" s="1"/>
  <c r="S105" i="16"/>
  <c r="O209" i="16"/>
  <c r="O282" i="32"/>
  <c r="M191" i="16"/>
  <c r="Y191" i="16" s="1"/>
  <c r="Z191" i="16" s="1"/>
  <c r="O131" i="16"/>
  <c r="M254" i="32"/>
  <c r="AE254" i="32" s="1"/>
  <c r="N213" i="16"/>
  <c r="O311" i="16"/>
  <c r="M150" i="16"/>
  <c r="Y150" i="16" s="1"/>
  <c r="Z150" i="16" s="1"/>
  <c r="N266" i="16"/>
  <c r="S246" i="16"/>
  <c r="AE246" i="16" s="1"/>
  <c r="S96" i="16"/>
  <c r="O274" i="16"/>
  <c r="O263" i="16"/>
  <c r="O98" i="16"/>
  <c r="S187" i="16"/>
  <c r="O260" i="16"/>
  <c r="S151" i="16"/>
  <c r="S257" i="16"/>
  <c r="O346" i="16"/>
  <c r="M332" i="16"/>
  <c r="Y332" i="16" s="1"/>
  <c r="Z332" i="16" s="1"/>
  <c r="S329" i="16"/>
  <c r="S366" i="16"/>
  <c r="N94" i="32"/>
  <c r="S137" i="32"/>
  <c r="V137" i="32" s="1"/>
  <c r="X137" i="32" s="1"/>
  <c r="Y137" i="32" s="1"/>
  <c r="M280" i="32"/>
  <c r="AE280" i="32" s="1"/>
  <c r="D61" i="33"/>
  <c r="N307" i="32"/>
  <c r="M167" i="16"/>
  <c r="Y167" i="16" s="1"/>
  <c r="Z167" i="16" s="1"/>
  <c r="S213" i="16"/>
  <c r="N150" i="16"/>
  <c r="M266" i="16"/>
  <c r="Y266" i="16" s="1"/>
  <c r="Z266" i="16" s="1"/>
  <c r="N246" i="16"/>
  <c r="N236" i="16"/>
  <c r="O197" i="16"/>
  <c r="M107" i="16"/>
  <c r="Y107" i="16" s="1"/>
  <c r="Z107" i="16" s="1"/>
  <c r="S263" i="16"/>
  <c r="N192" i="16"/>
  <c r="O257" i="16"/>
  <c r="S346" i="16"/>
  <c r="S332" i="16"/>
  <c r="N329" i="16"/>
  <c r="O366" i="16"/>
  <c r="O217" i="32"/>
  <c r="M93" i="32"/>
  <c r="Z93" i="32" s="1"/>
  <c r="AA93" i="32" s="1"/>
  <c r="S67" i="32"/>
  <c r="V67" i="32" s="1"/>
  <c r="X67" i="32" s="1"/>
  <c r="Y67" i="32" s="1"/>
  <c r="S251" i="32"/>
  <c r="V251" i="32" s="1"/>
  <c r="X251" i="32" s="1"/>
  <c r="Y251" i="32" s="1"/>
  <c r="M268" i="32"/>
  <c r="AD268" i="32" s="1"/>
  <c r="AJ268" i="32" s="1"/>
  <c r="O221" i="16"/>
  <c r="M28" i="32"/>
  <c r="Z28" i="32" s="1"/>
  <c r="AA28" i="32" s="1"/>
  <c r="O146" i="16"/>
  <c r="O114" i="16"/>
  <c r="O364" i="16"/>
  <c r="S217" i="32"/>
  <c r="V217" i="32" s="1"/>
  <c r="X217" i="32" s="1"/>
  <c r="Y217" i="32" s="1"/>
  <c r="M202" i="32"/>
  <c r="AE202" i="32" s="1"/>
  <c r="O112" i="32"/>
  <c r="S32" i="32"/>
  <c r="V32" i="32" s="1"/>
  <c r="X32" i="32" s="1"/>
  <c r="Y32" i="32" s="1"/>
  <c r="M223" i="16"/>
  <c r="Y223" i="16" s="1"/>
  <c r="Z223" i="16" s="1"/>
  <c r="M245" i="16"/>
  <c r="Y245" i="16" s="1"/>
  <c r="Z245" i="16" s="1"/>
  <c r="O105" i="16"/>
  <c r="N316" i="16"/>
  <c r="M152" i="16"/>
  <c r="Y152" i="16" s="1"/>
  <c r="Z152" i="16" s="1"/>
  <c r="S209" i="16"/>
  <c r="O235" i="16"/>
  <c r="N174" i="16"/>
  <c r="N191" i="16"/>
  <c r="N221" i="16"/>
  <c r="N131" i="16"/>
  <c r="M293" i="16"/>
  <c r="Y293" i="16" s="1"/>
  <c r="Z293" i="16" s="1"/>
  <c r="S84" i="16"/>
  <c r="M239" i="16"/>
  <c r="AC239" i="16" s="1"/>
  <c r="AI239" i="16" s="1"/>
  <c r="M326" i="16"/>
  <c r="AD326" i="16" s="1"/>
  <c r="O348" i="16"/>
  <c r="M351" i="16"/>
  <c r="Y351" i="16" s="1"/>
  <c r="Z351" i="16" s="1"/>
  <c r="S355" i="16"/>
  <c r="N362" i="16"/>
  <c r="S307" i="32"/>
  <c r="V307" i="32" s="1"/>
  <c r="X307" i="32" s="1"/>
  <c r="Y307" i="32" s="1"/>
  <c r="N217" i="32"/>
  <c r="N240" i="32"/>
  <c r="M169" i="32"/>
  <c r="Z169" i="32" s="1"/>
  <c r="AA169" i="32" s="1"/>
  <c r="S152" i="32"/>
  <c r="V152" i="32" s="1"/>
  <c r="X152" i="32" s="1"/>
  <c r="Y152" i="32" s="1"/>
  <c r="O94" i="32"/>
  <c r="O46" i="32"/>
  <c r="S265" i="32"/>
  <c r="AB265" i="32" s="1"/>
  <c r="AC265" i="32" s="1"/>
  <c r="N223" i="16"/>
  <c r="N245" i="16"/>
  <c r="S316" i="16"/>
  <c r="N177" i="16"/>
  <c r="S103" i="16"/>
  <c r="AE103" i="16" s="1"/>
  <c r="M131" i="16"/>
  <c r="Y131" i="16" s="1"/>
  <c r="Z131" i="16" s="1"/>
  <c r="N293" i="16"/>
  <c r="N134" i="16"/>
  <c r="N348" i="16"/>
  <c r="S351" i="16"/>
  <c r="N355" i="16"/>
  <c r="M362" i="16"/>
  <c r="Y362" i="16" s="1"/>
  <c r="Z362" i="16" s="1"/>
  <c r="M282" i="32"/>
  <c r="Z282" i="32" s="1"/>
  <c r="AA282" i="32" s="1"/>
  <c r="N169" i="32"/>
  <c r="O254" i="32"/>
  <c r="S46" i="32"/>
  <c r="AB46" i="32" s="1"/>
  <c r="AC46" i="32" s="1"/>
  <c r="N91" i="32"/>
  <c r="M115" i="16"/>
  <c r="Y115" i="16" s="1"/>
  <c r="Z115" i="16" s="1"/>
  <c r="S143" i="16"/>
  <c r="N85" i="16"/>
  <c r="O291" i="16"/>
  <c r="N141" i="16"/>
  <c r="N158" i="16"/>
  <c r="M318" i="16"/>
  <c r="Y318" i="16" s="1"/>
  <c r="Z318" i="16" s="1"/>
  <c r="M98" i="16"/>
  <c r="Y98" i="16" s="1"/>
  <c r="Z98" i="16" s="1"/>
  <c r="M132" i="16"/>
  <c r="Y132" i="16" s="1"/>
  <c r="Z132" i="16" s="1"/>
  <c r="O93" i="16"/>
  <c r="M331" i="16"/>
  <c r="AC331" i="16" s="1"/>
  <c r="AI331" i="16" s="1"/>
  <c r="O57" i="32"/>
  <c r="N92" i="32"/>
  <c r="N251" i="32"/>
  <c r="N132" i="32"/>
  <c r="O34" i="32"/>
  <c r="N292" i="32"/>
  <c r="S268" i="32"/>
  <c r="V268" i="32" s="1"/>
  <c r="X268" i="32" s="1"/>
  <c r="Y268" i="32" s="1"/>
  <c r="S91" i="32"/>
  <c r="V91" i="32" s="1"/>
  <c r="X91" i="32" s="1"/>
  <c r="Y91" i="32" s="1"/>
  <c r="N155" i="16"/>
  <c r="S115" i="16"/>
  <c r="N143" i="16"/>
  <c r="O126" i="16"/>
  <c r="N280" i="16"/>
  <c r="O85" i="16"/>
  <c r="M291" i="16"/>
  <c r="Y291" i="16" s="1"/>
  <c r="Z291" i="16" s="1"/>
  <c r="O141" i="16"/>
  <c r="M158" i="16"/>
  <c r="Y158" i="16" s="1"/>
  <c r="Z158" i="16" s="1"/>
  <c r="N318" i="16"/>
  <c r="N98" i="16"/>
  <c r="N106" i="16"/>
  <c r="S132" i="16"/>
  <c r="S93" i="16"/>
  <c r="M114" i="16"/>
  <c r="Y114" i="16" s="1"/>
  <c r="Z114" i="16" s="1"/>
  <c r="M200" i="16"/>
  <c r="Y200" i="16" s="1"/>
  <c r="Z200" i="16" s="1"/>
  <c r="N122" i="16"/>
  <c r="N314" i="16"/>
  <c r="S109" i="16"/>
  <c r="N331" i="16"/>
  <c r="S308" i="32"/>
  <c r="V308" i="32" s="1"/>
  <c r="X308" i="32" s="1"/>
  <c r="Y308" i="32" s="1"/>
  <c r="N148" i="32"/>
  <c r="N57" i="32"/>
  <c r="M154" i="32"/>
  <c r="Z154" i="32" s="1"/>
  <c r="AA154" i="32" s="1"/>
  <c r="N286" i="32"/>
  <c r="M251" i="32"/>
  <c r="AE251" i="32" s="1"/>
  <c r="M175" i="32"/>
  <c r="Z175" i="32" s="1"/>
  <c r="AA175" i="32" s="1"/>
  <c r="N184" i="32"/>
  <c r="M155" i="16"/>
  <c r="AC155" i="16" s="1"/>
  <c r="AI155" i="16" s="1"/>
  <c r="M126" i="16"/>
  <c r="Y126" i="16" s="1"/>
  <c r="Z126" i="16" s="1"/>
  <c r="S280" i="16"/>
  <c r="M106" i="16"/>
  <c r="Y106" i="16" s="1"/>
  <c r="Z106" i="16" s="1"/>
  <c r="N114" i="16"/>
  <c r="O200" i="16"/>
  <c r="M122" i="16"/>
  <c r="Y122" i="16" s="1"/>
  <c r="Z122" i="16" s="1"/>
  <c r="S314" i="16"/>
  <c r="N109" i="16"/>
  <c r="O360" i="16"/>
  <c r="O340" i="16"/>
  <c r="M308" i="32"/>
  <c r="AE308" i="32" s="1"/>
  <c r="M148" i="32"/>
  <c r="Z148" i="32" s="1"/>
  <c r="AA148" i="32" s="1"/>
  <c r="S176" i="32"/>
  <c r="AB176" i="32" s="1"/>
  <c r="AC176" i="32" s="1"/>
  <c r="M312" i="32"/>
  <c r="Z312" i="32" s="1"/>
  <c r="AA312" i="32" s="1"/>
  <c r="S175" i="32"/>
  <c r="V175" i="32" s="1"/>
  <c r="X175" i="32" s="1"/>
  <c r="Y175" i="32" s="1"/>
  <c r="S204" i="32"/>
  <c r="AB204" i="32" s="1"/>
  <c r="AC204" i="32" s="1"/>
  <c r="O280" i="16"/>
  <c r="M163" i="16"/>
  <c r="Y163" i="16" s="1"/>
  <c r="Z163" i="16" s="1"/>
  <c r="M95" i="16"/>
  <c r="Y95" i="16" s="1"/>
  <c r="Z95" i="16" s="1"/>
  <c r="M308" i="16"/>
  <c r="Y308" i="16" s="1"/>
  <c r="Z308" i="16" s="1"/>
  <c r="M169" i="16"/>
  <c r="Y169" i="16" s="1"/>
  <c r="Z169" i="16" s="1"/>
  <c r="O106" i="16"/>
  <c r="N196" i="16"/>
  <c r="N128" i="16"/>
  <c r="M185" i="16"/>
  <c r="Y185" i="16" s="1"/>
  <c r="Z185" i="16" s="1"/>
  <c r="S200" i="16"/>
  <c r="O122" i="16"/>
  <c r="O314" i="16"/>
  <c r="N360" i="16"/>
  <c r="M340" i="16"/>
  <c r="AD340" i="16" s="1"/>
  <c r="S312" i="32"/>
  <c r="V312" i="32" s="1"/>
  <c r="X312" i="32" s="1"/>
  <c r="Y312" i="32" s="1"/>
  <c r="M204" i="32"/>
  <c r="AE204" i="32" s="1"/>
  <c r="N267" i="32"/>
  <c r="O309" i="32"/>
  <c r="N272" i="16"/>
  <c r="M137" i="16"/>
  <c r="AD137" i="16" s="1"/>
  <c r="M88" i="16"/>
  <c r="Y88" i="16" s="1"/>
  <c r="Z88" i="16" s="1"/>
  <c r="O163" i="16"/>
  <c r="S95" i="16"/>
  <c r="O308" i="16"/>
  <c r="N169" i="16"/>
  <c r="M196" i="16"/>
  <c r="Y196" i="16" s="1"/>
  <c r="Z196" i="16" s="1"/>
  <c r="O128" i="16"/>
  <c r="S185" i="16"/>
  <c r="N358" i="16"/>
  <c r="N340" i="16"/>
  <c r="M341" i="16"/>
  <c r="Y341" i="16" s="1"/>
  <c r="Z341" i="16" s="1"/>
  <c r="S221" i="32"/>
  <c r="AB221" i="32" s="1"/>
  <c r="AC221" i="32" s="1"/>
  <c r="N195" i="32"/>
  <c r="M172" i="32"/>
  <c r="AD172" i="32" s="1"/>
  <c r="AJ172" i="32" s="1"/>
  <c r="O93" i="32"/>
  <c r="N312" i="32"/>
  <c r="N137" i="32"/>
  <c r="N38" i="32"/>
  <c r="O204" i="32"/>
  <c r="S267" i="32"/>
  <c r="V267" i="32" s="1"/>
  <c r="X267" i="32" s="1"/>
  <c r="Y267" i="32" s="1"/>
  <c r="S309" i="32"/>
  <c r="V309" i="32" s="1"/>
  <c r="X309" i="32" s="1"/>
  <c r="Y309" i="32" s="1"/>
  <c r="S272" i="16"/>
  <c r="N137" i="16"/>
  <c r="N152" i="16"/>
  <c r="M209" i="16"/>
  <c r="Y209" i="16" s="1"/>
  <c r="Z209" i="16" s="1"/>
  <c r="S163" i="16"/>
  <c r="N95" i="16"/>
  <c r="N308" i="16"/>
  <c r="O169" i="16"/>
  <c r="S196" i="16"/>
  <c r="M128" i="16"/>
  <c r="Y128" i="16" s="1"/>
  <c r="Z128" i="16" s="1"/>
  <c r="O185" i="16"/>
  <c r="M84" i="16"/>
  <c r="AC84" i="16" s="1"/>
  <c r="AI84" i="16" s="1"/>
  <c r="O239" i="16"/>
  <c r="S326" i="16"/>
  <c r="M358" i="16"/>
  <c r="Y358" i="16" s="1"/>
  <c r="Z358" i="16" s="1"/>
  <c r="O341" i="16"/>
  <c r="O195" i="32"/>
  <c r="O172" i="32"/>
  <c r="N93" i="32"/>
  <c r="O152" i="32"/>
  <c r="O137" i="32"/>
  <c r="O38" i="32"/>
  <c r="O121" i="32"/>
  <c r="N144" i="32"/>
  <c r="O89" i="32"/>
  <c r="N265" i="32"/>
  <c r="N222" i="32"/>
  <c r="M283" i="16"/>
  <c r="Y283" i="16" s="1"/>
  <c r="Z283" i="16" s="1"/>
  <c r="N304" i="16"/>
  <c r="O228" i="16"/>
  <c r="M172" i="16"/>
  <c r="Y172" i="16" s="1"/>
  <c r="Z172" i="16" s="1"/>
  <c r="M104" i="16"/>
  <c r="AC104" i="16" s="1"/>
  <c r="AI104" i="16" s="1"/>
  <c r="M296" i="16"/>
  <c r="AC296" i="16" s="1"/>
  <c r="AI296" i="16" s="1"/>
  <c r="N171" i="16"/>
  <c r="S359" i="16"/>
  <c r="M343" i="16"/>
  <c r="Y343" i="16" s="1"/>
  <c r="Z343" i="16" s="1"/>
  <c r="S361" i="16"/>
  <c r="O82" i="32"/>
  <c r="S210" i="32"/>
  <c r="AB210" i="32" s="1"/>
  <c r="AC210" i="32" s="1"/>
  <c r="N231" i="32"/>
  <c r="S222" i="32"/>
  <c r="AB222" i="32" s="1"/>
  <c r="AC222" i="32" s="1"/>
  <c r="S270" i="32"/>
  <c r="V270" i="32" s="1"/>
  <c r="X270" i="32" s="1"/>
  <c r="Y270" i="32" s="1"/>
  <c r="O276" i="32"/>
  <c r="S73" i="32"/>
  <c r="V73" i="32" s="1"/>
  <c r="X73" i="32" s="1"/>
  <c r="Y73" i="32" s="1"/>
  <c r="O81" i="32"/>
  <c r="S283" i="16"/>
  <c r="S304" i="16"/>
  <c r="N170" i="16"/>
  <c r="S251" i="16"/>
  <c r="S249" i="16"/>
  <c r="M270" i="16"/>
  <c r="AP85" i="16" s="1"/>
  <c r="O139" i="16"/>
  <c r="N142" i="16"/>
  <c r="O212" i="16"/>
  <c r="M301" i="16"/>
  <c r="Y301" i="16" s="1"/>
  <c r="Z301" i="16" s="1"/>
  <c r="S337" i="16"/>
  <c r="O343" i="16"/>
  <c r="O194" i="32"/>
  <c r="O116" i="32"/>
  <c r="S82" i="32"/>
  <c r="AB82" i="32" s="1"/>
  <c r="AC82" i="32" s="1"/>
  <c r="O210" i="32"/>
  <c r="N270" i="32"/>
  <c r="S264" i="32"/>
  <c r="V264" i="32" s="1"/>
  <c r="X264" i="32" s="1"/>
  <c r="Y264" i="32" s="1"/>
  <c r="N272" i="32"/>
  <c r="O32" i="32"/>
  <c r="N197" i="32"/>
  <c r="M276" i="32"/>
  <c r="AD276" i="32" s="1"/>
  <c r="AJ276" i="32" s="1"/>
  <c r="O178" i="32"/>
  <c r="N168" i="32"/>
  <c r="N123" i="32"/>
  <c r="M63" i="32"/>
  <c r="AD63" i="32" s="1"/>
  <c r="AJ63" i="32" s="1"/>
  <c r="N82" i="33"/>
  <c r="M82" i="33" s="1"/>
  <c r="N100" i="16"/>
  <c r="M124" i="16"/>
  <c r="AC124" i="16" s="1"/>
  <c r="AI124" i="16" s="1"/>
  <c r="M254" i="16"/>
  <c r="Y254" i="16" s="1"/>
  <c r="Z254" i="16" s="1"/>
  <c r="M133" i="16"/>
  <c r="Y133" i="16" s="1"/>
  <c r="Z133" i="16" s="1"/>
  <c r="S168" i="16"/>
  <c r="M226" i="16"/>
  <c r="AD226" i="16" s="1"/>
  <c r="O170" i="16"/>
  <c r="O251" i="16"/>
  <c r="O249" i="16"/>
  <c r="O270" i="16"/>
  <c r="N139" i="16"/>
  <c r="S142" i="16"/>
  <c r="S212" i="16"/>
  <c r="S301" i="16"/>
  <c r="S342" i="16"/>
  <c r="V342" i="16" s="1"/>
  <c r="N194" i="32"/>
  <c r="M117" i="32"/>
  <c r="Z117" i="32" s="1"/>
  <c r="AA117" i="32" s="1"/>
  <c r="M199" i="32"/>
  <c r="AE199" i="32" s="1"/>
  <c r="N264" i="32"/>
  <c r="O272" i="32"/>
  <c r="N32" i="32"/>
  <c r="M250" i="32"/>
  <c r="AD250" i="32" s="1"/>
  <c r="AJ250" i="32" s="1"/>
  <c r="S261" i="32"/>
  <c r="AB261" i="32" s="1"/>
  <c r="AC261" i="32" s="1"/>
  <c r="S123" i="32"/>
  <c r="AB123" i="32" s="1"/>
  <c r="AC123" i="32" s="1"/>
  <c r="S226" i="16"/>
  <c r="O330" i="16"/>
  <c r="N338" i="16"/>
  <c r="O342" i="16"/>
  <c r="O289" i="32"/>
  <c r="N193" i="32"/>
  <c r="S199" i="32"/>
  <c r="V199" i="32" s="1"/>
  <c r="X199" i="32" s="1"/>
  <c r="Y199" i="32" s="1"/>
  <c r="N106" i="32"/>
  <c r="M269" i="32"/>
  <c r="AE269" i="32" s="1"/>
  <c r="M67" i="32"/>
  <c r="AE67" i="32" s="1"/>
  <c r="O264" i="32"/>
  <c r="M61" i="32"/>
  <c r="AD61" i="32" s="1"/>
  <c r="AJ61" i="32" s="1"/>
  <c r="S97" i="32"/>
  <c r="V97" i="32" s="1"/>
  <c r="X97" i="32" s="1"/>
  <c r="Y97" i="32" s="1"/>
  <c r="O250" i="32"/>
  <c r="N261" i="32"/>
  <c r="S299" i="32"/>
  <c r="V299" i="32" s="1"/>
  <c r="X299" i="32" s="1"/>
  <c r="Y299" i="32" s="1"/>
  <c r="S250" i="32"/>
  <c r="V250" i="32" s="1"/>
  <c r="X250" i="32" s="1"/>
  <c r="Y250" i="32" s="1"/>
  <c r="O124" i="16"/>
  <c r="O168" i="16"/>
  <c r="S100" i="16"/>
  <c r="N254" i="16"/>
  <c r="S133" i="16"/>
  <c r="N168" i="16"/>
  <c r="O226" i="16"/>
  <c r="S214" i="16"/>
  <c r="O313" i="16"/>
  <c r="M330" i="16"/>
  <c r="AD330" i="16" s="1"/>
  <c r="O338" i="16"/>
  <c r="M141" i="32"/>
  <c r="AD141" i="32" s="1"/>
  <c r="AJ141" i="32" s="1"/>
  <c r="S193" i="32"/>
  <c r="V193" i="32" s="1"/>
  <c r="X193" i="32" s="1"/>
  <c r="Y193" i="32" s="1"/>
  <c r="N260" i="32"/>
  <c r="O199" i="32"/>
  <c r="O106" i="32"/>
  <c r="O85" i="32"/>
  <c r="M101" i="32"/>
  <c r="AE101" i="32" s="1"/>
  <c r="M97" i="32"/>
  <c r="Z97" i="32" s="1"/>
  <c r="AA97" i="32" s="1"/>
  <c r="M213" i="32"/>
  <c r="AQ28" i="32" s="1"/>
  <c r="N129" i="32"/>
  <c r="O299" i="32"/>
  <c r="O258" i="16"/>
  <c r="N220" i="16"/>
  <c r="O125" i="16"/>
  <c r="O233" i="16"/>
  <c r="S254" i="16"/>
  <c r="N133" i="16"/>
  <c r="M214" i="16"/>
  <c r="AC214" i="16" s="1"/>
  <c r="AI214" i="16" s="1"/>
  <c r="M313" i="16"/>
  <c r="Y313" i="16" s="1"/>
  <c r="Z313" i="16" s="1"/>
  <c r="S330" i="16"/>
  <c r="M338" i="16"/>
  <c r="Y338" i="16" s="1"/>
  <c r="Z338" i="16" s="1"/>
  <c r="S141" i="32"/>
  <c r="V141" i="32" s="1"/>
  <c r="X141" i="32" s="1"/>
  <c r="Y141" i="32" s="1"/>
  <c r="O266" i="32"/>
  <c r="N229" i="32"/>
  <c r="S260" i="32"/>
  <c r="V260" i="32" s="1"/>
  <c r="X260" i="32" s="1"/>
  <c r="Y260" i="32" s="1"/>
  <c r="N305" i="32"/>
  <c r="N206" i="32"/>
  <c r="N245" i="32"/>
  <c r="N101" i="32"/>
  <c r="S185" i="32"/>
  <c r="V185" i="32" s="1"/>
  <c r="X185" i="32" s="1"/>
  <c r="Y185" i="32" s="1"/>
  <c r="M248" i="32"/>
  <c r="AD248" i="32" s="1"/>
  <c r="AJ248" i="32" s="1"/>
  <c r="N281" i="32"/>
  <c r="S213" i="32"/>
  <c r="V213" i="32" s="1"/>
  <c r="X213" i="32" s="1"/>
  <c r="Y213" i="32" s="1"/>
  <c r="N299" i="32"/>
  <c r="M258" i="16"/>
  <c r="Y258" i="16" s="1"/>
  <c r="Z258" i="16" s="1"/>
  <c r="O220" i="16"/>
  <c r="N125" i="16"/>
  <c r="M233" i="16"/>
  <c r="AC233" i="16" s="1"/>
  <c r="AI233" i="16" s="1"/>
  <c r="N166" i="16"/>
  <c r="M215" i="16"/>
  <c r="Y215" i="16" s="1"/>
  <c r="Z215" i="16" s="1"/>
  <c r="N180" i="16"/>
  <c r="M176" i="16"/>
  <c r="AC176" i="16" s="1"/>
  <c r="AI176" i="16" s="1"/>
  <c r="N214" i="16"/>
  <c r="N313" i="16"/>
  <c r="S266" i="32"/>
  <c r="V266" i="32" s="1"/>
  <c r="X266" i="32" s="1"/>
  <c r="Y266" i="32" s="1"/>
  <c r="S229" i="32"/>
  <c r="V229" i="32" s="1"/>
  <c r="X229" i="32" s="1"/>
  <c r="Y229" i="32" s="1"/>
  <c r="O122" i="32"/>
  <c r="O260" i="32"/>
  <c r="M305" i="32"/>
  <c r="Z305" i="32" s="1"/>
  <c r="AA305" i="32" s="1"/>
  <c r="S206" i="32"/>
  <c r="V206" i="32" s="1"/>
  <c r="X206" i="32" s="1"/>
  <c r="Y206" i="32" s="1"/>
  <c r="M48" i="32"/>
  <c r="AD48" i="32" s="1"/>
  <c r="AJ48" i="32" s="1"/>
  <c r="S245" i="32"/>
  <c r="AB245" i="32" s="1"/>
  <c r="AC245" i="32" s="1"/>
  <c r="N185" i="32"/>
  <c r="S248" i="32"/>
  <c r="V248" i="32" s="1"/>
  <c r="X248" i="32" s="1"/>
  <c r="Y248" i="32" s="1"/>
  <c r="M281" i="32"/>
  <c r="AD281" i="32" s="1"/>
  <c r="AJ281" i="32" s="1"/>
  <c r="N157" i="32"/>
  <c r="N258" i="16"/>
  <c r="M220" i="16"/>
  <c r="AC220" i="16" s="1"/>
  <c r="AI220" i="16" s="1"/>
  <c r="S125" i="16"/>
  <c r="N233" i="16"/>
  <c r="O166" i="16"/>
  <c r="N215" i="16"/>
  <c r="O180" i="16"/>
  <c r="N176" i="16"/>
  <c r="M359" i="16"/>
  <c r="Y359" i="16" s="1"/>
  <c r="Z359" i="16" s="1"/>
  <c r="N361" i="16"/>
  <c r="M122" i="32"/>
  <c r="Z122" i="32" s="1"/>
  <c r="AA122" i="32" s="1"/>
  <c r="S305" i="32"/>
  <c r="AB305" i="32" s="1"/>
  <c r="AC305" i="32" s="1"/>
  <c r="O185" i="32"/>
  <c r="N248" i="32"/>
  <c r="O281" i="32"/>
  <c r="N133" i="32"/>
  <c r="N73" i="32"/>
  <c r="N219" i="32"/>
  <c r="M166" i="16"/>
  <c r="Y166" i="16" s="1"/>
  <c r="Z166" i="16" s="1"/>
  <c r="O215" i="16"/>
  <c r="M180" i="16"/>
  <c r="AC180" i="16" s="1"/>
  <c r="AI180" i="16" s="1"/>
  <c r="O176" i="16"/>
  <c r="N359" i="16"/>
  <c r="O361" i="16"/>
  <c r="N243" i="32"/>
  <c r="S122" i="32"/>
  <c r="AB122" i="32" s="1"/>
  <c r="AC122" i="32" s="1"/>
  <c r="S48" i="32"/>
  <c r="V48" i="32" s="1"/>
  <c r="X48" i="32" s="1"/>
  <c r="Y48" i="32" s="1"/>
  <c r="O73" i="32"/>
  <c r="O219" i="32"/>
  <c r="N302" i="32"/>
  <c r="N81" i="32"/>
  <c r="S219" i="32"/>
  <c r="AB219" i="32" s="1"/>
  <c r="AC219" i="32" s="1"/>
  <c r="M121" i="32"/>
  <c r="Z121" i="32" s="1"/>
  <c r="AA121" i="32" s="1"/>
  <c r="S230" i="32"/>
  <c r="AB230" i="32" s="1"/>
  <c r="AC230" i="32" s="1"/>
  <c r="S182" i="32"/>
  <c r="AB182" i="32" s="1"/>
  <c r="AC182" i="32" s="1"/>
  <c r="M292" i="32"/>
  <c r="AE292" i="32" s="1"/>
  <c r="M360" i="16"/>
  <c r="AC360" i="16" s="1"/>
  <c r="AI360" i="16" s="1"/>
  <c r="O76" i="32"/>
  <c r="N196" i="32"/>
  <c r="S292" i="32"/>
  <c r="V292" i="32" s="1"/>
  <c r="X292" i="32" s="1"/>
  <c r="Y292" i="32" s="1"/>
  <c r="O167" i="32"/>
  <c r="O173" i="32"/>
  <c r="S84" i="32"/>
  <c r="V84" i="32" s="1"/>
  <c r="X84" i="32" s="1"/>
  <c r="Y84" i="32" s="1"/>
  <c r="M113" i="32"/>
  <c r="AD113" i="32" s="1"/>
  <c r="AJ113" i="32" s="1"/>
  <c r="M228" i="32"/>
  <c r="AE228" i="32" s="1"/>
  <c r="S47" i="32"/>
  <c r="AB47" i="32" s="1"/>
  <c r="AC47" i="32" s="1"/>
  <c r="M267" i="32"/>
  <c r="AE267" i="32" s="1"/>
  <c r="O90" i="32"/>
  <c r="O228" i="32"/>
  <c r="M92" i="32"/>
  <c r="AD92" i="32" s="1"/>
  <c r="AJ92" i="32" s="1"/>
  <c r="S50" i="32"/>
  <c r="AB50" i="32" s="1"/>
  <c r="AC50" i="32" s="1"/>
  <c r="N71" i="32"/>
  <c r="O304" i="32"/>
  <c r="M309" i="32"/>
  <c r="Z309" i="32" s="1"/>
  <c r="AA309" i="32" s="1"/>
  <c r="M144" i="32"/>
  <c r="Z144" i="32" s="1"/>
  <c r="AA144" i="32" s="1"/>
  <c r="O153" i="32"/>
  <c r="O100" i="32"/>
  <c r="O124" i="32"/>
  <c r="S184" i="32"/>
  <c r="AB184" i="32" s="1"/>
  <c r="AC184" i="32" s="1"/>
  <c r="S310" i="32"/>
  <c r="AB310" i="32" s="1"/>
  <c r="AC310" i="32" s="1"/>
  <c r="S96" i="32"/>
  <c r="V96" i="32" s="1"/>
  <c r="X96" i="32" s="1"/>
  <c r="Y96" i="32" s="1"/>
  <c r="S286" i="32"/>
  <c r="V286" i="32" s="1"/>
  <c r="X286" i="32" s="1"/>
  <c r="Y286" i="32" s="1"/>
  <c r="O171" i="32"/>
  <c r="S184" i="16"/>
  <c r="O95" i="32"/>
  <c r="N289" i="32"/>
  <c r="N256" i="32"/>
  <c r="O86" i="32"/>
  <c r="N28" i="32"/>
  <c r="N114" i="32"/>
  <c r="O68" i="32"/>
  <c r="M259" i="32"/>
  <c r="AD259" i="32" s="1"/>
  <c r="AJ259" i="32" s="1"/>
  <c r="N215" i="32"/>
  <c r="S102" i="32"/>
  <c r="V102" i="32" s="1"/>
  <c r="X102" i="32" s="1"/>
  <c r="Y102" i="32" s="1"/>
  <c r="O200" i="32"/>
  <c r="M209" i="32"/>
  <c r="AD209" i="32" s="1"/>
  <c r="AJ209" i="32" s="1"/>
  <c r="O232" i="32"/>
  <c r="M174" i="32"/>
  <c r="Z174" i="32" s="1"/>
  <c r="AA174" i="32" s="1"/>
  <c r="S256" i="32"/>
  <c r="V256" i="32" s="1"/>
  <c r="X256" i="32" s="1"/>
  <c r="Y256" i="32" s="1"/>
  <c r="S145" i="32"/>
  <c r="V145" i="32" s="1"/>
  <c r="X145" i="32" s="1"/>
  <c r="Y145" i="32" s="1"/>
  <c r="S150" i="32"/>
  <c r="V150" i="32" s="1"/>
  <c r="X150" i="32" s="1"/>
  <c r="Y150" i="32" s="1"/>
  <c r="O28" i="32"/>
  <c r="O114" i="32"/>
  <c r="S68" i="32"/>
  <c r="V68" i="32" s="1"/>
  <c r="X68" i="32" s="1"/>
  <c r="Y68" i="32" s="1"/>
  <c r="N297" i="32"/>
  <c r="S130" i="32"/>
  <c r="AB130" i="32" s="1"/>
  <c r="AC130" i="32" s="1"/>
  <c r="S200" i="32"/>
  <c r="AB200" i="32" s="1"/>
  <c r="AC200" i="32" s="1"/>
  <c r="S209" i="32"/>
  <c r="V209" i="32" s="1"/>
  <c r="X209" i="32" s="1"/>
  <c r="Y209" i="32" s="1"/>
  <c r="O311" i="32"/>
  <c r="N40" i="32"/>
  <c r="N367" i="16"/>
  <c r="S163" i="32"/>
  <c r="V163" i="32" s="1"/>
  <c r="X163" i="32" s="1"/>
  <c r="Y163" i="32" s="1"/>
  <c r="N139" i="32"/>
  <c r="O188" i="32"/>
  <c r="M234" i="32"/>
  <c r="Z234" i="32" s="1"/>
  <c r="AA234" i="32" s="1"/>
  <c r="S283" i="32"/>
  <c r="AB283" i="32" s="1"/>
  <c r="AC283" i="32" s="1"/>
  <c r="S296" i="32"/>
  <c r="V296" i="32" s="1"/>
  <c r="X296" i="32" s="1"/>
  <c r="Y296" i="32" s="1"/>
  <c r="S147" i="32"/>
  <c r="V147" i="32" s="1"/>
  <c r="X147" i="32" s="1"/>
  <c r="Y147" i="32" s="1"/>
  <c r="O99" i="32"/>
  <c r="M252" i="32"/>
  <c r="Z252" i="32" s="1"/>
  <c r="AA252" i="32" s="1"/>
  <c r="N87" i="33"/>
  <c r="O87" i="33" s="1"/>
  <c r="M367" i="16"/>
  <c r="AD367" i="16" s="1"/>
  <c r="N349" i="16"/>
  <c r="O163" i="32"/>
  <c r="M139" i="32"/>
  <c r="AE139" i="32" s="1"/>
  <c r="S234" i="32"/>
  <c r="V234" i="32" s="1"/>
  <c r="X234" i="32" s="1"/>
  <c r="Y234" i="32" s="1"/>
  <c r="O147" i="32"/>
  <c r="M36" i="32"/>
  <c r="AD36" i="32" s="1"/>
  <c r="AJ36" i="32" s="1"/>
  <c r="N97" i="33"/>
  <c r="O97" i="33" s="1"/>
  <c r="O349" i="16"/>
  <c r="S263" i="32"/>
  <c r="V263" i="32" s="1"/>
  <c r="X263" i="32" s="1"/>
  <c r="Y263" i="32" s="1"/>
  <c r="N142" i="32"/>
  <c r="O269" i="32"/>
  <c r="M304" i="32"/>
  <c r="Z304" i="32" s="1"/>
  <c r="AA304" i="32" s="1"/>
  <c r="N70" i="33"/>
  <c r="M70" i="33" s="1"/>
  <c r="N117" i="32"/>
  <c r="N162" i="32"/>
  <c r="O79" i="32"/>
  <c r="M223" i="32"/>
  <c r="AD223" i="32" s="1"/>
  <c r="AJ223" i="32" s="1"/>
  <c r="S220" i="32"/>
  <c r="AB220" i="32" s="1"/>
  <c r="AC220" i="32" s="1"/>
  <c r="S118" i="32"/>
  <c r="V118" i="32" s="1"/>
  <c r="X118" i="32" s="1"/>
  <c r="Y118" i="32" s="1"/>
  <c r="O117" i="32"/>
  <c r="S190" i="32"/>
  <c r="V190" i="32" s="1"/>
  <c r="X190" i="32" s="1"/>
  <c r="Y190" i="32" s="1"/>
  <c r="N177" i="32"/>
  <c r="M119" i="32"/>
  <c r="Z119" i="32" s="1"/>
  <c r="AA119" i="32" s="1"/>
  <c r="M216" i="32"/>
  <c r="AQ31" i="32" s="1"/>
  <c r="N226" i="32"/>
  <c r="M130" i="32"/>
  <c r="AE130" i="32" s="1"/>
  <c r="N304" i="32"/>
  <c r="N80" i="33"/>
  <c r="O80" i="33" s="1"/>
  <c r="N69" i="32"/>
  <c r="S367" i="16"/>
  <c r="N334" i="16"/>
  <c r="O295" i="32"/>
  <c r="O58" i="32"/>
  <c r="O279" i="32"/>
  <c r="O170" i="32"/>
  <c r="M115" i="32"/>
  <c r="Z115" i="32" s="1"/>
  <c r="AA115" i="32" s="1"/>
  <c r="M155" i="32"/>
  <c r="AD155" i="32" s="1"/>
  <c r="AJ155" i="32" s="1"/>
  <c r="S51" i="32"/>
  <c r="AB51" i="32" s="1"/>
  <c r="AC51" i="32" s="1"/>
  <c r="O310" i="32"/>
  <c r="N66" i="33"/>
  <c r="O66" i="33" s="1"/>
  <c r="O334" i="16"/>
  <c r="M295" i="32"/>
  <c r="AD295" i="32" s="1"/>
  <c r="AJ295" i="32" s="1"/>
  <c r="M58" i="32"/>
  <c r="AD58" i="32" s="1"/>
  <c r="AJ58" i="32" s="1"/>
  <c r="M279" i="32"/>
  <c r="AD279" i="32" s="1"/>
  <c r="AJ279" i="32" s="1"/>
  <c r="N170" i="32"/>
  <c r="N115" i="32"/>
  <c r="N39" i="32"/>
  <c r="N143" i="32"/>
  <c r="M56" i="32"/>
  <c r="AE56" i="32" s="1"/>
  <c r="O51" i="32"/>
  <c r="N86" i="33"/>
  <c r="O86" i="33" s="1"/>
  <c r="N99" i="33"/>
  <c r="O99" i="33" s="1"/>
  <c r="M334" i="16"/>
  <c r="AC334" i="16" s="1"/>
  <c r="AI334" i="16" s="1"/>
  <c r="O207" i="32"/>
  <c r="N58" i="32"/>
  <c r="S143" i="32"/>
  <c r="V143" i="32" s="1"/>
  <c r="X143" i="32" s="1"/>
  <c r="Y143" i="32" s="1"/>
  <c r="N98" i="32"/>
  <c r="M162" i="32"/>
  <c r="AD162" i="32" s="1"/>
  <c r="AJ162" i="32" s="1"/>
  <c r="O56" i="32"/>
  <c r="N88" i="33"/>
  <c r="O88" i="33" s="1"/>
  <c r="N89" i="33"/>
  <c r="O89" i="33" s="1"/>
  <c r="N116" i="32"/>
  <c r="N120" i="32"/>
  <c r="S98" i="32"/>
  <c r="V98" i="32" s="1"/>
  <c r="X98" i="32" s="1"/>
  <c r="Y98" i="32" s="1"/>
  <c r="O280" i="32"/>
  <c r="S63" i="32"/>
  <c r="V63" i="32" s="1"/>
  <c r="X63" i="32" s="1"/>
  <c r="Y63" i="32" s="1"/>
  <c r="N101" i="33"/>
  <c r="M101" i="33" s="1"/>
  <c r="N85" i="33"/>
  <c r="M85" i="33" s="1"/>
  <c r="N347" i="16"/>
  <c r="M349" i="16"/>
  <c r="AC349" i="16" s="1"/>
  <c r="AI349" i="16" s="1"/>
  <c r="M118" i="32"/>
  <c r="AD118" i="32" s="1"/>
  <c r="AJ118" i="32" s="1"/>
  <c r="N190" i="32"/>
  <c r="N283" i="32"/>
  <c r="N249" i="32"/>
  <c r="O177" i="32"/>
  <c r="O202" i="32"/>
  <c r="N271" i="32"/>
  <c r="S36" i="32"/>
  <c r="V36" i="32" s="1"/>
  <c r="X36" i="32" s="1"/>
  <c r="Y36" i="32" s="1"/>
  <c r="S105" i="32"/>
  <c r="V105" i="32" s="1"/>
  <c r="X105" i="32" s="1"/>
  <c r="Y105" i="32" s="1"/>
  <c r="S79" i="32"/>
  <c r="V79" i="32" s="1"/>
  <c r="X79" i="32" s="1"/>
  <c r="Y79" i="32" s="1"/>
  <c r="S311" i="32"/>
  <c r="V311" i="32" s="1"/>
  <c r="X311" i="32" s="1"/>
  <c r="Y311" i="32" s="1"/>
  <c r="N77" i="33"/>
  <c r="M77" i="33" s="1"/>
  <c r="N118" i="32"/>
  <c r="M190" i="32"/>
  <c r="AE190" i="32" s="1"/>
  <c r="M177" i="32"/>
  <c r="Z177" i="32" s="1"/>
  <c r="AA177" i="32" s="1"/>
  <c r="S203" i="32"/>
  <c r="V203" i="32" s="1"/>
  <c r="X203" i="32" s="1"/>
  <c r="Y203" i="32" s="1"/>
  <c r="O36" i="32"/>
  <c r="M303" i="32"/>
  <c r="Z303" i="32" s="1"/>
  <c r="AA303" i="32" s="1"/>
  <c r="N79" i="32"/>
  <c r="S246" i="32"/>
  <c r="V246" i="32" s="1"/>
  <c r="X246" i="32" s="1"/>
  <c r="Y246" i="32" s="1"/>
  <c r="N311" i="32"/>
  <c r="N69" i="33"/>
  <c r="M69" i="33" s="1"/>
  <c r="M70" i="32"/>
  <c r="AD70" i="32" s="1"/>
  <c r="AJ70" i="32" s="1"/>
  <c r="S216" i="32"/>
  <c r="V216" i="32" s="1"/>
  <c r="X216" i="32" s="1"/>
  <c r="Y216" i="32" s="1"/>
  <c r="S226" i="32"/>
  <c r="V226" i="32" s="1"/>
  <c r="X226" i="32" s="1"/>
  <c r="Y226" i="32" s="1"/>
  <c r="M224" i="32"/>
  <c r="Z224" i="32" s="1"/>
  <c r="AA224" i="32" s="1"/>
  <c r="O130" i="32"/>
  <c r="N76" i="33"/>
  <c r="M76" i="33" s="1"/>
  <c r="N295" i="32"/>
  <c r="S289" i="32"/>
  <c r="V289" i="32" s="1"/>
  <c r="X289" i="32" s="1"/>
  <c r="Y289" i="32" s="1"/>
  <c r="M231" i="32"/>
  <c r="Z231" i="32" s="1"/>
  <c r="AA231" i="32" s="1"/>
  <c r="N275" i="32"/>
  <c r="S269" i="32"/>
  <c r="V269" i="32" s="1"/>
  <c r="X269" i="32" s="1"/>
  <c r="Y269" i="32" s="1"/>
  <c r="S114" i="32"/>
  <c r="V114" i="32" s="1"/>
  <c r="X114" i="32" s="1"/>
  <c r="Y114" i="32" s="1"/>
  <c r="O101" i="32"/>
  <c r="M98" i="32"/>
  <c r="Z98" i="32" s="1"/>
  <c r="AA98" i="32" s="1"/>
  <c r="M35" i="32"/>
  <c r="Z35" i="32" s="1"/>
  <c r="AA35" i="32" s="1"/>
  <c r="S300" i="32"/>
  <c r="V300" i="32" s="1"/>
  <c r="X300" i="32" s="1"/>
  <c r="Y300" i="32" s="1"/>
  <c r="S56" i="32"/>
  <c r="V56" i="32" s="1"/>
  <c r="X56" i="32" s="1"/>
  <c r="Y56" i="32" s="1"/>
  <c r="O261" i="32"/>
  <c r="S280" i="32"/>
  <c r="V280" i="32" s="1"/>
  <c r="X280" i="32" s="1"/>
  <c r="Y280" i="32" s="1"/>
  <c r="N79" i="33"/>
  <c r="O79" i="33" s="1"/>
  <c r="N94" i="33"/>
  <c r="M94" i="33" s="1"/>
  <c r="N100" i="33"/>
  <c r="M100" i="33" s="1"/>
  <c r="O179" i="32"/>
  <c r="N111" i="32"/>
  <c r="N301" i="32"/>
  <c r="S291" i="32"/>
  <c r="V291" i="32" s="1"/>
  <c r="X291" i="32" s="1"/>
  <c r="Y291" i="32" s="1"/>
  <c r="O125" i="32"/>
  <c r="M143" i="32"/>
  <c r="AD143" i="32" s="1"/>
  <c r="AJ143" i="32" s="1"/>
  <c r="S69" i="32"/>
  <c r="AB69" i="32" s="1"/>
  <c r="AC69" i="32" s="1"/>
  <c r="M237" i="32"/>
  <c r="AD237" i="32" s="1"/>
  <c r="AJ237" i="32" s="1"/>
  <c r="N125" i="32"/>
  <c r="M170" i="32"/>
  <c r="AD170" i="32" s="1"/>
  <c r="AJ170" i="32" s="1"/>
  <c r="S258" i="32"/>
  <c r="AB258" i="32" s="1"/>
  <c r="AC258" i="32" s="1"/>
  <c r="N212" i="32"/>
  <c r="O69" i="32"/>
  <c r="N294" i="32"/>
  <c r="O133" i="32"/>
  <c r="N93" i="33"/>
  <c r="M93" i="33" s="1"/>
  <c r="N71" i="33"/>
  <c r="O71" i="33" s="1"/>
  <c r="N75" i="33"/>
  <c r="O75" i="33" s="1"/>
  <c r="M116" i="32"/>
  <c r="Z116" i="32" s="1"/>
  <c r="AA116" i="32" s="1"/>
  <c r="S181" i="32"/>
  <c r="V181" i="32" s="1"/>
  <c r="X181" i="32" s="1"/>
  <c r="Y181" i="32" s="1"/>
  <c r="O160" i="32"/>
  <c r="O258" i="32"/>
  <c r="S211" i="32"/>
  <c r="V211" i="32" s="1"/>
  <c r="X211" i="32" s="1"/>
  <c r="Y211" i="32" s="1"/>
  <c r="S274" i="32"/>
  <c r="V274" i="32" s="1"/>
  <c r="X274" i="32" s="1"/>
  <c r="Y274" i="32" s="1"/>
  <c r="M271" i="32"/>
  <c r="AD271" i="32" s="1"/>
  <c r="AJ271" i="32" s="1"/>
  <c r="S70" i="32"/>
  <c r="AB70" i="32" s="1"/>
  <c r="AC70" i="32" s="1"/>
  <c r="S294" i="32"/>
  <c r="AB294" i="32" s="1"/>
  <c r="AC294" i="32" s="1"/>
  <c r="M133" i="32"/>
  <c r="AD133" i="32" s="1"/>
  <c r="AJ133" i="32" s="1"/>
  <c r="O52" i="32"/>
  <c r="N232" i="32"/>
  <c r="S186" i="32"/>
  <c r="V186" i="32" s="1"/>
  <c r="X186" i="32" s="1"/>
  <c r="Y186" i="32" s="1"/>
  <c r="N95" i="33"/>
  <c r="O95" i="33" s="1"/>
  <c r="N90" i="33"/>
  <c r="M90" i="33" s="1"/>
  <c r="N98" i="33"/>
  <c r="O98" i="33" s="1"/>
  <c r="O181" i="32"/>
  <c r="N53" i="32"/>
  <c r="O39" i="32"/>
  <c r="S271" i="32"/>
  <c r="V271" i="32" s="1"/>
  <c r="X271" i="32" s="1"/>
  <c r="Y271" i="32" s="1"/>
  <c r="O70" i="32"/>
  <c r="O294" i="32"/>
  <c r="S41" i="32"/>
  <c r="V41" i="32" s="1"/>
  <c r="X41" i="32" s="1"/>
  <c r="Y41" i="32" s="1"/>
  <c r="S52" i="32"/>
  <c r="V52" i="32" s="1"/>
  <c r="X52" i="32" s="1"/>
  <c r="Y52" i="32" s="1"/>
  <c r="S232" i="32"/>
  <c r="V232" i="32" s="1"/>
  <c r="X232" i="32" s="1"/>
  <c r="Y232" i="32" s="1"/>
  <c r="N78" i="33"/>
  <c r="M78" i="33" s="1"/>
  <c r="N72" i="33"/>
  <c r="M72" i="33" s="1"/>
  <c r="N84" i="33"/>
  <c r="M84" i="33" s="1"/>
  <c r="M42" i="32"/>
  <c r="AE42" i="32" s="1"/>
  <c r="O53" i="32"/>
  <c r="M39" i="32"/>
  <c r="AD39" i="32" s="1"/>
  <c r="AJ39" i="32" s="1"/>
  <c r="N246" i="32"/>
  <c r="N164" i="32"/>
  <c r="N92" i="33"/>
  <c r="O92" i="33" s="1"/>
  <c r="N68" i="33"/>
  <c r="O68" i="33" s="1"/>
  <c r="N73" i="33"/>
  <c r="O73" i="33" s="1"/>
  <c r="S119" i="16"/>
  <c r="M107" i="32"/>
  <c r="Z107" i="32" s="1"/>
  <c r="AA107" i="32" s="1"/>
  <c r="O119" i="16"/>
  <c r="S231" i="32"/>
  <c r="V231" i="32" s="1"/>
  <c r="X231" i="32" s="1"/>
  <c r="Y231" i="32" s="1"/>
  <c r="N105" i="32"/>
  <c r="O216" i="32"/>
  <c r="M302" i="32"/>
  <c r="AE302" i="32" s="1"/>
  <c r="N91" i="33"/>
  <c r="O91" i="33" s="1"/>
  <c r="N96" i="33"/>
  <c r="O96" i="33" s="1"/>
  <c r="N81" i="33"/>
  <c r="O81" i="33" s="1"/>
  <c r="N277" i="32"/>
  <c r="O293" i="32"/>
  <c r="S218" i="32"/>
  <c r="V218" i="32" s="1"/>
  <c r="X218" i="32" s="1"/>
  <c r="Y218" i="32" s="1"/>
  <c r="N253" i="32"/>
  <c r="S35" i="32"/>
  <c r="AB35" i="32" s="1"/>
  <c r="AC35" i="32" s="1"/>
  <c r="O126" i="32"/>
  <c r="O220" i="32"/>
  <c r="N83" i="33"/>
  <c r="O83" i="33" s="1"/>
  <c r="N67" i="33"/>
  <c r="O67" i="33" s="1"/>
  <c r="N74" i="33"/>
  <c r="O74" i="33" s="1"/>
  <c r="M119" i="16"/>
  <c r="AD119" i="16" s="1"/>
  <c r="N179" i="32"/>
  <c r="S76" i="32"/>
  <c r="V76" i="32" s="1"/>
  <c r="X76" i="32" s="1"/>
  <c r="Y76" i="32" s="1"/>
  <c r="S125" i="32"/>
  <c r="V125" i="32" s="1"/>
  <c r="X125" i="32" s="1"/>
  <c r="Y125" i="32" s="1"/>
  <c r="O196" i="32"/>
  <c r="S301" i="32"/>
  <c r="V301" i="32" s="1"/>
  <c r="X301" i="32" s="1"/>
  <c r="Y301" i="32" s="1"/>
  <c r="O154" i="32"/>
  <c r="M53" i="32"/>
  <c r="AD53" i="32" s="1"/>
  <c r="AJ53" i="32" s="1"/>
  <c r="N291" i="32"/>
  <c r="O286" i="32"/>
  <c r="M212" i="32"/>
  <c r="Z212" i="32" s="1"/>
  <c r="AA212" i="32" s="1"/>
  <c r="O176" i="32"/>
  <c r="N230" i="32"/>
  <c r="N293" i="32"/>
  <c r="M30" i="32"/>
  <c r="AE30" i="32" s="1"/>
  <c r="S237" i="32"/>
  <c r="AB237" i="32" s="1"/>
  <c r="AC237" i="32" s="1"/>
  <c r="O182" i="32"/>
  <c r="O113" i="32"/>
  <c r="M167" i="32"/>
  <c r="AD167" i="32" s="1"/>
  <c r="AJ167" i="32" s="1"/>
  <c r="M186" i="32"/>
  <c r="Z186" i="32" s="1"/>
  <c r="AA186" i="32" s="1"/>
  <c r="N228" i="32"/>
  <c r="S179" i="32"/>
  <c r="V179" i="32" s="1"/>
  <c r="X179" i="32" s="1"/>
  <c r="Y179" i="32" s="1"/>
  <c r="M76" i="32"/>
  <c r="AD76" i="32" s="1"/>
  <c r="AJ76" i="32" s="1"/>
  <c r="M196" i="32"/>
  <c r="Z196" i="32" s="1"/>
  <c r="AA196" i="32" s="1"/>
  <c r="S107" i="32"/>
  <c r="V107" i="32" s="1"/>
  <c r="X107" i="32" s="1"/>
  <c r="Y107" i="32" s="1"/>
  <c r="S160" i="32"/>
  <c r="V160" i="32" s="1"/>
  <c r="X160" i="32" s="1"/>
  <c r="Y160" i="32" s="1"/>
  <c r="O301" i="32"/>
  <c r="S154" i="32"/>
  <c r="V154" i="32" s="1"/>
  <c r="X154" i="32" s="1"/>
  <c r="Y154" i="32" s="1"/>
  <c r="M291" i="32"/>
  <c r="Z291" i="32" s="1"/>
  <c r="AA291" i="32" s="1"/>
  <c r="O211" i="32"/>
  <c r="N171" i="32"/>
  <c r="S293" i="32"/>
  <c r="AB293" i="32" s="1"/>
  <c r="AC293" i="32" s="1"/>
  <c r="O30" i="32"/>
  <c r="N237" i="32"/>
  <c r="S126" i="32"/>
  <c r="V126" i="32" s="1"/>
  <c r="X126" i="32" s="1"/>
  <c r="Y126" i="32" s="1"/>
  <c r="N113" i="32"/>
  <c r="S167" i="32"/>
  <c r="V167" i="32" s="1"/>
  <c r="X167" i="32" s="1"/>
  <c r="Y167" i="32" s="1"/>
  <c r="N186" i="32"/>
  <c r="O161" i="16"/>
  <c r="N107" i="32"/>
  <c r="N160" i="32"/>
  <c r="M240" i="32"/>
  <c r="AE240" i="32" s="1"/>
  <c r="O275" i="32"/>
  <c r="O77" i="32"/>
  <c r="M211" i="32"/>
  <c r="Z211" i="32" s="1"/>
  <c r="AA211" i="32" s="1"/>
  <c r="M171" i="32"/>
  <c r="Z171" i="32" s="1"/>
  <c r="AA171" i="32" s="1"/>
  <c r="S173" i="32"/>
  <c r="V173" i="32" s="1"/>
  <c r="X173" i="32" s="1"/>
  <c r="Y173" i="32" s="1"/>
  <c r="M218" i="32"/>
  <c r="Z218" i="32" s="1"/>
  <c r="AA218" i="32" s="1"/>
  <c r="S253" i="32"/>
  <c r="AB253" i="32" s="1"/>
  <c r="AC253" i="32" s="1"/>
  <c r="N126" i="32"/>
  <c r="M44" i="32"/>
  <c r="AD44" i="32" s="1"/>
  <c r="AJ44" i="32" s="1"/>
  <c r="S161" i="16"/>
  <c r="O240" i="32"/>
  <c r="S275" i="32"/>
  <c r="V275" i="32" s="1"/>
  <c r="X275" i="32" s="1"/>
  <c r="Y275" i="32" s="1"/>
  <c r="N77" i="32"/>
  <c r="O201" i="32"/>
  <c r="M198" i="32"/>
  <c r="AD198" i="32" s="1"/>
  <c r="AJ198" i="32" s="1"/>
  <c r="N173" i="32"/>
  <c r="O149" i="32"/>
  <c r="O218" i="32"/>
  <c r="O253" i="32"/>
  <c r="N44" i="32"/>
  <c r="N161" i="16"/>
  <c r="M77" i="32"/>
  <c r="Z77" i="32" s="1"/>
  <c r="AA77" i="32" s="1"/>
  <c r="M201" i="32"/>
  <c r="Z201" i="32" s="1"/>
  <c r="AA201" i="32" s="1"/>
  <c r="N198" i="32"/>
  <c r="M149" i="32"/>
  <c r="Z149" i="32" s="1"/>
  <c r="AA149" i="32" s="1"/>
  <c r="O44" i="32"/>
  <c r="M90" i="32"/>
  <c r="AE90" i="32" s="1"/>
  <c r="N88" i="32"/>
  <c r="M221" i="32"/>
  <c r="AQ36" i="32" s="1"/>
  <c r="O78" i="32"/>
  <c r="O42" i="32"/>
  <c r="S201" i="32"/>
  <c r="AB201" i="32" s="1"/>
  <c r="AC201" i="32" s="1"/>
  <c r="S112" i="32"/>
  <c r="AB112" i="32" s="1"/>
  <c r="AC112" i="32" s="1"/>
  <c r="O277" i="32"/>
  <c r="N149" i="32"/>
  <c r="N84" i="32"/>
  <c r="M100" i="32"/>
  <c r="Z100" i="32" s="1"/>
  <c r="AA100" i="32" s="1"/>
  <c r="M132" i="32"/>
  <c r="AE132" i="32" s="1"/>
  <c r="S71" i="32"/>
  <c r="AB71" i="32" s="1"/>
  <c r="AC71" i="32" s="1"/>
  <c r="N90" i="32"/>
  <c r="N88" i="16"/>
  <c r="M88" i="32"/>
  <c r="Z88" i="32" s="1"/>
  <c r="AA88" i="32" s="1"/>
  <c r="O221" i="32"/>
  <c r="O111" i="32"/>
  <c r="N78" i="32"/>
  <c r="S42" i="32"/>
  <c r="AB42" i="32" s="1"/>
  <c r="AC42" i="32" s="1"/>
  <c r="N112" i="32"/>
  <c r="S124" i="32"/>
  <c r="V124" i="32" s="1"/>
  <c r="X124" i="32" s="1"/>
  <c r="Y124" i="32" s="1"/>
  <c r="M85" i="32"/>
  <c r="AE85" i="32" s="1"/>
  <c r="S277" i="32"/>
  <c r="V277" i="32" s="1"/>
  <c r="X277" i="32" s="1"/>
  <c r="Y277" i="32" s="1"/>
  <c r="O84" i="32"/>
  <c r="S100" i="32"/>
  <c r="V100" i="32" s="1"/>
  <c r="X100" i="32" s="1"/>
  <c r="Y100" i="32" s="1"/>
  <c r="S132" i="32"/>
  <c r="V132" i="32" s="1"/>
  <c r="X132" i="32" s="1"/>
  <c r="Y132" i="32" s="1"/>
  <c r="M71" i="32"/>
  <c r="AE71" i="32" s="1"/>
  <c r="S103" i="32"/>
  <c r="V103" i="32" s="1"/>
  <c r="X103" i="32" s="1"/>
  <c r="Y103" i="32" s="1"/>
  <c r="S88" i="16"/>
  <c r="S111" i="32"/>
  <c r="V111" i="32" s="1"/>
  <c r="X111" i="32" s="1"/>
  <c r="Y111" i="32" s="1"/>
  <c r="S121" i="32"/>
  <c r="AB121" i="32" s="1"/>
  <c r="AC121" i="32" s="1"/>
  <c r="N181" i="32"/>
  <c r="N124" i="32"/>
  <c r="S212" i="32"/>
  <c r="V212" i="32" s="1"/>
  <c r="X212" i="32" s="1"/>
  <c r="Y212" i="32" s="1"/>
  <c r="N176" i="32"/>
  <c r="O230" i="32"/>
  <c r="N182" i="32"/>
  <c r="N35" i="32"/>
  <c r="O103" i="32"/>
  <c r="N274" i="32"/>
  <c r="M49" i="32"/>
  <c r="Z49" i="32" s="1"/>
  <c r="AA49" i="32" s="1"/>
  <c r="M80" i="32"/>
  <c r="AE80" i="32" s="1"/>
  <c r="S339" i="16"/>
  <c r="M153" i="32"/>
  <c r="AD153" i="32" s="1"/>
  <c r="AJ153" i="32" s="1"/>
  <c r="N300" i="32"/>
  <c r="O246" i="32"/>
  <c r="N52" i="32"/>
  <c r="N365" i="16"/>
  <c r="S239" i="32"/>
  <c r="AB239" i="32" s="1"/>
  <c r="AC239" i="32" s="1"/>
  <c r="M120" i="32"/>
  <c r="Z120" i="32" s="1"/>
  <c r="AA120" i="32" s="1"/>
  <c r="S165" i="32"/>
  <c r="AB165" i="32" s="1"/>
  <c r="AC165" i="32" s="1"/>
  <c r="S29" i="32"/>
  <c r="AB29" i="32" s="1"/>
  <c r="AC29" i="32" s="1"/>
  <c r="N220" i="32"/>
  <c r="S164" i="32"/>
  <c r="V164" i="32" s="1"/>
  <c r="X164" i="32" s="1"/>
  <c r="Y164" i="32" s="1"/>
  <c r="N239" i="32"/>
  <c r="O255" i="32"/>
  <c r="S120" i="32"/>
  <c r="AB120" i="32" s="1"/>
  <c r="AC120" i="32" s="1"/>
  <c r="N287" i="32"/>
  <c r="N43" i="32"/>
  <c r="N209" i="32"/>
  <c r="O164" i="32"/>
  <c r="O344" i="16"/>
  <c r="S59" i="32"/>
  <c r="AB59" i="32" s="1"/>
  <c r="AC59" i="32" s="1"/>
  <c r="N252" i="32"/>
  <c r="S297" i="32"/>
  <c r="AB297" i="32" s="1"/>
  <c r="AC297" i="32" s="1"/>
  <c r="S302" i="32"/>
  <c r="V302" i="32" s="1"/>
  <c r="X302" i="32" s="1"/>
  <c r="Y302" i="32" s="1"/>
  <c r="S40" i="32"/>
  <c r="V40" i="32" s="1"/>
  <c r="X40" i="32" s="1"/>
  <c r="Y40" i="32" s="1"/>
  <c r="N344" i="16"/>
  <c r="S37" i="32"/>
  <c r="V37" i="32" s="1"/>
  <c r="X37" i="32" s="1"/>
  <c r="Y37" i="32" s="1"/>
  <c r="O306" i="32"/>
  <c r="S247" i="32"/>
  <c r="AB247" i="32" s="1"/>
  <c r="AC247" i="32" s="1"/>
  <c r="S344" i="16"/>
  <c r="O37" i="32"/>
  <c r="N131" i="32"/>
  <c r="M306" i="32"/>
  <c r="AD306" i="32" s="1"/>
  <c r="AJ306" i="32" s="1"/>
  <c r="O252" i="32"/>
  <c r="M37" i="32"/>
  <c r="Z37" i="32" s="1"/>
  <c r="AA37" i="32" s="1"/>
  <c r="N155" i="32"/>
  <c r="M41" i="32"/>
  <c r="Z41" i="32" s="1"/>
  <c r="AA41" i="32" s="1"/>
  <c r="N339" i="16"/>
  <c r="M74" i="32"/>
  <c r="AD74" i="32" s="1"/>
  <c r="AJ74" i="32" s="1"/>
  <c r="O138" i="32"/>
  <c r="O339" i="16"/>
  <c r="O288" i="32"/>
  <c r="M55" i="32"/>
  <c r="AD55" i="32" s="1"/>
  <c r="AJ55" i="32" s="1"/>
  <c r="M300" i="32"/>
  <c r="AE300" i="32" s="1"/>
  <c r="O155" i="32"/>
  <c r="O41" i="32"/>
  <c r="O273" i="32"/>
  <c r="S55" i="32"/>
  <c r="V55" i="32" s="1"/>
  <c r="X55" i="32" s="1"/>
  <c r="Y55" i="32" s="1"/>
  <c r="O80" i="32"/>
  <c r="S288" i="32"/>
  <c r="V288" i="32" s="1"/>
  <c r="X288" i="32" s="1"/>
  <c r="Y288" i="32" s="1"/>
  <c r="N188" i="32"/>
  <c r="M239" i="32"/>
  <c r="Z239" i="32" s="1"/>
  <c r="AA239" i="32" s="1"/>
  <c r="N255" i="32"/>
  <c r="S74" i="32"/>
  <c r="V74" i="32" s="1"/>
  <c r="X74" i="32" s="1"/>
  <c r="Y74" i="32" s="1"/>
  <c r="N153" i="32"/>
  <c r="M287" i="32"/>
  <c r="Z287" i="32" s="1"/>
  <c r="AA287" i="32" s="1"/>
  <c r="M131" i="32"/>
  <c r="AE131" i="32" s="1"/>
  <c r="N110" i="32"/>
  <c r="N306" i="32"/>
  <c r="S43" i="32"/>
  <c r="V43" i="32" s="1"/>
  <c r="X43" i="32" s="1"/>
  <c r="Y43" i="32" s="1"/>
  <c r="O297" i="32"/>
  <c r="O247" i="32"/>
  <c r="N97" i="32"/>
  <c r="N29" i="32"/>
  <c r="M47" i="32"/>
  <c r="AD47" i="32" s="1"/>
  <c r="AJ47" i="32" s="1"/>
  <c r="S178" i="32"/>
  <c r="AB178" i="32" s="1"/>
  <c r="AC178" i="32" s="1"/>
  <c r="N257" i="32"/>
  <c r="O40" i="32"/>
  <c r="O104" i="32"/>
  <c r="N268" i="32"/>
  <c r="M146" i="32"/>
  <c r="Z146" i="32" s="1"/>
  <c r="AA146" i="32" s="1"/>
  <c r="S188" i="32"/>
  <c r="V188" i="32" s="1"/>
  <c r="X188" i="32" s="1"/>
  <c r="Y188" i="32" s="1"/>
  <c r="O49" i="32"/>
  <c r="S131" i="32"/>
  <c r="V131" i="32" s="1"/>
  <c r="X131" i="32" s="1"/>
  <c r="Y131" i="32" s="1"/>
  <c r="O43" i="32"/>
  <c r="S80" i="32"/>
  <c r="V80" i="32" s="1"/>
  <c r="X80" i="32" s="1"/>
  <c r="Y80" i="32" s="1"/>
  <c r="M273" i="32"/>
  <c r="AD273" i="32" s="1"/>
  <c r="AJ273" i="32" s="1"/>
  <c r="O191" i="32"/>
  <c r="S49" i="32"/>
  <c r="V49" i="32" s="1"/>
  <c r="X49" i="32" s="1"/>
  <c r="Y49" i="32" s="1"/>
  <c r="N59" i="32"/>
  <c r="S128" i="32"/>
  <c r="V128" i="32" s="1"/>
  <c r="X128" i="32" s="1"/>
  <c r="Y128" i="32" s="1"/>
  <c r="O55" i="32"/>
  <c r="S284" i="32"/>
  <c r="V284" i="32" s="1"/>
  <c r="X284" i="32" s="1"/>
  <c r="Y284" i="32" s="1"/>
  <c r="M165" i="32"/>
  <c r="AE165" i="32" s="1"/>
  <c r="N75" i="32"/>
  <c r="N138" i="32"/>
  <c r="S273" i="32"/>
  <c r="AB273" i="32" s="1"/>
  <c r="AC273" i="32" s="1"/>
  <c r="M191" i="32"/>
  <c r="Z191" i="32" s="1"/>
  <c r="AA191" i="32" s="1"/>
  <c r="O151" i="32"/>
  <c r="O59" i="32"/>
  <c r="M128" i="32"/>
  <c r="AE128" i="32" s="1"/>
  <c r="O284" i="32"/>
  <c r="O197" i="32"/>
  <c r="M205" i="32"/>
  <c r="Z205" i="32" s="1"/>
  <c r="AA205" i="32" s="1"/>
  <c r="N165" i="32"/>
  <c r="M75" i="32"/>
  <c r="Z75" i="32" s="1"/>
  <c r="AA75" i="32" s="1"/>
  <c r="S138" i="32"/>
  <c r="V138" i="32" s="1"/>
  <c r="X138" i="32" s="1"/>
  <c r="Y138" i="32" s="1"/>
  <c r="O75" i="32"/>
  <c r="M244" i="32"/>
  <c r="Z244" i="32" s="1"/>
  <c r="AA244" i="32" s="1"/>
  <c r="S191" i="32"/>
  <c r="AB191" i="32" s="1"/>
  <c r="AC191" i="32" s="1"/>
  <c r="N233" i="32"/>
  <c r="N225" i="32"/>
  <c r="S151" i="32"/>
  <c r="AB151" i="32" s="1"/>
  <c r="AC151" i="32" s="1"/>
  <c r="O214" i="32"/>
  <c r="O83" i="32"/>
  <c r="N128" i="32"/>
  <c r="N284" i="32"/>
  <c r="S197" i="32"/>
  <c r="AB197" i="32" s="1"/>
  <c r="AC197" i="32" s="1"/>
  <c r="S205" i="32"/>
  <c r="V205" i="32" s="1"/>
  <c r="X205" i="32" s="1"/>
  <c r="Y205" i="32" s="1"/>
  <c r="M236" i="32"/>
  <c r="AE236" i="32" s="1"/>
  <c r="M89" i="32"/>
  <c r="AD89" i="32" s="1"/>
  <c r="AJ89" i="32" s="1"/>
  <c r="S156" i="32"/>
  <c r="V156" i="32" s="1"/>
  <c r="X156" i="32" s="1"/>
  <c r="Y156" i="32" s="1"/>
  <c r="M129" i="32"/>
  <c r="Z129" i="32" s="1"/>
  <c r="AA129" i="32" s="1"/>
  <c r="M134" i="32"/>
  <c r="AD134" i="32" s="1"/>
  <c r="AJ134" i="32" s="1"/>
  <c r="O298" i="32"/>
  <c r="S157" i="32"/>
  <c r="V157" i="32" s="1"/>
  <c r="X157" i="32" s="1"/>
  <c r="Y157" i="32" s="1"/>
  <c r="M187" i="32"/>
  <c r="Z187" i="32" s="1"/>
  <c r="AA187" i="32" s="1"/>
  <c r="S244" i="32"/>
  <c r="AB244" i="32" s="1"/>
  <c r="AC244" i="32" s="1"/>
  <c r="O33" i="32"/>
  <c r="M233" i="32"/>
  <c r="Z233" i="32" s="1"/>
  <c r="AA233" i="32" s="1"/>
  <c r="M225" i="32"/>
  <c r="AD225" i="32" s="1"/>
  <c r="AJ225" i="32" s="1"/>
  <c r="M151" i="32"/>
  <c r="AE151" i="32" s="1"/>
  <c r="S214" i="32"/>
  <c r="V214" i="32" s="1"/>
  <c r="X214" i="32" s="1"/>
  <c r="Y214" i="32" s="1"/>
  <c r="M83" i="32"/>
  <c r="AE83" i="32" s="1"/>
  <c r="N127" i="32"/>
  <c r="O65" i="32"/>
  <c r="N205" i="32"/>
  <c r="S236" i="32"/>
  <c r="V236" i="32" s="1"/>
  <c r="X236" i="32" s="1"/>
  <c r="Y236" i="32" s="1"/>
  <c r="O227" i="32"/>
  <c r="N156" i="32"/>
  <c r="O129" i="32"/>
  <c r="S134" i="32"/>
  <c r="V134" i="32" s="1"/>
  <c r="X134" i="32" s="1"/>
  <c r="Y134" i="32" s="1"/>
  <c r="S298" i="32"/>
  <c r="V298" i="32" s="1"/>
  <c r="X298" i="32" s="1"/>
  <c r="Y298" i="32" s="1"/>
  <c r="M157" i="32"/>
  <c r="AE157" i="32" s="1"/>
  <c r="O187" i="32"/>
  <c r="N244" i="32"/>
  <c r="N33" i="32"/>
  <c r="M285" i="32"/>
  <c r="AD285" i="32" s="1"/>
  <c r="AJ285" i="32" s="1"/>
  <c r="S233" i="32"/>
  <c r="AB233" i="32" s="1"/>
  <c r="AC233" i="32" s="1"/>
  <c r="S225" i="32"/>
  <c r="AB225" i="32" s="1"/>
  <c r="AC225" i="32" s="1"/>
  <c r="M109" i="32"/>
  <c r="AD109" i="32" s="1"/>
  <c r="AJ109" i="32" s="1"/>
  <c r="N214" i="32"/>
  <c r="N83" i="32"/>
  <c r="M127" i="32"/>
  <c r="Z127" i="32" s="1"/>
  <c r="AA127" i="32" s="1"/>
  <c r="N65" i="32"/>
  <c r="O236" i="32"/>
  <c r="S227" i="32"/>
  <c r="V227" i="32" s="1"/>
  <c r="X227" i="32" s="1"/>
  <c r="Y227" i="32" s="1"/>
  <c r="M156" i="32"/>
  <c r="Z156" i="32" s="1"/>
  <c r="AA156" i="32" s="1"/>
  <c r="N134" i="32"/>
  <c r="M298" i="32"/>
  <c r="Z298" i="32" s="1"/>
  <c r="AA298" i="32" s="1"/>
  <c r="N187" i="32"/>
  <c r="S33" i="32"/>
  <c r="V33" i="32" s="1"/>
  <c r="X33" i="32" s="1"/>
  <c r="Y33" i="32" s="1"/>
  <c r="N285" i="32"/>
  <c r="O109" i="32"/>
  <c r="S110" i="32"/>
  <c r="V110" i="32" s="1"/>
  <c r="X110" i="32" s="1"/>
  <c r="Y110" i="32" s="1"/>
  <c r="S127" i="32"/>
  <c r="V127" i="32" s="1"/>
  <c r="X127" i="32" s="1"/>
  <c r="Y127" i="32" s="1"/>
  <c r="M65" i="32"/>
  <c r="AD65" i="32" s="1"/>
  <c r="AJ65" i="32" s="1"/>
  <c r="M227" i="32"/>
  <c r="AD227" i="32" s="1"/>
  <c r="AJ227" i="32" s="1"/>
  <c r="M257" i="32"/>
  <c r="AD257" i="32" s="1"/>
  <c r="AJ257" i="32" s="1"/>
  <c r="M288" i="32"/>
  <c r="Z288" i="32" s="1"/>
  <c r="AA288" i="32" s="1"/>
  <c r="O285" i="32"/>
  <c r="M255" i="32"/>
  <c r="AE255" i="32" s="1"/>
  <c r="O74" i="32"/>
  <c r="N109" i="32"/>
  <c r="O287" i="32"/>
  <c r="M110" i="32"/>
  <c r="AE110" i="32" s="1"/>
  <c r="N247" i="32"/>
  <c r="O257" i="32"/>
  <c r="N47" i="32"/>
  <c r="N119" i="32"/>
  <c r="M95" i="32"/>
  <c r="AE95" i="32" s="1"/>
  <c r="S207" i="32"/>
  <c r="V207" i="32" s="1"/>
  <c r="X207" i="32" s="1"/>
  <c r="Y207" i="32" s="1"/>
  <c r="S174" i="32"/>
  <c r="V174" i="32" s="1"/>
  <c r="X174" i="32" s="1"/>
  <c r="Y174" i="32" s="1"/>
  <c r="M249" i="32"/>
  <c r="AE249" i="32" s="1"/>
  <c r="M145" i="32"/>
  <c r="AD145" i="32" s="1"/>
  <c r="AJ145" i="32" s="1"/>
  <c r="O198" i="32"/>
  <c r="S85" i="32"/>
  <c r="AB85" i="32" s="1"/>
  <c r="AC85" i="32" s="1"/>
  <c r="M203" i="32"/>
  <c r="AE203" i="32" s="1"/>
  <c r="M274" i="32"/>
  <c r="Z274" i="32" s="1"/>
  <c r="AA274" i="32" s="1"/>
  <c r="S30" i="32"/>
  <c r="V30" i="32" s="1"/>
  <c r="X30" i="32" s="1"/>
  <c r="Y30" i="32" s="1"/>
  <c r="N259" i="32"/>
  <c r="O119" i="32"/>
  <c r="S303" i="32"/>
  <c r="V303" i="32" s="1"/>
  <c r="X303" i="32" s="1"/>
  <c r="Y303" i="32" s="1"/>
  <c r="N223" i="32"/>
  <c r="M103" i="32"/>
  <c r="Z103" i="32" s="1"/>
  <c r="AA103" i="32" s="1"/>
  <c r="S224" i="32"/>
  <c r="V224" i="32" s="1"/>
  <c r="X224" i="32" s="1"/>
  <c r="Y224" i="32" s="1"/>
  <c r="O189" i="32"/>
  <c r="M60" i="32"/>
  <c r="AD60" i="32" s="1"/>
  <c r="AJ60" i="32" s="1"/>
  <c r="M183" i="32"/>
  <c r="Z183" i="32" s="1"/>
  <c r="AA183" i="32" s="1"/>
  <c r="M54" i="32"/>
  <c r="Z54" i="32" s="1"/>
  <c r="AA54" i="32" s="1"/>
  <c r="M290" i="32"/>
  <c r="Z290" i="32" s="1"/>
  <c r="AA290" i="32" s="1"/>
  <c r="S262" i="32"/>
  <c r="V262" i="32" s="1"/>
  <c r="X262" i="32" s="1"/>
  <c r="Y262" i="32" s="1"/>
  <c r="N159" i="32"/>
  <c r="M72" i="32"/>
  <c r="AE72" i="32" s="1"/>
  <c r="O64" i="32"/>
  <c r="O238" i="32"/>
  <c r="S235" i="32"/>
  <c r="AB235" i="32" s="1"/>
  <c r="AC235" i="32" s="1"/>
  <c r="M242" i="32"/>
  <c r="AD242" i="32" s="1"/>
  <c r="AJ242" i="32" s="1"/>
  <c r="O203" i="32"/>
  <c r="N189" i="32"/>
  <c r="N60" i="32"/>
  <c r="O183" i="32"/>
  <c r="O54" i="32"/>
  <c r="O290" i="32"/>
  <c r="N262" i="32"/>
  <c r="O159" i="32"/>
  <c r="O72" i="32"/>
  <c r="S64" i="32"/>
  <c r="V64" i="32" s="1"/>
  <c r="X64" i="32" s="1"/>
  <c r="Y64" i="32" s="1"/>
  <c r="S238" i="32"/>
  <c r="V238" i="32" s="1"/>
  <c r="X238" i="32" s="1"/>
  <c r="Y238" i="32" s="1"/>
  <c r="M235" i="32"/>
  <c r="AE235" i="32" s="1"/>
  <c r="O242" i="32"/>
  <c r="M189" i="32"/>
  <c r="Z189" i="32" s="1"/>
  <c r="AA189" i="32" s="1"/>
  <c r="O60" i="32"/>
  <c r="S183" i="32"/>
  <c r="V183" i="32" s="1"/>
  <c r="X183" i="32" s="1"/>
  <c r="Y183" i="32" s="1"/>
  <c r="S54" i="32"/>
  <c r="V54" i="32" s="1"/>
  <c r="X54" i="32" s="1"/>
  <c r="Y54" i="32" s="1"/>
  <c r="N290" i="32"/>
  <c r="M262" i="32"/>
  <c r="Z262" i="32" s="1"/>
  <c r="AA262" i="32" s="1"/>
  <c r="S159" i="32"/>
  <c r="V159" i="32" s="1"/>
  <c r="X159" i="32" s="1"/>
  <c r="Y159" i="32" s="1"/>
  <c r="S72" i="32"/>
  <c r="V72" i="32" s="1"/>
  <c r="X72" i="32" s="1"/>
  <c r="Y72" i="32" s="1"/>
  <c r="N64" i="32"/>
  <c r="N238" i="32"/>
  <c r="O235" i="32"/>
  <c r="N242" i="32"/>
  <c r="N95" i="32"/>
  <c r="N87" i="32"/>
  <c r="S108" i="32"/>
  <c r="AB108" i="32" s="1"/>
  <c r="AC108" i="32" s="1"/>
  <c r="S180" i="32"/>
  <c r="AB180" i="32" s="1"/>
  <c r="AC180" i="32" s="1"/>
  <c r="S27" i="32"/>
  <c r="S192" i="32"/>
  <c r="V192" i="32" s="1"/>
  <c r="X192" i="32" s="1"/>
  <c r="Y192" i="32" s="1"/>
  <c r="O135" i="32"/>
  <c r="M241" i="32"/>
  <c r="AD241" i="32" s="1"/>
  <c r="AJ241" i="32" s="1"/>
  <c r="O62" i="32"/>
  <c r="O174" i="32"/>
  <c r="O224" i="32"/>
  <c r="M87" i="32"/>
  <c r="AD87" i="32" s="1"/>
  <c r="AJ87" i="32" s="1"/>
  <c r="N108" i="32"/>
  <c r="O180" i="32"/>
  <c r="O27" i="32"/>
  <c r="M192" i="32"/>
  <c r="Z192" i="32" s="1"/>
  <c r="AA192" i="32" s="1"/>
  <c r="S135" i="32"/>
  <c r="V135" i="32" s="1"/>
  <c r="X135" i="32" s="1"/>
  <c r="Y135" i="32" s="1"/>
  <c r="N241" i="32"/>
  <c r="N62" i="32"/>
  <c r="S259" i="32"/>
  <c r="V259" i="32" s="1"/>
  <c r="X259" i="32" s="1"/>
  <c r="Y259" i="32" s="1"/>
  <c r="O223" i="32"/>
  <c r="O87" i="32"/>
  <c r="O108" i="32"/>
  <c r="M180" i="32"/>
  <c r="AD180" i="32" s="1"/>
  <c r="AJ180" i="32" s="1"/>
  <c r="N27" i="32"/>
  <c r="N192" i="32"/>
  <c r="M135" i="32"/>
  <c r="Z135" i="32" s="1"/>
  <c r="AA135" i="32" s="1"/>
  <c r="O241" i="32"/>
  <c r="M62" i="32"/>
  <c r="AE62" i="32" s="1"/>
  <c r="M207" i="32"/>
  <c r="AD207" i="32" s="1"/>
  <c r="AJ207" i="32" s="1"/>
  <c r="S249" i="32"/>
  <c r="AB249" i="32" s="1"/>
  <c r="AC249" i="32" s="1"/>
  <c r="O145" i="32"/>
  <c r="N303" i="32"/>
  <c r="M99" i="33"/>
  <c r="Z163" i="32"/>
  <c r="AA163" i="32" s="1"/>
  <c r="AD163" i="32"/>
  <c r="AJ163" i="32" s="1"/>
  <c r="AE163" i="32"/>
  <c r="Z194" i="32"/>
  <c r="AA194" i="32" s="1"/>
  <c r="AE194" i="32"/>
  <c r="AD194" i="32"/>
  <c r="AJ194" i="32" s="1"/>
  <c r="Z217" i="32"/>
  <c r="AA217" i="32" s="1"/>
  <c r="AE217" i="32"/>
  <c r="AQ32" i="32"/>
  <c r="AD217" i="32"/>
  <c r="AJ217" i="32" s="1"/>
  <c r="Z195" i="32"/>
  <c r="AA195" i="32" s="1"/>
  <c r="AE195" i="32"/>
  <c r="AD195" i="32"/>
  <c r="AJ195" i="32" s="1"/>
  <c r="V177" i="32"/>
  <c r="X177" i="32" s="1"/>
  <c r="Y177" i="32" s="1"/>
  <c r="AB177" i="32"/>
  <c r="AC177" i="32" s="1"/>
  <c r="Z222" i="32"/>
  <c r="AA222" i="32" s="1"/>
  <c r="AD222" i="32"/>
  <c r="AJ222" i="32" s="1"/>
  <c r="AQ37" i="32"/>
  <c r="AE222" i="32"/>
  <c r="Z286" i="32"/>
  <c r="AA286" i="32" s="1"/>
  <c r="AD286" i="32"/>
  <c r="AJ286" i="32" s="1"/>
  <c r="AE286" i="32"/>
  <c r="V94" i="32"/>
  <c r="X94" i="32" s="1"/>
  <c r="Y94" i="32" s="1"/>
  <c r="AB94" i="32"/>
  <c r="AC94" i="32" s="1"/>
  <c r="AD137" i="32"/>
  <c r="AJ137" i="32" s="1"/>
  <c r="AE137" i="32"/>
  <c r="Z137" i="32"/>
  <c r="AA137" i="32" s="1"/>
  <c r="AD38" i="32"/>
  <c r="AJ38" i="32" s="1"/>
  <c r="Z38" i="32"/>
  <c r="AA38" i="32" s="1"/>
  <c r="AE38" i="32"/>
  <c r="V257" i="32"/>
  <c r="X257" i="32" s="1"/>
  <c r="Y257" i="32" s="1"/>
  <c r="AB257" i="32"/>
  <c r="AC257" i="32" s="1"/>
  <c r="V129" i="32"/>
  <c r="X129" i="32" s="1"/>
  <c r="Y129" i="32" s="1"/>
  <c r="AB129" i="32"/>
  <c r="AC129" i="32" s="1"/>
  <c r="Z73" i="32"/>
  <c r="AA73" i="32" s="1"/>
  <c r="AD73" i="32"/>
  <c r="AJ73" i="32" s="1"/>
  <c r="AE73" i="32"/>
  <c r="Z232" i="32"/>
  <c r="AA232" i="32" s="1"/>
  <c r="AE232" i="32"/>
  <c r="AD232" i="32"/>
  <c r="AJ232" i="32" s="1"/>
  <c r="AD184" i="32"/>
  <c r="AJ184" i="32" s="1"/>
  <c r="AE184" i="32"/>
  <c r="Z184" i="32"/>
  <c r="AA184" i="32" s="1"/>
  <c r="V90" i="32"/>
  <c r="X90" i="32" s="1"/>
  <c r="Y90" i="32" s="1"/>
  <c r="AB90" i="32"/>
  <c r="AC90" i="32" s="1"/>
  <c r="V87" i="32"/>
  <c r="X87" i="32" s="1"/>
  <c r="Y87" i="32" s="1"/>
  <c r="AB87" i="32"/>
  <c r="AC87" i="32" s="1"/>
  <c r="V189" i="32"/>
  <c r="X189" i="32" s="1"/>
  <c r="Y189" i="32" s="1"/>
  <c r="AB189" i="32"/>
  <c r="AC189" i="32" s="1"/>
  <c r="V88" i="32"/>
  <c r="X88" i="32" s="1"/>
  <c r="Y88" i="32" s="1"/>
  <c r="AB88" i="32"/>
  <c r="AC88" i="32" s="1"/>
  <c r="AE108" i="32"/>
  <c r="Z108" i="32"/>
  <c r="AA108" i="32" s="1"/>
  <c r="AD108" i="32"/>
  <c r="AJ108" i="32" s="1"/>
  <c r="V60" i="32"/>
  <c r="X60" i="32" s="1"/>
  <c r="Y60" i="32" s="1"/>
  <c r="AB60" i="32"/>
  <c r="AC60" i="32" s="1"/>
  <c r="Z111" i="32"/>
  <c r="AA111" i="32" s="1"/>
  <c r="AD111" i="32"/>
  <c r="AJ111" i="32" s="1"/>
  <c r="AE111" i="32"/>
  <c r="AB196" i="32"/>
  <c r="AC196" i="32" s="1"/>
  <c r="V196" i="32"/>
  <c r="X196" i="32" s="1"/>
  <c r="Y196" i="32" s="1"/>
  <c r="V58" i="32"/>
  <c r="X58" i="32" s="1"/>
  <c r="Y58" i="32" s="1"/>
  <c r="AB58" i="32"/>
  <c r="AC58" i="32" s="1"/>
  <c r="AB279" i="32"/>
  <c r="AC279" i="32" s="1"/>
  <c r="V279" i="32"/>
  <c r="X279" i="32" s="1"/>
  <c r="Y279" i="32" s="1"/>
  <c r="AB148" i="32"/>
  <c r="AC148" i="32" s="1"/>
  <c r="V148" i="32"/>
  <c r="X148" i="32" s="1"/>
  <c r="Y148" i="32" s="1"/>
  <c r="Z260" i="32"/>
  <c r="AA260" i="32" s="1"/>
  <c r="AE260" i="32"/>
  <c r="AD260" i="32"/>
  <c r="AJ260" i="32" s="1"/>
  <c r="AD96" i="32"/>
  <c r="AJ96" i="32" s="1"/>
  <c r="AE96" i="32"/>
  <c r="Z96" i="32"/>
  <c r="AA96" i="32" s="1"/>
  <c r="V57" i="32"/>
  <c r="X57" i="32" s="1"/>
  <c r="Y57" i="32" s="1"/>
  <c r="AB57" i="32"/>
  <c r="AC57" i="32" s="1"/>
  <c r="V78" i="32"/>
  <c r="X78" i="32" s="1"/>
  <c r="Y78" i="32" s="1"/>
  <c r="AB78" i="32"/>
  <c r="AC78" i="32" s="1"/>
  <c r="V92" i="32"/>
  <c r="X92" i="32" s="1"/>
  <c r="Y92" i="32" s="1"/>
  <c r="AB92" i="32"/>
  <c r="AC92" i="32" s="1"/>
  <c r="V115" i="32"/>
  <c r="X115" i="32" s="1"/>
  <c r="Y115" i="32" s="1"/>
  <c r="AB115" i="32"/>
  <c r="AC115" i="32" s="1"/>
  <c r="V142" i="32"/>
  <c r="X142" i="32" s="1"/>
  <c r="Y142" i="32" s="1"/>
  <c r="AB142" i="32"/>
  <c r="AC142" i="32" s="1"/>
  <c r="Z208" i="32"/>
  <c r="AA208" i="32" s="1"/>
  <c r="AE208" i="32"/>
  <c r="AD208" i="32"/>
  <c r="AJ208" i="32" s="1"/>
  <c r="Z147" i="32"/>
  <c r="AA147" i="32" s="1"/>
  <c r="Z112" i="32"/>
  <c r="AA112" i="32" s="1"/>
  <c r="AE112" i="32"/>
  <c r="AD112" i="32"/>
  <c r="AJ112" i="32" s="1"/>
  <c r="AB109" i="32"/>
  <c r="AC109" i="32" s="1"/>
  <c r="V109" i="32"/>
  <c r="X109" i="32" s="1"/>
  <c r="Y109" i="32" s="1"/>
  <c r="V106" i="32"/>
  <c r="X106" i="32" s="1"/>
  <c r="Y106" i="32" s="1"/>
  <c r="AB106" i="32"/>
  <c r="AC106" i="32" s="1"/>
  <c r="V290" i="32"/>
  <c r="X290" i="32" s="1"/>
  <c r="Y290" i="32" s="1"/>
  <c r="AB290" i="32"/>
  <c r="AC290" i="32" s="1"/>
  <c r="V39" i="32"/>
  <c r="X39" i="32" s="1"/>
  <c r="Y39" i="32" s="1"/>
  <c r="AB39" i="32"/>
  <c r="AC39" i="32" s="1"/>
  <c r="V171" i="32"/>
  <c r="X171" i="32" s="1"/>
  <c r="Y171" i="32" s="1"/>
  <c r="AB171" i="32"/>
  <c r="AC171" i="32" s="1"/>
  <c r="V83" i="32"/>
  <c r="X83" i="32" s="1"/>
  <c r="Y83" i="32" s="1"/>
  <c r="AB83" i="32"/>
  <c r="AC83" i="32" s="1"/>
  <c r="V99" i="32"/>
  <c r="X99" i="32" s="1"/>
  <c r="Y99" i="32" s="1"/>
  <c r="AB99" i="32"/>
  <c r="AC99" i="32" s="1"/>
  <c r="AD69" i="32"/>
  <c r="AJ69" i="32" s="1"/>
  <c r="Z69" i="32"/>
  <c r="AA69" i="32" s="1"/>
  <c r="AE69" i="32"/>
  <c r="V149" i="32"/>
  <c r="X149" i="32" s="1"/>
  <c r="Y149" i="32" s="1"/>
  <c r="AB149" i="32"/>
  <c r="AC149" i="32" s="1"/>
  <c r="AD84" i="32"/>
  <c r="AJ84" i="32" s="1"/>
  <c r="Z84" i="32"/>
  <c r="AA84" i="32" s="1"/>
  <c r="AE84" i="32"/>
  <c r="Z105" i="32"/>
  <c r="AA105" i="32" s="1"/>
  <c r="AD105" i="32"/>
  <c r="AJ105" i="32" s="1"/>
  <c r="AE105" i="32"/>
  <c r="AE197" i="32"/>
  <c r="AD197" i="32"/>
  <c r="AJ197" i="32" s="1"/>
  <c r="Z197" i="32"/>
  <c r="AA197" i="32" s="1"/>
  <c r="AD185" i="32"/>
  <c r="AJ185" i="32" s="1"/>
  <c r="Z185" i="32"/>
  <c r="AA185" i="32" s="1"/>
  <c r="AE185" i="32"/>
  <c r="AD64" i="32"/>
  <c r="AJ64" i="32" s="1"/>
  <c r="AE64" i="32"/>
  <c r="Z64" i="32"/>
  <c r="AA64" i="32" s="1"/>
  <c r="Z79" i="32"/>
  <c r="AA79" i="32" s="1"/>
  <c r="AD79" i="32"/>
  <c r="AJ79" i="32" s="1"/>
  <c r="AE79" i="32"/>
  <c r="Z238" i="32"/>
  <c r="AA238" i="32" s="1"/>
  <c r="AD238" i="32"/>
  <c r="AJ238" i="32" s="1"/>
  <c r="AE238" i="32"/>
  <c r="V113" i="32"/>
  <c r="X113" i="32" s="1"/>
  <c r="Y113" i="32" s="1"/>
  <c r="AB113" i="32"/>
  <c r="AC113" i="32" s="1"/>
  <c r="V155" i="32"/>
  <c r="X155" i="32" s="1"/>
  <c r="Y155" i="32" s="1"/>
  <c r="AB155" i="32"/>
  <c r="AC155" i="32" s="1"/>
  <c r="AB242" i="32"/>
  <c r="AC242" i="32" s="1"/>
  <c r="V242" i="32"/>
  <c r="X242" i="32" s="1"/>
  <c r="Y242" i="32" s="1"/>
  <c r="V304" i="32"/>
  <c r="X304" i="32" s="1"/>
  <c r="Y304" i="32" s="1"/>
  <c r="AB304" i="32"/>
  <c r="AC304" i="32" s="1"/>
  <c r="Z311" i="32"/>
  <c r="AA311" i="32" s="1"/>
  <c r="AD311" i="32"/>
  <c r="AJ311" i="32" s="1"/>
  <c r="AE311" i="32"/>
  <c r="V81" i="32"/>
  <c r="X81" i="32" s="1"/>
  <c r="Y81" i="32" s="1"/>
  <c r="AB81" i="32"/>
  <c r="AC81" i="32" s="1"/>
  <c r="V62" i="32"/>
  <c r="X62" i="32" s="1"/>
  <c r="Y62" i="32" s="1"/>
  <c r="AB62" i="32"/>
  <c r="AC62" i="32" s="1"/>
  <c r="AE219" i="32"/>
  <c r="Z219" i="32"/>
  <c r="AA219" i="32" s="1"/>
  <c r="AD219" i="32"/>
  <c r="AJ219" i="32" s="1"/>
  <c r="AQ34" i="32"/>
  <c r="AD210" i="32"/>
  <c r="AJ210" i="32" s="1"/>
  <c r="Z210" i="32"/>
  <c r="AA210" i="32" s="1"/>
  <c r="AE210" i="32"/>
  <c r="AD256" i="32"/>
  <c r="AJ256" i="32" s="1"/>
  <c r="AE256" i="32"/>
  <c r="Z256" i="32"/>
  <c r="AA256" i="32" s="1"/>
  <c r="V198" i="32"/>
  <c r="X198" i="32" s="1"/>
  <c r="Y198" i="32" s="1"/>
  <c r="AB198" i="32"/>
  <c r="AC198" i="32" s="1"/>
  <c r="Z31" i="32"/>
  <c r="AA31" i="32" s="1"/>
  <c r="AE246" i="32"/>
  <c r="Z246" i="32"/>
  <c r="AA246" i="32" s="1"/>
  <c r="AD246" i="32"/>
  <c r="AJ246" i="32" s="1"/>
  <c r="AB116" i="32"/>
  <c r="AC116" i="32" s="1"/>
  <c r="V116" i="32"/>
  <c r="X116" i="32" s="1"/>
  <c r="Y116" i="32" s="1"/>
  <c r="AB287" i="32"/>
  <c r="AC287" i="32" s="1"/>
  <c r="V287" i="32"/>
  <c r="X287" i="32" s="1"/>
  <c r="Y287" i="32" s="1"/>
  <c r="Z152" i="32"/>
  <c r="AA152" i="32" s="1"/>
  <c r="AD152" i="32"/>
  <c r="AJ152" i="32" s="1"/>
  <c r="AE152" i="32"/>
  <c r="Z284" i="32"/>
  <c r="AA284" i="32" s="1"/>
  <c r="AE284" i="32"/>
  <c r="AD284" i="32"/>
  <c r="AJ284" i="32" s="1"/>
  <c r="V162" i="32"/>
  <c r="X162" i="32" s="1"/>
  <c r="Y162" i="32" s="1"/>
  <c r="AB162" i="32"/>
  <c r="AC162" i="32" s="1"/>
  <c r="Z297" i="32"/>
  <c r="AA297" i="32" s="1"/>
  <c r="AE297" i="32"/>
  <c r="AD297" i="32"/>
  <c r="AJ297" i="32" s="1"/>
  <c r="Z247" i="32"/>
  <c r="AA247" i="32" s="1"/>
  <c r="AD247" i="32"/>
  <c r="AJ247" i="32" s="1"/>
  <c r="AE247" i="32"/>
  <c r="Z40" i="32"/>
  <c r="AA40" i="32" s="1"/>
  <c r="AD40" i="32"/>
  <c r="AJ40" i="32" s="1"/>
  <c r="AE40" i="32"/>
  <c r="Z200" i="32"/>
  <c r="AA200" i="32" s="1"/>
  <c r="AD200" i="32"/>
  <c r="AJ200" i="32" s="1"/>
  <c r="V146" i="32"/>
  <c r="X146" i="32" s="1"/>
  <c r="Y146" i="32" s="1"/>
  <c r="AB146" i="32"/>
  <c r="AC146" i="32" s="1"/>
  <c r="V95" i="32"/>
  <c r="X95" i="32" s="1"/>
  <c r="Y95" i="32" s="1"/>
  <c r="AB95" i="32"/>
  <c r="AC95" i="32" s="1"/>
  <c r="Z179" i="32"/>
  <c r="AA179" i="32" s="1"/>
  <c r="AD179" i="32"/>
  <c r="AJ179" i="32" s="1"/>
  <c r="AE179" i="32"/>
  <c r="AE301" i="32"/>
  <c r="Z301" i="32"/>
  <c r="AA301" i="32" s="1"/>
  <c r="AD301" i="32"/>
  <c r="AJ301" i="32" s="1"/>
  <c r="V28" i="32"/>
  <c r="X28" i="32" s="1"/>
  <c r="Y28" i="32" s="1"/>
  <c r="AB28" i="32"/>
  <c r="AC28" i="32" s="1"/>
  <c r="Z68" i="32"/>
  <c r="AA68" i="32" s="1"/>
  <c r="AE68" i="32"/>
  <c r="AD68" i="32"/>
  <c r="AJ68" i="32" s="1"/>
  <c r="Z50" i="32"/>
  <c r="AA50" i="32" s="1"/>
  <c r="AD50" i="32"/>
  <c r="AJ50" i="32" s="1"/>
  <c r="AE50" i="32"/>
  <c r="V252" i="32"/>
  <c r="X252" i="32" s="1"/>
  <c r="Y252" i="32" s="1"/>
  <c r="AB252" i="32"/>
  <c r="AC252" i="32" s="1"/>
  <c r="AE46" i="32"/>
  <c r="Z46" i="32"/>
  <c r="AA46" i="32" s="1"/>
  <c r="AD46" i="32"/>
  <c r="AJ46" i="32" s="1"/>
  <c r="V119" i="32"/>
  <c r="X119" i="32" s="1"/>
  <c r="Y119" i="32" s="1"/>
  <c r="AB119" i="32"/>
  <c r="AC119" i="32" s="1"/>
  <c r="V223" i="32"/>
  <c r="X223" i="32" s="1"/>
  <c r="Y223" i="32" s="1"/>
  <c r="AB223" i="32"/>
  <c r="AC223" i="32" s="1"/>
  <c r="Z178" i="32"/>
  <c r="AA178" i="32" s="1"/>
  <c r="AE178" i="32"/>
  <c r="AD178" i="32"/>
  <c r="AJ178" i="32" s="1"/>
  <c r="Z261" i="32"/>
  <c r="AA261" i="32" s="1"/>
  <c r="AE261" i="32"/>
  <c r="AD261" i="32"/>
  <c r="AJ261" i="32" s="1"/>
  <c r="V101" i="32"/>
  <c r="X101" i="32" s="1"/>
  <c r="Y101" i="32" s="1"/>
  <c r="AB101" i="32"/>
  <c r="AC101" i="32" s="1"/>
  <c r="Z182" i="32"/>
  <c r="AA182" i="32" s="1"/>
  <c r="AE182" i="32"/>
  <c r="AD182" i="32"/>
  <c r="AJ182" i="32" s="1"/>
  <c r="Z104" i="32"/>
  <c r="AA104" i="32" s="1"/>
  <c r="AE104" i="32"/>
  <c r="AD104" i="32"/>
  <c r="AJ104" i="32" s="1"/>
  <c r="V89" i="32"/>
  <c r="X89" i="32" s="1"/>
  <c r="Y89" i="32" s="1"/>
  <c r="AB89" i="32"/>
  <c r="AC89" i="32" s="1"/>
  <c r="Z307" i="32"/>
  <c r="AA307" i="32" s="1"/>
  <c r="AD307" i="32"/>
  <c r="AJ307" i="32" s="1"/>
  <c r="AE307" i="32"/>
  <c r="V295" i="32"/>
  <c r="X295" i="32" s="1"/>
  <c r="Y295" i="32" s="1"/>
  <c r="AB295" i="32"/>
  <c r="AC295" i="32" s="1"/>
  <c r="Z125" i="32"/>
  <c r="AA125" i="32" s="1"/>
  <c r="AD125" i="32"/>
  <c r="AJ125" i="32" s="1"/>
  <c r="AE125" i="32"/>
  <c r="Z289" i="32"/>
  <c r="AA289" i="32" s="1"/>
  <c r="AE289" i="32"/>
  <c r="AD289" i="32"/>
  <c r="AJ289" i="32" s="1"/>
  <c r="AD181" i="32"/>
  <c r="AJ181" i="32" s="1"/>
  <c r="Z181" i="32"/>
  <c r="AA181" i="32" s="1"/>
  <c r="AE181" i="32"/>
  <c r="V158" i="32"/>
  <c r="X158" i="32" s="1"/>
  <c r="Y158" i="32" s="1"/>
  <c r="AB158" i="32"/>
  <c r="AC158" i="32" s="1"/>
  <c r="V53" i="32"/>
  <c r="X53" i="32" s="1"/>
  <c r="Y53" i="32" s="1"/>
  <c r="AB53" i="32"/>
  <c r="AC53" i="32" s="1"/>
  <c r="V93" i="32"/>
  <c r="X93" i="32" s="1"/>
  <c r="Y93" i="32" s="1"/>
  <c r="AB93" i="32"/>
  <c r="AC93" i="32" s="1"/>
  <c r="AE59" i="32"/>
  <c r="AD59" i="32"/>
  <c r="AJ59" i="32" s="1"/>
  <c r="Z59" i="32"/>
  <c r="AA59" i="32" s="1"/>
  <c r="AB254" i="32"/>
  <c r="AC254" i="32" s="1"/>
  <c r="V254" i="32"/>
  <c r="X254" i="32" s="1"/>
  <c r="Y254" i="32" s="1"/>
  <c r="Z272" i="32"/>
  <c r="AA272" i="32" s="1"/>
  <c r="AD272" i="32"/>
  <c r="AJ272" i="32" s="1"/>
  <c r="AE272" i="32"/>
  <c r="Z32" i="32"/>
  <c r="AA32" i="32" s="1"/>
  <c r="AD32" i="32"/>
  <c r="AJ32" i="32" s="1"/>
  <c r="AE32" i="32"/>
  <c r="AE215" i="32"/>
  <c r="AQ30" i="32"/>
  <c r="Z215" i="32"/>
  <c r="AA215" i="32" s="1"/>
  <c r="AD215" i="32"/>
  <c r="AJ215" i="32" s="1"/>
  <c r="Z136" i="32"/>
  <c r="AA136" i="32" s="1"/>
  <c r="AE136" i="32"/>
  <c r="AD136" i="32"/>
  <c r="AJ136" i="32" s="1"/>
  <c r="Z91" i="32"/>
  <c r="AA91" i="32" s="1"/>
  <c r="AE91" i="32"/>
  <c r="AD91" i="32"/>
  <c r="AJ91" i="32" s="1"/>
  <c r="Z138" i="32"/>
  <c r="AA138" i="32" s="1"/>
  <c r="AE138" i="32"/>
  <c r="AD138" i="32"/>
  <c r="AJ138" i="32" s="1"/>
  <c r="AB228" i="32"/>
  <c r="AC228" i="32" s="1"/>
  <c r="V228" i="32"/>
  <c r="X228" i="32" s="1"/>
  <c r="Y228" i="32" s="1"/>
  <c r="Z188" i="32"/>
  <c r="AA188" i="32" s="1"/>
  <c r="AE188" i="32"/>
  <c r="AD188" i="32"/>
  <c r="AJ188" i="32" s="1"/>
  <c r="Z99" i="32"/>
  <c r="AA99" i="32" s="1"/>
  <c r="AE99" i="32"/>
  <c r="Z293" i="32"/>
  <c r="AA293" i="32" s="1"/>
  <c r="AE293" i="32"/>
  <c r="AD293" i="32"/>
  <c r="AJ293" i="32" s="1"/>
  <c r="V306" i="32"/>
  <c r="X306" i="32" s="1"/>
  <c r="Y306" i="32" s="1"/>
  <c r="AB306" i="32"/>
  <c r="AC306" i="32" s="1"/>
  <c r="Z52" i="32"/>
  <c r="AA52" i="32" s="1"/>
  <c r="AD52" i="32"/>
  <c r="AJ52" i="32" s="1"/>
  <c r="AE52" i="32"/>
  <c r="AB255" i="32"/>
  <c r="AC255" i="32" s="1"/>
  <c r="V255" i="32"/>
  <c r="X255" i="32" s="1"/>
  <c r="Y255" i="32" s="1"/>
  <c r="V86" i="32"/>
  <c r="X86" i="32" s="1"/>
  <c r="Y86" i="32" s="1"/>
  <c r="AB86" i="32"/>
  <c r="AC86" i="32" s="1"/>
  <c r="AD278" i="32"/>
  <c r="AJ278" i="32" s="1"/>
  <c r="Z278" i="32"/>
  <c r="AA278" i="32" s="1"/>
  <c r="AE278" i="32"/>
  <c r="Z176" i="32"/>
  <c r="AA176" i="32" s="1"/>
  <c r="AE176" i="32"/>
  <c r="AD176" i="32"/>
  <c r="AJ176" i="32" s="1"/>
  <c r="Z230" i="32"/>
  <c r="AA230" i="32" s="1"/>
  <c r="AE230" i="32"/>
  <c r="AD230" i="32"/>
  <c r="AJ230" i="32" s="1"/>
  <c r="AD264" i="32"/>
  <c r="AJ264" i="32" s="1"/>
  <c r="AE264" i="32"/>
  <c r="Z264" i="32"/>
  <c r="AA264" i="32" s="1"/>
  <c r="V139" i="32"/>
  <c r="X139" i="32" s="1"/>
  <c r="Y139" i="32" s="1"/>
  <c r="AB139" i="32"/>
  <c r="AC139" i="32" s="1"/>
  <c r="AD33" i="32"/>
  <c r="AJ33" i="32" s="1"/>
  <c r="AE33" i="32"/>
  <c r="Z33" i="32"/>
  <c r="AA33" i="32" s="1"/>
  <c r="V117" i="32"/>
  <c r="X117" i="32" s="1"/>
  <c r="Y117" i="32" s="1"/>
  <c r="AB117" i="32"/>
  <c r="AC117" i="32" s="1"/>
  <c r="V285" i="32"/>
  <c r="X285" i="32" s="1"/>
  <c r="Y285" i="32" s="1"/>
  <c r="AB285" i="32"/>
  <c r="AC285" i="32" s="1"/>
  <c r="Z160" i="32"/>
  <c r="AA160" i="32" s="1"/>
  <c r="AD160" i="32"/>
  <c r="AJ160" i="32" s="1"/>
  <c r="AE160" i="32"/>
  <c r="V170" i="32"/>
  <c r="X170" i="32" s="1"/>
  <c r="Y170" i="32" s="1"/>
  <c r="AB170" i="32"/>
  <c r="AC170" i="32" s="1"/>
  <c r="V240" i="32"/>
  <c r="X240" i="32" s="1"/>
  <c r="Y240" i="32" s="1"/>
  <c r="AB240" i="32"/>
  <c r="AC240" i="32" s="1"/>
  <c r="Z275" i="32"/>
  <c r="AA275" i="32" s="1"/>
  <c r="AE275" i="32"/>
  <c r="AD275" i="32"/>
  <c r="AJ275" i="32" s="1"/>
  <c r="V77" i="32"/>
  <c r="X77" i="32" s="1"/>
  <c r="Y77" i="32" s="1"/>
  <c r="AB77" i="32"/>
  <c r="AC77" i="32" s="1"/>
  <c r="V202" i="32"/>
  <c r="X202" i="32" s="1"/>
  <c r="Y202" i="32" s="1"/>
  <c r="AB202" i="32"/>
  <c r="AC202" i="32" s="1"/>
  <c r="V66" i="32"/>
  <c r="X66" i="32" s="1"/>
  <c r="Y66" i="32" s="1"/>
  <c r="AB66" i="32"/>
  <c r="AC66" i="32" s="1"/>
  <c r="V153" i="32"/>
  <c r="X153" i="32" s="1"/>
  <c r="Y153" i="32" s="1"/>
  <c r="AB153" i="32"/>
  <c r="AC153" i="32" s="1"/>
  <c r="Z124" i="32"/>
  <c r="AA124" i="32" s="1"/>
  <c r="AE124" i="32"/>
  <c r="AD124" i="32"/>
  <c r="AJ124" i="32" s="1"/>
  <c r="AD27" i="32"/>
  <c r="AE27" i="32"/>
  <c r="Z27" i="32"/>
  <c r="AD214" i="32"/>
  <c r="AJ214" i="32" s="1"/>
  <c r="AQ29" i="32"/>
  <c r="AE214" i="32"/>
  <c r="Z214" i="32"/>
  <c r="AA214" i="32" s="1"/>
  <c r="AE245" i="32"/>
  <c r="AD245" i="32"/>
  <c r="AJ245" i="32" s="1"/>
  <c r="Z245" i="32"/>
  <c r="AA245" i="32" s="1"/>
  <c r="Z114" i="32"/>
  <c r="AA114" i="32" s="1"/>
  <c r="AE114" i="32"/>
  <c r="AD114" i="32"/>
  <c r="AJ114" i="32" s="1"/>
  <c r="AE277" i="32"/>
  <c r="Z277" i="32"/>
  <c r="AA277" i="32" s="1"/>
  <c r="AD277" i="32"/>
  <c r="AJ277" i="32" s="1"/>
  <c r="AD173" i="32"/>
  <c r="AJ173" i="32" s="1"/>
  <c r="AE173" i="32"/>
  <c r="Z173" i="32"/>
  <c r="AA173" i="32" s="1"/>
  <c r="AE159" i="32"/>
  <c r="Z159" i="32"/>
  <c r="AA159" i="32" s="1"/>
  <c r="AD159" i="32"/>
  <c r="AJ159" i="32" s="1"/>
  <c r="V65" i="32"/>
  <c r="X65" i="32" s="1"/>
  <c r="Y65" i="32" s="1"/>
  <c r="AB65" i="32"/>
  <c r="AC65" i="32" s="1"/>
  <c r="Z43" i="32"/>
  <c r="AA43" i="32" s="1"/>
  <c r="AE43" i="32"/>
  <c r="AD43" i="32"/>
  <c r="AJ43" i="32" s="1"/>
  <c r="V166" i="32"/>
  <c r="X166" i="32" s="1"/>
  <c r="Y166" i="32" s="1"/>
  <c r="AB166" i="32"/>
  <c r="AC166" i="32" s="1"/>
  <c r="Z253" i="32"/>
  <c r="AA253" i="32" s="1"/>
  <c r="AD253" i="32"/>
  <c r="AJ253" i="32" s="1"/>
  <c r="AE253" i="32"/>
  <c r="AB241" i="32"/>
  <c r="AC241" i="32" s="1"/>
  <c r="V241" i="32"/>
  <c r="X241" i="32" s="1"/>
  <c r="Y241" i="32" s="1"/>
  <c r="Z126" i="32"/>
  <c r="AA126" i="32" s="1"/>
  <c r="AD126" i="32"/>
  <c r="AJ126" i="32" s="1"/>
  <c r="AE126" i="32"/>
  <c r="Z294" i="32"/>
  <c r="AA294" i="32" s="1"/>
  <c r="AE294" i="32"/>
  <c r="AD294" i="32"/>
  <c r="AJ294" i="32" s="1"/>
  <c r="V75" i="32"/>
  <c r="X75" i="32" s="1"/>
  <c r="Y75" i="32" s="1"/>
  <c r="AB75" i="32"/>
  <c r="AC75" i="32" s="1"/>
  <c r="V281" i="32"/>
  <c r="X281" i="32" s="1"/>
  <c r="Y281" i="32" s="1"/>
  <c r="AB281" i="32"/>
  <c r="AC281" i="32" s="1"/>
  <c r="AB133" i="32"/>
  <c r="AC133" i="32" s="1"/>
  <c r="V133" i="32"/>
  <c r="X133" i="32" s="1"/>
  <c r="Y133" i="32" s="1"/>
  <c r="V44" i="32"/>
  <c r="X44" i="32" s="1"/>
  <c r="Y44" i="32" s="1"/>
  <c r="AB44" i="32"/>
  <c r="AC44" i="32" s="1"/>
  <c r="AE220" i="32"/>
  <c r="AD220" i="32"/>
  <c r="AJ220" i="32" s="1"/>
  <c r="AQ35" i="32"/>
  <c r="Z220" i="32"/>
  <c r="AA220" i="32" s="1"/>
  <c r="Z299" i="32"/>
  <c r="AA299" i="32" s="1"/>
  <c r="AD299" i="32"/>
  <c r="AJ299" i="32" s="1"/>
  <c r="AE299" i="32"/>
  <c r="AB187" i="32"/>
  <c r="AC187" i="32" s="1"/>
  <c r="V187" i="32"/>
  <c r="X187" i="32" s="1"/>
  <c r="Y187" i="32" s="1"/>
  <c r="AE164" i="32"/>
  <c r="Z164" i="32"/>
  <c r="AA164" i="32" s="1"/>
  <c r="AD164" i="32"/>
  <c r="AJ164" i="32" s="1"/>
  <c r="AC337" i="16"/>
  <c r="AI337" i="16" s="1"/>
  <c r="Y337" i="16"/>
  <c r="Z337" i="16" s="1"/>
  <c r="AD337" i="16"/>
  <c r="Y342" i="16"/>
  <c r="Z342" i="16" s="1"/>
  <c r="AD342" i="16"/>
  <c r="AC342" i="16"/>
  <c r="AI342" i="16" s="1"/>
  <c r="V335" i="16"/>
  <c r="AA335" i="16"/>
  <c r="AB335" i="16" s="1"/>
  <c r="V340" i="16"/>
  <c r="AA340" i="16"/>
  <c r="AB340" i="16" s="1"/>
  <c r="V353" i="16"/>
  <c r="AA353" i="16"/>
  <c r="AB353" i="16" s="1"/>
  <c r="V347" i="16"/>
  <c r="AA347" i="16"/>
  <c r="AB347" i="16" s="1"/>
  <c r="V362" i="16"/>
  <c r="AA362" i="16"/>
  <c r="AB362" i="16" s="1"/>
  <c r="V369" i="16"/>
  <c r="AA369" i="16"/>
  <c r="AB369" i="16" s="1"/>
  <c r="V328" i="16"/>
  <c r="AA328" i="16"/>
  <c r="AB328" i="16" s="1"/>
  <c r="V331" i="16"/>
  <c r="AA331" i="16"/>
  <c r="AB331" i="16" s="1"/>
  <c r="V343" i="16"/>
  <c r="AA343" i="16"/>
  <c r="AB343" i="16" s="1"/>
  <c r="Y369" i="16"/>
  <c r="Z369" i="16" s="1"/>
  <c r="AD369" i="16"/>
  <c r="AC369" i="16"/>
  <c r="AI369" i="16" s="1"/>
  <c r="Y356" i="16"/>
  <c r="Z356" i="16" s="1"/>
  <c r="AC356" i="16"/>
  <c r="AI356" i="16" s="1"/>
  <c r="AD356" i="16"/>
  <c r="Y350" i="16"/>
  <c r="Z350" i="16" s="1"/>
  <c r="AD350" i="16"/>
  <c r="AC350" i="16"/>
  <c r="AI350" i="16" s="1"/>
  <c r="AC339" i="16"/>
  <c r="AI339" i="16" s="1"/>
  <c r="AD339" i="16"/>
  <c r="Y339" i="16"/>
  <c r="Z339" i="16" s="1"/>
  <c r="Y361" i="16"/>
  <c r="Z361" i="16" s="1"/>
  <c r="AD361" i="16"/>
  <c r="AC361" i="16"/>
  <c r="AI361" i="16" s="1"/>
  <c r="Y327" i="16"/>
  <c r="Z327" i="16" s="1"/>
  <c r="AD327" i="16"/>
  <c r="AC327" i="16"/>
  <c r="AI327" i="16" s="1"/>
  <c r="V360" i="16"/>
  <c r="AA360" i="16"/>
  <c r="AB360" i="16" s="1"/>
  <c r="Y344" i="16"/>
  <c r="Z344" i="16" s="1"/>
  <c r="AC344" i="16"/>
  <c r="AI344" i="16" s="1"/>
  <c r="AD344" i="16"/>
  <c r="V348" i="16"/>
  <c r="AA348" i="16"/>
  <c r="AB348" i="16" s="1"/>
  <c r="V338" i="16"/>
  <c r="AA338" i="16"/>
  <c r="AB338" i="16" s="1"/>
  <c r="AD346" i="16"/>
  <c r="Y346" i="16"/>
  <c r="Z346" i="16" s="1"/>
  <c r="AC346" i="16"/>
  <c r="AI346" i="16" s="1"/>
  <c r="V350" i="16"/>
  <c r="AA350" i="16"/>
  <c r="AB350" i="16" s="1"/>
  <c r="Y365" i="16"/>
  <c r="Z365" i="16" s="1"/>
  <c r="AC365" i="16"/>
  <c r="AI365" i="16" s="1"/>
  <c r="AD365" i="16"/>
  <c r="V364" i="16"/>
  <c r="AA364" i="16"/>
  <c r="AB364" i="16" s="1"/>
  <c r="V333" i="16"/>
  <c r="AA333" i="16"/>
  <c r="AB333" i="16" s="1"/>
  <c r="Y329" i="16"/>
  <c r="Z329" i="16" s="1"/>
  <c r="AD329" i="16"/>
  <c r="AC329" i="16"/>
  <c r="AI329" i="16" s="1"/>
  <c r="Y366" i="16"/>
  <c r="Z366" i="16" s="1"/>
  <c r="AC366" i="16"/>
  <c r="AI366" i="16" s="1"/>
  <c r="AD366" i="16"/>
  <c r="V327" i="16"/>
  <c r="AA327" i="16"/>
  <c r="AB327" i="16" s="1"/>
  <c r="V349" i="16"/>
  <c r="AA349" i="16"/>
  <c r="AB349" i="16" s="1"/>
  <c r="V334" i="16"/>
  <c r="AA334" i="16"/>
  <c r="AB334" i="16" s="1"/>
  <c r="Y195" i="16"/>
  <c r="Z195" i="16" s="1"/>
  <c r="AD195" i="16"/>
  <c r="AC195" i="16"/>
  <c r="AI195" i="16" s="1"/>
  <c r="Y130" i="16"/>
  <c r="Z130" i="16" s="1"/>
  <c r="AD130" i="16"/>
  <c r="AC130" i="16"/>
  <c r="AI130" i="16" s="1"/>
  <c r="Y117" i="16"/>
  <c r="Z117" i="16" s="1"/>
  <c r="AC117" i="16"/>
  <c r="AI117" i="16" s="1"/>
  <c r="AD117" i="16"/>
  <c r="Y282" i="16"/>
  <c r="Z282" i="16" s="1"/>
  <c r="AC282" i="16"/>
  <c r="AI282" i="16" s="1"/>
  <c r="Y135" i="16"/>
  <c r="Z135" i="16" s="1"/>
  <c r="AD135" i="16"/>
  <c r="AC135" i="16"/>
  <c r="AI135" i="16" s="1"/>
  <c r="Y229" i="16"/>
  <c r="Z229" i="16" s="1"/>
  <c r="AD229" i="16"/>
  <c r="AC229" i="16"/>
  <c r="AI229" i="16" s="1"/>
  <c r="Y323" i="16"/>
  <c r="Z323" i="16" s="1"/>
  <c r="AD323" i="16"/>
  <c r="AC323" i="16"/>
  <c r="AI323" i="16" s="1"/>
  <c r="Y187" i="16"/>
  <c r="Z187" i="16" s="1"/>
  <c r="AD187" i="16"/>
  <c r="AC187" i="16"/>
  <c r="AI187" i="16" s="1"/>
  <c r="Y260" i="16"/>
  <c r="Z260" i="16" s="1"/>
  <c r="AC260" i="16"/>
  <c r="AI260" i="16" s="1"/>
  <c r="AD260" i="16"/>
  <c r="Y264" i="16"/>
  <c r="Z264" i="16" s="1"/>
  <c r="AD264" i="16"/>
  <c r="AC264" i="16"/>
  <c r="AI264" i="16" s="1"/>
  <c r="Y142" i="16"/>
  <c r="Z142" i="16" s="1"/>
  <c r="AD142" i="16"/>
  <c r="AC142" i="16"/>
  <c r="AI142" i="16" s="1"/>
  <c r="Y310" i="16"/>
  <c r="Z310" i="16" s="1"/>
  <c r="AC310" i="16"/>
  <c r="AI310" i="16" s="1"/>
  <c r="AD310" i="16"/>
  <c r="Y322" i="16"/>
  <c r="Z322" i="16" s="1"/>
  <c r="AD322" i="16"/>
  <c r="AC322" i="16"/>
  <c r="AI322" i="16" s="1"/>
  <c r="Y125" i="16"/>
  <c r="Z125" i="16" s="1"/>
  <c r="AD125" i="16"/>
  <c r="AC125" i="16"/>
  <c r="AI125" i="16" s="1"/>
  <c r="Y280" i="16"/>
  <c r="Z280" i="16" s="1"/>
  <c r="AD280" i="16"/>
  <c r="AC280" i="16"/>
  <c r="AI280" i="16" s="1"/>
  <c r="Y160" i="16"/>
  <c r="Z160" i="16" s="1"/>
  <c r="AD160" i="16"/>
  <c r="AC160" i="16"/>
  <c r="AI160" i="16" s="1"/>
  <c r="Y168" i="16"/>
  <c r="Z168" i="16" s="1"/>
  <c r="AC168" i="16"/>
  <c r="AI168" i="16" s="1"/>
  <c r="AD168" i="16"/>
  <c r="Y141" i="16"/>
  <c r="Z141" i="16" s="1"/>
  <c r="AC141" i="16"/>
  <c r="AI141" i="16" s="1"/>
  <c r="AD141" i="16"/>
  <c r="Y281" i="16"/>
  <c r="Z281" i="16" s="1"/>
  <c r="AC281" i="16"/>
  <c r="AI281" i="16" s="1"/>
  <c r="AD281" i="16"/>
  <c r="Y108" i="16"/>
  <c r="Z108" i="16" s="1"/>
  <c r="AC108" i="16"/>
  <c r="AI108" i="16" s="1"/>
  <c r="AD108" i="16"/>
  <c r="Y116" i="16"/>
  <c r="Z116" i="16" s="1"/>
  <c r="AC116" i="16"/>
  <c r="AI116" i="16" s="1"/>
  <c r="AD116" i="16"/>
  <c r="Y205" i="16"/>
  <c r="Z205" i="16" s="1"/>
  <c r="AD205" i="16"/>
  <c r="Y306" i="16"/>
  <c r="Z306" i="16" s="1"/>
  <c r="Y173" i="16"/>
  <c r="Z173" i="16" s="1"/>
  <c r="AD173" i="16"/>
  <c r="AC173" i="16"/>
  <c r="AI173" i="16" s="1"/>
  <c r="Y219" i="16"/>
  <c r="Z219" i="16" s="1"/>
  <c r="AD219" i="16"/>
  <c r="AC219" i="16"/>
  <c r="AI219" i="16" s="1"/>
  <c r="Y316" i="16"/>
  <c r="Z316" i="16" s="1"/>
  <c r="AD316" i="16"/>
  <c r="AC316" i="16"/>
  <c r="AI316" i="16" s="1"/>
  <c r="Y99" i="16"/>
  <c r="Z99" i="16" s="1"/>
  <c r="AC99" i="16"/>
  <c r="AI99" i="16" s="1"/>
  <c r="AD99" i="16"/>
  <c r="Y120" i="16"/>
  <c r="Z120" i="16" s="1"/>
  <c r="AD120" i="16"/>
  <c r="AC120" i="16"/>
  <c r="AI120" i="16" s="1"/>
  <c r="Y236" i="16"/>
  <c r="Z236" i="16" s="1"/>
  <c r="AC236" i="16"/>
  <c r="AI236" i="16" s="1"/>
  <c r="AD236" i="16"/>
  <c r="Y184" i="16"/>
  <c r="Z184" i="16" s="1"/>
  <c r="AD184" i="16"/>
  <c r="AC184" i="16"/>
  <c r="AI184" i="16" s="1"/>
  <c r="Y113" i="16"/>
  <c r="Z113" i="16" s="1"/>
  <c r="AC113" i="16"/>
  <c r="AI113" i="16" s="1"/>
  <c r="AD113" i="16"/>
  <c r="Y178" i="16"/>
  <c r="Z178" i="16" s="1"/>
  <c r="AC178" i="16"/>
  <c r="AI178" i="16" s="1"/>
  <c r="Y147" i="16"/>
  <c r="Z147" i="16" s="1"/>
  <c r="AC147" i="16"/>
  <c r="AI147" i="16" s="1"/>
  <c r="Y105" i="16"/>
  <c r="Z105" i="16" s="1"/>
  <c r="AD105" i="16"/>
  <c r="AC105" i="16"/>
  <c r="AI105" i="16" s="1"/>
  <c r="Y213" i="16"/>
  <c r="Z213" i="16" s="1"/>
  <c r="AC213" i="16"/>
  <c r="AI213" i="16" s="1"/>
  <c r="AD213" i="16"/>
  <c r="Y210" i="16"/>
  <c r="Z210" i="16" s="1"/>
  <c r="AC210" i="16"/>
  <c r="AI210" i="16" s="1"/>
  <c r="AD210" i="16"/>
  <c r="AD197" i="16"/>
  <c r="Y171" i="16"/>
  <c r="Z171" i="16" s="1"/>
  <c r="AC171" i="16"/>
  <c r="AI171" i="16" s="1"/>
  <c r="AD171" i="16"/>
  <c r="Y298" i="16"/>
  <c r="Z298" i="16" s="1"/>
  <c r="AD298" i="16"/>
  <c r="AC298" i="16"/>
  <c r="AI298" i="16" s="1"/>
  <c r="Y134" i="16"/>
  <c r="Z134" i="16" s="1"/>
  <c r="AD134" i="16"/>
  <c r="AC134" i="16"/>
  <c r="AI134" i="16" s="1"/>
  <c r="Y257" i="16"/>
  <c r="Z257" i="16" s="1"/>
  <c r="AD257" i="16"/>
  <c r="AC257" i="16"/>
  <c r="AI257" i="16" s="1"/>
  <c r="Y256" i="16"/>
  <c r="Z256" i="16" s="1"/>
  <c r="AD256" i="16"/>
  <c r="AC256" i="16"/>
  <c r="AI256" i="16" s="1"/>
  <c r="Y278" i="16"/>
  <c r="Z278" i="16" s="1"/>
  <c r="AD278" i="16"/>
  <c r="AC278" i="16"/>
  <c r="AI278" i="16" s="1"/>
  <c r="Y208" i="16"/>
  <c r="Z208" i="16" s="1"/>
  <c r="AC208" i="16"/>
  <c r="AI208" i="16" s="1"/>
  <c r="AD208" i="16"/>
  <c r="Y188" i="16"/>
  <c r="Z188" i="16" s="1"/>
  <c r="AC188" i="16"/>
  <c r="AI188" i="16" s="1"/>
  <c r="Y253" i="16"/>
  <c r="Z253" i="16" s="1"/>
  <c r="AD253" i="16"/>
  <c r="AC253" i="16"/>
  <c r="AI253" i="16" s="1"/>
  <c r="Y175" i="16"/>
  <c r="Z175" i="16" s="1"/>
  <c r="AD175" i="16"/>
  <c r="AC175" i="16"/>
  <c r="AI175" i="16" s="1"/>
  <c r="Y143" i="16"/>
  <c r="Z143" i="16" s="1"/>
  <c r="AD143" i="16"/>
  <c r="AC143" i="16"/>
  <c r="AI143" i="16" s="1"/>
  <c r="Y246" i="16"/>
  <c r="Z246" i="16" s="1"/>
  <c r="AD246" i="16"/>
  <c r="AC246" i="16"/>
  <c r="AI246" i="16" s="1"/>
  <c r="Y319" i="16"/>
  <c r="Z319" i="16" s="1"/>
  <c r="AC319" i="16"/>
  <c r="AI319" i="16" s="1"/>
  <c r="AD319" i="16"/>
  <c r="Y161" i="16"/>
  <c r="Z161" i="16" s="1"/>
  <c r="AC161" i="16"/>
  <c r="AI161" i="16" s="1"/>
  <c r="AD161" i="16"/>
  <c r="Y90" i="16"/>
  <c r="Z90" i="16" s="1"/>
  <c r="AD90" i="16"/>
  <c r="AC90" i="16"/>
  <c r="AI90" i="16" s="1"/>
  <c r="Y312" i="16"/>
  <c r="Z312" i="16" s="1"/>
  <c r="AD312" i="16"/>
  <c r="AC312" i="16"/>
  <c r="AI312" i="16" s="1"/>
  <c r="Y251" i="16"/>
  <c r="Z251" i="16" s="1"/>
  <c r="AD251" i="16"/>
  <c r="AC251" i="16"/>
  <c r="AI251" i="16" s="1"/>
  <c r="Y165" i="16"/>
  <c r="Z165" i="16" s="1"/>
  <c r="AC165" i="16"/>
  <c r="AI165" i="16" s="1"/>
  <c r="AD165" i="16"/>
  <c r="Y186" i="16"/>
  <c r="Z186" i="16" s="1"/>
  <c r="Y314" i="16"/>
  <c r="Z314" i="16" s="1"/>
  <c r="AC314" i="16"/>
  <c r="AI314" i="16" s="1"/>
  <c r="AD314" i="16"/>
  <c r="Y139" i="16"/>
  <c r="Z139" i="16" s="1"/>
  <c r="AC139" i="16"/>
  <c r="AI139" i="16" s="1"/>
  <c r="AD139" i="16"/>
  <c r="Y212" i="16"/>
  <c r="Z212" i="16" s="1"/>
  <c r="AC212" i="16"/>
  <c r="AI212" i="16" s="1"/>
  <c r="AD212" i="16"/>
  <c r="Y302" i="16"/>
  <c r="Z302" i="16" s="1"/>
  <c r="AC302" i="16"/>
  <c r="AI302" i="16" s="1"/>
  <c r="AD302" i="16"/>
  <c r="V126" i="16"/>
  <c r="AA126" i="16"/>
  <c r="AB126" i="16" s="1"/>
  <c r="V128" i="16"/>
  <c r="AA128" i="16"/>
  <c r="AB128" i="16" s="1"/>
  <c r="V208" i="16"/>
  <c r="AA208" i="16"/>
  <c r="AB208" i="16" s="1"/>
  <c r="V201" i="16"/>
  <c r="AA201" i="16"/>
  <c r="AB201" i="16" s="1"/>
  <c r="V287" i="16"/>
  <c r="AA287" i="16"/>
  <c r="AB287" i="16" s="1"/>
  <c r="V284" i="16"/>
  <c r="AA284" i="16"/>
  <c r="AB284" i="16" s="1"/>
  <c r="V233" i="16"/>
  <c r="AA233" i="16"/>
  <c r="AB233" i="16" s="1"/>
  <c r="V150" i="16"/>
  <c r="AA150" i="16"/>
  <c r="AB150" i="16" s="1"/>
  <c r="V166" i="16"/>
  <c r="AA166" i="16"/>
  <c r="AB166" i="16" s="1"/>
  <c r="V217" i="16"/>
  <c r="AA217" i="16"/>
  <c r="AB217" i="16" s="1"/>
  <c r="V294" i="16"/>
  <c r="AA294" i="16"/>
  <c r="AB294" i="16" s="1"/>
  <c r="V215" i="16"/>
  <c r="AA215" i="16"/>
  <c r="AB215" i="16" s="1"/>
  <c r="V180" i="16"/>
  <c r="AA180" i="16"/>
  <c r="AB180" i="16" s="1"/>
  <c r="V308" i="16"/>
  <c r="AA308" i="16"/>
  <c r="AB308" i="16" s="1"/>
  <c r="V318" i="16"/>
  <c r="AA318" i="16"/>
  <c r="AB318" i="16" s="1"/>
  <c r="V106" i="16"/>
  <c r="AA106" i="16"/>
  <c r="AB106" i="16" s="1"/>
  <c r="V157" i="16"/>
  <c r="AA157" i="16"/>
  <c r="AB157" i="16" s="1"/>
  <c r="V292" i="16"/>
  <c r="AA292" i="16"/>
  <c r="AB292" i="16" s="1"/>
  <c r="V261" i="16"/>
  <c r="AA261" i="16"/>
  <c r="AB261" i="16" s="1"/>
  <c r="V207" i="16"/>
  <c r="AA207" i="16"/>
  <c r="AB207" i="16" s="1"/>
  <c r="V239" i="16"/>
  <c r="AA239" i="16"/>
  <c r="AB239" i="16" s="1"/>
  <c r="V258" i="16"/>
  <c r="AA258" i="16"/>
  <c r="AB258" i="16" s="1"/>
  <c r="V211" i="16"/>
  <c r="AA211" i="16"/>
  <c r="AB211" i="16" s="1"/>
  <c r="V245" i="16"/>
  <c r="AA245" i="16"/>
  <c r="AB245" i="16" s="1"/>
  <c r="V155" i="16"/>
  <c r="AA155" i="16"/>
  <c r="AB155" i="16" s="1"/>
  <c r="V317" i="16"/>
  <c r="AA317" i="16"/>
  <c r="AB317" i="16" s="1"/>
  <c r="V162" i="16"/>
  <c r="AA162" i="16"/>
  <c r="AB162" i="16" s="1"/>
  <c r="V219" i="16"/>
  <c r="AA219" i="16"/>
  <c r="AB219" i="16" s="1"/>
  <c r="V85" i="16"/>
  <c r="AA85" i="16"/>
  <c r="AB85" i="16" s="1"/>
  <c r="V274" i="16"/>
  <c r="AA274" i="16"/>
  <c r="AB274" i="16" s="1"/>
  <c r="V227" i="16"/>
  <c r="AA227" i="16"/>
  <c r="AB227" i="16" s="1"/>
  <c r="V107" i="16"/>
  <c r="AA107" i="16"/>
  <c r="AB107" i="16" s="1"/>
  <c r="V159" i="16"/>
  <c r="AA159" i="16"/>
  <c r="AB159" i="16" s="1"/>
  <c r="V137" i="16"/>
  <c r="AA137" i="16"/>
  <c r="AB137" i="16" s="1"/>
  <c r="V181" i="16"/>
  <c r="AA181" i="16"/>
  <c r="AB181" i="16" s="1"/>
  <c r="V206" i="16"/>
  <c r="AA206" i="16"/>
  <c r="AB206" i="16" s="1"/>
  <c r="V218" i="16"/>
  <c r="AA218" i="16"/>
  <c r="AB218" i="16" s="1"/>
  <c r="V221" i="16"/>
  <c r="AA221" i="16"/>
  <c r="AB221" i="16" s="1"/>
  <c r="V194" i="16"/>
  <c r="AA194" i="16"/>
  <c r="AB194" i="16" s="1"/>
  <c r="V147" i="16"/>
  <c r="AA147" i="16"/>
  <c r="AB147" i="16" s="1"/>
  <c r="V275" i="16"/>
  <c r="AA275" i="16"/>
  <c r="AB275" i="16" s="1"/>
  <c r="V220" i="16"/>
  <c r="AA220" i="16"/>
  <c r="AB220" i="16" s="1"/>
  <c r="V290" i="16"/>
  <c r="AA290" i="16"/>
  <c r="AB290" i="16" s="1"/>
  <c r="V188" i="16"/>
  <c r="AA188" i="16"/>
  <c r="AB188" i="16" s="1"/>
  <c r="V216" i="16"/>
  <c r="AA216" i="16"/>
  <c r="AB216" i="16" s="1"/>
  <c r="V266" i="16"/>
  <c r="AA266" i="16"/>
  <c r="AB266" i="16" s="1"/>
  <c r="V91" i="16"/>
  <c r="AA91" i="16"/>
  <c r="AB91" i="16" s="1"/>
  <c r="V291" i="16"/>
  <c r="AA291" i="16"/>
  <c r="AB291" i="16" s="1"/>
  <c r="V110" i="16"/>
  <c r="AA110" i="16"/>
  <c r="AB110" i="16" s="1"/>
  <c r="V232" i="16"/>
  <c r="AA232" i="16"/>
  <c r="AB232" i="16" s="1"/>
  <c r="V286" i="16"/>
  <c r="AA286" i="16"/>
  <c r="AB286" i="16" s="1"/>
  <c r="V299" i="16"/>
  <c r="AA299" i="16"/>
  <c r="AB299" i="16" s="1"/>
  <c r="V240" i="16"/>
  <c r="AA240" i="16"/>
  <c r="AB240" i="16" s="1"/>
  <c r="V169" i="16"/>
  <c r="AA169" i="16"/>
  <c r="AB169" i="16" s="1"/>
  <c r="V98" i="16"/>
  <c r="AA98" i="16"/>
  <c r="AB98" i="16" s="1"/>
  <c r="V176" i="16"/>
  <c r="AA176" i="16"/>
  <c r="AB176" i="16" s="1"/>
  <c r="V170" i="16"/>
  <c r="AA170" i="16"/>
  <c r="AB170" i="16" s="1"/>
  <c r="V298" i="16"/>
  <c r="V121" i="16"/>
  <c r="AA121" i="16"/>
  <c r="AB121" i="16" s="1"/>
  <c r="V306" i="16"/>
  <c r="AA306" i="16"/>
  <c r="AB306" i="16" s="1"/>
  <c r="V131" i="16"/>
  <c r="AA131" i="16"/>
  <c r="AB131" i="16" s="1"/>
  <c r="V259" i="16"/>
  <c r="AA259" i="16"/>
  <c r="AB259" i="16" s="1"/>
  <c r="V231" i="16"/>
  <c r="AA231" i="16"/>
  <c r="AB231" i="16" s="1"/>
  <c r="V238" i="16"/>
  <c r="AA238" i="16"/>
  <c r="AB238" i="16" s="1"/>
  <c r="V293" i="16"/>
  <c r="AA293" i="16"/>
  <c r="AB293" i="16" s="1"/>
  <c r="AA99" i="16"/>
  <c r="AB99" i="16" s="1"/>
  <c r="AA297" i="16"/>
  <c r="AB297" i="16" s="1"/>
  <c r="V177" i="16"/>
  <c r="AA177" i="16"/>
  <c r="AB177" i="16" s="1"/>
  <c r="V313" i="16"/>
  <c r="AA313" i="16"/>
  <c r="AB313" i="16" s="1"/>
  <c r="V114" i="16"/>
  <c r="AA114" i="16"/>
  <c r="AB114" i="16" s="1"/>
  <c r="V183" i="16"/>
  <c r="AA183" i="16"/>
  <c r="AB183" i="16" s="1"/>
  <c r="V102" i="16"/>
  <c r="AA102" i="16"/>
  <c r="AB102" i="16" s="1"/>
  <c r="V268" i="16"/>
  <c r="AA268" i="16"/>
  <c r="AB268" i="16" s="1"/>
  <c r="V270" i="16"/>
  <c r="AA270" i="16"/>
  <c r="AB270" i="16" s="1"/>
  <c r="V122" i="16"/>
  <c r="AA122" i="16"/>
  <c r="AB122" i="16" s="1"/>
  <c r="V267" i="16"/>
  <c r="AA267" i="16"/>
  <c r="AB267" i="16" s="1"/>
  <c r="Y5" i="29"/>
  <c r="Z5" i="29"/>
  <c r="V50" i="32" l="1"/>
  <c r="X50" i="32" s="1"/>
  <c r="Y50" i="32" s="1"/>
  <c r="AE51" i="32"/>
  <c r="AB104" i="32"/>
  <c r="AC104" i="32" s="1"/>
  <c r="Z167" i="32"/>
  <c r="AA167" i="32" s="1"/>
  <c r="AB190" i="32"/>
  <c r="AC190" i="32" s="1"/>
  <c r="V140" i="32"/>
  <c r="X140" i="32" s="1"/>
  <c r="Y140" i="32" s="1"/>
  <c r="AE147" i="32"/>
  <c r="AC197" i="16"/>
  <c r="AI197" i="16" s="1"/>
  <c r="AD51" i="32"/>
  <c r="AJ51" i="32" s="1"/>
  <c r="V210" i="32"/>
  <c r="X210" i="32" s="1"/>
  <c r="Y210" i="32" s="1"/>
  <c r="AD265" i="16"/>
  <c r="AD227" i="16"/>
  <c r="AA140" i="16"/>
  <c r="AB140" i="16" s="1"/>
  <c r="AA160" i="16"/>
  <c r="AB160" i="16" s="1"/>
  <c r="AC265" i="16"/>
  <c r="AI265" i="16" s="1"/>
  <c r="AC227" i="16"/>
  <c r="AI227" i="16" s="1"/>
  <c r="AD321" i="16"/>
  <c r="AD300" i="16"/>
  <c r="V144" i="32"/>
  <c r="X144" i="32" s="1"/>
  <c r="Y144" i="32" s="1"/>
  <c r="Z142" i="32"/>
  <c r="AA142" i="32" s="1"/>
  <c r="V140" i="16"/>
  <c r="V160" i="16"/>
  <c r="AC103" i="16"/>
  <c r="AI103" i="16" s="1"/>
  <c r="AC321" i="16"/>
  <c r="AI321" i="16" s="1"/>
  <c r="AC300" i="16"/>
  <c r="AI300" i="16" s="1"/>
  <c r="AA303" i="16"/>
  <c r="AB303" i="16" s="1"/>
  <c r="AC357" i="16"/>
  <c r="AI357" i="16" s="1"/>
  <c r="AE140" i="32"/>
  <c r="AB137" i="32"/>
  <c r="AC137" i="32" s="1"/>
  <c r="V303" i="16"/>
  <c r="AC186" i="16"/>
  <c r="AI186" i="16" s="1"/>
  <c r="AC240" i="16"/>
  <c r="AI240" i="16" s="1"/>
  <c r="AC222" i="16"/>
  <c r="AI222" i="16" s="1"/>
  <c r="AC306" i="16"/>
  <c r="AI306" i="16" s="1"/>
  <c r="AD146" i="16"/>
  <c r="Y357" i="16"/>
  <c r="Z357" i="16" s="1"/>
  <c r="AD140" i="32"/>
  <c r="AJ140" i="32" s="1"/>
  <c r="V221" i="32"/>
  <c r="X221" i="32" s="1"/>
  <c r="Y221" i="32" s="1"/>
  <c r="AD31" i="32"/>
  <c r="AJ31" i="32" s="1"/>
  <c r="AE148" i="32"/>
  <c r="AD82" i="32"/>
  <c r="AJ82" i="32" s="1"/>
  <c r="AA298" i="16"/>
  <c r="AB298" i="16" s="1"/>
  <c r="AD240" i="16"/>
  <c r="Y305" i="16"/>
  <c r="Z305" i="16" s="1"/>
  <c r="Y146" i="16"/>
  <c r="Z146" i="16" s="1"/>
  <c r="Z70" i="32"/>
  <c r="AA70" i="32" s="1"/>
  <c r="Z82" i="32"/>
  <c r="AA82" i="32" s="1"/>
  <c r="V99" i="16"/>
  <c r="AD222" i="16"/>
  <c r="AD103" i="16"/>
  <c r="AB215" i="32"/>
  <c r="AC215" i="32" s="1"/>
  <c r="Y263" i="16"/>
  <c r="Z263" i="16" s="1"/>
  <c r="AE123" i="32"/>
  <c r="AA90" i="16"/>
  <c r="AB90" i="16" s="1"/>
  <c r="AC267" i="16"/>
  <c r="AI267" i="16" s="1"/>
  <c r="Z206" i="32"/>
  <c r="AA206" i="32" s="1"/>
  <c r="AA158" i="16"/>
  <c r="AB158" i="16" s="1"/>
  <c r="V90" i="16"/>
  <c r="AD267" i="16"/>
  <c r="AE206" i="32"/>
  <c r="Z228" i="32"/>
  <c r="AA228" i="32" s="1"/>
  <c r="V158" i="16"/>
  <c r="M127" i="33"/>
  <c r="O127" i="33"/>
  <c r="M135" i="33"/>
  <c r="O135" i="33"/>
  <c r="O138" i="33"/>
  <c r="M138" i="33"/>
  <c r="M143" i="33"/>
  <c r="O143" i="33"/>
  <c r="M151" i="33"/>
  <c r="O151" i="33"/>
  <c r="M124" i="33"/>
  <c r="O124" i="33"/>
  <c r="O130" i="33"/>
  <c r="M130" i="33"/>
  <c r="O144" i="33"/>
  <c r="M144" i="33"/>
  <c r="O132" i="33"/>
  <c r="M132" i="33"/>
  <c r="O140" i="33"/>
  <c r="M140" i="33"/>
  <c r="O147" i="33"/>
  <c r="M147" i="33"/>
  <c r="O122" i="33"/>
  <c r="M122" i="33"/>
  <c r="M134" i="33"/>
  <c r="O134" i="33"/>
  <c r="M118" i="33"/>
  <c r="O118" i="33"/>
  <c r="M126" i="33"/>
  <c r="O126" i="33"/>
  <c r="O139" i="33"/>
  <c r="M139" i="33"/>
  <c r="O153" i="33"/>
  <c r="M153" i="33"/>
  <c r="AA281" i="16"/>
  <c r="AB281" i="16" s="1"/>
  <c r="O120" i="33"/>
  <c r="M120" i="33"/>
  <c r="M142" i="33"/>
  <c r="O142" i="33"/>
  <c r="M150" i="33"/>
  <c r="O150" i="33"/>
  <c r="O131" i="33"/>
  <c r="M131" i="33"/>
  <c r="M145" i="33"/>
  <c r="O145" i="33"/>
  <c r="AD204" i="16"/>
  <c r="AA264" i="16"/>
  <c r="AB264" i="16" s="1"/>
  <c r="V281" i="16"/>
  <c r="AC204" i="16"/>
  <c r="AI204" i="16" s="1"/>
  <c r="M148" i="33"/>
  <c r="O148" i="33"/>
  <c r="O128" i="33"/>
  <c r="M128" i="33"/>
  <c r="O136" i="33"/>
  <c r="M136" i="33"/>
  <c r="M123" i="33"/>
  <c r="O123" i="33"/>
  <c r="O137" i="33"/>
  <c r="M137" i="33"/>
  <c r="AD139" i="32"/>
  <c r="AJ139" i="32" s="1"/>
  <c r="V297" i="16"/>
  <c r="AA210" i="16"/>
  <c r="AB210" i="16" s="1"/>
  <c r="V210" i="16"/>
  <c r="V264" i="16"/>
  <c r="AD228" i="32"/>
  <c r="AJ228" i="32" s="1"/>
  <c r="M133" i="33"/>
  <c r="O133" i="33"/>
  <c r="M152" i="33"/>
  <c r="O152" i="33"/>
  <c r="O125" i="33"/>
  <c r="M125" i="33"/>
  <c r="O117" i="33"/>
  <c r="M117" i="33"/>
  <c r="O129" i="33"/>
  <c r="M129" i="33"/>
  <c r="M119" i="33"/>
  <c r="O119" i="33"/>
  <c r="O141" i="33"/>
  <c r="M141" i="33"/>
  <c r="O149" i="33"/>
  <c r="M149" i="33"/>
  <c r="O146" i="33"/>
  <c r="M146" i="33"/>
  <c r="O121" i="33"/>
  <c r="M121" i="33"/>
  <c r="AH84" i="16"/>
  <c r="AA84" i="16"/>
  <c r="Y289" i="16"/>
  <c r="Z289" i="16" s="1"/>
  <c r="Y137" i="16"/>
  <c r="Z137" i="16" s="1"/>
  <c r="AC225" i="16"/>
  <c r="AI225" i="16" s="1"/>
  <c r="V145" i="16"/>
  <c r="Y272" i="16"/>
  <c r="Z272" i="16" s="1"/>
  <c r="AC199" i="16"/>
  <c r="AI199" i="16" s="1"/>
  <c r="AC245" i="16"/>
  <c r="AI245" i="16" s="1"/>
  <c r="AA246" i="16"/>
  <c r="AB246" i="16" s="1"/>
  <c r="V246" i="16"/>
  <c r="AA175" i="16"/>
  <c r="AB175" i="16" s="1"/>
  <c r="V175" i="16"/>
  <c r="V252" i="16"/>
  <c r="AC87" i="16"/>
  <c r="AI87" i="16" s="1"/>
  <c r="AA357" i="16"/>
  <c r="AB357" i="16" s="1"/>
  <c r="AA189" i="16"/>
  <c r="AB189" i="16" s="1"/>
  <c r="AD155" i="16"/>
  <c r="AC348" i="16"/>
  <c r="AI348" i="16" s="1"/>
  <c r="V357" i="16"/>
  <c r="AA252" i="16"/>
  <c r="AB252" i="16" s="1"/>
  <c r="AA321" i="16"/>
  <c r="AB321" i="16" s="1"/>
  <c r="AA87" i="16"/>
  <c r="AB87" i="16" s="1"/>
  <c r="AA244" i="16"/>
  <c r="AB244" i="16" s="1"/>
  <c r="V189" i="16"/>
  <c r="AD275" i="16"/>
  <c r="Y155" i="16"/>
  <c r="Z155" i="16" s="1"/>
  <c r="AD348" i="16"/>
  <c r="V87" i="16"/>
  <c r="AA265" i="16"/>
  <c r="AB265" i="16" s="1"/>
  <c r="AA243" i="16"/>
  <c r="AB243" i="16" s="1"/>
  <c r="AC275" i="16"/>
  <c r="AI275" i="16" s="1"/>
  <c r="V321" i="16"/>
  <c r="V244" i="16"/>
  <c r="AA118" i="16"/>
  <c r="AB118" i="16" s="1"/>
  <c r="V118" i="16"/>
  <c r="V265" i="16"/>
  <c r="V243" i="16"/>
  <c r="AD272" i="16"/>
  <c r="V136" i="16"/>
  <c r="AE136" i="16"/>
  <c r="V358" i="16"/>
  <c r="AE358" i="16"/>
  <c r="AA119" i="16"/>
  <c r="AB119" i="16" s="1"/>
  <c r="AE119" i="16"/>
  <c r="V359" i="16"/>
  <c r="AE359" i="16"/>
  <c r="V185" i="16"/>
  <c r="AE185" i="16"/>
  <c r="V105" i="16"/>
  <c r="AE105" i="16"/>
  <c r="V295" i="16"/>
  <c r="AE295" i="16"/>
  <c r="V167" i="16"/>
  <c r="AE167" i="16"/>
  <c r="AA172" i="16"/>
  <c r="AB172" i="16" s="1"/>
  <c r="V161" i="16"/>
  <c r="AE161" i="16"/>
  <c r="V249" i="16"/>
  <c r="AE249" i="16"/>
  <c r="V346" i="16"/>
  <c r="AE346" i="16"/>
  <c r="V187" i="16"/>
  <c r="AE187" i="16"/>
  <c r="V273" i="16"/>
  <c r="AE273" i="16"/>
  <c r="V354" i="16"/>
  <c r="AE354" i="16"/>
  <c r="AA302" i="16"/>
  <c r="AB302" i="16" s="1"/>
  <c r="AE302" i="16"/>
  <c r="V129" i="16"/>
  <c r="AE129" i="16"/>
  <c r="V315" i="16"/>
  <c r="AE315" i="16"/>
  <c r="V104" i="16"/>
  <c r="AE104" i="16"/>
  <c r="AA277" i="16"/>
  <c r="AB277" i="16" s="1"/>
  <c r="AE277" i="16"/>
  <c r="V248" i="16"/>
  <c r="AE248" i="16"/>
  <c r="AA345" i="16"/>
  <c r="AB345" i="16" s="1"/>
  <c r="AE345" i="16"/>
  <c r="V279" i="16"/>
  <c r="AE279" i="16"/>
  <c r="AA223" i="16"/>
  <c r="AB223" i="16" s="1"/>
  <c r="AE223" i="16"/>
  <c r="V127" i="16"/>
  <c r="AE127" i="16"/>
  <c r="AA305" i="16"/>
  <c r="AB305" i="16" s="1"/>
  <c r="AE305" i="16"/>
  <c r="V301" i="16"/>
  <c r="AE301" i="16"/>
  <c r="V344" i="16"/>
  <c r="AE344" i="16"/>
  <c r="V332" i="16"/>
  <c r="AE332" i="16"/>
  <c r="V269" i="16"/>
  <c r="AE269" i="16"/>
  <c r="AA325" i="16"/>
  <c r="AB325" i="16" s="1"/>
  <c r="AE325" i="16"/>
  <c r="V296" i="16"/>
  <c r="AE296" i="16"/>
  <c r="V172" i="16"/>
  <c r="AA103" i="16"/>
  <c r="AB103" i="16" s="1"/>
  <c r="V214" i="16"/>
  <c r="AE214" i="16"/>
  <c r="AA226" i="16"/>
  <c r="AB226" i="16" s="1"/>
  <c r="AE226" i="16"/>
  <c r="V251" i="16"/>
  <c r="AE251" i="16"/>
  <c r="V196" i="16"/>
  <c r="AE196" i="16"/>
  <c r="V272" i="16"/>
  <c r="AE272" i="16"/>
  <c r="V200" i="16"/>
  <c r="AE200" i="16"/>
  <c r="V280" i="16"/>
  <c r="AE280" i="16"/>
  <c r="V143" i="16"/>
  <c r="AE143" i="16"/>
  <c r="V316" i="16"/>
  <c r="AE316" i="16"/>
  <c r="V209" i="16"/>
  <c r="AE209" i="16"/>
  <c r="AA366" i="16"/>
  <c r="AB366" i="16" s="1"/>
  <c r="AE366" i="16"/>
  <c r="AA198" i="16"/>
  <c r="AB198" i="16" s="1"/>
  <c r="AE198" i="16"/>
  <c r="AA179" i="16"/>
  <c r="AB179" i="16" s="1"/>
  <c r="AE179" i="16"/>
  <c r="AA138" i="16"/>
  <c r="AB138" i="16" s="1"/>
  <c r="AE138" i="16"/>
  <c r="AA192" i="16"/>
  <c r="AB192" i="16" s="1"/>
  <c r="AE192" i="16"/>
  <c r="AA111" i="16"/>
  <c r="AB111" i="16" s="1"/>
  <c r="AE111" i="16"/>
  <c r="V197" i="16"/>
  <c r="AE197" i="16"/>
  <c r="V225" i="16"/>
  <c r="AE225" i="16"/>
  <c r="AA256" i="16"/>
  <c r="AB256" i="16" s="1"/>
  <c r="AE256" i="16"/>
  <c r="V182" i="16"/>
  <c r="AE182" i="16"/>
  <c r="V229" i="16"/>
  <c r="AE229" i="16"/>
  <c r="AA222" i="16"/>
  <c r="AB222" i="16" s="1"/>
  <c r="AE222" i="16"/>
  <c r="V174" i="16"/>
  <c r="AE174" i="16"/>
  <c r="V255" i="16"/>
  <c r="AE255" i="16"/>
  <c r="AA300" i="16"/>
  <c r="AB300" i="16" s="1"/>
  <c r="AE300" i="16"/>
  <c r="AA123" i="16"/>
  <c r="AB123" i="16" s="1"/>
  <c r="AE123" i="16"/>
  <c r="V88" i="16"/>
  <c r="AE88" i="16"/>
  <c r="V367" i="16"/>
  <c r="AE367" i="16"/>
  <c r="AA330" i="16"/>
  <c r="AB330" i="16" s="1"/>
  <c r="AE330" i="16"/>
  <c r="V337" i="16"/>
  <c r="AE337" i="16"/>
  <c r="V93" i="16"/>
  <c r="AE93" i="16"/>
  <c r="AA351" i="16"/>
  <c r="AB351" i="16" s="1"/>
  <c r="AE351" i="16"/>
  <c r="AE84" i="16"/>
  <c r="AA213" i="16"/>
  <c r="AB213" i="16" s="1"/>
  <c r="AE213" i="16"/>
  <c r="AA329" i="16"/>
  <c r="AB329" i="16" s="1"/>
  <c r="AE329" i="16"/>
  <c r="V289" i="16"/>
  <c r="AE289" i="16"/>
  <c r="V311" i="16"/>
  <c r="AE311" i="16"/>
  <c r="AA352" i="16"/>
  <c r="AB352" i="16" s="1"/>
  <c r="AE352" i="16"/>
  <c r="V260" i="16"/>
  <c r="AE260" i="16"/>
  <c r="V242" i="16"/>
  <c r="AE242" i="16"/>
  <c r="V146" i="16"/>
  <c r="AE146" i="16"/>
  <c r="AA191" i="16"/>
  <c r="AB191" i="16" s="1"/>
  <c r="AE191" i="16"/>
  <c r="V153" i="16"/>
  <c r="AE153" i="16"/>
  <c r="V135" i="16"/>
  <c r="AE135" i="16"/>
  <c r="AA310" i="16"/>
  <c r="AB310" i="16" s="1"/>
  <c r="AE310" i="16"/>
  <c r="V336" i="16"/>
  <c r="AE336" i="16"/>
  <c r="V253" i="16"/>
  <c r="AE253" i="16"/>
  <c r="AA365" i="16"/>
  <c r="AB365" i="16" s="1"/>
  <c r="AE365" i="16"/>
  <c r="V149" i="16"/>
  <c r="AE149" i="16"/>
  <c r="V262" i="16"/>
  <c r="AE262" i="16"/>
  <c r="V368" i="16"/>
  <c r="AE368" i="16"/>
  <c r="V228" i="16"/>
  <c r="AE228" i="16"/>
  <c r="V108" i="16"/>
  <c r="AE108" i="16"/>
  <c r="V237" i="16"/>
  <c r="AE237" i="16"/>
  <c r="V324" i="16"/>
  <c r="AE324" i="16"/>
  <c r="V204" i="16"/>
  <c r="AE204" i="16"/>
  <c r="V113" i="16"/>
  <c r="AE113" i="16"/>
  <c r="V152" i="16"/>
  <c r="AE152" i="16"/>
  <c r="V195" i="16"/>
  <c r="AE195" i="16"/>
  <c r="V117" i="16"/>
  <c r="AE117" i="16"/>
  <c r="AA278" i="16"/>
  <c r="AB278" i="16" s="1"/>
  <c r="AE278" i="16"/>
  <c r="V103" i="16"/>
  <c r="AC230" i="16"/>
  <c r="AI230" i="16" s="1"/>
  <c r="AC149" i="16"/>
  <c r="AI149" i="16" s="1"/>
  <c r="AD201" i="16"/>
  <c r="AD347" i="16"/>
  <c r="AA145" i="16"/>
  <c r="AB145" i="16" s="1"/>
  <c r="AC137" i="16"/>
  <c r="AI137" i="16" s="1"/>
  <c r="Y261" i="16"/>
  <c r="Z261" i="16" s="1"/>
  <c r="Y149" i="16"/>
  <c r="Z149" i="16" s="1"/>
  <c r="AC347" i="16"/>
  <c r="AI347" i="16" s="1"/>
  <c r="AA125" i="16"/>
  <c r="AB125" i="16" s="1"/>
  <c r="AE125" i="16"/>
  <c r="AA342" i="16"/>
  <c r="AB342" i="16" s="1"/>
  <c r="AE342" i="16"/>
  <c r="V304" i="16"/>
  <c r="AE304" i="16"/>
  <c r="V132" i="16"/>
  <c r="AE132" i="16"/>
  <c r="AA263" i="16"/>
  <c r="AB263" i="16" s="1"/>
  <c r="AE263" i="16"/>
  <c r="V94" i="16"/>
  <c r="AE94" i="16"/>
  <c r="AA203" i="16"/>
  <c r="AB203" i="16" s="1"/>
  <c r="AE203" i="16"/>
  <c r="V234" i="16"/>
  <c r="AE234" i="16"/>
  <c r="V164" i="16"/>
  <c r="AE164" i="16"/>
  <c r="V236" i="16"/>
  <c r="AE236" i="16"/>
  <c r="V202" i="16"/>
  <c r="AE202" i="16"/>
  <c r="V186" i="16"/>
  <c r="AE186" i="16"/>
  <c r="V323" i="16"/>
  <c r="AE323" i="16"/>
  <c r="V282" i="16"/>
  <c r="AE282" i="16"/>
  <c r="AA97" i="16"/>
  <c r="AB97" i="16" s="1"/>
  <c r="AE97" i="16"/>
  <c r="V271" i="16"/>
  <c r="AE271" i="16"/>
  <c r="V173" i="16"/>
  <c r="AE173" i="16"/>
  <c r="AA276" i="16"/>
  <c r="AB276" i="16" s="1"/>
  <c r="AE276" i="16"/>
  <c r="V356" i="16"/>
  <c r="AE356" i="16"/>
  <c r="AA190" i="16"/>
  <c r="AB190" i="16" s="1"/>
  <c r="AE190" i="16"/>
  <c r="AA288" i="16"/>
  <c r="AB288" i="16" s="1"/>
  <c r="AE288" i="16"/>
  <c r="AA283" i="16"/>
  <c r="AB283" i="16" s="1"/>
  <c r="AE283" i="16"/>
  <c r="V250" i="16"/>
  <c r="AE250" i="16"/>
  <c r="V101" i="16"/>
  <c r="AE101" i="16"/>
  <c r="V144" i="16"/>
  <c r="AE144" i="16"/>
  <c r="AA339" i="16"/>
  <c r="AB339" i="16" s="1"/>
  <c r="AE339" i="16"/>
  <c r="V95" i="16"/>
  <c r="AE95" i="16"/>
  <c r="V314" i="16"/>
  <c r="AE314" i="16"/>
  <c r="V96" i="16"/>
  <c r="AE96" i="16"/>
  <c r="V199" i="16"/>
  <c r="AE199" i="16"/>
  <c r="AA241" i="16"/>
  <c r="AB241" i="16" s="1"/>
  <c r="AE241" i="16"/>
  <c r="AA156" i="16"/>
  <c r="AB156" i="16" s="1"/>
  <c r="AE156" i="16"/>
  <c r="AA148" i="16"/>
  <c r="AB148" i="16" s="1"/>
  <c r="AE148" i="16"/>
  <c r="V130" i="16"/>
  <c r="AE130" i="16"/>
  <c r="AA193" i="16"/>
  <c r="AB193" i="16" s="1"/>
  <c r="AE193" i="16"/>
  <c r="V320" i="16"/>
  <c r="AE320" i="16"/>
  <c r="V235" i="16"/>
  <c r="AE235" i="16"/>
  <c r="AA141" i="16"/>
  <c r="AB141" i="16" s="1"/>
  <c r="AE141" i="16"/>
  <c r="AC270" i="16"/>
  <c r="AI270" i="16" s="1"/>
  <c r="V212" i="16"/>
  <c r="AE212" i="16"/>
  <c r="V168" i="16"/>
  <c r="AE168" i="16"/>
  <c r="AA361" i="16"/>
  <c r="AB361" i="16" s="1"/>
  <c r="AE361" i="16"/>
  <c r="V163" i="16"/>
  <c r="AE163" i="16"/>
  <c r="V109" i="16"/>
  <c r="AE109" i="16"/>
  <c r="V355" i="16"/>
  <c r="AE355" i="16"/>
  <c r="V257" i="16"/>
  <c r="AE257" i="16"/>
  <c r="AA112" i="16"/>
  <c r="AB112" i="16" s="1"/>
  <c r="AE112" i="16"/>
  <c r="V285" i="16"/>
  <c r="AE285" i="16"/>
  <c r="AA86" i="16"/>
  <c r="AB86" i="16" s="1"/>
  <c r="AE86" i="16"/>
  <c r="V307" i="16"/>
  <c r="AE307" i="16"/>
  <c r="V363" i="16"/>
  <c r="AE363" i="16"/>
  <c r="AA139" i="16"/>
  <c r="AB139" i="16" s="1"/>
  <c r="AE139" i="16"/>
  <c r="AA116" i="16"/>
  <c r="AB116" i="16" s="1"/>
  <c r="AE116" i="16"/>
  <c r="AA247" i="16"/>
  <c r="AB247" i="16" s="1"/>
  <c r="AE247" i="16"/>
  <c r="V341" i="16"/>
  <c r="AE341" i="16"/>
  <c r="AA124" i="16"/>
  <c r="AB124" i="16" s="1"/>
  <c r="AE124" i="16"/>
  <c r="V309" i="16"/>
  <c r="AE309" i="16"/>
  <c r="AA312" i="16"/>
  <c r="AB312" i="16" s="1"/>
  <c r="AE312" i="16"/>
  <c r="V92" i="16"/>
  <c r="AE92" i="16"/>
  <c r="AA205" i="16"/>
  <c r="AB205" i="16" s="1"/>
  <c r="AE205" i="16"/>
  <c r="V133" i="16"/>
  <c r="AE133" i="16"/>
  <c r="V326" i="16"/>
  <c r="AE326" i="16"/>
  <c r="AA134" i="16"/>
  <c r="AB134" i="16" s="1"/>
  <c r="AE134" i="16"/>
  <c r="AA332" i="16"/>
  <c r="AB332" i="16" s="1"/>
  <c r="AA184" i="16"/>
  <c r="AB184" i="16" s="1"/>
  <c r="AE184" i="16"/>
  <c r="AA254" i="16"/>
  <c r="AB254" i="16" s="1"/>
  <c r="AE254" i="16"/>
  <c r="V100" i="16"/>
  <c r="AE100" i="16"/>
  <c r="AA142" i="16"/>
  <c r="AB142" i="16" s="1"/>
  <c r="AE142" i="16"/>
  <c r="V115" i="16"/>
  <c r="AE115" i="16"/>
  <c r="AA151" i="16"/>
  <c r="AB151" i="16" s="1"/>
  <c r="AE151" i="16"/>
  <c r="AA154" i="16"/>
  <c r="AB154" i="16" s="1"/>
  <c r="AE154" i="16"/>
  <c r="V165" i="16"/>
  <c r="AE165" i="16"/>
  <c r="V322" i="16"/>
  <c r="AE322" i="16"/>
  <c r="V89" i="16"/>
  <c r="AE89" i="16"/>
  <c r="V178" i="16"/>
  <c r="AE178" i="16"/>
  <c r="V224" i="16"/>
  <c r="AE224" i="16"/>
  <c r="V120" i="16"/>
  <c r="AE120" i="16"/>
  <c r="V319" i="16"/>
  <c r="AE319" i="16"/>
  <c r="AA171" i="16"/>
  <c r="AB171" i="16" s="1"/>
  <c r="AE171" i="16"/>
  <c r="AA230" i="16"/>
  <c r="AB230" i="16" s="1"/>
  <c r="AE230" i="16"/>
  <c r="V345" i="16"/>
  <c r="AC328" i="16"/>
  <c r="AI328" i="16" s="1"/>
  <c r="Y328" i="16"/>
  <c r="Z328" i="16" s="1"/>
  <c r="V277" i="16"/>
  <c r="Y259" i="16"/>
  <c r="Z259" i="16" s="1"/>
  <c r="V302" i="16"/>
  <c r="AD358" i="16"/>
  <c r="AC119" i="16"/>
  <c r="AI119" i="16" s="1"/>
  <c r="AC358" i="16"/>
  <c r="AI358" i="16" s="1"/>
  <c r="AA174" i="16"/>
  <c r="AB174" i="16" s="1"/>
  <c r="AD189" i="16"/>
  <c r="AC255" i="16"/>
  <c r="AI255" i="16" s="1"/>
  <c r="AC243" i="16"/>
  <c r="AI243" i="16" s="1"/>
  <c r="AD288" i="16"/>
  <c r="Y189" i="16"/>
  <c r="Z189" i="16" s="1"/>
  <c r="AD255" i="16"/>
  <c r="AD252" i="16"/>
  <c r="AD243" i="16"/>
  <c r="AC288" i="16"/>
  <c r="AI288" i="16" s="1"/>
  <c r="AA255" i="16"/>
  <c r="AB255" i="16" s="1"/>
  <c r="Y252" i="16"/>
  <c r="Z252" i="16" s="1"/>
  <c r="AC144" i="16"/>
  <c r="AI144" i="16" s="1"/>
  <c r="AD177" i="16"/>
  <c r="Y296" i="16"/>
  <c r="Z296" i="16" s="1"/>
  <c r="AC304" i="16"/>
  <c r="AI304" i="16" s="1"/>
  <c r="Y335" i="16"/>
  <c r="Z335" i="16" s="1"/>
  <c r="AD352" i="16"/>
  <c r="AA113" i="16"/>
  <c r="AB113" i="16" s="1"/>
  <c r="AC129" i="16"/>
  <c r="AI129" i="16" s="1"/>
  <c r="AD144" i="16"/>
  <c r="AC177" i="16"/>
  <c r="AI177" i="16" s="1"/>
  <c r="AC285" i="16"/>
  <c r="AI285" i="16" s="1"/>
  <c r="AD335" i="16"/>
  <c r="AC272" i="16"/>
  <c r="AI272" i="16" s="1"/>
  <c r="Y182" i="16"/>
  <c r="Z182" i="16" s="1"/>
  <c r="AD129" i="16"/>
  <c r="AA196" i="16"/>
  <c r="AB196" i="16" s="1"/>
  <c r="AC191" i="16"/>
  <c r="AI191" i="16" s="1"/>
  <c r="AD239" i="16"/>
  <c r="Y239" i="16"/>
  <c r="Z239" i="16" s="1"/>
  <c r="Y110" i="16"/>
  <c r="Z110" i="16" s="1"/>
  <c r="V125" i="16"/>
  <c r="Y119" i="16"/>
  <c r="Z119" i="16" s="1"/>
  <c r="O65" i="33"/>
  <c r="M65" i="33"/>
  <c r="V245" i="32"/>
  <c r="X245" i="32" s="1"/>
  <c r="Y245" i="32" s="1"/>
  <c r="AD150" i="32"/>
  <c r="AJ150" i="32" s="1"/>
  <c r="V208" i="32"/>
  <c r="X208" i="32" s="1"/>
  <c r="Y208" i="32" s="1"/>
  <c r="Z193" i="32"/>
  <c r="AA193" i="32" s="1"/>
  <c r="Y324" i="16"/>
  <c r="Z324" i="16" s="1"/>
  <c r="AC202" i="16"/>
  <c r="AI202" i="16" s="1"/>
  <c r="V263" i="16"/>
  <c r="V288" i="16"/>
  <c r="V276" i="16"/>
  <c r="AC289" i="16"/>
  <c r="AI289" i="16" s="1"/>
  <c r="AD261" i="16"/>
  <c r="AD305" i="16"/>
  <c r="AD57" i="32"/>
  <c r="AJ57" i="32" s="1"/>
  <c r="AD282" i="32"/>
  <c r="AJ282" i="32" s="1"/>
  <c r="AB243" i="32"/>
  <c r="AC243" i="32" s="1"/>
  <c r="AA94" i="16"/>
  <c r="AB94" i="16" s="1"/>
  <c r="AA173" i="16"/>
  <c r="AB173" i="16" s="1"/>
  <c r="AA132" i="16"/>
  <c r="AB132" i="16" s="1"/>
  <c r="V203" i="16"/>
  <c r="AA105" i="16"/>
  <c r="AB105" i="16" s="1"/>
  <c r="AD249" i="16"/>
  <c r="Y269" i="16"/>
  <c r="Z269" i="16" s="1"/>
  <c r="Y201" i="16"/>
  <c r="Z201" i="16" s="1"/>
  <c r="AD364" i="16"/>
  <c r="AD336" i="16"/>
  <c r="AA358" i="16"/>
  <c r="AB358" i="16" s="1"/>
  <c r="AD324" i="16"/>
  <c r="AC249" i="16"/>
  <c r="AI249" i="16" s="1"/>
  <c r="AC127" i="16"/>
  <c r="AI127" i="16" s="1"/>
  <c r="AC234" i="16"/>
  <c r="AI234" i="16" s="1"/>
  <c r="Y364" i="16"/>
  <c r="Z364" i="16" s="1"/>
  <c r="Y336" i="16"/>
  <c r="Z336" i="16" s="1"/>
  <c r="AD292" i="32"/>
  <c r="AJ292" i="32" s="1"/>
  <c r="AA167" i="16"/>
  <c r="AB167" i="16" s="1"/>
  <c r="AA269" i="16"/>
  <c r="AB269" i="16" s="1"/>
  <c r="AD140" i="16"/>
  <c r="AD127" i="16"/>
  <c r="AD308" i="16"/>
  <c r="V352" i="16"/>
  <c r="AC121" i="16"/>
  <c r="AI121" i="16" s="1"/>
  <c r="AC218" i="16"/>
  <c r="AI218" i="16" s="1"/>
  <c r="AC140" i="16"/>
  <c r="AI140" i="16" s="1"/>
  <c r="AD101" i="32"/>
  <c r="AJ101" i="32" s="1"/>
  <c r="V134" i="16"/>
  <c r="V190" i="16"/>
  <c r="AA248" i="16"/>
  <c r="AB248" i="16" s="1"/>
  <c r="Y303" i="16"/>
  <c r="Z303" i="16" s="1"/>
  <c r="AD121" i="16"/>
  <c r="AD218" i="16"/>
  <c r="AD297" i="16"/>
  <c r="AD98" i="16"/>
  <c r="AC206" i="16"/>
  <c r="AI206" i="16" s="1"/>
  <c r="AD268" i="16"/>
  <c r="Z101" i="32"/>
  <c r="AA101" i="32" s="1"/>
  <c r="V61" i="32"/>
  <c r="X61" i="32" s="1"/>
  <c r="Y61" i="32" s="1"/>
  <c r="V31" i="32"/>
  <c r="X31" i="32" s="1"/>
  <c r="Y31" i="32" s="1"/>
  <c r="AA144" i="16"/>
  <c r="AB144" i="16" s="1"/>
  <c r="Y297" i="16"/>
  <c r="Z297" i="16" s="1"/>
  <c r="AC98" i="16"/>
  <c r="AI98" i="16" s="1"/>
  <c r="AD206" i="16"/>
  <c r="AC268" i="16"/>
  <c r="AI268" i="16" s="1"/>
  <c r="AC315" i="16"/>
  <c r="AI315" i="16" s="1"/>
  <c r="V230" i="32"/>
  <c r="X230" i="32" s="1"/>
  <c r="Y230" i="32" s="1"/>
  <c r="AD132" i="16"/>
  <c r="Z102" i="32"/>
  <c r="AA102" i="32" s="1"/>
  <c r="Z266" i="32"/>
  <c r="AA266" i="32" s="1"/>
  <c r="V220" i="32"/>
  <c r="X220" i="32" s="1"/>
  <c r="Y220" i="32" s="1"/>
  <c r="Y368" i="16"/>
  <c r="Z368" i="16" s="1"/>
  <c r="AD85" i="16"/>
  <c r="AD368" i="16"/>
  <c r="AB309" i="32"/>
  <c r="AC309" i="32" s="1"/>
  <c r="AD263" i="32"/>
  <c r="AJ263" i="32" s="1"/>
  <c r="AE263" i="32"/>
  <c r="AC85" i="16"/>
  <c r="AI85" i="16" s="1"/>
  <c r="AA115" i="16"/>
  <c r="AB115" i="16" s="1"/>
  <c r="V154" i="16"/>
  <c r="AC279" i="16"/>
  <c r="AI279" i="16" s="1"/>
  <c r="AC343" i="16"/>
  <c r="AI343" i="16" s="1"/>
  <c r="AE296" i="32"/>
  <c r="V142" i="16"/>
  <c r="V205" i="16"/>
  <c r="Y279" i="16"/>
  <c r="Z279" i="16" s="1"/>
  <c r="AD296" i="32"/>
  <c r="AJ296" i="32" s="1"/>
  <c r="AB212" i="32"/>
  <c r="AC212" i="32" s="1"/>
  <c r="AA195" i="16"/>
  <c r="AB195" i="16" s="1"/>
  <c r="Z258" i="32"/>
  <c r="AA258" i="32" s="1"/>
  <c r="V230" i="16"/>
  <c r="AD279" i="16"/>
  <c r="V171" i="16"/>
  <c r="AC303" i="16"/>
  <c r="AI303" i="16" s="1"/>
  <c r="AE258" i="32"/>
  <c r="AA225" i="16"/>
  <c r="AB225" i="16" s="1"/>
  <c r="V222" i="16"/>
  <c r="AC136" i="16"/>
  <c r="AI136" i="16" s="1"/>
  <c r="AD244" i="16"/>
  <c r="AD136" i="16"/>
  <c r="Y174" i="16"/>
  <c r="Z174" i="16" s="1"/>
  <c r="V86" i="16"/>
  <c r="AA92" i="16"/>
  <c r="AB92" i="16" s="1"/>
  <c r="AD224" i="16"/>
  <c r="V111" i="16"/>
  <c r="Y224" i="16"/>
  <c r="Z224" i="16" s="1"/>
  <c r="AA130" i="16"/>
  <c r="AB130" i="16" s="1"/>
  <c r="AD345" i="16"/>
  <c r="Y331" i="16"/>
  <c r="Z331" i="16" s="1"/>
  <c r="AA187" i="16"/>
  <c r="AB187" i="16" s="1"/>
  <c r="AA326" i="16"/>
  <c r="AB326" i="16" s="1"/>
  <c r="AA315" i="16"/>
  <c r="AB315" i="16" s="1"/>
  <c r="AD110" i="16"/>
  <c r="Y320" i="16"/>
  <c r="Z320" i="16" s="1"/>
  <c r="Y211" i="16"/>
  <c r="Z211" i="16" s="1"/>
  <c r="AD102" i="32"/>
  <c r="AJ102" i="32" s="1"/>
  <c r="AE150" i="32"/>
  <c r="V82" i="32"/>
  <c r="X82" i="32" s="1"/>
  <c r="Y82" i="32" s="1"/>
  <c r="AD251" i="32"/>
  <c r="AJ251" i="32" s="1"/>
  <c r="AE193" i="32"/>
  <c r="AA320" i="16"/>
  <c r="AB320" i="16" s="1"/>
  <c r="V193" i="16"/>
  <c r="V241" i="16"/>
  <c r="Y225" i="16"/>
  <c r="Z225" i="16" s="1"/>
  <c r="AD331" i="16"/>
  <c r="AD124" i="16"/>
  <c r="AD295" i="16"/>
  <c r="AD277" i="16"/>
  <c r="Y101" i="16"/>
  <c r="Z101" i="16" s="1"/>
  <c r="AD284" i="16"/>
  <c r="AC345" i="16"/>
  <c r="AI345" i="16" s="1"/>
  <c r="AD343" i="16"/>
  <c r="Z292" i="32"/>
  <c r="AA292" i="32" s="1"/>
  <c r="AA346" i="16"/>
  <c r="AB346" i="16" s="1"/>
  <c r="AE145" i="32"/>
  <c r="AB274" i="32"/>
  <c r="AC274" i="32" s="1"/>
  <c r="V46" i="32"/>
  <c r="X46" i="32" s="1"/>
  <c r="Y46" i="32" s="1"/>
  <c r="Y295" i="16"/>
  <c r="Z295" i="16" s="1"/>
  <c r="AD200" i="16"/>
  <c r="Y277" i="16"/>
  <c r="Z277" i="16" s="1"/>
  <c r="Y284" i="16"/>
  <c r="Z284" i="16" s="1"/>
  <c r="Y353" i="16"/>
  <c r="Z353" i="16" s="1"/>
  <c r="AC200" i="16"/>
  <c r="AI200" i="16" s="1"/>
  <c r="AD109" i="16"/>
  <c r="AC353" i="16"/>
  <c r="AI353" i="16" s="1"/>
  <c r="AE45" i="32"/>
  <c r="AD191" i="16"/>
  <c r="V223" i="16"/>
  <c r="AD292" i="16"/>
  <c r="AC109" i="16"/>
  <c r="AI109" i="16" s="1"/>
  <c r="V239" i="32"/>
  <c r="X239" i="32" s="1"/>
  <c r="Y239" i="32" s="1"/>
  <c r="Z92" i="32"/>
  <c r="AA92" i="32" s="1"/>
  <c r="AD45" i="32"/>
  <c r="AJ45" i="32" s="1"/>
  <c r="AC292" i="16"/>
  <c r="AI292" i="16" s="1"/>
  <c r="AC341" i="16"/>
  <c r="AI341" i="16" s="1"/>
  <c r="AB234" i="32"/>
  <c r="AC234" i="32" s="1"/>
  <c r="AC320" i="16"/>
  <c r="AI320" i="16" s="1"/>
  <c r="AD211" i="16"/>
  <c r="AD341" i="16"/>
  <c r="V122" i="32"/>
  <c r="X122" i="32" s="1"/>
  <c r="Y122" i="32" s="1"/>
  <c r="AD308" i="32"/>
  <c r="AJ308" i="32" s="1"/>
  <c r="AC277" i="16"/>
  <c r="AI277" i="16" s="1"/>
  <c r="Z308" i="32"/>
  <c r="AA308" i="32" s="1"/>
  <c r="V244" i="32"/>
  <c r="X244" i="32" s="1"/>
  <c r="Y244" i="32" s="1"/>
  <c r="AB63" i="32"/>
  <c r="AC63" i="32" s="1"/>
  <c r="AE142" i="32"/>
  <c r="AA367" i="16"/>
  <c r="AB367" i="16" s="1"/>
  <c r="AB246" i="32"/>
  <c r="AC246" i="32" s="1"/>
  <c r="AD67" i="32"/>
  <c r="AJ67" i="32" s="1"/>
  <c r="V265" i="32"/>
  <c r="X265" i="32" s="1"/>
  <c r="Y265" i="32" s="1"/>
  <c r="V305" i="32"/>
  <c r="X305" i="32" s="1"/>
  <c r="Y305" i="32" s="1"/>
  <c r="Y190" i="16"/>
  <c r="Z190" i="16" s="1"/>
  <c r="AE303" i="32"/>
  <c r="AD83" i="32"/>
  <c r="AJ83" i="32" s="1"/>
  <c r="AA279" i="16"/>
  <c r="AB279" i="16" s="1"/>
  <c r="AC221" i="16"/>
  <c r="AI221" i="16" s="1"/>
  <c r="Y176" i="16"/>
  <c r="Z176" i="16" s="1"/>
  <c r="AC244" i="16"/>
  <c r="AI244" i="16" s="1"/>
  <c r="Y294" i="16"/>
  <c r="Z294" i="16" s="1"/>
  <c r="AC174" i="16"/>
  <c r="AI174" i="16" s="1"/>
  <c r="V283" i="32"/>
  <c r="X283" i="32" s="1"/>
  <c r="Y283" i="32" s="1"/>
  <c r="AB98" i="32"/>
  <c r="AC98" i="32" s="1"/>
  <c r="AD101" i="16"/>
  <c r="AD310" i="32"/>
  <c r="AJ310" i="32" s="1"/>
  <c r="Y100" i="16"/>
  <c r="Z100" i="16" s="1"/>
  <c r="AA355" i="16"/>
  <c r="AB355" i="16" s="1"/>
  <c r="AE248" i="32"/>
  <c r="AE279" i="32"/>
  <c r="AE281" i="32"/>
  <c r="V312" i="16"/>
  <c r="Z204" i="32"/>
  <c r="AA204" i="32" s="1"/>
  <c r="AE310" i="32"/>
  <c r="AA136" i="16"/>
  <c r="AB136" i="16" s="1"/>
  <c r="AC118" i="16"/>
  <c r="AI118" i="16" s="1"/>
  <c r="AD102" i="16"/>
  <c r="V130" i="32"/>
  <c r="X130" i="32" s="1"/>
  <c r="Y130" i="32" s="1"/>
  <c r="AC93" i="16"/>
  <c r="AI93" i="16" s="1"/>
  <c r="AC333" i="16"/>
  <c r="AI333" i="16" s="1"/>
  <c r="AB67" i="32"/>
  <c r="AC67" i="32" s="1"/>
  <c r="AA262" i="16"/>
  <c r="AB262" i="16" s="1"/>
  <c r="AB203" i="32"/>
  <c r="AC203" i="32" s="1"/>
  <c r="AD93" i="16"/>
  <c r="AD104" i="16"/>
  <c r="Y333" i="16"/>
  <c r="Z333" i="16" s="1"/>
  <c r="AB145" i="32"/>
  <c r="AC145" i="32" s="1"/>
  <c r="AA323" i="16"/>
  <c r="AB323" i="16" s="1"/>
  <c r="V310" i="16"/>
  <c r="AD86" i="16"/>
  <c r="Y104" i="16"/>
  <c r="Z104" i="16" s="1"/>
  <c r="AA356" i="16"/>
  <c r="AB356" i="16" s="1"/>
  <c r="AC102" i="16"/>
  <c r="AI102" i="16" s="1"/>
  <c r="V254" i="16"/>
  <c r="AC148" i="16"/>
  <c r="AI148" i="16" s="1"/>
  <c r="AE244" i="32"/>
  <c r="AD148" i="16"/>
  <c r="AA146" i="16"/>
  <c r="AB146" i="16" s="1"/>
  <c r="AD138" i="16"/>
  <c r="AB227" i="32"/>
  <c r="AC227" i="32" s="1"/>
  <c r="AD123" i="16"/>
  <c r="V365" i="16"/>
  <c r="AB194" i="32"/>
  <c r="AC194" i="32" s="1"/>
  <c r="V84" i="16"/>
  <c r="AA100" i="16"/>
  <c r="AB100" i="16" s="1"/>
  <c r="AC263" i="16"/>
  <c r="AI263" i="16" s="1"/>
  <c r="Z123" i="32"/>
  <c r="AA123" i="32" s="1"/>
  <c r="Z57" i="32"/>
  <c r="AA57" i="32" s="1"/>
  <c r="Y315" i="16"/>
  <c r="Z315" i="16" s="1"/>
  <c r="AD245" i="16"/>
  <c r="AB207" i="32"/>
  <c r="AC207" i="32" s="1"/>
  <c r="Z161" i="32"/>
  <c r="AA161" i="32" s="1"/>
  <c r="AD107" i="16"/>
  <c r="V148" i="16"/>
  <c r="V141" i="16"/>
  <c r="Y326" i="16"/>
  <c r="Z326" i="16" s="1"/>
  <c r="Y192" i="16"/>
  <c r="Z192" i="16" s="1"/>
  <c r="Y262" i="16"/>
  <c r="Z262" i="16" s="1"/>
  <c r="Y153" i="16"/>
  <c r="Z153" i="16" s="1"/>
  <c r="Y290" i="16"/>
  <c r="Z290" i="16" s="1"/>
  <c r="AD202" i="16"/>
  <c r="Y214" i="16"/>
  <c r="Z214" i="16" s="1"/>
  <c r="AD259" i="16"/>
  <c r="AD176" i="16"/>
  <c r="AD296" i="16"/>
  <c r="Y180" i="16"/>
  <c r="Z180" i="16" s="1"/>
  <c r="Y157" i="16"/>
  <c r="Z157" i="16" s="1"/>
  <c r="V351" i="16"/>
  <c r="Z269" i="32"/>
  <c r="AA269" i="32" s="1"/>
  <c r="AD303" i="32"/>
  <c r="AJ303" i="32" s="1"/>
  <c r="Z53" i="32"/>
  <c r="AA53" i="32" s="1"/>
  <c r="AE107" i="32"/>
  <c r="Z170" i="32"/>
  <c r="AA170" i="32" s="1"/>
  <c r="V51" i="32"/>
  <c r="X51" i="32" s="1"/>
  <c r="Y51" i="32" s="1"/>
  <c r="Z250" i="32"/>
  <c r="AA250" i="32" s="1"/>
  <c r="AD94" i="32"/>
  <c r="AJ94" i="32" s="1"/>
  <c r="V38" i="32"/>
  <c r="X38" i="32" s="1"/>
  <c r="Y38" i="32" s="1"/>
  <c r="V293" i="32"/>
  <c r="X293" i="32" s="1"/>
  <c r="Y293" i="32" s="1"/>
  <c r="V47" i="32"/>
  <c r="X47" i="32" s="1"/>
  <c r="Y47" i="32" s="1"/>
  <c r="Z270" i="32"/>
  <c r="AA270" i="32" s="1"/>
  <c r="AD199" i="16"/>
  <c r="AE47" i="32"/>
  <c r="AA133" i="16"/>
  <c r="AB133" i="16" s="1"/>
  <c r="AA199" i="16"/>
  <c r="AB199" i="16" s="1"/>
  <c r="AC91" i="16"/>
  <c r="AI91" i="16" s="1"/>
  <c r="AC216" i="16"/>
  <c r="AI216" i="16" s="1"/>
  <c r="AD118" i="16"/>
  <c r="AD196" i="16"/>
  <c r="AC247" i="16"/>
  <c r="AI247" i="16" s="1"/>
  <c r="AD97" i="16"/>
  <c r="Y304" i="16"/>
  <c r="Z304" i="16" s="1"/>
  <c r="AC122" i="16"/>
  <c r="AI122" i="16" s="1"/>
  <c r="AD318" i="16"/>
  <c r="AE103" i="32"/>
  <c r="Z243" i="32"/>
  <c r="AA243" i="32" s="1"/>
  <c r="AB214" i="32"/>
  <c r="AC214" i="32" s="1"/>
  <c r="Z273" i="32"/>
  <c r="AA273" i="32" s="1"/>
  <c r="AD161" i="32"/>
  <c r="AJ161" i="32" s="1"/>
  <c r="V168" i="32"/>
  <c r="X168" i="32" s="1"/>
  <c r="Y168" i="32" s="1"/>
  <c r="AE186" i="32"/>
  <c r="AD132" i="32"/>
  <c r="AJ132" i="32" s="1"/>
  <c r="AD234" i="16"/>
  <c r="AC196" i="16"/>
  <c r="AI196" i="16" s="1"/>
  <c r="AD94" i="16"/>
  <c r="Y247" i="16"/>
  <c r="Z247" i="16" s="1"/>
  <c r="AD95" i="16"/>
  <c r="AC97" i="16"/>
  <c r="AI97" i="16" s="1"/>
  <c r="AD122" i="16"/>
  <c r="AC318" i="16"/>
  <c r="AI318" i="16" s="1"/>
  <c r="AA354" i="16"/>
  <c r="AB354" i="16" s="1"/>
  <c r="AB91" i="32"/>
  <c r="AC91" i="32" s="1"/>
  <c r="AD103" i="32"/>
  <c r="AJ103" i="32" s="1"/>
  <c r="AB289" i="32"/>
  <c r="AC289" i="32" s="1"/>
  <c r="AD243" i="32"/>
  <c r="AJ243" i="32" s="1"/>
  <c r="AB169" i="32"/>
  <c r="AC169" i="32" s="1"/>
  <c r="AE273" i="32"/>
  <c r="AD186" i="32"/>
  <c r="AJ186" i="32" s="1"/>
  <c r="AB238" i="32"/>
  <c r="AC238" i="32" s="1"/>
  <c r="Z132" i="32"/>
  <c r="AA132" i="32" s="1"/>
  <c r="V219" i="32"/>
  <c r="X219" i="32" s="1"/>
  <c r="Y219" i="32" s="1"/>
  <c r="Z67" i="32"/>
  <c r="AA67" i="32" s="1"/>
  <c r="AC92" i="16"/>
  <c r="AI92" i="16" s="1"/>
  <c r="AD91" i="16"/>
  <c r="Y216" i="16"/>
  <c r="Z216" i="16" s="1"/>
  <c r="AA229" i="16"/>
  <c r="AB229" i="16" s="1"/>
  <c r="AA197" i="16"/>
  <c r="AB197" i="16" s="1"/>
  <c r="V283" i="16"/>
  <c r="AD92" i="16"/>
  <c r="AD164" i="16"/>
  <c r="AC223" i="16"/>
  <c r="AI223" i="16" s="1"/>
  <c r="AC94" i="16"/>
  <c r="AI94" i="16" s="1"/>
  <c r="AD286" i="16"/>
  <c r="AC95" i="16"/>
  <c r="AI95" i="16" s="1"/>
  <c r="AD276" i="16"/>
  <c r="V366" i="16"/>
  <c r="AC359" i="16"/>
  <c r="AI359" i="16" s="1"/>
  <c r="AC340" i="16"/>
  <c r="AI340" i="16" s="1"/>
  <c r="Z74" i="32"/>
  <c r="AA74" i="32" s="1"/>
  <c r="AB277" i="32"/>
  <c r="AC277" i="32" s="1"/>
  <c r="Z240" i="32"/>
  <c r="AA240" i="32" s="1"/>
  <c r="AB301" i="32"/>
  <c r="AC301" i="32" s="1"/>
  <c r="AB268" i="32"/>
  <c r="AC268" i="32" s="1"/>
  <c r="AE78" i="32"/>
  <c r="AA309" i="16"/>
  <c r="AB309" i="16" s="1"/>
  <c r="AA319" i="16"/>
  <c r="AB319" i="16" s="1"/>
  <c r="AC164" i="16"/>
  <c r="AI164" i="16" s="1"/>
  <c r="AD223" i="16"/>
  <c r="AC286" i="16"/>
  <c r="AI286" i="16" s="1"/>
  <c r="AC276" i="16"/>
  <c r="AI276" i="16" s="1"/>
  <c r="AC215" i="16"/>
  <c r="AI215" i="16" s="1"/>
  <c r="AC363" i="16"/>
  <c r="AI363" i="16" s="1"/>
  <c r="AD359" i="16"/>
  <c r="Y340" i="16"/>
  <c r="Z340" i="16" s="1"/>
  <c r="V273" i="32"/>
  <c r="X273" i="32" s="1"/>
  <c r="Y273" i="32" s="1"/>
  <c r="AD240" i="32"/>
  <c r="AJ240" i="32" s="1"/>
  <c r="AD100" i="32"/>
  <c r="AJ100" i="32" s="1"/>
  <c r="AB248" i="32"/>
  <c r="AC248" i="32" s="1"/>
  <c r="AB73" i="32"/>
  <c r="AC73" i="32" s="1"/>
  <c r="V247" i="32"/>
  <c r="X247" i="32" s="1"/>
  <c r="Y247" i="32" s="1"/>
  <c r="Z130" i="32"/>
  <c r="AA130" i="32" s="1"/>
  <c r="AD78" i="32"/>
  <c r="AJ78" i="32" s="1"/>
  <c r="AB136" i="32"/>
  <c r="AC136" i="32" s="1"/>
  <c r="Y276" i="16"/>
  <c r="Z276" i="16" s="1"/>
  <c r="AD215" i="16"/>
  <c r="V329" i="16"/>
  <c r="AD363" i="16"/>
  <c r="AD362" i="16"/>
  <c r="AB275" i="32"/>
  <c r="AC275" i="32" s="1"/>
  <c r="AE265" i="32"/>
  <c r="AE241" i="32"/>
  <c r="AB312" i="32"/>
  <c r="AC312" i="32" s="1"/>
  <c r="AB185" i="32"/>
  <c r="AC185" i="32" s="1"/>
  <c r="AB195" i="32"/>
  <c r="AC195" i="32" s="1"/>
  <c r="AD130" i="32"/>
  <c r="AJ130" i="32" s="1"/>
  <c r="AA178" i="16"/>
  <c r="AB178" i="16" s="1"/>
  <c r="V139" i="16"/>
  <c r="AA96" i="16"/>
  <c r="AB96" i="16" s="1"/>
  <c r="AA253" i="16"/>
  <c r="AB253" i="16" s="1"/>
  <c r="AA307" i="16"/>
  <c r="AB307" i="16" s="1"/>
  <c r="V138" i="16"/>
  <c r="AD273" i="16"/>
  <c r="AD238" i="16"/>
  <c r="AC232" i="16"/>
  <c r="AI232" i="16" s="1"/>
  <c r="AD163" i="16"/>
  <c r="AC107" i="16"/>
  <c r="AI107" i="16" s="1"/>
  <c r="AC207" i="16"/>
  <c r="AI207" i="16" s="1"/>
  <c r="AC128" i="16"/>
  <c r="AI128" i="16" s="1"/>
  <c r="AC362" i="16"/>
  <c r="AI362" i="16" s="1"/>
  <c r="AA337" i="16"/>
  <c r="AB337" i="16" s="1"/>
  <c r="AE268" i="32"/>
  <c r="V191" i="32"/>
  <c r="X191" i="32" s="1"/>
  <c r="Y191" i="32" s="1"/>
  <c r="AE129" i="32"/>
  <c r="AB163" i="32"/>
  <c r="AC163" i="32" s="1"/>
  <c r="V276" i="32"/>
  <c r="X276" i="32" s="1"/>
  <c r="Y276" i="32" s="1"/>
  <c r="AD191" i="32"/>
  <c r="AJ191" i="32" s="1"/>
  <c r="AD265" i="32"/>
  <c r="AJ265" i="32" s="1"/>
  <c r="AE154" i="32"/>
  <c r="AB231" i="32"/>
  <c r="AC231" i="32" s="1"/>
  <c r="AA314" i="16"/>
  <c r="AB314" i="16" s="1"/>
  <c r="AA204" i="16"/>
  <c r="AB204" i="16" s="1"/>
  <c r="AA311" i="16"/>
  <c r="AB311" i="16" s="1"/>
  <c r="AC326" i="16"/>
  <c r="AI326" i="16" s="1"/>
  <c r="AC192" i="16"/>
  <c r="AI192" i="16" s="1"/>
  <c r="AC262" i="16"/>
  <c r="AI262" i="16" s="1"/>
  <c r="AC153" i="16"/>
  <c r="AI153" i="16" s="1"/>
  <c r="AD290" i="16"/>
  <c r="AC273" i="16"/>
  <c r="AI273" i="16" s="1"/>
  <c r="AD214" i="16"/>
  <c r="Y238" i="16"/>
  <c r="Z238" i="16" s="1"/>
  <c r="AD232" i="16"/>
  <c r="AC163" i="16"/>
  <c r="AI163" i="16" s="1"/>
  <c r="AD207" i="16"/>
  <c r="AD128" i="16"/>
  <c r="AD180" i="16"/>
  <c r="AD157" i="16"/>
  <c r="Z268" i="32"/>
  <c r="AA268" i="32" s="1"/>
  <c r="AD269" i="32"/>
  <c r="AJ269" i="32" s="1"/>
  <c r="AD95" i="32"/>
  <c r="AJ95" i="32" s="1"/>
  <c r="AE53" i="32"/>
  <c r="AD107" i="32"/>
  <c r="AJ107" i="32" s="1"/>
  <c r="AD129" i="32"/>
  <c r="AJ129" i="32" s="1"/>
  <c r="AE170" i="32"/>
  <c r="AB272" i="32"/>
  <c r="AC272" i="32" s="1"/>
  <c r="AB37" i="32"/>
  <c r="AC37" i="32" s="1"/>
  <c r="AE250" i="32"/>
  <c r="AD154" i="32"/>
  <c r="AJ154" i="32" s="1"/>
  <c r="V235" i="32"/>
  <c r="X235" i="32" s="1"/>
  <c r="Y235" i="32" s="1"/>
  <c r="AE94" i="32"/>
  <c r="AE270" i="32"/>
  <c r="M66" i="33"/>
  <c r="L66" i="33" s="1"/>
  <c r="Y273" i="16"/>
  <c r="Z273" i="16" s="1"/>
  <c r="Z95" i="32"/>
  <c r="AA95" i="32" s="1"/>
  <c r="AE89" i="32"/>
  <c r="V35" i="32"/>
  <c r="X35" i="32" s="1"/>
  <c r="Y35" i="32" s="1"/>
  <c r="AD121" i="32"/>
  <c r="AJ121" i="32" s="1"/>
  <c r="M98" i="33"/>
  <c r="L98" i="33" s="1"/>
  <c r="M79" i="33"/>
  <c r="L79" i="33" s="1"/>
  <c r="O84" i="33"/>
  <c r="L84" i="33" s="1"/>
  <c r="M86" i="33"/>
  <c r="L86" i="33" s="1"/>
  <c r="O82" i="33"/>
  <c r="L82" i="33" s="1"/>
  <c r="AD204" i="32"/>
  <c r="AJ204" i="32" s="1"/>
  <c r="AC159" i="16"/>
  <c r="AI159" i="16" s="1"/>
  <c r="AC308" i="16"/>
  <c r="AI308" i="16" s="1"/>
  <c r="AC100" i="16"/>
  <c r="AI100" i="16" s="1"/>
  <c r="AA185" i="16"/>
  <c r="AB185" i="16" s="1"/>
  <c r="AC237" i="16"/>
  <c r="AI237" i="16" s="1"/>
  <c r="AE166" i="32"/>
  <c r="Z166" i="32"/>
  <c r="AA166" i="32" s="1"/>
  <c r="O78" i="33"/>
  <c r="L78" i="33" s="1"/>
  <c r="V124" i="16"/>
  <c r="V192" i="16"/>
  <c r="V247" i="16"/>
  <c r="V97" i="16"/>
  <c r="AD182" i="16"/>
  <c r="AD230" i="16"/>
  <c r="AD190" i="16"/>
  <c r="AC86" i="16"/>
  <c r="AI86" i="16" s="1"/>
  <c r="AD151" i="16"/>
  <c r="Y287" i="16"/>
  <c r="Z287" i="16" s="1"/>
  <c r="V34" i="32"/>
  <c r="X34" i="32" s="1"/>
  <c r="Y34" i="32" s="1"/>
  <c r="AA182" i="16"/>
  <c r="AB182" i="16" s="1"/>
  <c r="AC170" i="16"/>
  <c r="AI170" i="16" s="1"/>
  <c r="AC228" i="16"/>
  <c r="AI228" i="16" s="1"/>
  <c r="AD250" i="16"/>
  <c r="AD202" i="32"/>
  <c r="AJ202" i="32" s="1"/>
  <c r="AB260" i="32"/>
  <c r="AC260" i="32" s="1"/>
  <c r="AD228" i="16"/>
  <c r="AA104" i="16"/>
  <c r="AB104" i="16" s="1"/>
  <c r="AA235" i="16"/>
  <c r="AB235" i="16" s="1"/>
  <c r="AC309" i="16"/>
  <c r="AI309" i="16" s="1"/>
  <c r="AD170" i="16"/>
  <c r="AD311" i="16"/>
  <c r="Y250" i="16"/>
  <c r="Z250" i="16" s="1"/>
  <c r="AE172" i="32"/>
  <c r="AB161" i="32"/>
  <c r="AC161" i="32" s="1"/>
  <c r="Z237" i="32"/>
  <c r="AA237" i="32" s="1"/>
  <c r="AD66" i="32"/>
  <c r="AJ66" i="32" s="1"/>
  <c r="AB40" i="32"/>
  <c r="AC40" i="32" s="1"/>
  <c r="AC231" i="16"/>
  <c r="AI231" i="16" s="1"/>
  <c r="Y309" i="16"/>
  <c r="Z309" i="16" s="1"/>
  <c r="AC193" i="16"/>
  <c r="AI193" i="16" s="1"/>
  <c r="AA186" i="16"/>
  <c r="AB186" i="16" s="1"/>
  <c r="Y123" i="16"/>
  <c r="Z123" i="16" s="1"/>
  <c r="AA296" i="16"/>
  <c r="AB296" i="16" s="1"/>
  <c r="AD193" i="16"/>
  <c r="AE113" i="32"/>
  <c r="Y96" i="16"/>
  <c r="Z96" i="16" s="1"/>
  <c r="AC271" i="16"/>
  <c r="AI271" i="16" s="1"/>
  <c r="AD181" i="16"/>
  <c r="Y183" i="16"/>
  <c r="Z183" i="16" s="1"/>
  <c r="AC235" i="16"/>
  <c r="AI235" i="16" s="1"/>
  <c r="AC355" i="16"/>
  <c r="AI355" i="16" s="1"/>
  <c r="AE93" i="32"/>
  <c r="Z113" i="32"/>
  <c r="AA113" i="32" s="1"/>
  <c r="AD271" i="16"/>
  <c r="AC181" i="16"/>
  <c r="AI181" i="16" s="1"/>
  <c r="AC194" i="16"/>
  <c r="AI194" i="16" s="1"/>
  <c r="AD217" i="16"/>
  <c r="AD235" i="16"/>
  <c r="Y355" i="16"/>
  <c r="Z355" i="16" s="1"/>
  <c r="AA250" i="16"/>
  <c r="AB250" i="16" s="1"/>
  <c r="Y271" i="16"/>
  <c r="Z271" i="16" s="1"/>
  <c r="AD194" i="16"/>
  <c r="AC217" i="16"/>
  <c r="AI217" i="16" s="1"/>
  <c r="AD287" i="16"/>
  <c r="Y354" i="16"/>
  <c r="Z354" i="16" s="1"/>
  <c r="AB72" i="32"/>
  <c r="AC72" i="32" s="1"/>
  <c r="AD332" i="16"/>
  <c r="AD81" i="32"/>
  <c r="AJ81" i="32" s="1"/>
  <c r="AE229" i="32"/>
  <c r="AD87" i="16"/>
  <c r="Y285" i="16"/>
  <c r="Z285" i="16" s="1"/>
  <c r="AC352" i="16"/>
  <c r="AI352" i="16" s="1"/>
  <c r="AA120" i="16"/>
  <c r="AB120" i="16" s="1"/>
  <c r="AA228" i="16"/>
  <c r="AB228" i="16" s="1"/>
  <c r="AC269" i="16"/>
  <c r="AI269" i="16" s="1"/>
  <c r="AD237" i="16"/>
  <c r="AB64" i="32"/>
  <c r="AC64" i="32" s="1"/>
  <c r="M96" i="33"/>
  <c r="L96" i="33" s="1"/>
  <c r="AA289" i="16"/>
  <c r="AB289" i="16" s="1"/>
  <c r="AE252" i="32"/>
  <c r="AA108" i="16"/>
  <c r="AB108" i="16" s="1"/>
  <c r="AA237" i="16"/>
  <c r="AB237" i="16" s="1"/>
  <c r="V256" i="16"/>
  <c r="V116" i="16"/>
  <c r="AC167" i="16"/>
  <c r="AI167" i="16" s="1"/>
  <c r="AC317" i="16"/>
  <c r="AI317" i="16" s="1"/>
  <c r="Y275" i="16"/>
  <c r="Z275" i="16" s="1"/>
  <c r="AC132" i="16"/>
  <c r="AI132" i="16" s="1"/>
  <c r="AD270" i="16"/>
  <c r="AD203" i="16"/>
  <c r="AC307" i="16"/>
  <c r="AI307" i="16" s="1"/>
  <c r="AA363" i="16"/>
  <c r="AB363" i="16" s="1"/>
  <c r="AA336" i="16"/>
  <c r="AB336" i="16" s="1"/>
  <c r="AD351" i="16"/>
  <c r="AE266" i="32"/>
  <c r="AB107" i="32"/>
  <c r="AC107" i="32" s="1"/>
  <c r="AB36" i="32"/>
  <c r="AC36" i="32" s="1"/>
  <c r="V123" i="32"/>
  <c r="X123" i="32" s="1"/>
  <c r="Y123" i="32" s="1"/>
  <c r="AB174" i="32"/>
  <c r="AC174" i="32" s="1"/>
  <c r="V29" i="32"/>
  <c r="X29" i="32" s="1"/>
  <c r="Y29" i="32" s="1"/>
  <c r="Z251" i="32"/>
  <c r="AA251" i="32" s="1"/>
  <c r="O100" i="33"/>
  <c r="L100" i="33" s="1"/>
  <c r="AA135" i="16"/>
  <c r="AB135" i="16" s="1"/>
  <c r="AA324" i="16"/>
  <c r="AB324" i="16" s="1"/>
  <c r="AD167" i="16"/>
  <c r="AD317" i="16"/>
  <c r="AD111" i="16"/>
  <c r="AD169" i="16"/>
  <c r="AC254" i="16"/>
  <c r="AI254" i="16" s="1"/>
  <c r="Y270" i="16"/>
  <c r="Z270" i="16" s="1"/>
  <c r="Y203" i="16"/>
  <c r="Z203" i="16" s="1"/>
  <c r="AD307" i="16"/>
  <c r="AC330" i="16"/>
  <c r="AI330" i="16" s="1"/>
  <c r="AC351" i="16"/>
  <c r="AI351" i="16" s="1"/>
  <c r="AB179" i="32"/>
  <c r="AC179" i="32" s="1"/>
  <c r="AD158" i="32"/>
  <c r="AJ158" i="32" s="1"/>
  <c r="AB307" i="32"/>
  <c r="AC307" i="32" s="1"/>
  <c r="Z86" i="32"/>
  <c r="AA86" i="32" s="1"/>
  <c r="Z226" i="32"/>
  <c r="AA226" i="32" s="1"/>
  <c r="AC111" i="16"/>
  <c r="AI111" i="16" s="1"/>
  <c r="AC152" i="16"/>
  <c r="AI152" i="16" s="1"/>
  <c r="AD258" i="16"/>
  <c r="AC169" i="16"/>
  <c r="AI169" i="16" s="1"/>
  <c r="AD254" i="16"/>
  <c r="Y330" i="16"/>
  <c r="Z330" i="16" s="1"/>
  <c r="AB167" i="32"/>
  <c r="AC167" i="32" s="1"/>
  <c r="AE97" i="32"/>
  <c r="AE28" i="32"/>
  <c r="Z158" i="32"/>
  <c r="AA158" i="32" s="1"/>
  <c r="V294" i="32"/>
  <c r="X294" i="32" s="1"/>
  <c r="Y294" i="32" s="1"/>
  <c r="AB264" i="32"/>
  <c r="AC264" i="32" s="1"/>
  <c r="AE259" i="32"/>
  <c r="AE36" i="32"/>
  <c r="AE86" i="32"/>
  <c r="AB45" i="32"/>
  <c r="AC45" i="32" s="1"/>
  <c r="Z280" i="32"/>
  <c r="AA280" i="32" s="1"/>
  <c r="AE226" i="32"/>
  <c r="M83" i="33"/>
  <c r="L83" i="33" s="1"/>
  <c r="AA242" i="16"/>
  <c r="AB242" i="16" s="1"/>
  <c r="AA149" i="16"/>
  <c r="AB149" i="16" s="1"/>
  <c r="AA316" i="16"/>
  <c r="AB316" i="16" s="1"/>
  <c r="AA282" i="16"/>
  <c r="AB282" i="16" s="1"/>
  <c r="AA322" i="16"/>
  <c r="AB322" i="16" s="1"/>
  <c r="AD152" i="16"/>
  <c r="AC258" i="16"/>
  <c r="AI258" i="16" s="1"/>
  <c r="AC112" i="16"/>
  <c r="AI112" i="16" s="1"/>
  <c r="AD156" i="16"/>
  <c r="AD162" i="16"/>
  <c r="AD97" i="32"/>
  <c r="AJ97" i="32" s="1"/>
  <c r="AB68" i="32"/>
  <c r="AC68" i="32" s="1"/>
  <c r="AD28" i="32"/>
  <c r="AJ28" i="32" s="1"/>
  <c r="AB48" i="32"/>
  <c r="AC48" i="32" s="1"/>
  <c r="Z259" i="32"/>
  <c r="AA259" i="32" s="1"/>
  <c r="Z36" i="32"/>
  <c r="AA36" i="32" s="1"/>
  <c r="AD280" i="32"/>
  <c r="AJ280" i="32" s="1"/>
  <c r="AB217" i="32"/>
  <c r="AC217" i="32" s="1"/>
  <c r="AA165" i="16"/>
  <c r="AB165" i="16" s="1"/>
  <c r="AA224" i="16"/>
  <c r="AB224" i="16" s="1"/>
  <c r="AA93" i="16"/>
  <c r="AB93" i="16" s="1"/>
  <c r="AD112" i="16"/>
  <c r="AC156" i="16"/>
  <c r="AI156" i="16" s="1"/>
  <c r="AC162" i="16"/>
  <c r="AI162" i="16" s="1"/>
  <c r="AA341" i="16"/>
  <c r="AB341" i="16" s="1"/>
  <c r="AE295" i="32"/>
  <c r="AE175" i="32"/>
  <c r="AE205" i="32"/>
  <c r="AB311" i="32"/>
  <c r="AC311" i="32" s="1"/>
  <c r="AD29" i="32"/>
  <c r="AJ29" i="32" s="1"/>
  <c r="AE61" i="32"/>
  <c r="AE171" i="32"/>
  <c r="V310" i="32"/>
  <c r="X310" i="32" s="1"/>
  <c r="Y310" i="32" s="1"/>
  <c r="AA234" i="16"/>
  <c r="AB234" i="16" s="1"/>
  <c r="AA89" i="16"/>
  <c r="AB89" i="16" s="1"/>
  <c r="AA153" i="16"/>
  <c r="AB153" i="16" s="1"/>
  <c r="Y84" i="16"/>
  <c r="Z84" i="16" s="1"/>
  <c r="AD84" i="16"/>
  <c r="AA368" i="16"/>
  <c r="AB368" i="16" s="1"/>
  <c r="V330" i="16"/>
  <c r="AE70" i="32"/>
  <c r="Z295" i="32"/>
  <c r="AA295" i="32" s="1"/>
  <c r="AE209" i="32"/>
  <c r="V253" i="32"/>
  <c r="X253" i="32" s="1"/>
  <c r="Y253" i="32" s="1"/>
  <c r="AB100" i="32"/>
  <c r="AC100" i="32" s="1"/>
  <c r="AE29" i="32"/>
  <c r="Z61" i="32"/>
  <c r="AA61" i="32" s="1"/>
  <c r="V200" i="32"/>
  <c r="X200" i="32" s="1"/>
  <c r="Y200" i="32" s="1"/>
  <c r="AD269" i="16"/>
  <c r="Z145" i="32"/>
  <c r="AA145" i="32" s="1"/>
  <c r="Z271" i="32"/>
  <c r="AA271" i="32" s="1"/>
  <c r="Z203" i="32"/>
  <c r="AA203" i="32" s="1"/>
  <c r="AD148" i="32"/>
  <c r="AJ148" i="32" s="1"/>
  <c r="AB150" i="32"/>
  <c r="AC150" i="32" s="1"/>
  <c r="AE121" i="32"/>
  <c r="AE191" i="32"/>
  <c r="AB80" i="32"/>
  <c r="AC80" i="32" s="1"/>
  <c r="Z83" i="32"/>
  <c r="AA83" i="32" s="1"/>
  <c r="O72" i="33"/>
  <c r="L72" i="33" s="1"/>
  <c r="AE167" i="32"/>
  <c r="AD288" i="32"/>
  <c r="AJ288" i="32" s="1"/>
  <c r="AE100" i="32"/>
  <c r="AD149" i="32"/>
  <c r="AJ149" i="32" s="1"/>
  <c r="AE288" i="32"/>
  <c r="AB280" i="32"/>
  <c r="AC280" i="32" s="1"/>
  <c r="AE239" i="32"/>
  <c r="AE149" i="32"/>
  <c r="AD85" i="32"/>
  <c r="AJ85" i="32" s="1"/>
  <c r="AD156" i="32"/>
  <c r="AJ156" i="32" s="1"/>
  <c r="Z139" i="32"/>
  <c r="AA139" i="32" s="1"/>
  <c r="AB181" i="32"/>
  <c r="AC181" i="32" s="1"/>
  <c r="Z47" i="32"/>
  <c r="AA47" i="32" s="1"/>
  <c r="AB251" i="32"/>
  <c r="AC251" i="32" s="1"/>
  <c r="AD171" i="32"/>
  <c r="AJ171" i="32" s="1"/>
  <c r="M80" i="33"/>
  <c r="L80" i="33" s="1"/>
  <c r="O90" i="33"/>
  <c r="L90" i="33" s="1"/>
  <c r="AB124" i="32"/>
  <c r="AC124" i="32" s="1"/>
  <c r="AB226" i="32"/>
  <c r="AC226" i="32" s="1"/>
  <c r="AA344" i="16"/>
  <c r="AB344" i="16" s="1"/>
  <c r="AD249" i="32"/>
  <c r="AJ249" i="32" s="1"/>
  <c r="Z85" i="32"/>
  <c r="AA85" i="32" s="1"/>
  <c r="V226" i="16"/>
  <c r="AD159" i="16"/>
  <c r="V71" i="32"/>
  <c r="X71" i="32" s="1"/>
  <c r="Y71" i="32" s="1"/>
  <c r="AD175" i="32"/>
  <c r="AJ175" i="32" s="1"/>
  <c r="AB126" i="32"/>
  <c r="AC126" i="32" s="1"/>
  <c r="AD114" i="16"/>
  <c r="AB173" i="32"/>
  <c r="AC173" i="32" s="1"/>
  <c r="AB211" i="32"/>
  <c r="AC211" i="32" s="1"/>
  <c r="AE234" i="32"/>
  <c r="AD213" i="32"/>
  <c r="AJ213" i="32" s="1"/>
  <c r="AC114" i="16"/>
  <c r="AI114" i="16" s="1"/>
  <c r="AD234" i="32"/>
  <c r="AJ234" i="32" s="1"/>
  <c r="AD168" i="32"/>
  <c r="AJ168" i="32" s="1"/>
  <c r="AE298" i="32"/>
  <c r="Z168" i="32"/>
  <c r="AA168" i="32" s="1"/>
  <c r="V361" i="16"/>
  <c r="AD302" i="32"/>
  <c r="AJ302" i="32" s="1"/>
  <c r="V198" i="16"/>
  <c r="AA209" i="16"/>
  <c r="AB209" i="16" s="1"/>
  <c r="Y334" i="16"/>
  <c r="Z334" i="16" s="1"/>
  <c r="Y360" i="16"/>
  <c r="Z360" i="16" s="1"/>
  <c r="V172" i="32"/>
  <c r="X172" i="32" s="1"/>
  <c r="Y172" i="32" s="1"/>
  <c r="Z302" i="32"/>
  <c r="AA302" i="32" s="1"/>
  <c r="AB296" i="32"/>
  <c r="AC296" i="32" s="1"/>
  <c r="AB97" i="32"/>
  <c r="AC97" i="32" s="1"/>
  <c r="AA285" i="16"/>
  <c r="AB285" i="16" s="1"/>
  <c r="AC89" i="16"/>
  <c r="AI89" i="16" s="1"/>
  <c r="AD274" i="16"/>
  <c r="AA272" i="16"/>
  <c r="AB272" i="16" s="1"/>
  <c r="AD89" i="16"/>
  <c r="AC274" i="16"/>
  <c r="AI274" i="16" s="1"/>
  <c r="V112" i="16"/>
  <c r="Y274" i="16"/>
  <c r="Z274" i="16" s="1"/>
  <c r="AE156" i="32"/>
  <c r="AB156" i="32"/>
  <c r="AC156" i="32" s="1"/>
  <c r="AD239" i="32"/>
  <c r="AJ239" i="32" s="1"/>
  <c r="AD221" i="32"/>
  <c r="AJ221" i="32" s="1"/>
  <c r="AE271" i="32"/>
  <c r="Z80" i="32"/>
  <c r="AA80" i="32" s="1"/>
  <c r="V233" i="32"/>
  <c r="X233" i="32" s="1"/>
  <c r="Y233" i="32" s="1"/>
  <c r="Z66" i="32"/>
  <c r="AA66" i="32" s="1"/>
  <c r="AC325" i="16"/>
  <c r="AI325" i="16" s="1"/>
  <c r="AA273" i="16"/>
  <c r="AB273" i="16" s="1"/>
  <c r="V123" i="16"/>
  <c r="Y145" i="16"/>
  <c r="Z145" i="16" s="1"/>
  <c r="AD96" i="16"/>
  <c r="AC294" i="16"/>
  <c r="AI294" i="16" s="1"/>
  <c r="AD183" i="16"/>
  <c r="AC332" i="16"/>
  <c r="AI332" i="16" s="1"/>
  <c r="AD93" i="32"/>
  <c r="AJ93" i="32" s="1"/>
  <c r="AB125" i="32"/>
  <c r="AC125" i="32" s="1"/>
  <c r="AB74" i="32"/>
  <c r="AC74" i="32" s="1"/>
  <c r="AE81" i="32"/>
  <c r="AD144" i="32"/>
  <c r="AJ144" i="32" s="1"/>
  <c r="V278" i="32"/>
  <c r="X278" i="32" s="1"/>
  <c r="Y278" i="32" s="1"/>
  <c r="Y138" i="16"/>
  <c r="Z138" i="16" s="1"/>
  <c r="AE116" i="32"/>
  <c r="AC158" i="16"/>
  <c r="AI158" i="16" s="1"/>
  <c r="AC311" i="16"/>
  <c r="AI311" i="16" s="1"/>
  <c r="V42" i="32"/>
  <c r="X42" i="32" s="1"/>
  <c r="Y42" i="32" s="1"/>
  <c r="AD211" i="32"/>
  <c r="AJ211" i="32" s="1"/>
  <c r="Z229" i="32"/>
  <c r="AA229" i="32" s="1"/>
  <c r="V258" i="32"/>
  <c r="X258" i="32" s="1"/>
  <c r="Y258" i="32" s="1"/>
  <c r="Z248" i="32"/>
  <c r="AA248" i="32" s="1"/>
  <c r="Z255" i="32"/>
  <c r="AA255" i="32" s="1"/>
  <c r="AB267" i="32"/>
  <c r="AC267" i="32" s="1"/>
  <c r="AD293" i="16"/>
  <c r="V325" i="16"/>
  <c r="V119" i="16"/>
  <c r="AC248" i="16"/>
  <c r="AI248" i="16" s="1"/>
  <c r="AD301" i="16"/>
  <c r="V282" i="32"/>
  <c r="X282" i="32" s="1"/>
  <c r="Y282" i="32" s="1"/>
  <c r="AD106" i="32"/>
  <c r="AJ106" i="32" s="1"/>
  <c r="V182" i="32"/>
  <c r="X182" i="32" s="1"/>
  <c r="Y182" i="32" s="1"/>
  <c r="M95" i="33"/>
  <c r="L95" i="33" s="1"/>
  <c r="Y231" i="16"/>
  <c r="Z231" i="16" s="1"/>
  <c r="AD248" i="16"/>
  <c r="AD122" i="32"/>
  <c r="AJ122" i="32" s="1"/>
  <c r="AE106" i="32"/>
  <c r="AB32" i="32"/>
  <c r="AC32" i="32" s="1"/>
  <c r="Z143" i="32"/>
  <c r="AA143" i="32" s="1"/>
  <c r="AA202" i="16"/>
  <c r="AB202" i="16" s="1"/>
  <c r="AD354" i="16"/>
  <c r="AE312" i="32"/>
  <c r="Z223" i="32"/>
  <c r="AA223" i="32" s="1"/>
  <c r="AE282" i="32"/>
  <c r="M75" i="33"/>
  <c r="L75" i="33" s="1"/>
  <c r="AE224" i="32"/>
  <c r="AA129" i="16"/>
  <c r="AB129" i="16" s="1"/>
  <c r="AA164" i="16"/>
  <c r="AB164" i="16" s="1"/>
  <c r="V179" i="16"/>
  <c r="AD221" i="16"/>
  <c r="AD172" i="16"/>
  <c r="AC150" i="16"/>
  <c r="AI150" i="16" s="1"/>
  <c r="AE153" i="32"/>
  <c r="AD312" i="32"/>
  <c r="AJ312" i="32" s="1"/>
  <c r="V261" i="32"/>
  <c r="X261" i="32" s="1"/>
  <c r="Y261" i="32" s="1"/>
  <c r="AE223" i="32"/>
  <c r="Z235" i="32"/>
  <c r="AA235" i="32" s="1"/>
  <c r="M68" i="33"/>
  <c r="L68" i="33" s="1"/>
  <c r="AB159" i="32"/>
  <c r="AC159" i="32" s="1"/>
  <c r="AD150" i="16"/>
  <c r="AD305" i="32"/>
  <c r="AJ305" i="32" s="1"/>
  <c r="Z30" i="32"/>
  <c r="AA30" i="32" s="1"/>
  <c r="V222" i="32"/>
  <c r="X222" i="32" s="1"/>
  <c r="Y222" i="32" s="1"/>
  <c r="AA168" i="16"/>
  <c r="AB168" i="16" s="1"/>
  <c r="AA295" i="16"/>
  <c r="AB295" i="16" s="1"/>
  <c r="AD145" i="16"/>
  <c r="AD325" i="16"/>
  <c r="AD334" i="16"/>
  <c r="Z249" i="32"/>
  <c r="AA249" i="32" s="1"/>
  <c r="AE305" i="32"/>
  <c r="V184" i="32"/>
  <c r="X184" i="32" s="1"/>
  <c r="Y184" i="32" s="1"/>
  <c r="AD298" i="32"/>
  <c r="AJ298" i="32" s="1"/>
  <c r="Z63" i="32"/>
  <c r="AA63" i="32" s="1"/>
  <c r="Y367" i="16"/>
  <c r="Z367" i="16" s="1"/>
  <c r="AE304" i="32"/>
  <c r="V204" i="32"/>
  <c r="X204" i="32" s="1"/>
  <c r="Y204" i="32" s="1"/>
  <c r="Z48" i="32"/>
  <c r="AA48" i="32" s="1"/>
  <c r="AE237" i="32"/>
  <c r="AE155" i="32"/>
  <c r="AA161" i="16"/>
  <c r="AB161" i="16" s="1"/>
  <c r="Y151" i="16"/>
  <c r="Z151" i="16" s="1"/>
  <c r="AD216" i="32"/>
  <c r="AJ216" i="32" s="1"/>
  <c r="M87" i="33"/>
  <c r="L87" i="33" s="1"/>
  <c r="V151" i="16"/>
  <c r="V213" i="16"/>
  <c r="V156" i="16"/>
  <c r="AC115" i="16"/>
  <c r="AI115" i="16" s="1"/>
  <c r="Y198" i="16"/>
  <c r="Z198" i="16" s="1"/>
  <c r="Y242" i="16"/>
  <c r="Z242" i="16" s="1"/>
  <c r="AC367" i="16"/>
  <c r="AI367" i="16" s="1"/>
  <c r="Z254" i="32"/>
  <c r="AA254" i="32" s="1"/>
  <c r="Z199" i="32"/>
  <c r="AA199" i="32" s="1"/>
  <c r="V121" i="32"/>
  <c r="X121" i="32" s="1"/>
  <c r="Y121" i="32" s="1"/>
  <c r="Z141" i="32"/>
  <c r="AA141" i="32" s="1"/>
  <c r="AE207" i="32"/>
  <c r="Z165" i="32"/>
  <c r="AA165" i="32" s="1"/>
  <c r="AD309" i="32"/>
  <c r="AJ309" i="32" s="1"/>
  <c r="Z202" i="32"/>
  <c r="AA202" i="32" s="1"/>
  <c r="AD30" i="32"/>
  <c r="AJ30" i="32" s="1"/>
  <c r="AB292" i="32"/>
  <c r="AC292" i="32" s="1"/>
  <c r="AE143" i="32"/>
  <c r="AB193" i="32"/>
  <c r="AC193" i="32" s="1"/>
  <c r="Z225" i="32"/>
  <c r="AA225" i="32" s="1"/>
  <c r="AD283" i="32"/>
  <c r="AJ283" i="32" s="1"/>
  <c r="AC154" i="16"/>
  <c r="AI154" i="16" s="1"/>
  <c r="V339" i="16"/>
  <c r="AD190" i="32"/>
  <c r="AJ190" i="32" s="1"/>
  <c r="AA280" i="16"/>
  <c r="AB280" i="16" s="1"/>
  <c r="Y299" i="16"/>
  <c r="Z299" i="16" s="1"/>
  <c r="AD233" i="16"/>
  <c r="AC226" i="16"/>
  <c r="AI226" i="16" s="1"/>
  <c r="AD154" i="16"/>
  <c r="AB138" i="32"/>
  <c r="AC138" i="32" s="1"/>
  <c r="AD35" i="32"/>
  <c r="AJ35" i="32" s="1"/>
  <c r="Z190" i="32"/>
  <c r="AA190" i="32" s="1"/>
  <c r="AD174" i="32"/>
  <c r="AJ174" i="32" s="1"/>
  <c r="AE216" i="32"/>
  <c r="AE169" i="32"/>
  <c r="AB41" i="32"/>
  <c r="AC41" i="32" s="1"/>
  <c r="AQ39" i="32"/>
  <c r="AE34" i="32"/>
  <c r="Z172" i="32"/>
  <c r="AA172" i="32" s="1"/>
  <c r="AB270" i="32"/>
  <c r="AC270" i="32" s="1"/>
  <c r="AE225" i="32"/>
  <c r="AD80" i="32"/>
  <c r="AJ80" i="32" s="1"/>
  <c r="V112" i="32"/>
  <c r="X112" i="32" s="1"/>
  <c r="Y112" i="32" s="1"/>
  <c r="AE283" i="32"/>
  <c r="AB76" i="32"/>
  <c r="AC76" i="32" s="1"/>
  <c r="AD169" i="32"/>
  <c r="AJ169" i="32" s="1"/>
  <c r="AD224" i="32"/>
  <c r="AJ224" i="32" s="1"/>
  <c r="AD291" i="16"/>
  <c r="AC179" i="16"/>
  <c r="AI179" i="16" s="1"/>
  <c r="AC133" i="16"/>
  <c r="AI133" i="16" s="1"/>
  <c r="Y233" i="16"/>
  <c r="Z233" i="16" s="1"/>
  <c r="Y226" i="16"/>
  <c r="Z226" i="16" s="1"/>
  <c r="AE35" i="32"/>
  <c r="AE174" i="32"/>
  <c r="V237" i="32"/>
  <c r="X237" i="32" s="1"/>
  <c r="Y237" i="32" s="1"/>
  <c r="Z216" i="32"/>
  <c r="AA216" i="32" s="1"/>
  <c r="AB302" i="32"/>
  <c r="AC302" i="32" s="1"/>
  <c r="AB205" i="32"/>
  <c r="AC205" i="32" s="1"/>
  <c r="AE41" i="32"/>
  <c r="AD34" i="32"/>
  <c r="AJ34" i="32" s="1"/>
  <c r="AB55" i="32"/>
  <c r="AC55" i="32" s="1"/>
  <c r="AB250" i="32"/>
  <c r="AC250" i="32" s="1"/>
  <c r="AD304" i="32"/>
  <c r="AJ304" i="32" s="1"/>
  <c r="AA163" i="16"/>
  <c r="AB163" i="16" s="1"/>
  <c r="AC291" i="16"/>
  <c r="AI291" i="16" s="1"/>
  <c r="AD179" i="16"/>
  <c r="AD126" i="16"/>
  <c r="AD41" i="32"/>
  <c r="AJ41" i="32" s="1"/>
  <c r="AB300" i="32"/>
  <c r="AC300" i="32" s="1"/>
  <c r="M73" i="33"/>
  <c r="L73" i="33" s="1"/>
  <c r="M71" i="33"/>
  <c r="L71" i="33" s="1"/>
  <c r="AA260" i="16"/>
  <c r="AB260" i="16" s="1"/>
  <c r="AA109" i="16"/>
  <c r="AB109" i="16" s="1"/>
  <c r="AC241" i="16"/>
  <c r="AI241" i="16" s="1"/>
  <c r="AE119" i="32"/>
  <c r="V69" i="32"/>
  <c r="X69" i="32" s="1"/>
  <c r="Y69" i="32" s="1"/>
  <c r="AB154" i="32"/>
  <c r="AC154" i="32" s="1"/>
  <c r="AE76" i="32"/>
  <c r="AA257" i="16"/>
  <c r="AB257" i="16" s="1"/>
  <c r="V184" i="16"/>
  <c r="AA95" i="16"/>
  <c r="AB95" i="16" s="1"/>
  <c r="AD241" i="16"/>
  <c r="AD266" i="16"/>
  <c r="AB206" i="32"/>
  <c r="AC206" i="32" s="1"/>
  <c r="AD117" i="32"/>
  <c r="AJ117" i="32" s="1"/>
  <c r="AD233" i="32"/>
  <c r="AJ233" i="32" s="1"/>
  <c r="AB209" i="32"/>
  <c r="AC209" i="32" s="1"/>
  <c r="AB175" i="32"/>
  <c r="AC175" i="32" s="1"/>
  <c r="AE65" i="32"/>
  <c r="AD77" i="32"/>
  <c r="AJ77" i="32" s="1"/>
  <c r="AB164" i="32"/>
  <c r="AC164" i="32" s="1"/>
  <c r="AD119" i="32"/>
  <c r="AJ119" i="32" s="1"/>
  <c r="AE44" i="32"/>
  <c r="AA200" i="16"/>
  <c r="AB200" i="16" s="1"/>
  <c r="AA143" i="16"/>
  <c r="AB143" i="16" s="1"/>
  <c r="AC266" i="16"/>
  <c r="AI266" i="16" s="1"/>
  <c r="AC106" i="16"/>
  <c r="AI106" i="16" s="1"/>
  <c r="AE117" i="32"/>
  <c r="AD115" i="32"/>
  <c r="AJ115" i="32" s="1"/>
  <c r="AE118" i="32"/>
  <c r="Z65" i="32"/>
  <c r="AA65" i="32" s="1"/>
  <c r="V176" i="32"/>
  <c r="X176" i="32" s="1"/>
  <c r="Y176" i="32" s="1"/>
  <c r="AE77" i="32"/>
  <c r="Z44" i="32"/>
  <c r="AA44" i="32" s="1"/>
  <c r="AB52" i="32"/>
  <c r="AC52" i="32" s="1"/>
  <c r="AD106" i="16"/>
  <c r="AC198" i="16"/>
  <c r="AI198" i="16" s="1"/>
  <c r="AD242" i="16"/>
  <c r="Y349" i="16"/>
  <c r="Z349" i="16" s="1"/>
  <c r="AD254" i="32"/>
  <c r="AJ254" i="32" s="1"/>
  <c r="AD199" i="32"/>
  <c r="AJ199" i="32" s="1"/>
  <c r="AE115" i="32"/>
  <c r="AE141" i="32"/>
  <c r="Z118" i="32"/>
  <c r="AA118" i="32" s="1"/>
  <c r="AB298" i="32"/>
  <c r="AC298" i="32" s="1"/>
  <c r="AE309" i="32"/>
  <c r="M88" i="33"/>
  <c r="L88" i="33" s="1"/>
  <c r="AD299" i="16"/>
  <c r="AB111" i="32"/>
  <c r="AC111" i="32" s="1"/>
  <c r="AD158" i="16"/>
  <c r="AD133" i="16"/>
  <c r="AB291" i="32"/>
  <c r="AC291" i="32" s="1"/>
  <c r="AB199" i="32"/>
  <c r="AC199" i="32" s="1"/>
  <c r="AE48" i="32"/>
  <c r="AB308" i="32"/>
  <c r="AC308" i="32" s="1"/>
  <c r="AD116" i="32"/>
  <c r="AJ116" i="32" s="1"/>
  <c r="AD203" i="32"/>
  <c r="AJ203" i="32" s="1"/>
  <c r="Z155" i="32"/>
  <c r="AA155" i="32" s="1"/>
  <c r="AC126" i="16"/>
  <c r="AI126" i="16" s="1"/>
  <c r="AD349" i="16"/>
  <c r="AE144" i="32"/>
  <c r="AD252" i="32"/>
  <c r="AJ252" i="32" s="1"/>
  <c r="AB232" i="32"/>
  <c r="AC232" i="32" s="1"/>
  <c r="M89" i="33"/>
  <c r="L89" i="33" s="1"/>
  <c r="AC131" i="16"/>
  <c r="AI131" i="16" s="1"/>
  <c r="AC172" i="16"/>
  <c r="AI172" i="16" s="1"/>
  <c r="AC301" i="16"/>
  <c r="AI301" i="16" s="1"/>
  <c r="AC293" i="16"/>
  <c r="AI293" i="16" s="1"/>
  <c r="AD115" i="16"/>
  <c r="Z276" i="32"/>
  <c r="AA276" i="32" s="1"/>
  <c r="AD151" i="32"/>
  <c r="AJ151" i="32" s="1"/>
  <c r="Z209" i="32"/>
  <c r="AA209" i="32" s="1"/>
  <c r="AB256" i="32"/>
  <c r="AC256" i="32" s="1"/>
  <c r="AD131" i="16"/>
  <c r="AD185" i="16"/>
  <c r="AD209" i="16"/>
  <c r="AE276" i="32"/>
  <c r="Z151" i="32"/>
  <c r="AA151" i="32" s="1"/>
  <c r="AD98" i="32"/>
  <c r="AJ98" i="32" s="1"/>
  <c r="AB299" i="32"/>
  <c r="AC299" i="32" s="1"/>
  <c r="AB152" i="32"/>
  <c r="AC152" i="32" s="1"/>
  <c r="O70" i="33"/>
  <c r="L70" i="33" s="1"/>
  <c r="AD283" i="16"/>
  <c r="AC88" i="16"/>
  <c r="AI88" i="16" s="1"/>
  <c r="AC185" i="16"/>
  <c r="AI185" i="16" s="1"/>
  <c r="AC209" i="16"/>
  <c r="AI209" i="16" s="1"/>
  <c r="Z236" i="32"/>
  <c r="AA236" i="32" s="1"/>
  <c r="Z56" i="32"/>
  <c r="AA56" i="32" s="1"/>
  <c r="AE98" i="32"/>
  <c r="AD72" i="32"/>
  <c r="AJ72" i="32" s="1"/>
  <c r="Z157" i="32"/>
  <c r="AA157" i="32" s="1"/>
  <c r="AB84" i="32"/>
  <c r="AC84" i="32" s="1"/>
  <c r="AB288" i="32"/>
  <c r="AC288" i="32" s="1"/>
  <c r="AC283" i="16"/>
  <c r="AI283" i="16" s="1"/>
  <c r="AD88" i="16"/>
  <c r="AD291" i="32"/>
  <c r="AJ291" i="32" s="1"/>
  <c r="AD236" i="32"/>
  <c r="AJ236" i="32" s="1"/>
  <c r="AD56" i="32"/>
  <c r="AJ56" i="32" s="1"/>
  <c r="V249" i="32"/>
  <c r="X249" i="32" s="1"/>
  <c r="Y249" i="32" s="1"/>
  <c r="AB56" i="32"/>
  <c r="AC56" i="32" s="1"/>
  <c r="AB216" i="32"/>
  <c r="AC216" i="32" s="1"/>
  <c r="Z72" i="32"/>
  <c r="AA72" i="32" s="1"/>
  <c r="Z221" i="32"/>
  <c r="AA221" i="32" s="1"/>
  <c r="AD157" i="32"/>
  <c r="AJ157" i="32" s="1"/>
  <c r="AD201" i="32"/>
  <c r="AJ201" i="32" s="1"/>
  <c r="AE227" i="32"/>
  <c r="AC166" i="16"/>
  <c r="AI166" i="16" s="1"/>
  <c r="AE291" i="32"/>
  <c r="AE201" i="32"/>
  <c r="Z227" i="32"/>
  <c r="AA227" i="32" s="1"/>
  <c r="O77" i="33"/>
  <c r="L77" i="33" s="1"/>
  <c r="AD166" i="16"/>
  <c r="AE177" i="32"/>
  <c r="AE162" i="32"/>
  <c r="AB103" i="32"/>
  <c r="AC103" i="32" s="1"/>
  <c r="AB218" i="32"/>
  <c r="AC218" i="32" s="1"/>
  <c r="AB132" i="32"/>
  <c r="AC132" i="32" s="1"/>
  <c r="AB263" i="32"/>
  <c r="AC263" i="32" s="1"/>
  <c r="AB131" i="32"/>
  <c r="AC131" i="32" s="1"/>
  <c r="O76" i="33"/>
  <c r="L76" i="33" s="1"/>
  <c r="M67" i="33"/>
  <c r="L67" i="33" s="1"/>
  <c r="O101" i="33"/>
  <c r="L101" i="33" s="1"/>
  <c r="Z153" i="32"/>
  <c r="AA153" i="32" s="1"/>
  <c r="AD177" i="32"/>
  <c r="AJ177" i="32" s="1"/>
  <c r="Z162" i="32"/>
  <c r="AA162" i="32" s="1"/>
  <c r="AB186" i="32"/>
  <c r="AC186" i="32" s="1"/>
  <c r="V120" i="32"/>
  <c r="X120" i="32" s="1"/>
  <c r="Y120" i="32" s="1"/>
  <c r="Z279" i="32"/>
  <c r="AA279" i="32" s="1"/>
  <c r="AA249" i="16"/>
  <c r="AB249" i="16" s="1"/>
  <c r="AD220" i="16"/>
  <c r="AE211" i="32"/>
  <c r="Z89" i="32"/>
  <c r="AA89" i="32" s="1"/>
  <c r="AB286" i="32"/>
  <c r="AC286" i="32" s="1"/>
  <c r="Y124" i="16"/>
  <c r="Z124" i="16" s="1"/>
  <c r="Y220" i="16"/>
  <c r="Z220" i="16" s="1"/>
  <c r="AA359" i="16"/>
  <c r="AB359" i="16" s="1"/>
  <c r="AD360" i="16"/>
  <c r="AB303" i="32"/>
  <c r="AC303" i="32" s="1"/>
  <c r="AE74" i="32"/>
  <c r="AB229" i="32"/>
  <c r="AC229" i="32" s="1"/>
  <c r="AB266" i="32"/>
  <c r="AC266" i="32" s="1"/>
  <c r="AE63" i="32"/>
  <c r="AB33" i="32"/>
  <c r="AC33" i="32" s="1"/>
  <c r="Z281" i="32"/>
  <c r="AA281" i="32" s="1"/>
  <c r="V70" i="32"/>
  <c r="X70" i="32" s="1"/>
  <c r="Y70" i="32" s="1"/>
  <c r="AD244" i="32"/>
  <c r="AJ244" i="32" s="1"/>
  <c r="AE213" i="32"/>
  <c r="AE198" i="32"/>
  <c r="AD255" i="32"/>
  <c r="AJ255" i="32" s="1"/>
  <c r="AD231" i="32"/>
  <c r="AJ231" i="32" s="1"/>
  <c r="Z76" i="32"/>
  <c r="AA76" i="32" s="1"/>
  <c r="M74" i="33"/>
  <c r="L74" i="33" s="1"/>
  <c r="AA301" i="16"/>
  <c r="AB301" i="16" s="1"/>
  <c r="AB271" i="32"/>
  <c r="AC271" i="32" s="1"/>
  <c r="AE242" i="32"/>
  <c r="AB114" i="32"/>
  <c r="AC114" i="32" s="1"/>
  <c r="Z213" i="32"/>
  <c r="AA213" i="32" s="1"/>
  <c r="AB79" i="32"/>
  <c r="AC79" i="32" s="1"/>
  <c r="Z198" i="32"/>
  <c r="AA198" i="32" s="1"/>
  <c r="Z58" i="32"/>
  <c r="AA58" i="32" s="1"/>
  <c r="AE231" i="32"/>
  <c r="AB118" i="32"/>
  <c r="AC118" i="32" s="1"/>
  <c r="M97" i="33"/>
  <c r="L97" i="33" s="1"/>
  <c r="O94" i="33"/>
  <c r="L94" i="33" s="1"/>
  <c r="AE58" i="32"/>
  <c r="M91" i="33"/>
  <c r="L91" i="33" s="1"/>
  <c r="AA212" i="16"/>
  <c r="AB212" i="16" s="1"/>
  <c r="AA214" i="16"/>
  <c r="AB214" i="16" s="1"/>
  <c r="AB102" i="32"/>
  <c r="AC102" i="32" s="1"/>
  <c r="Z242" i="32"/>
  <c r="AA242" i="32" s="1"/>
  <c r="AE257" i="32"/>
  <c r="V178" i="32"/>
  <c r="X178" i="32" s="1"/>
  <c r="Y178" i="32" s="1"/>
  <c r="Z241" i="32"/>
  <c r="AA241" i="32" s="1"/>
  <c r="AE285" i="32"/>
  <c r="AB143" i="32"/>
  <c r="AC143" i="32" s="1"/>
  <c r="O85" i="33"/>
  <c r="L85" i="33" s="1"/>
  <c r="AD267" i="32"/>
  <c r="AJ267" i="32" s="1"/>
  <c r="Z257" i="32"/>
  <c r="AA257" i="32" s="1"/>
  <c r="AB147" i="32"/>
  <c r="AC147" i="32" s="1"/>
  <c r="AE134" i="32"/>
  <c r="Z285" i="32"/>
  <c r="AA285" i="32" s="1"/>
  <c r="Z39" i="32"/>
  <c r="AA39" i="32" s="1"/>
  <c r="AQ27" i="32"/>
  <c r="AA251" i="16"/>
  <c r="AB251" i="16" s="1"/>
  <c r="AA304" i="16"/>
  <c r="AB304" i="16" s="1"/>
  <c r="AD313" i="16"/>
  <c r="AD338" i="16"/>
  <c r="AB224" i="32"/>
  <c r="AC224" i="32" s="1"/>
  <c r="AD90" i="32"/>
  <c r="AJ90" i="32" s="1"/>
  <c r="Z267" i="32"/>
  <c r="AA267" i="32" s="1"/>
  <c r="Z134" i="32"/>
  <c r="AA134" i="32" s="1"/>
  <c r="AE39" i="32"/>
  <c r="AB96" i="32"/>
  <c r="AC96" i="32" s="1"/>
  <c r="AE212" i="32"/>
  <c r="AB213" i="32"/>
  <c r="AC213" i="32" s="1"/>
  <c r="O69" i="33"/>
  <c r="L69" i="33" s="1"/>
  <c r="AC313" i="16"/>
  <c r="AI313" i="16" s="1"/>
  <c r="AC338" i="16"/>
  <c r="AI338" i="16" s="1"/>
  <c r="AB269" i="32"/>
  <c r="AC269" i="32" s="1"/>
  <c r="AE122" i="32"/>
  <c r="Z90" i="32"/>
  <c r="AA90" i="32" s="1"/>
  <c r="AE92" i="32"/>
  <c r="AQ38" i="32"/>
  <c r="AE221" i="32"/>
  <c r="AD235" i="32"/>
  <c r="AJ235" i="32" s="1"/>
  <c r="Z300" i="32"/>
  <c r="AA300" i="32" s="1"/>
  <c r="AD212" i="32"/>
  <c r="AJ212" i="32" s="1"/>
  <c r="AB105" i="32"/>
  <c r="AC105" i="32" s="1"/>
  <c r="AB141" i="32"/>
  <c r="AC141" i="32" s="1"/>
  <c r="M92" i="33"/>
  <c r="L92" i="33" s="1"/>
  <c r="AD42" i="32"/>
  <c r="AJ42" i="32" s="1"/>
  <c r="Z42" i="32"/>
  <c r="AA42" i="32" s="1"/>
  <c r="Z133" i="32"/>
  <c r="AA133" i="32" s="1"/>
  <c r="V297" i="32"/>
  <c r="X297" i="32" s="1"/>
  <c r="Y297" i="32" s="1"/>
  <c r="AE133" i="32"/>
  <c r="AD146" i="32"/>
  <c r="AJ146" i="32" s="1"/>
  <c r="AA88" i="16"/>
  <c r="AB88" i="16" s="1"/>
  <c r="AE37" i="32"/>
  <c r="AE274" i="32"/>
  <c r="AE49" i="32"/>
  <c r="AD37" i="32"/>
  <c r="AJ37" i="32" s="1"/>
  <c r="M81" i="33"/>
  <c r="L81" i="33" s="1"/>
  <c r="AD274" i="32"/>
  <c r="AJ274" i="32" s="1"/>
  <c r="AD49" i="32"/>
  <c r="AJ49" i="32" s="1"/>
  <c r="AB160" i="32"/>
  <c r="AC160" i="32" s="1"/>
  <c r="V201" i="32"/>
  <c r="X201" i="32" s="1"/>
  <c r="Y201" i="32" s="1"/>
  <c r="O93" i="33"/>
  <c r="L93" i="33" s="1"/>
  <c r="AD88" i="32"/>
  <c r="AJ88" i="32" s="1"/>
  <c r="AE88" i="32"/>
  <c r="AE218" i="32"/>
  <c r="AE196" i="32"/>
  <c r="AD218" i="32"/>
  <c r="AJ218" i="32" s="1"/>
  <c r="AD196" i="32"/>
  <c r="AJ196" i="32" s="1"/>
  <c r="AQ33" i="32"/>
  <c r="AD71" i="32"/>
  <c r="AJ71" i="32" s="1"/>
  <c r="AE109" i="32"/>
  <c r="Z71" i="32"/>
  <c r="AA71" i="32" s="1"/>
  <c r="V59" i="32"/>
  <c r="X59" i="32" s="1"/>
  <c r="Y59" i="32" s="1"/>
  <c r="Z180" i="32"/>
  <c r="AA180" i="32" s="1"/>
  <c r="V151" i="32"/>
  <c r="X151" i="32" s="1"/>
  <c r="Y151" i="32" s="1"/>
  <c r="Z87" i="32"/>
  <c r="AA87" i="32" s="1"/>
  <c r="AD300" i="32"/>
  <c r="AJ300" i="32" s="1"/>
  <c r="Z109" i="32"/>
  <c r="AA109" i="32" s="1"/>
  <c r="V85" i="32"/>
  <c r="X85" i="32" s="1"/>
  <c r="Y85" i="32" s="1"/>
  <c r="AE55" i="32"/>
  <c r="AE183" i="32"/>
  <c r="Z131" i="32"/>
  <c r="AA131" i="32" s="1"/>
  <c r="AE306" i="32"/>
  <c r="Z55" i="32"/>
  <c r="AA55" i="32" s="1"/>
  <c r="Z128" i="32"/>
  <c r="AA128" i="32" s="1"/>
  <c r="V165" i="32"/>
  <c r="X165" i="32" s="1"/>
  <c r="Y165" i="32" s="1"/>
  <c r="AD183" i="32"/>
  <c r="AJ183" i="32" s="1"/>
  <c r="AD131" i="32"/>
  <c r="AJ131" i="32" s="1"/>
  <c r="Z306" i="32"/>
  <c r="AA306" i="32" s="1"/>
  <c r="AD287" i="32"/>
  <c r="AJ287" i="32" s="1"/>
  <c r="AD189" i="32"/>
  <c r="AJ189" i="32" s="1"/>
  <c r="AD128" i="32"/>
  <c r="AJ128" i="32" s="1"/>
  <c r="AE180" i="32"/>
  <c r="AB236" i="32"/>
  <c r="AC236" i="32" s="1"/>
  <c r="AE287" i="32"/>
  <c r="AE189" i="32"/>
  <c r="AB157" i="32"/>
  <c r="AC157" i="32" s="1"/>
  <c r="AD120" i="32"/>
  <c r="AJ120" i="32" s="1"/>
  <c r="AE120" i="32"/>
  <c r="Z60" i="32"/>
  <c r="AA60" i="32" s="1"/>
  <c r="AD187" i="32"/>
  <c r="AJ187" i="32" s="1"/>
  <c r="AB128" i="32"/>
  <c r="AC128" i="32" s="1"/>
  <c r="AE60" i="32"/>
  <c r="AE187" i="32"/>
  <c r="AE87" i="32"/>
  <c r="V225" i="32"/>
  <c r="X225" i="32" s="1"/>
  <c r="Y225" i="32" s="1"/>
  <c r="AB49" i="32"/>
  <c r="AC49" i="32" s="1"/>
  <c r="S22" i="32"/>
  <c r="AB188" i="32"/>
  <c r="AC188" i="32" s="1"/>
  <c r="V197" i="32"/>
  <c r="X197" i="32" s="1"/>
  <c r="Y197" i="32" s="1"/>
  <c r="AD110" i="32"/>
  <c r="AJ110" i="32" s="1"/>
  <c r="AD75" i="32"/>
  <c r="AJ75" i="32" s="1"/>
  <c r="AB183" i="32"/>
  <c r="AC183" i="32" s="1"/>
  <c r="AD205" i="32"/>
  <c r="AJ205" i="32" s="1"/>
  <c r="V180" i="32"/>
  <c r="X180" i="32" s="1"/>
  <c r="Y180" i="32" s="1"/>
  <c r="Z62" i="32"/>
  <c r="AA62" i="32" s="1"/>
  <c r="AB127" i="32"/>
  <c r="AC127" i="32" s="1"/>
  <c r="AE233" i="32"/>
  <c r="Z110" i="32"/>
  <c r="AA110" i="32" s="1"/>
  <c r="AE75" i="32"/>
  <c r="AE135" i="32"/>
  <c r="AB135" i="32"/>
  <c r="AC135" i="32" s="1"/>
  <c r="AB110" i="32"/>
  <c r="AC110" i="32" s="1"/>
  <c r="V27" i="32"/>
  <c r="X27" i="32" s="1"/>
  <c r="Y27" i="32" s="1"/>
  <c r="AE192" i="32"/>
  <c r="AD62" i="32"/>
  <c r="AJ62" i="32" s="1"/>
  <c r="AD135" i="32"/>
  <c r="AJ135" i="32" s="1"/>
  <c r="AB27" i="32"/>
  <c r="AC27" i="32" s="1"/>
  <c r="AD192" i="32"/>
  <c r="AJ192" i="32" s="1"/>
  <c r="AE127" i="32"/>
  <c r="AB54" i="32"/>
  <c r="AC54" i="32" s="1"/>
  <c r="AD127" i="32"/>
  <c r="AJ127" i="32" s="1"/>
  <c r="AE290" i="32"/>
  <c r="AB134" i="32"/>
  <c r="AC134" i="32" s="1"/>
  <c r="AB262" i="32"/>
  <c r="AC262" i="32" s="1"/>
  <c r="AD290" i="32"/>
  <c r="AJ290" i="32" s="1"/>
  <c r="AB284" i="32"/>
  <c r="AC284" i="32" s="1"/>
  <c r="AD54" i="32"/>
  <c r="AJ54" i="32" s="1"/>
  <c r="V108" i="32"/>
  <c r="X108" i="32" s="1"/>
  <c r="Y108" i="32" s="1"/>
  <c r="AE54" i="32"/>
  <c r="AD165" i="32"/>
  <c r="AJ165" i="32" s="1"/>
  <c r="AB43" i="32"/>
  <c r="AC43" i="32" s="1"/>
  <c r="AE146" i="32"/>
  <c r="S23" i="32"/>
  <c r="S21" i="32" s="1"/>
  <c r="AB192" i="32"/>
  <c r="AC192" i="32" s="1"/>
  <c r="AE262" i="32"/>
  <c r="M22" i="32"/>
  <c r="O5" i="33" s="1"/>
  <c r="AD262" i="32"/>
  <c r="AJ262" i="32" s="1"/>
  <c r="AB30" i="32"/>
  <c r="AC30" i="32" s="1"/>
  <c r="AB259" i="32"/>
  <c r="AC259" i="32" s="1"/>
  <c r="Z207" i="32"/>
  <c r="AA207" i="32" s="1"/>
  <c r="L99" i="33"/>
  <c r="AA27" i="32"/>
  <c r="AJ27" i="32"/>
  <c r="AI30" i="4"/>
  <c r="AN30" i="4" s="1"/>
  <c r="AO30" i="4" s="1"/>
  <c r="L65" i="33" l="1"/>
  <c r="N146" i="16" a="1"/>
  <c r="N146" i="16" s="1"/>
  <c r="AE22" i="32"/>
  <c r="AI5" i="33" s="1"/>
  <c r="AE23" i="32"/>
  <c r="AB22" i="32"/>
  <c r="AB21" i="32" s="1"/>
  <c r="Q5" i="33" s="1"/>
  <c r="P5" i="33" s="1"/>
  <c r="R5" i="33" s="1"/>
  <c r="S5" i="33" s="1"/>
  <c r="V23" i="32"/>
  <c r="V21" i="32" s="1"/>
  <c r="V22" i="32"/>
  <c r="AB23" i="32"/>
  <c r="AD23" i="32"/>
  <c r="AD22" i="32"/>
  <c r="AD5" i="33" s="1"/>
  <c r="Z22" i="32"/>
  <c r="Z21" i="32" s="1"/>
  <c r="H5" i="33" s="1"/>
  <c r="G5" i="33" s="1"/>
  <c r="I5" i="33" s="1"/>
  <c r="J5" i="33" s="1"/>
  <c r="Z23" i="32"/>
  <c r="Y23" i="32"/>
  <c r="Y21" i="32" s="1"/>
  <c r="D19" i="32" s="1"/>
  <c r="Y22" i="32"/>
  <c r="AA23" i="32"/>
  <c r="AA22" i="32"/>
  <c r="AA21" i="32" s="1"/>
  <c r="L5" i="33" s="1"/>
  <c r="K5" i="33" s="1"/>
  <c r="M5" i="33" s="1"/>
  <c r="N5" i="33" s="1"/>
  <c r="AC22" i="32"/>
  <c r="AC23" i="32"/>
  <c r="AQ30" i="4"/>
  <c r="C234" i="17"/>
  <c r="C235" i="17" s="1"/>
  <c r="AA31" i="4"/>
  <c r="T5" i="33" l="1"/>
  <c r="AE21" i="32"/>
  <c r="AF5" i="33" s="1"/>
  <c r="AE5" i="33" s="1"/>
  <c r="AG5" i="33" s="1"/>
  <c r="AH5" i="33" s="1"/>
  <c r="AD21" i="32"/>
  <c r="AA5" i="33" s="1"/>
  <c r="Z5" i="33" s="1"/>
  <c r="AB5" i="33" s="1"/>
  <c r="AC5" i="33" s="1"/>
  <c r="Y5" i="33"/>
  <c r="AC21" i="32"/>
  <c r="V5" i="33" s="1"/>
  <c r="U5" i="33" s="1"/>
  <c r="W5" i="33" s="1"/>
  <c r="X5" i="33" s="1"/>
  <c r="AK5" i="33"/>
  <c r="AJ5" i="33" s="1"/>
  <c r="AL5" i="33" s="1"/>
  <c r="AM5" i="33" s="1"/>
  <c r="C261" i="17"/>
  <c r="C262" i="17" s="1"/>
  <c r="C264" i="17" s="1"/>
  <c r="E264" i="17" s="1"/>
  <c r="I8" i="17" s="1"/>
  <c r="C94" i="17"/>
  <c r="C96" i="17" s="1"/>
  <c r="C115" i="17"/>
  <c r="C236" i="17"/>
  <c r="C237" i="17" s="1"/>
  <c r="C222" i="17"/>
  <c r="C13" i="17" l="1"/>
  <c r="C173" i="17" s="1"/>
  <c r="C108" i="20"/>
  <c r="C104" i="28"/>
  <c r="H8" i="17"/>
  <c r="C175" i="17" l="1"/>
  <c r="H4" i="17"/>
  <c r="I4" i="17" s="1"/>
  <c r="E173" i="17"/>
  <c r="C170" i="17"/>
  <c r="C176" i="17" s="1"/>
  <c r="C177" i="17" s="1"/>
  <c r="C178" i="17" s="1"/>
  <c r="C214" i="17"/>
  <c r="C218" i="17" s="1"/>
  <c r="C239" i="17" s="1"/>
  <c r="E239" i="17" s="1"/>
  <c r="I7" i="17" s="1"/>
  <c r="AD31" i="4" l="1"/>
  <c r="N66" i="4"/>
  <c r="N67" i="4"/>
  <c r="N65" i="4"/>
  <c r="H5" i="17"/>
  <c r="E170" i="17"/>
  <c r="I5" i="17" s="1"/>
  <c r="H7" i="17"/>
  <c r="C140" i="20" l="1"/>
  <c r="C48" i="20"/>
  <c r="C137" i="20"/>
  <c r="C53" i="20"/>
  <c r="C49" i="20"/>
  <c r="C38" i="20"/>
  <c r="C41" i="20" s="1"/>
  <c r="C133" i="20"/>
  <c r="C42" i="20" l="1"/>
  <c r="C87" i="6"/>
  <c r="C147" i="20"/>
  <c r="C165" i="20" s="1"/>
  <c r="C167" i="20" s="1"/>
  <c r="C155" i="20"/>
  <c r="C115" i="20"/>
  <c r="C14" i="10"/>
  <c r="C33" i="21"/>
  <c r="C37" i="21" s="1"/>
  <c r="C14" i="21"/>
  <c r="C23" i="21" s="1"/>
  <c r="C27" i="21" s="1"/>
  <c r="C96" i="21" s="1"/>
  <c r="C97" i="21" s="1"/>
  <c r="C102" i="21" s="1"/>
  <c r="O170" i="24" l="1"/>
  <c r="O178" i="24"/>
  <c r="O186" i="24"/>
  <c r="O194" i="24"/>
  <c r="O202" i="24"/>
  <c r="O210" i="24"/>
  <c r="O218" i="24"/>
  <c r="O226" i="24"/>
  <c r="O234" i="24"/>
  <c r="O242" i="24"/>
  <c r="O250" i="24"/>
  <c r="O258" i="24"/>
  <c r="O266" i="24"/>
  <c r="O274" i="24"/>
  <c r="O282" i="24"/>
  <c r="O290" i="24"/>
  <c r="O298" i="24"/>
  <c r="O306" i="24"/>
  <c r="O314" i="24"/>
  <c r="O322" i="24"/>
  <c r="O330" i="24"/>
  <c r="O338" i="24"/>
  <c r="O346" i="24"/>
  <c r="O354" i="24"/>
  <c r="O162" i="24"/>
  <c r="O163" i="24"/>
  <c r="O171" i="24"/>
  <c r="O179" i="24"/>
  <c r="O187" i="24"/>
  <c r="O195" i="24"/>
  <c r="O203" i="24"/>
  <c r="O211" i="24"/>
  <c r="O219" i="24"/>
  <c r="O227" i="24"/>
  <c r="O235" i="24"/>
  <c r="O243" i="24"/>
  <c r="O251" i="24"/>
  <c r="O259" i="24"/>
  <c r="O267" i="24"/>
  <c r="O275" i="24"/>
  <c r="O283" i="24"/>
  <c r="O291" i="24"/>
  <c r="O299" i="24"/>
  <c r="O307" i="24"/>
  <c r="O315" i="24"/>
  <c r="O323" i="24"/>
  <c r="O331" i="24"/>
  <c r="O339" i="24"/>
  <c r="O347" i="24"/>
  <c r="O355" i="24"/>
  <c r="O164" i="24"/>
  <c r="O172" i="24"/>
  <c r="O180" i="24"/>
  <c r="O173" i="24"/>
  <c r="O184" i="24"/>
  <c r="O196" i="24"/>
  <c r="O206" i="24"/>
  <c r="O216" i="24"/>
  <c r="O228" i="24"/>
  <c r="O238" i="24"/>
  <c r="O248" i="24"/>
  <c r="O260" i="24"/>
  <c r="O270" i="24"/>
  <c r="O280" i="24"/>
  <c r="O292" i="24"/>
  <c r="O302" i="24"/>
  <c r="O312" i="24"/>
  <c r="O324" i="24"/>
  <c r="O334" i="24"/>
  <c r="O344" i="24"/>
  <c r="O356" i="24"/>
  <c r="O174" i="24"/>
  <c r="O185" i="24"/>
  <c r="O197" i="24"/>
  <c r="O207" i="24"/>
  <c r="O217" i="24"/>
  <c r="O229" i="24"/>
  <c r="O239" i="24"/>
  <c r="O249" i="24"/>
  <c r="O261" i="24"/>
  <c r="O271" i="24"/>
  <c r="O281" i="24"/>
  <c r="O293" i="24"/>
  <c r="O303" i="24"/>
  <c r="O313" i="24"/>
  <c r="O325" i="24"/>
  <c r="O335" i="24"/>
  <c r="O345" i="24"/>
  <c r="O357" i="24"/>
  <c r="O175" i="24"/>
  <c r="O188" i="24"/>
  <c r="O198" i="24"/>
  <c r="O208" i="24"/>
  <c r="O220" i="24"/>
  <c r="O230" i="24"/>
  <c r="O240" i="24"/>
  <c r="O252" i="24"/>
  <c r="O262" i="24"/>
  <c r="O272" i="24"/>
  <c r="O284" i="24"/>
  <c r="O294" i="24"/>
  <c r="O304" i="24"/>
  <c r="O316" i="24"/>
  <c r="O326" i="24"/>
  <c r="O336" i="24"/>
  <c r="O348" i="24"/>
  <c r="O358" i="24"/>
  <c r="O165" i="24"/>
  <c r="O176" i="24"/>
  <c r="O189" i="24"/>
  <c r="O199" i="24"/>
  <c r="O209" i="24"/>
  <c r="O221" i="24"/>
  <c r="O231" i="24"/>
  <c r="O241" i="24"/>
  <c r="O253" i="24"/>
  <c r="O263" i="24"/>
  <c r="O273" i="24"/>
  <c r="O285" i="24"/>
  <c r="O295" i="24"/>
  <c r="O305" i="24"/>
  <c r="O317" i="24"/>
  <c r="O327" i="24"/>
  <c r="O337" i="24"/>
  <c r="O349" i="24"/>
  <c r="O359" i="24"/>
  <c r="O166" i="24"/>
  <c r="O177" i="24"/>
  <c r="O190" i="24"/>
  <c r="O200" i="24"/>
  <c r="O212" i="24"/>
  <c r="O222" i="24"/>
  <c r="O232" i="24"/>
  <c r="O244" i="24"/>
  <c r="O254" i="24"/>
  <c r="O264" i="24"/>
  <c r="O276" i="24"/>
  <c r="O286" i="24"/>
  <c r="O296" i="24"/>
  <c r="O308" i="24"/>
  <c r="O318" i="24"/>
  <c r="O328" i="24"/>
  <c r="O340" i="24"/>
  <c r="O350" i="24"/>
  <c r="O360" i="24"/>
  <c r="O167" i="24"/>
  <c r="O181" i="24"/>
  <c r="O191" i="24"/>
  <c r="O201" i="24"/>
  <c r="O213" i="24"/>
  <c r="O223" i="24"/>
  <c r="O233" i="24"/>
  <c r="O245" i="24"/>
  <c r="O255" i="24"/>
  <c r="O265" i="24"/>
  <c r="O277" i="24"/>
  <c r="O287" i="24"/>
  <c r="O297" i="24"/>
  <c r="O309" i="24"/>
  <c r="O319" i="24"/>
  <c r="O329" i="24"/>
  <c r="O341" i="24"/>
  <c r="O351" i="24"/>
  <c r="O361" i="24"/>
  <c r="O169" i="24"/>
  <c r="O215" i="24"/>
  <c r="O257" i="24"/>
  <c r="O301" i="24"/>
  <c r="O343" i="24"/>
  <c r="O182" i="24"/>
  <c r="O224" i="24"/>
  <c r="O268" i="24"/>
  <c r="O310" i="24"/>
  <c r="O352" i="24"/>
  <c r="O183" i="24"/>
  <c r="O225" i="24"/>
  <c r="O269" i="24"/>
  <c r="O311" i="24"/>
  <c r="O353" i="24"/>
  <c r="O192" i="24"/>
  <c r="O236" i="24"/>
  <c r="O278" i="24"/>
  <c r="O320" i="24"/>
  <c r="O193" i="24"/>
  <c r="O237" i="24"/>
  <c r="O279" i="24"/>
  <c r="O321" i="24"/>
  <c r="O204" i="24"/>
  <c r="O246" i="24"/>
  <c r="O288" i="24"/>
  <c r="O332" i="24"/>
  <c r="O205" i="24"/>
  <c r="O247" i="24"/>
  <c r="O289" i="24"/>
  <c r="O333" i="24"/>
  <c r="O168" i="24"/>
  <c r="O214" i="24"/>
  <c r="O256" i="24"/>
  <c r="O300" i="24"/>
  <c r="O342" i="24"/>
  <c r="U8" i="6"/>
  <c r="W195" i="6"/>
  <c r="W203" i="6"/>
  <c r="W211" i="6"/>
  <c r="W219" i="6"/>
  <c r="W227" i="6"/>
  <c r="W235" i="6"/>
  <c r="W243" i="6"/>
  <c r="W251" i="6"/>
  <c r="W259" i="6"/>
  <c r="W267" i="6"/>
  <c r="W275" i="6"/>
  <c r="W283" i="6"/>
  <c r="W291" i="6"/>
  <c r="W299" i="6"/>
  <c r="W307" i="6"/>
  <c r="W315" i="6"/>
  <c r="W323" i="6"/>
  <c r="W331" i="6"/>
  <c r="W339" i="6"/>
  <c r="W347" i="6"/>
  <c r="W355" i="6"/>
  <c r="W363" i="6"/>
  <c r="W371" i="6"/>
  <c r="W379" i="6"/>
  <c r="W387" i="6"/>
  <c r="W395" i="6"/>
  <c r="W403" i="6"/>
  <c r="W411" i="6"/>
  <c r="W419" i="6"/>
  <c r="W427" i="6"/>
  <c r="W435" i="6"/>
  <c r="W443" i="6"/>
  <c r="W451" i="6"/>
  <c r="W459" i="6"/>
  <c r="W467" i="6"/>
  <c r="W475" i="6"/>
  <c r="W483" i="6"/>
  <c r="W188" i="6"/>
  <c r="W196" i="6"/>
  <c r="W204" i="6"/>
  <c r="W212" i="6"/>
  <c r="W220" i="6"/>
  <c r="W228" i="6"/>
  <c r="W236" i="6"/>
  <c r="W244" i="6"/>
  <c r="W252" i="6"/>
  <c r="W260" i="6"/>
  <c r="W268" i="6"/>
  <c r="W276" i="6"/>
  <c r="W284" i="6"/>
  <c r="W292" i="6"/>
  <c r="W300" i="6"/>
  <c r="W308" i="6"/>
  <c r="W316" i="6"/>
  <c r="W324" i="6"/>
  <c r="W332" i="6"/>
  <c r="W340" i="6"/>
  <c r="W348" i="6"/>
  <c r="W356" i="6"/>
  <c r="W364" i="6"/>
  <c r="W372" i="6"/>
  <c r="W380" i="6"/>
  <c r="W388" i="6"/>
  <c r="W396" i="6"/>
  <c r="W404" i="6"/>
  <c r="W412" i="6"/>
  <c r="W420" i="6"/>
  <c r="W428" i="6"/>
  <c r="W436" i="6"/>
  <c r="W444" i="6"/>
  <c r="W452" i="6"/>
  <c r="W460" i="6"/>
  <c r="W468" i="6"/>
  <c r="W476" i="6"/>
  <c r="W484" i="6"/>
  <c r="W189" i="6"/>
  <c r="W197" i="6"/>
  <c r="W205" i="6"/>
  <c r="W213" i="6"/>
  <c r="W221" i="6"/>
  <c r="W229" i="6"/>
  <c r="W237" i="6"/>
  <c r="W245" i="6"/>
  <c r="W253" i="6"/>
  <c r="W261" i="6"/>
  <c r="W269" i="6"/>
  <c r="W277" i="6"/>
  <c r="W285" i="6"/>
  <c r="W293" i="6"/>
  <c r="W301" i="6"/>
  <c r="W309" i="6"/>
  <c r="W317" i="6"/>
  <c r="W325" i="6"/>
  <c r="W333" i="6"/>
  <c r="W341" i="6"/>
  <c r="W349" i="6"/>
  <c r="W357" i="6"/>
  <c r="W365" i="6"/>
  <c r="W373" i="6"/>
  <c r="W381" i="6"/>
  <c r="W389" i="6"/>
  <c r="W397" i="6"/>
  <c r="W405" i="6"/>
  <c r="W413" i="6"/>
  <c r="W421" i="6"/>
  <c r="W429" i="6"/>
  <c r="W437" i="6"/>
  <c r="W445" i="6"/>
  <c r="W453" i="6"/>
  <c r="W461" i="6"/>
  <c r="W469" i="6"/>
  <c r="W477" i="6"/>
  <c r="W485" i="6"/>
  <c r="W190" i="6"/>
  <c r="W198" i="6"/>
  <c r="W206" i="6"/>
  <c r="W214" i="6"/>
  <c r="W222" i="6"/>
  <c r="W230" i="6"/>
  <c r="W238" i="6"/>
  <c r="W246" i="6"/>
  <c r="W254" i="6"/>
  <c r="W262" i="6"/>
  <c r="W270" i="6"/>
  <c r="W278" i="6"/>
  <c r="W286" i="6"/>
  <c r="W294" i="6"/>
  <c r="W302" i="6"/>
  <c r="W310" i="6"/>
  <c r="W318" i="6"/>
  <c r="W326" i="6"/>
  <c r="W334" i="6"/>
  <c r="W342" i="6"/>
  <c r="W350" i="6"/>
  <c r="W358" i="6"/>
  <c r="W366" i="6"/>
  <c r="W374" i="6"/>
  <c r="W382" i="6"/>
  <c r="W390" i="6"/>
  <c r="W398" i="6"/>
  <c r="W406" i="6"/>
  <c r="W414" i="6"/>
  <c r="W422" i="6"/>
  <c r="W430" i="6"/>
  <c r="W438" i="6"/>
  <c r="W446" i="6"/>
  <c r="W454" i="6"/>
  <c r="W462" i="6"/>
  <c r="W470" i="6"/>
  <c r="W478" i="6"/>
  <c r="W486" i="6"/>
  <c r="W191" i="6"/>
  <c r="W199" i="6"/>
  <c r="W207" i="6"/>
  <c r="W215" i="6"/>
  <c r="W223" i="6"/>
  <c r="W231" i="6"/>
  <c r="W239" i="6"/>
  <c r="W247" i="6"/>
  <c r="W255" i="6"/>
  <c r="W263" i="6"/>
  <c r="W271" i="6"/>
  <c r="W279" i="6"/>
  <c r="W287" i="6"/>
  <c r="W295" i="6"/>
  <c r="W303" i="6"/>
  <c r="W311" i="6"/>
  <c r="W319" i="6"/>
  <c r="W327" i="6"/>
  <c r="W335" i="6"/>
  <c r="W343" i="6"/>
  <c r="W351" i="6"/>
  <c r="W359" i="6"/>
  <c r="W367" i="6"/>
  <c r="W375" i="6"/>
  <c r="W383" i="6"/>
  <c r="W391" i="6"/>
  <c r="W399" i="6"/>
  <c r="W407" i="6"/>
  <c r="W415" i="6"/>
  <c r="W423" i="6"/>
  <c r="W431" i="6"/>
  <c r="W439" i="6"/>
  <c r="W447" i="6"/>
  <c r="W455" i="6"/>
  <c r="W463" i="6"/>
  <c r="W471" i="6"/>
  <c r="W479" i="6"/>
  <c r="W487" i="6"/>
  <c r="W192" i="6"/>
  <c r="W200" i="6"/>
  <c r="W208" i="6"/>
  <c r="W216" i="6"/>
  <c r="W224" i="6"/>
  <c r="W232" i="6"/>
  <c r="W240" i="6"/>
  <c r="W248" i="6"/>
  <c r="W256" i="6"/>
  <c r="W264" i="6"/>
  <c r="W272" i="6"/>
  <c r="W280" i="6"/>
  <c r="W288" i="6"/>
  <c r="W296" i="6"/>
  <c r="W304" i="6"/>
  <c r="W312" i="6"/>
  <c r="W320" i="6"/>
  <c r="W328" i="6"/>
  <c r="W336" i="6"/>
  <c r="W344" i="6"/>
  <c r="W352" i="6"/>
  <c r="W360" i="6"/>
  <c r="W368" i="6"/>
  <c r="W376" i="6"/>
  <c r="W384" i="6"/>
  <c r="W392" i="6"/>
  <c r="W400" i="6"/>
  <c r="W408" i="6"/>
  <c r="W416" i="6"/>
  <c r="W424" i="6"/>
  <c r="W432" i="6"/>
  <c r="W440" i="6"/>
  <c r="W448" i="6"/>
  <c r="W456" i="6"/>
  <c r="W464" i="6"/>
  <c r="W472" i="6"/>
  <c r="W480" i="6"/>
  <c r="W488" i="6"/>
  <c r="W193" i="6"/>
  <c r="W201" i="6"/>
  <c r="W209" i="6"/>
  <c r="W217" i="6"/>
  <c r="W225" i="6"/>
  <c r="W233" i="6"/>
  <c r="W241" i="6"/>
  <c r="W249" i="6"/>
  <c r="W257" i="6"/>
  <c r="W265" i="6"/>
  <c r="W273" i="6"/>
  <c r="W281" i="6"/>
  <c r="W289" i="6"/>
  <c r="W297" i="6"/>
  <c r="W305" i="6"/>
  <c r="W313" i="6"/>
  <c r="W321" i="6"/>
  <c r="W329" i="6"/>
  <c r="W337" i="6"/>
  <c r="W345" i="6"/>
  <c r="W353" i="6"/>
  <c r="W361" i="6"/>
  <c r="W369" i="6"/>
  <c r="W377" i="6"/>
  <c r="W385" i="6"/>
  <c r="W393" i="6"/>
  <c r="W401" i="6"/>
  <c r="W409" i="6"/>
  <c r="W417" i="6"/>
  <c r="W425" i="6"/>
  <c r="W433" i="6"/>
  <c r="W441" i="6"/>
  <c r="W449" i="6"/>
  <c r="W457" i="6"/>
  <c r="W465" i="6"/>
  <c r="W473" i="6"/>
  <c r="W481" i="6"/>
  <c r="W187" i="6"/>
  <c r="W194" i="6"/>
  <c r="W202" i="6"/>
  <c r="W210" i="6"/>
  <c r="W218" i="6"/>
  <c r="W226" i="6"/>
  <c r="W234" i="6"/>
  <c r="W242" i="6"/>
  <c r="W250" i="6"/>
  <c r="W258" i="6"/>
  <c r="W266" i="6"/>
  <c r="W274" i="6"/>
  <c r="W282" i="6"/>
  <c r="W290" i="6"/>
  <c r="W298" i="6"/>
  <c r="W306" i="6"/>
  <c r="W314" i="6"/>
  <c r="W322" i="6"/>
  <c r="W330" i="6"/>
  <c r="W338" i="6"/>
  <c r="W346" i="6"/>
  <c r="W354" i="6"/>
  <c r="W362" i="6"/>
  <c r="W370" i="6"/>
  <c r="W378" i="6"/>
  <c r="W386" i="6"/>
  <c r="W394" i="6"/>
  <c r="W402" i="6"/>
  <c r="W410" i="6"/>
  <c r="W418" i="6"/>
  <c r="W426" i="6"/>
  <c r="W434" i="6"/>
  <c r="W442" i="6"/>
  <c r="W450" i="6"/>
  <c r="W458" i="6"/>
  <c r="W466" i="6"/>
  <c r="W474" i="6"/>
  <c r="W482" i="6"/>
  <c r="C99" i="6"/>
  <c r="C162" i="20"/>
  <c r="C150" i="20"/>
  <c r="V10" i="6"/>
  <c r="V11" i="6"/>
  <c r="W14" i="6"/>
  <c r="U6" i="6"/>
  <c r="U9" i="6"/>
  <c r="U11" i="6"/>
  <c r="U7" i="6"/>
  <c r="S7" i="6"/>
  <c r="S12" i="6"/>
  <c r="V15" i="6"/>
  <c r="U5" i="6"/>
  <c r="S13" i="6"/>
  <c r="S15" i="6"/>
  <c r="W12" i="6"/>
  <c r="V14" i="6"/>
  <c r="W11" i="6"/>
  <c r="S14" i="6"/>
  <c r="V9" i="6"/>
  <c r="U13" i="6"/>
  <c r="S5" i="6"/>
  <c r="W13" i="6"/>
  <c r="W7" i="6"/>
  <c r="W8" i="6"/>
  <c r="U14" i="6"/>
  <c r="V5" i="6"/>
  <c r="C96" i="6"/>
  <c r="U12" i="6"/>
  <c r="S10" i="6"/>
  <c r="W10" i="6"/>
  <c r="S9" i="6"/>
  <c r="V13" i="6"/>
  <c r="U10" i="6"/>
  <c r="AA5" i="6" s="1"/>
  <c r="AC5" i="6" s="1"/>
  <c r="W15" i="6"/>
  <c r="U15" i="6"/>
  <c r="V8" i="6"/>
  <c r="W6" i="6"/>
  <c r="S8" i="6"/>
  <c r="W9" i="6"/>
  <c r="S6" i="6"/>
  <c r="V6" i="6"/>
  <c r="V7" i="6"/>
  <c r="V12" i="6"/>
  <c r="S11" i="6"/>
  <c r="W5" i="6"/>
  <c r="C82" i="20"/>
  <c r="C84" i="20" s="1"/>
  <c r="C151" i="20" l="1"/>
  <c r="C164" i="20"/>
  <c r="C153" i="20"/>
  <c r="C163" i="20"/>
  <c r="C213" i="20"/>
  <c r="C100" i="6"/>
  <c r="C23" i="24"/>
  <c r="C196" i="20"/>
  <c r="C197" i="20"/>
  <c r="C202" i="20"/>
  <c r="C198" i="20"/>
  <c r="C199" i="20"/>
  <c r="C200" i="20"/>
  <c r="C201" i="20"/>
  <c r="C203" i="20"/>
  <c r="C204" i="20"/>
  <c r="C205" i="20"/>
  <c r="C211" i="20"/>
  <c r="C206" i="20"/>
  <c r="C207" i="20"/>
  <c r="C208" i="20"/>
  <c r="C209" i="20"/>
  <c r="C210" i="20"/>
  <c r="C212" i="20"/>
  <c r="AB5" i="6"/>
  <c r="C15" i="10"/>
  <c r="E35" i="10" s="1"/>
  <c r="C9" i="13"/>
  <c r="C36" i="13" s="1"/>
  <c r="C8" i="14"/>
  <c r="C103" i="6" l="1"/>
  <c r="C107" i="6" s="1"/>
  <c r="C110" i="6" s="1"/>
  <c r="C19" i="7"/>
  <c r="D302" i="20"/>
  <c r="D319" i="20"/>
  <c r="D303" i="20"/>
  <c r="D315" i="20"/>
  <c r="D311" i="20"/>
  <c r="D310" i="20"/>
  <c r="D320" i="20"/>
  <c r="D325" i="20"/>
  <c r="D317" i="20"/>
  <c r="D304" i="20"/>
  <c r="D324" i="20"/>
  <c r="D316" i="20"/>
  <c r="D308" i="20"/>
  <c r="D306" i="20"/>
  <c r="D307" i="20"/>
  <c r="D313" i="20"/>
  <c r="D305" i="20"/>
  <c r="D322" i="20"/>
  <c r="D318" i="20"/>
  <c r="D314" i="20"/>
  <c r="D321" i="20"/>
  <c r="D312" i="20"/>
  <c r="D301" i="20"/>
  <c r="D323" i="20"/>
  <c r="D309" i="20"/>
  <c r="I55" i="14"/>
  <c r="I83" i="14"/>
  <c r="I84" i="14"/>
  <c r="I85" i="14"/>
  <c r="I86" i="14"/>
  <c r="I87" i="14"/>
  <c r="C16" i="10"/>
  <c r="C27" i="10"/>
  <c r="C28" i="10" s="1"/>
  <c r="C8" i="7"/>
  <c r="J57" i="14"/>
  <c r="J66" i="14"/>
  <c r="I66" i="14"/>
  <c r="P45" i="14"/>
  <c r="J81" i="14"/>
  <c r="J52" i="14"/>
  <c r="F7" i="14"/>
  <c r="J56" i="14"/>
  <c r="I65" i="14"/>
  <c r="P55" i="14"/>
  <c r="J80" i="14"/>
  <c r="I64" i="14"/>
  <c r="J55" i="14"/>
  <c r="I82" i="14"/>
  <c r="C38" i="14"/>
  <c r="C25" i="10"/>
  <c r="C57" i="13"/>
  <c r="C96" i="13"/>
  <c r="I57" i="14"/>
  <c r="J69" i="14"/>
  <c r="I75" i="14"/>
  <c r="C71" i="13"/>
  <c r="C108" i="13"/>
  <c r="J67" i="14"/>
  <c r="C39" i="14"/>
  <c r="I60" i="14"/>
  <c r="I72" i="14"/>
  <c r="C33" i="13"/>
  <c r="C91" i="13"/>
  <c r="C121" i="13"/>
  <c r="C97" i="13"/>
  <c r="C90" i="13"/>
  <c r="C50" i="13"/>
  <c r="C39" i="13"/>
  <c r="C114" i="13"/>
  <c r="C105" i="13"/>
  <c r="C75" i="13"/>
  <c r="C100" i="13"/>
  <c r="P53" i="14"/>
  <c r="I67" i="14"/>
  <c r="J64" i="14"/>
  <c r="C56" i="13"/>
  <c r="C119" i="13"/>
  <c r="C70" i="13"/>
  <c r="C48" i="13"/>
  <c r="J74" i="14"/>
  <c r="J75" i="14"/>
  <c r="I74" i="14"/>
  <c r="I69" i="14"/>
  <c r="J65" i="14"/>
  <c r="C35" i="13"/>
  <c r="C55" i="13"/>
  <c r="C87" i="13"/>
  <c r="C62" i="13"/>
  <c r="C95" i="13"/>
  <c r="C86" i="13"/>
  <c r="C106" i="13"/>
  <c r="I54" i="14"/>
  <c r="I76" i="14"/>
  <c r="I73" i="14"/>
  <c r="P47" i="14"/>
  <c r="J71" i="14"/>
  <c r="P52" i="14"/>
  <c r="I68" i="14"/>
  <c r="C24" i="14"/>
  <c r="C25" i="14" s="1"/>
  <c r="C68" i="13"/>
  <c r="C32" i="13"/>
  <c r="C84" i="13"/>
  <c r="C51" i="13"/>
  <c r="C88" i="13"/>
  <c r="C93" i="13"/>
  <c r="C67" i="13"/>
  <c r="C73" i="13"/>
  <c r="P54" i="14"/>
  <c r="C109" i="13"/>
  <c r="J58" i="14"/>
  <c r="J68" i="14"/>
  <c r="J76" i="14"/>
  <c r="I70" i="14"/>
  <c r="J59" i="14"/>
  <c r="P51" i="14"/>
  <c r="I71" i="14"/>
  <c r="J78" i="14"/>
  <c r="I59" i="14"/>
  <c r="P46" i="14"/>
  <c r="C94" i="13"/>
  <c r="C38" i="13"/>
  <c r="C45" i="13"/>
  <c r="C66" i="13"/>
  <c r="C112" i="13"/>
  <c r="C59" i="13"/>
  <c r="C98" i="13"/>
  <c r="C54" i="13"/>
  <c r="J54" i="14"/>
  <c r="P56" i="14"/>
  <c r="C63" i="13"/>
  <c r="C81" i="13"/>
  <c r="C64" i="13"/>
  <c r="C99" i="13"/>
  <c r="C78" i="13"/>
  <c r="C120" i="13"/>
  <c r="C92" i="13"/>
  <c r="C49" i="13"/>
  <c r="J63" i="14"/>
  <c r="I61" i="14"/>
  <c r="P49" i="14"/>
  <c r="J72" i="14"/>
  <c r="J82" i="14"/>
  <c r="J73" i="14"/>
  <c r="C101" i="13"/>
  <c r="C76" i="13"/>
  <c r="C53" i="13"/>
  <c r="C43" i="13"/>
  <c r="C72" i="13"/>
  <c r="C42" i="13"/>
  <c r="C117" i="13"/>
  <c r="C40" i="13"/>
  <c r="C102" i="13"/>
  <c r="I80" i="14"/>
  <c r="I62" i="14"/>
  <c r="J62" i="14"/>
  <c r="I63" i="14"/>
  <c r="J77" i="14"/>
  <c r="P48" i="14"/>
  <c r="C77" i="13"/>
  <c r="C80" i="13"/>
  <c r="C74" i="13"/>
  <c r="C116" i="13"/>
  <c r="C61" i="13"/>
  <c r="C65" i="13"/>
  <c r="C85" i="13"/>
  <c r="C82" i="13"/>
  <c r="I77" i="14"/>
  <c r="C41" i="13"/>
  <c r="C60" i="13"/>
  <c r="I56" i="14"/>
  <c r="I58" i="14"/>
  <c r="I79" i="14"/>
  <c r="J60" i="14"/>
  <c r="I81" i="14"/>
  <c r="J79" i="14"/>
  <c r="C34" i="13"/>
  <c r="C52" i="13"/>
  <c r="C89" i="13"/>
  <c r="C44" i="13"/>
  <c r="C58" i="13"/>
  <c r="C113" i="13"/>
  <c r="C37" i="13"/>
  <c r="C110" i="13"/>
  <c r="C79" i="13"/>
  <c r="C103" i="13"/>
  <c r="C104" i="13"/>
  <c r="C47" i="13"/>
  <c r="C107" i="13"/>
  <c r="I78" i="14"/>
  <c r="I52" i="14"/>
  <c r="J70" i="14"/>
  <c r="P50" i="14"/>
  <c r="J61" i="14"/>
  <c r="C118" i="13"/>
  <c r="C30" i="13"/>
  <c r="C69" i="13"/>
  <c r="C115" i="13"/>
  <c r="C46" i="13"/>
  <c r="C83" i="13"/>
  <c r="C111" i="13"/>
  <c r="M248" i="6" l="1"/>
  <c r="M321" i="20" s="1"/>
  <c r="N265" i="6"/>
  <c r="N273" i="6"/>
  <c r="N281" i="6"/>
  <c r="N289" i="6"/>
  <c r="N297" i="6"/>
  <c r="N305" i="6"/>
  <c r="N313" i="6"/>
  <c r="N321" i="6"/>
  <c r="N329" i="6"/>
  <c r="N337" i="6"/>
  <c r="N345" i="6"/>
  <c r="N353" i="6"/>
  <c r="N361" i="6"/>
  <c r="N150" i="6"/>
  <c r="N158" i="6"/>
  <c r="N166" i="6"/>
  <c r="N174" i="6"/>
  <c r="N182" i="6"/>
  <c r="N190" i="6"/>
  <c r="N198" i="6"/>
  <c r="N206" i="6"/>
  <c r="N214" i="6"/>
  <c r="N222" i="6"/>
  <c r="N230" i="6"/>
  <c r="N238" i="6"/>
  <c r="N246" i="6"/>
  <c r="N254" i="6"/>
  <c r="M144" i="6"/>
  <c r="L217" i="20" s="1"/>
  <c r="N266" i="6"/>
  <c r="N274" i="6"/>
  <c r="N282" i="6"/>
  <c r="N290" i="6"/>
  <c r="N298" i="6"/>
  <c r="N306" i="6"/>
  <c r="N314" i="6"/>
  <c r="N322" i="6"/>
  <c r="N330" i="6"/>
  <c r="N338" i="6"/>
  <c r="N346" i="6"/>
  <c r="N354" i="6"/>
  <c r="N151" i="6"/>
  <c r="X84" i="16" s="1"/>
  <c r="N159" i="6"/>
  <c r="N167" i="6"/>
  <c r="N175" i="6"/>
  <c r="N183" i="6"/>
  <c r="N191" i="6"/>
  <c r="N199" i="6"/>
  <c r="N207" i="6"/>
  <c r="N215" i="6"/>
  <c r="N223" i="6"/>
  <c r="N231" i="6"/>
  <c r="N239" i="6"/>
  <c r="N247" i="6"/>
  <c r="N255" i="6"/>
  <c r="N267" i="6"/>
  <c r="N275" i="6"/>
  <c r="N283" i="6"/>
  <c r="N291" i="6"/>
  <c r="N299" i="6"/>
  <c r="N307" i="6"/>
  <c r="N315" i="6"/>
  <c r="N323" i="6"/>
  <c r="N331" i="6"/>
  <c r="N339" i="6"/>
  <c r="N347" i="6"/>
  <c r="N355" i="6"/>
  <c r="N152" i="6"/>
  <c r="N160" i="6"/>
  <c r="N168" i="6"/>
  <c r="N176" i="6"/>
  <c r="N184" i="6"/>
  <c r="N192" i="6"/>
  <c r="N200" i="6"/>
  <c r="N208" i="6"/>
  <c r="N216" i="6"/>
  <c r="N224" i="6"/>
  <c r="N232" i="6"/>
  <c r="N240" i="6"/>
  <c r="N248" i="6"/>
  <c r="N256" i="6"/>
  <c r="N268" i="6"/>
  <c r="N276" i="6"/>
  <c r="N284" i="6"/>
  <c r="N292" i="6"/>
  <c r="N300" i="6"/>
  <c r="N308" i="6"/>
  <c r="N316" i="6"/>
  <c r="N324" i="6"/>
  <c r="N332" i="6"/>
  <c r="N340" i="6"/>
  <c r="N348" i="6"/>
  <c r="N356" i="6"/>
  <c r="N145" i="6"/>
  <c r="N153" i="6"/>
  <c r="N161" i="6"/>
  <c r="N169" i="6"/>
  <c r="N177" i="6"/>
  <c r="N185" i="6"/>
  <c r="N193" i="6"/>
  <c r="N201" i="6"/>
  <c r="N209" i="6"/>
  <c r="N217" i="6"/>
  <c r="N225" i="6"/>
  <c r="N233" i="6"/>
  <c r="N241" i="6"/>
  <c r="N249" i="6"/>
  <c r="N257" i="6"/>
  <c r="N261" i="6"/>
  <c r="N269" i="6"/>
  <c r="N277" i="6"/>
  <c r="N285" i="6"/>
  <c r="N293" i="6"/>
  <c r="N301" i="6"/>
  <c r="N309" i="6"/>
  <c r="N317" i="6"/>
  <c r="N325" i="6"/>
  <c r="N333" i="6"/>
  <c r="N341" i="6"/>
  <c r="N349" i="6"/>
  <c r="N357" i="6"/>
  <c r="N146" i="6"/>
  <c r="N154" i="6"/>
  <c r="N162" i="6"/>
  <c r="N170" i="6"/>
  <c r="N178" i="6"/>
  <c r="N186" i="6"/>
  <c r="N194" i="6"/>
  <c r="N202" i="6"/>
  <c r="N210" i="6"/>
  <c r="N218" i="6"/>
  <c r="N226" i="6"/>
  <c r="N234" i="6"/>
  <c r="N242" i="6"/>
  <c r="N250" i="6"/>
  <c r="N258" i="6"/>
  <c r="N262" i="6"/>
  <c r="N270" i="6"/>
  <c r="N278" i="6"/>
  <c r="N286" i="6"/>
  <c r="N294" i="6"/>
  <c r="N302" i="6"/>
  <c r="N310" i="6"/>
  <c r="N318" i="6"/>
  <c r="N326" i="6"/>
  <c r="N334" i="6"/>
  <c r="N342" i="6"/>
  <c r="N350" i="6"/>
  <c r="N358" i="6"/>
  <c r="N147" i="6"/>
  <c r="N155" i="6"/>
  <c r="N163" i="6"/>
  <c r="N171" i="6"/>
  <c r="N179" i="6"/>
  <c r="N187" i="6"/>
  <c r="N195" i="6"/>
  <c r="N203" i="6"/>
  <c r="N211" i="6"/>
  <c r="N219" i="6"/>
  <c r="N227" i="6"/>
  <c r="N235" i="6"/>
  <c r="N243" i="6"/>
  <c r="N251" i="6"/>
  <c r="N259" i="6"/>
  <c r="N263" i="6"/>
  <c r="N271" i="6"/>
  <c r="N279" i="6"/>
  <c r="N287" i="6"/>
  <c r="N295" i="6"/>
  <c r="N303" i="6"/>
  <c r="N311" i="6"/>
  <c r="N319" i="6"/>
  <c r="N327" i="6"/>
  <c r="N335" i="6"/>
  <c r="N343" i="6"/>
  <c r="N351" i="6"/>
  <c r="N359" i="6"/>
  <c r="N148" i="6"/>
  <c r="N156" i="6"/>
  <c r="N164" i="6"/>
  <c r="N172" i="6"/>
  <c r="N180" i="6"/>
  <c r="N188" i="6"/>
  <c r="N196" i="6"/>
  <c r="N204" i="6"/>
  <c r="N212" i="6"/>
  <c r="N220" i="6"/>
  <c r="N228" i="6"/>
  <c r="N236" i="6"/>
  <c r="N244" i="6"/>
  <c r="N252" i="6"/>
  <c r="N260" i="6"/>
  <c r="N264" i="6"/>
  <c r="N272" i="6"/>
  <c r="N280" i="6"/>
  <c r="N288" i="6"/>
  <c r="N296" i="6"/>
  <c r="N304" i="6"/>
  <c r="N312" i="6"/>
  <c r="N320" i="6"/>
  <c r="N328" i="6"/>
  <c r="N336" i="6"/>
  <c r="N344" i="6"/>
  <c r="N352" i="6"/>
  <c r="N360" i="6"/>
  <c r="N149" i="6"/>
  <c r="N157" i="6"/>
  <c r="N165" i="6"/>
  <c r="N173" i="6"/>
  <c r="N181" i="6"/>
  <c r="N189" i="6"/>
  <c r="N197" i="6"/>
  <c r="N205" i="6"/>
  <c r="N213" i="6"/>
  <c r="N221" i="6"/>
  <c r="N229" i="6"/>
  <c r="N237" i="6"/>
  <c r="N245" i="6"/>
  <c r="N253" i="6"/>
  <c r="N144" i="6"/>
  <c r="C18" i="7"/>
  <c r="C29" i="34"/>
  <c r="M219" i="6"/>
  <c r="M252" i="6"/>
  <c r="M325" i="20" s="1"/>
  <c r="M256" i="6"/>
  <c r="M260" i="6"/>
  <c r="M237" i="6"/>
  <c r="M310" i="20" s="1"/>
  <c r="M241" i="6"/>
  <c r="M314" i="20" s="1"/>
  <c r="M245" i="6"/>
  <c r="M318" i="20" s="1"/>
  <c r="M225" i="6"/>
  <c r="L298" i="20" s="1"/>
  <c r="M229" i="6"/>
  <c r="L302" i="20" s="1"/>
  <c r="M233" i="6"/>
  <c r="M306" i="20" s="1"/>
  <c r="M220" i="6"/>
  <c r="M213" i="6"/>
  <c r="L286" i="20" s="1"/>
  <c r="M221" i="6"/>
  <c r="M249" i="6"/>
  <c r="M322" i="20" s="1"/>
  <c r="M253" i="6"/>
  <c r="M326" i="20" s="1"/>
  <c r="M257" i="6"/>
  <c r="M234" i="6"/>
  <c r="M307" i="20" s="1"/>
  <c r="M238" i="6"/>
  <c r="M311" i="20" s="1"/>
  <c r="M242" i="6"/>
  <c r="M315" i="20" s="1"/>
  <c r="M246" i="6"/>
  <c r="M319" i="20" s="1"/>
  <c r="M226" i="6"/>
  <c r="L299" i="20" s="1"/>
  <c r="M230" i="6"/>
  <c r="M303" i="20" s="1"/>
  <c r="M214" i="6"/>
  <c r="L287" i="20" s="1"/>
  <c r="M222" i="6"/>
  <c r="L295" i="20" s="1"/>
  <c r="M215" i="6"/>
  <c r="L288" i="20" s="1"/>
  <c r="M145" i="6"/>
  <c r="L218" i="20" s="1"/>
  <c r="M250" i="6"/>
  <c r="M323" i="20" s="1"/>
  <c r="M254" i="6"/>
  <c r="M327" i="20" s="1"/>
  <c r="M258" i="6"/>
  <c r="M235" i="6"/>
  <c r="M308" i="20" s="1"/>
  <c r="M239" i="6"/>
  <c r="M312" i="20" s="1"/>
  <c r="M243" i="6"/>
  <c r="M316" i="20" s="1"/>
  <c r="M223" i="6"/>
  <c r="L296" i="20" s="1"/>
  <c r="M227" i="6"/>
  <c r="L300" i="20" s="1"/>
  <c r="M231" i="6"/>
  <c r="M304" i="20" s="1"/>
  <c r="M216" i="6"/>
  <c r="L289" i="20" s="1"/>
  <c r="M217" i="6"/>
  <c r="M247" i="6"/>
  <c r="M320" i="20" s="1"/>
  <c r="M251" i="6"/>
  <c r="M324" i="20" s="1"/>
  <c r="M255" i="6"/>
  <c r="M259" i="6"/>
  <c r="M236" i="6"/>
  <c r="M309" i="20" s="1"/>
  <c r="M240" i="6"/>
  <c r="M313" i="20" s="1"/>
  <c r="M244" i="6"/>
  <c r="M317" i="20" s="1"/>
  <c r="M224" i="6"/>
  <c r="L297" i="20" s="1"/>
  <c r="M228" i="6"/>
  <c r="L301" i="20" s="1"/>
  <c r="M232" i="6"/>
  <c r="M305" i="20" s="1"/>
  <c r="M218" i="6"/>
  <c r="M185" i="6"/>
  <c r="L258" i="20" s="1"/>
  <c r="M193" i="6"/>
  <c r="L266" i="20" s="1"/>
  <c r="M177" i="6"/>
  <c r="L250" i="20" s="1"/>
  <c r="M201" i="6"/>
  <c r="L274" i="20" s="1"/>
  <c r="M210" i="6"/>
  <c r="L283" i="20" s="1"/>
  <c r="M169" i="6"/>
  <c r="L242" i="20" s="1"/>
  <c r="M202" i="6"/>
  <c r="L275" i="20" s="1"/>
  <c r="M194" i="6"/>
  <c r="L267" i="20" s="1"/>
  <c r="M186" i="6"/>
  <c r="L259" i="20" s="1"/>
  <c r="M178" i="6"/>
  <c r="L251" i="20" s="1"/>
  <c r="M170" i="6"/>
  <c r="L243" i="20" s="1"/>
  <c r="M162" i="6"/>
  <c r="L235" i="20" s="1"/>
  <c r="M154" i="6"/>
  <c r="L227" i="20" s="1"/>
  <c r="M146" i="6"/>
  <c r="L219" i="20" s="1"/>
  <c r="M161" i="6"/>
  <c r="L234" i="20" s="1"/>
  <c r="M209" i="6"/>
  <c r="L282" i="20" s="1"/>
  <c r="M153" i="6"/>
  <c r="L226" i="20" s="1"/>
  <c r="M203" i="6"/>
  <c r="L276" i="20" s="1"/>
  <c r="M189" i="6"/>
  <c r="L262" i="20" s="1"/>
  <c r="M158" i="6"/>
  <c r="L231" i="20" s="1"/>
  <c r="M148" i="6"/>
  <c r="L221" i="20" s="1"/>
  <c r="M183" i="6"/>
  <c r="L256" i="20" s="1"/>
  <c r="M152" i="6"/>
  <c r="L225" i="20" s="1"/>
  <c r="M175" i="6"/>
  <c r="L248" i="20" s="1"/>
  <c r="M147" i="6"/>
  <c r="L220" i="20" s="1"/>
  <c r="M211" i="6"/>
  <c r="L284" i="20" s="1"/>
  <c r="M197" i="6"/>
  <c r="L270" i="20" s="1"/>
  <c r="M166" i="6"/>
  <c r="L239" i="20" s="1"/>
  <c r="M172" i="6"/>
  <c r="L245" i="20" s="1"/>
  <c r="M191" i="6"/>
  <c r="L264" i="20" s="1"/>
  <c r="M160" i="6"/>
  <c r="L233" i="20" s="1"/>
  <c r="M195" i="6"/>
  <c r="L268" i="20" s="1"/>
  <c r="M208" i="6"/>
  <c r="L281" i="20" s="1"/>
  <c r="M155" i="6"/>
  <c r="L228" i="20" s="1"/>
  <c r="M188" i="6"/>
  <c r="L261" i="20" s="1"/>
  <c r="M205" i="6"/>
  <c r="L278" i="20" s="1"/>
  <c r="M174" i="6"/>
  <c r="L247" i="20" s="1"/>
  <c r="M204" i="6"/>
  <c r="L277" i="20" s="1"/>
  <c r="M199" i="6"/>
  <c r="L272" i="20" s="1"/>
  <c r="M168" i="6"/>
  <c r="L241" i="20" s="1"/>
  <c r="M150" i="6"/>
  <c r="L223" i="20" s="1"/>
  <c r="M163" i="6"/>
  <c r="L236" i="20" s="1"/>
  <c r="M149" i="6"/>
  <c r="L222" i="20" s="1"/>
  <c r="M182" i="6"/>
  <c r="L255" i="20" s="1"/>
  <c r="M207" i="6"/>
  <c r="L280" i="20" s="1"/>
  <c r="M176" i="6"/>
  <c r="L249" i="20" s="1"/>
  <c r="M181" i="6"/>
  <c r="L254" i="20" s="1"/>
  <c r="M171" i="6"/>
  <c r="L244" i="20" s="1"/>
  <c r="M157" i="6"/>
  <c r="L230" i="20" s="1"/>
  <c r="M156" i="6"/>
  <c r="L229" i="20" s="1"/>
  <c r="M190" i="6"/>
  <c r="L263" i="20" s="1"/>
  <c r="M151" i="6"/>
  <c r="L224" i="20" s="1"/>
  <c r="M184" i="6"/>
  <c r="L257" i="20" s="1"/>
  <c r="M192" i="6"/>
  <c r="L265" i="20" s="1"/>
  <c r="M179" i="6"/>
  <c r="L252" i="20" s="1"/>
  <c r="M165" i="6"/>
  <c r="L238" i="20" s="1"/>
  <c r="M180" i="6"/>
  <c r="L253" i="20" s="1"/>
  <c r="M198" i="6"/>
  <c r="L271" i="20" s="1"/>
  <c r="M159" i="6"/>
  <c r="L232" i="20" s="1"/>
  <c r="M164" i="6"/>
  <c r="L237" i="20" s="1"/>
  <c r="M187" i="6"/>
  <c r="L260" i="20" s="1"/>
  <c r="M173" i="6"/>
  <c r="L246" i="20" s="1"/>
  <c r="M196" i="6"/>
  <c r="L269" i="20" s="1"/>
  <c r="M206" i="6"/>
  <c r="L279" i="20" s="1"/>
  <c r="M167" i="6"/>
  <c r="L240" i="20" s="1"/>
  <c r="M212" i="6"/>
  <c r="L285" i="20" s="1"/>
  <c r="M200" i="6"/>
  <c r="L273" i="20" s="1"/>
  <c r="B236" i="10"/>
  <c r="A236" i="10" s="1"/>
  <c r="B244" i="10"/>
  <c r="A244" i="10" s="1"/>
  <c r="B252" i="10"/>
  <c r="A252" i="10" s="1"/>
  <c r="B260" i="10"/>
  <c r="A260" i="10" s="1"/>
  <c r="B268" i="10"/>
  <c r="A268" i="10" s="1"/>
  <c r="B276" i="10"/>
  <c r="A276" i="10" s="1"/>
  <c r="B284" i="10"/>
  <c r="A284" i="10" s="1"/>
  <c r="B292" i="10"/>
  <c r="A292" i="10" s="1"/>
  <c r="B300" i="10"/>
  <c r="A300" i="10" s="1"/>
  <c r="B308" i="10"/>
  <c r="A308" i="10" s="1"/>
  <c r="B316" i="10"/>
  <c r="A316" i="10" s="1"/>
  <c r="B324" i="10"/>
  <c r="A324" i="10" s="1"/>
  <c r="B332" i="10"/>
  <c r="A332" i="10" s="1"/>
  <c r="B340" i="10"/>
  <c r="A340" i="10" s="1"/>
  <c r="B348" i="10"/>
  <c r="A348" i="10" s="1"/>
  <c r="B356" i="10"/>
  <c r="A356" i="10" s="1"/>
  <c r="B364" i="10"/>
  <c r="A364" i="10" s="1"/>
  <c r="B372" i="10"/>
  <c r="A372" i="10" s="1"/>
  <c r="B380" i="10"/>
  <c r="A380" i="10" s="1"/>
  <c r="B237" i="10"/>
  <c r="A237" i="10" s="1"/>
  <c r="B245" i="10"/>
  <c r="A245" i="10" s="1"/>
  <c r="B253" i="10"/>
  <c r="A253" i="10" s="1"/>
  <c r="B261" i="10"/>
  <c r="A261" i="10" s="1"/>
  <c r="B269" i="10"/>
  <c r="A269" i="10" s="1"/>
  <c r="B277" i="10"/>
  <c r="A277" i="10" s="1"/>
  <c r="B285" i="10"/>
  <c r="A285" i="10" s="1"/>
  <c r="B293" i="10"/>
  <c r="A293" i="10" s="1"/>
  <c r="B301" i="10"/>
  <c r="A301" i="10" s="1"/>
  <c r="B309" i="10"/>
  <c r="A309" i="10" s="1"/>
  <c r="B317" i="10"/>
  <c r="A317" i="10" s="1"/>
  <c r="B325" i="10"/>
  <c r="A325" i="10" s="1"/>
  <c r="B333" i="10"/>
  <c r="A333" i="10" s="1"/>
  <c r="B341" i="10"/>
  <c r="A341" i="10" s="1"/>
  <c r="B349" i="10"/>
  <c r="A349" i="10" s="1"/>
  <c r="B357" i="10"/>
  <c r="A357" i="10" s="1"/>
  <c r="B365" i="10"/>
  <c r="A365" i="10" s="1"/>
  <c r="B373" i="10"/>
  <c r="A373" i="10" s="1"/>
  <c r="B381" i="10"/>
  <c r="A381" i="10" s="1"/>
  <c r="B35" i="10"/>
  <c r="A35" i="10" s="1"/>
  <c r="B238" i="10"/>
  <c r="A238" i="10" s="1"/>
  <c r="B246" i="10"/>
  <c r="A246" i="10" s="1"/>
  <c r="B254" i="10"/>
  <c r="A254" i="10" s="1"/>
  <c r="B262" i="10"/>
  <c r="A262" i="10" s="1"/>
  <c r="B270" i="10"/>
  <c r="A270" i="10" s="1"/>
  <c r="B278" i="10"/>
  <c r="A278" i="10" s="1"/>
  <c r="B286" i="10"/>
  <c r="A286" i="10" s="1"/>
  <c r="B294" i="10"/>
  <c r="A294" i="10" s="1"/>
  <c r="B302" i="10"/>
  <c r="A302" i="10" s="1"/>
  <c r="B310" i="10"/>
  <c r="A310" i="10" s="1"/>
  <c r="B318" i="10"/>
  <c r="A318" i="10" s="1"/>
  <c r="B326" i="10"/>
  <c r="A326" i="10" s="1"/>
  <c r="B334" i="10"/>
  <c r="A334" i="10" s="1"/>
  <c r="B342" i="10"/>
  <c r="A342" i="10" s="1"/>
  <c r="B350" i="10"/>
  <c r="A350" i="10" s="1"/>
  <c r="B358" i="10"/>
  <c r="A358" i="10" s="1"/>
  <c r="B366" i="10"/>
  <c r="A366" i="10" s="1"/>
  <c r="B374" i="10"/>
  <c r="A374" i="10" s="1"/>
  <c r="B382" i="10"/>
  <c r="A382" i="10" s="1"/>
  <c r="C9" i="10"/>
  <c r="E9" i="10" s="1"/>
  <c r="C29" i="10" s="1"/>
  <c r="C30" i="10" s="1"/>
  <c r="B239" i="10"/>
  <c r="A239" i="10" s="1"/>
  <c r="B247" i="10"/>
  <c r="A247" i="10" s="1"/>
  <c r="B255" i="10"/>
  <c r="A255" i="10" s="1"/>
  <c r="B263" i="10"/>
  <c r="A263" i="10" s="1"/>
  <c r="B271" i="10"/>
  <c r="A271" i="10" s="1"/>
  <c r="B279" i="10"/>
  <c r="A279" i="10" s="1"/>
  <c r="B287" i="10"/>
  <c r="A287" i="10" s="1"/>
  <c r="B295" i="10"/>
  <c r="A295" i="10" s="1"/>
  <c r="B303" i="10"/>
  <c r="A303" i="10" s="1"/>
  <c r="B311" i="10"/>
  <c r="A311" i="10" s="1"/>
  <c r="B319" i="10"/>
  <c r="A319" i="10" s="1"/>
  <c r="B327" i="10"/>
  <c r="A327" i="10" s="1"/>
  <c r="B335" i="10"/>
  <c r="A335" i="10" s="1"/>
  <c r="B343" i="10"/>
  <c r="A343" i="10" s="1"/>
  <c r="B351" i="10"/>
  <c r="A351" i="10" s="1"/>
  <c r="B359" i="10"/>
  <c r="A359" i="10" s="1"/>
  <c r="B367" i="10"/>
  <c r="A367" i="10" s="1"/>
  <c r="B375" i="10"/>
  <c r="A375" i="10" s="1"/>
  <c r="B383" i="10"/>
  <c r="A383" i="10" s="1"/>
  <c r="B248" i="10"/>
  <c r="A248" i="10" s="1"/>
  <c r="B264" i="10"/>
  <c r="A264" i="10" s="1"/>
  <c r="B280" i="10"/>
  <c r="A280" i="10" s="1"/>
  <c r="B296" i="10"/>
  <c r="A296" i="10" s="1"/>
  <c r="B312" i="10"/>
  <c r="A312" i="10" s="1"/>
  <c r="B328" i="10"/>
  <c r="A328" i="10" s="1"/>
  <c r="B344" i="10"/>
  <c r="A344" i="10" s="1"/>
  <c r="B360" i="10"/>
  <c r="A360" i="10" s="1"/>
  <c r="B376" i="10"/>
  <c r="A376" i="10" s="1"/>
  <c r="B249" i="10"/>
  <c r="A249" i="10" s="1"/>
  <c r="B265" i="10"/>
  <c r="A265" i="10" s="1"/>
  <c r="B281" i="10"/>
  <c r="A281" i="10" s="1"/>
  <c r="B297" i="10"/>
  <c r="A297" i="10" s="1"/>
  <c r="B313" i="10"/>
  <c r="A313" i="10" s="1"/>
  <c r="B329" i="10"/>
  <c r="A329" i="10" s="1"/>
  <c r="B345" i="10"/>
  <c r="A345" i="10" s="1"/>
  <c r="B361" i="10"/>
  <c r="A361" i="10" s="1"/>
  <c r="B377" i="10"/>
  <c r="A377" i="10" s="1"/>
  <c r="B250" i="10"/>
  <c r="A250" i="10" s="1"/>
  <c r="B266" i="10"/>
  <c r="A266" i="10" s="1"/>
  <c r="B282" i="10"/>
  <c r="A282" i="10" s="1"/>
  <c r="B298" i="10"/>
  <c r="A298" i="10" s="1"/>
  <c r="B314" i="10"/>
  <c r="A314" i="10" s="1"/>
  <c r="B330" i="10"/>
  <c r="A330" i="10" s="1"/>
  <c r="B346" i="10"/>
  <c r="A346" i="10" s="1"/>
  <c r="B362" i="10"/>
  <c r="A362" i="10" s="1"/>
  <c r="B378" i="10"/>
  <c r="A378" i="10" s="1"/>
  <c r="B251" i="10"/>
  <c r="A251" i="10" s="1"/>
  <c r="B267" i="10"/>
  <c r="A267" i="10" s="1"/>
  <c r="B283" i="10"/>
  <c r="A283" i="10" s="1"/>
  <c r="B299" i="10"/>
  <c r="A299" i="10" s="1"/>
  <c r="B315" i="10"/>
  <c r="A315" i="10" s="1"/>
  <c r="B331" i="10"/>
  <c r="A331" i="10" s="1"/>
  <c r="B347" i="10"/>
  <c r="A347" i="10" s="1"/>
  <c r="B363" i="10"/>
  <c r="A363" i="10" s="1"/>
  <c r="B379" i="10"/>
  <c r="A379" i="10" s="1"/>
  <c r="B240" i="10"/>
  <c r="A240" i="10" s="1"/>
  <c r="B256" i="10"/>
  <c r="A256" i="10" s="1"/>
  <c r="B272" i="10"/>
  <c r="A272" i="10" s="1"/>
  <c r="B288" i="10"/>
  <c r="A288" i="10" s="1"/>
  <c r="B304" i="10"/>
  <c r="A304" i="10" s="1"/>
  <c r="B320" i="10"/>
  <c r="A320" i="10" s="1"/>
  <c r="B336" i="10"/>
  <c r="A336" i="10" s="1"/>
  <c r="B352" i="10"/>
  <c r="A352" i="10" s="1"/>
  <c r="B368" i="10"/>
  <c r="A368" i="10" s="1"/>
  <c r="B384" i="10"/>
  <c r="A384" i="10" s="1"/>
  <c r="B241" i="10"/>
  <c r="A241" i="10" s="1"/>
  <c r="B257" i="10"/>
  <c r="A257" i="10" s="1"/>
  <c r="B273" i="10"/>
  <c r="A273" i="10" s="1"/>
  <c r="B289" i="10"/>
  <c r="A289" i="10" s="1"/>
  <c r="B305" i="10"/>
  <c r="A305" i="10" s="1"/>
  <c r="B321" i="10"/>
  <c r="A321" i="10" s="1"/>
  <c r="B337" i="10"/>
  <c r="A337" i="10" s="1"/>
  <c r="B353" i="10"/>
  <c r="A353" i="10" s="1"/>
  <c r="B369" i="10"/>
  <c r="A369" i="10" s="1"/>
  <c r="B385" i="10"/>
  <c r="A385" i="10" s="1"/>
  <c r="B242" i="10"/>
  <c r="A242" i="10" s="1"/>
  <c r="B258" i="10"/>
  <c r="A258" i="10" s="1"/>
  <c r="B274" i="10"/>
  <c r="A274" i="10" s="1"/>
  <c r="B290" i="10"/>
  <c r="A290" i="10" s="1"/>
  <c r="B306" i="10"/>
  <c r="A306" i="10" s="1"/>
  <c r="B322" i="10"/>
  <c r="A322" i="10" s="1"/>
  <c r="B338" i="10"/>
  <c r="A338" i="10" s="1"/>
  <c r="B354" i="10"/>
  <c r="A354" i="10" s="1"/>
  <c r="B370" i="10"/>
  <c r="A370" i="10" s="1"/>
  <c r="B235" i="10"/>
  <c r="A235" i="10" s="1"/>
  <c r="B243" i="10"/>
  <c r="A243" i="10" s="1"/>
  <c r="B259" i="10"/>
  <c r="A259" i="10" s="1"/>
  <c r="B275" i="10"/>
  <c r="A275" i="10" s="1"/>
  <c r="B291" i="10"/>
  <c r="A291" i="10" s="1"/>
  <c r="B307" i="10"/>
  <c r="A307" i="10" s="1"/>
  <c r="B323" i="10"/>
  <c r="A323" i="10" s="1"/>
  <c r="B339" i="10"/>
  <c r="A339" i="10" s="1"/>
  <c r="B355" i="10"/>
  <c r="A355" i="10" s="1"/>
  <c r="B371" i="10"/>
  <c r="A371" i="10" s="1"/>
  <c r="B234" i="10"/>
  <c r="A234" i="10" s="1"/>
  <c r="B170" i="10"/>
  <c r="A170" i="10" s="1"/>
  <c r="B106" i="10"/>
  <c r="A106" i="10" s="1"/>
  <c r="B44" i="10"/>
  <c r="A44" i="10" s="1"/>
  <c r="B185" i="10"/>
  <c r="A185" i="10" s="1"/>
  <c r="B121" i="10"/>
  <c r="A121" i="10" s="1"/>
  <c r="B51" i="10"/>
  <c r="A51" i="10" s="1"/>
  <c r="B184" i="10"/>
  <c r="A184" i="10" s="1"/>
  <c r="B120" i="10"/>
  <c r="A120" i="10" s="1"/>
  <c r="B50" i="10"/>
  <c r="A50" i="10" s="1"/>
  <c r="B183" i="10"/>
  <c r="A183" i="10" s="1"/>
  <c r="B119" i="10"/>
  <c r="A119" i="10" s="1"/>
  <c r="B57" i="10"/>
  <c r="A57" i="10" s="1"/>
  <c r="B190" i="10"/>
  <c r="A190" i="10" s="1"/>
  <c r="B126" i="10"/>
  <c r="A126" i="10" s="1"/>
  <c r="B64" i="10"/>
  <c r="A64" i="10" s="1"/>
  <c r="B63" i="10"/>
  <c r="A63" i="10" s="1"/>
  <c r="B197" i="10"/>
  <c r="A197" i="10" s="1"/>
  <c r="B133" i="10"/>
  <c r="A133" i="10" s="1"/>
  <c r="B69" i="10"/>
  <c r="A69" i="10" s="1"/>
  <c r="B172" i="10"/>
  <c r="A172" i="10" s="1"/>
  <c r="B108" i="10"/>
  <c r="A108" i="10" s="1"/>
  <c r="B45" i="10"/>
  <c r="A45" i="10" s="1"/>
  <c r="B187" i="10"/>
  <c r="A187" i="10" s="1"/>
  <c r="B123" i="10"/>
  <c r="A123" i="10" s="1"/>
  <c r="B226" i="10"/>
  <c r="A226" i="10" s="1"/>
  <c r="B162" i="10"/>
  <c r="A162" i="10" s="1"/>
  <c r="B98" i="10"/>
  <c r="A98" i="10" s="1"/>
  <c r="B36" i="10"/>
  <c r="A36" i="10" s="1"/>
  <c r="B177" i="10"/>
  <c r="A177" i="10" s="1"/>
  <c r="B113" i="10"/>
  <c r="A113" i="10" s="1"/>
  <c r="B43" i="10"/>
  <c r="A43" i="10" s="1"/>
  <c r="B176" i="10"/>
  <c r="A176" i="10" s="1"/>
  <c r="B112" i="10"/>
  <c r="A112" i="10" s="1"/>
  <c r="B42" i="10"/>
  <c r="A42" i="10" s="1"/>
  <c r="B175" i="10"/>
  <c r="A175" i="10" s="1"/>
  <c r="B111" i="10"/>
  <c r="A111" i="10" s="1"/>
  <c r="B49" i="10"/>
  <c r="A49" i="10" s="1"/>
  <c r="B182" i="10"/>
  <c r="A182" i="10" s="1"/>
  <c r="B118" i="10"/>
  <c r="A118" i="10" s="1"/>
  <c r="B56" i="10"/>
  <c r="A56" i="10" s="1"/>
  <c r="B55" i="10"/>
  <c r="A55" i="10" s="1"/>
  <c r="B189" i="10"/>
  <c r="A189" i="10" s="1"/>
  <c r="B125" i="10"/>
  <c r="A125" i="10" s="1"/>
  <c r="B228" i="10"/>
  <c r="A228" i="10" s="1"/>
  <c r="B164" i="10"/>
  <c r="A164" i="10" s="1"/>
  <c r="B100" i="10"/>
  <c r="A100" i="10" s="1"/>
  <c r="B37" i="10"/>
  <c r="A37" i="10" s="1"/>
  <c r="B179" i="10"/>
  <c r="A179" i="10" s="1"/>
  <c r="B115" i="10"/>
  <c r="A115" i="10" s="1"/>
  <c r="B218" i="10"/>
  <c r="A218" i="10" s="1"/>
  <c r="B154" i="10"/>
  <c r="A154" i="10" s="1"/>
  <c r="B90" i="10"/>
  <c r="A90" i="10" s="1"/>
  <c r="B233" i="10"/>
  <c r="A233" i="10" s="1"/>
  <c r="B169" i="10"/>
  <c r="A169" i="10" s="1"/>
  <c r="B105" i="10"/>
  <c r="A105" i="10" s="1"/>
  <c r="B232" i="10"/>
  <c r="A232" i="10" s="1"/>
  <c r="B168" i="10"/>
  <c r="A168" i="10" s="1"/>
  <c r="B104" i="10"/>
  <c r="A104" i="10" s="1"/>
  <c r="B231" i="10"/>
  <c r="A231" i="10" s="1"/>
  <c r="B167" i="10"/>
  <c r="A167" i="10" s="1"/>
  <c r="B103" i="10"/>
  <c r="A103" i="10" s="1"/>
  <c r="B41" i="10"/>
  <c r="A41" i="10" s="1"/>
  <c r="B174" i="10"/>
  <c r="A174" i="10" s="1"/>
  <c r="B110" i="10"/>
  <c r="A110" i="10" s="1"/>
  <c r="B48" i="10"/>
  <c r="A48" i="10" s="1"/>
  <c r="B47" i="10"/>
  <c r="A47" i="10" s="1"/>
  <c r="B181" i="10"/>
  <c r="A181" i="10" s="1"/>
  <c r="B117" i="10"/>
  <c r="A117" i="10" s="1"/>
  <c r="B220" i="10"/>
  <c r="A220" i="10" s="1"/>
  <c r="B156" i="10"/>
  <c r="A156" i="10" s="1"/>
  <c r="B92" i="10"/>
  <c r="A92" i="10" s="1"/>
  <c r="B171" i="10"/>
  <c r="A171" i="10" s="1"/>
  <c r="B107" i="10"/>
  <c r="A107" i="10" s="1"/>
  <c r="B210" i="10"/>
  <c r="A210" i="10" s="1"/>
  <c r="B146" i="10"/>
  <c r="A146" i="10" s="1"/>
  <c r="B82" i="10"/>
  <c r="A82" i="10" s="1"/>
  <c r="B225" i="10"/>
  <c r="A225" i="10" s="1"/>
  <c r="B161" i="10"/>
  <c r="A161" i="10" s="1"/>
  <c r="B97" i="10"/>
  <c r="A97" i="10" s="1"/>
  <c r="B224" i="10"/>
  <c r="A224" i="10" s="1"/>
  <c r="B160" i="10"/>
  <c r="A160" i="10" s="1"/>
  <c r="B96" i="10"/>
  <c r="A96" i="10" s="1"/>
  <c r="B223" i="10"/>
  <c r="A223" i="10" s="1"/>
  <c r="B159" i="10"/>
  <c r="A159" i="10" s="1"/>
  <c r="B95" i="10"/>
  <c r="A95" i="10" s="1"/>
  <c r="B230" i="10"/>
  <c r="A230" i="10" s="1"/>
  <c r="B166" i="10"/>
  <c r="A166" i="10" s="1"/>
  <c r="B102" i="10"/>
  <c r="A102" i="10" s="1"/>
  <c r="B40" i="10"/>
  <c r="A40" i="10" s="1"/>
  <c r="B39" i="10"/>
  <c r="A39" i="10" s="1"/>
  <c r="B173" i="10"/>
  <c r="A173" i="10" s="1"/>
  <c r="B109" i="10"/>
  <c r="A109" i="10" s="1"/>
  <c r="B212" i="10"/>
  <c r="A212" i="10" s="1"/>
  <c r="B148" i="10"/>
  <c r="A148" i="10" s="1"/>
  <c r="B84" i="10"/>
  <c r="A84" i="10" s="1"/>
  <c r="B227" i="10"/>
  <c r="A227" i="10" s="1"/>
  <c r="B163" i="10"/>
  <c r="A163" i="10" s="1"/>
  <c r="B99" i="10"/>
  <c r="A99" i="10" s="1"/>
  <c r="B202" i="10"/>
  <c r="A202" i="10" s="1"/>
  <c r="B138" i="10"/>
  <c r="A138" i="10" s="1"/>
  <c r="B74" i="10"/>
  <c r="A74" i="10" s="1"/>
  <c r="B217" i="10"/>
  <c r="A217" i="10" s="1"/>
  <c r="B153" i="10"/>
  <c r="A153" i="10" s="1"/>
  <c r="B89" i="10"/>
  <c r="A89" i="10" s="1"/>
  <c r="B216" i="10"/>
  <c r="A216" i="10" s="1"/>
  <c r="B152" i="10"/>
  <c r="A152" i="10" s="1"/>
  <c r="B88" i="10"/>
  <c r="A88" i="10" s="1"/>
  <c r="B215" i="10"/>
  <c r="A215" i="10" s="1"/>
  <c r="B151" i="10"/>
  <c r="A151" i="10" s="1"/>
  <c r="B87" i="10"/>
  <c r="A87" i="10" s="1"/>
  <c r="B222" i="10"/>
  <c r="A222" i="10" s="1"/>
  <c r="B158" i="10"/>
  <c r="A158" i="10" s="1"/>
  <c r="B94" i="10"/>
  <c r="A94" i="10" s="1"/>
  <c r="B62" i="10"/>
  <c r="A62" i="10" s="1"/>
  <c r="B229" i="10"/>
  <c r="A229" i="10" s="1"/>
  <c r="B165" i="10"/>
  <c r="A165" i="10" s="1"/>
  <c r="B101" i="10"/>
  <c r="A101" i="10" s="1"/>
  <c r="B204" i="10"/>
  <c r="A204" i="10" s="1"/>
  <c r="B140" i="10"/>
  <c r="A140" i="10" s="1"/>
  <c r="B76" i="10"/>
  <c r="A76" i="10" s="1"/>
  <c r="B219" i="10"/>
  <c r="A219" i="10" s="1"/>
  <c r="B155" i="10"/>
  <c r="A155" i="10" s="1"/>
  <c r="B91" i="10"/>
  <c r="A91" i="10" s="1"/>
  <c r="B194" i="10"/>
  <c r="A194" i="10" s="1"/>
  <c r="B130" i="10"/>
  <c r="A130" i="10" s="1"/>
  <c r="B66" i="10"/>
  <c r="A66" i="10" s="1"/>
  <c r="B209" i="10"/>
  <c r="A209" i="10" s="1"/>
  <c r="B145" i="10"/>
  <c r="A145" i="10" s="1"/>
  <c r="B81" i="10"/>
  <c r="A81" i="10" s="1"/>
  <c r="B208" i="10"/>
  <c r="A208" i="10" s="1"/>
  <c r="B144" i="10"/>
  <c r="A144" i="10" s="1"/>
  <c r="B80" i="10"/>
  <c r="A80" i="10" s="1"/>
  <c r="B207" i="10"/>
  <c r="A207" i="10" s="1"/>
  <c r="B143" i="10"/>
  <c r="A143" i="10" s="1"/>
  <c r="B79" i="10"/>
  <c r="A79" i="10" s="1"/>
  <c r="B214" i="10"/>
  <c r="A214" i="10" s="1"/>
  <c r="B150" i="10"/>
  <c r="A150" i="10" s="1"/>
  <c r="B86" i="10"/>
  <c r="A86" i="10" s="1"/>
  <c r="B54" i="10"/>
  <c r="A54" i="10" s="1"/>
  <c r="B221" i="10"/>
  <c r="A221" i="10" s="1"/>
  <c r="B157" i="10"/>
  <c r="A157" i="10" s="1"/>
  <c r="B93" i="10"/>
  <c r="A93" i="10" s="1"/>
  <c r="B196" i="10"/>
  <c r="A196" i="10" s="1"/>
  <c r="B132" i="10"/>
  <c r="A132" i="10" s="1"/>
  <c r="B68" i="10"/>
  <c r="A68" i="10" s="1"/>
  <c r="B211" i="10"/>
  <c r="A211" i="10" s="1"/>
  <c r="B147" i="10"/>
  <c r="A147" i="10" s="1"/>
  <c r="B83" i="10"/>
  <c r="A83" i="10" s="1"/>
  <c r="B186" i="10"/>
  <c r="A186" i="10" s="1"/>
  <c r="B122" i="10"/>
  <c r="A122" i="10" s="1"/>
  <c r="B60" i="10"/>
  <c r="A60" i="10" s="1"/>
  <c r="B201" i="10"/>
  <c r="A201" i="10" s="1"/>
  <c r="B137" i="10"/>
  <c r="A137" i="10" s="1"/>
  <c r="B73" i="10"/>
  <c r="A73" i="10" s="1"/>
  <c r="B200" i="10"/>
  <c r="A200" i="10" s="1"/>
  <c r="B136" i="10"/>
  <c r="A136" i="10" s="1"/>
  <c r="B72" i="10"/>
  <c r="A72" i="10" s="1"/>
  <c r="B199" i="10"/>
  <c r="A199" i="10" s="1"/>
  <c r="B135" i="10"/>
  <c r="A135" i="10" s="1"/>
  <c r="B71" i="10"/>
  <c r="A71" i="10" s="1"/>
  <c r="B206" i="10"/>
  <c r="A206" i="10" s="1"/>
  <c r="B142" i="10"/>
  <c r="A142" i="10" s="1"/>
  <c r="B78" i="10"/>
  <c r="A78" i="10" s="1"/>
  <c r="B46" i="10"/>
  <c r="A46" i="10" s="1"/>
  <c r="B213" i="10"/>
  <c r="A213" i="10" s="1"/>
  <c r="B149" i="10"/>
  <c r="A149" i="10" s="1"/>
  <c r="B85" i="10"/>
  <c r="A85" i="10" s="1"/>
  <c r="B188" i="10"/>
  <c r="A188" i="10" s="1"/>
  <c r="B124" i="10"/>
  <c r="A124" i="10" s="1"/>
  <c r="B61" i="10"/>
  <c r="A61" i="10" s="1"/>
  <c r="B203" i="10"/>
  <c r="A203" i="10" s="1"/>
  <c r="B139" i="10"/>
  <c r="A139" i="10" s="1"/>
  <c r="B75" i="10"/>
  <c r="A75" i="10" s="1"/>
  <c r="B178" i="10"/>
  <c r="A178" i="10" s="1"/>
  <c r="B114" i="10"/>
  <c r="A114" i="10" s="1"/>
  <c r="B52" i="10"/>
  <c r="A52" i="10" s="1"/>
  <c r="B193" i="10"/>
  <c r="A193" i="10" s="1"/>
  <c r="B129" i="10"/>
  <c r="A129" i="10" s="1"/>
  <c r="B59" i="10"/>
  <c r="A59" i="10" s="1"/>
  <c r="B192" i="10"/>
  <c r="A192" i="10" s="1"/>
  <c r="B128" i="10"/>
  <c r="A128" i="10" s="1"/>
  <c r="B58" i="10"/>
  <c r="A58" i="10" s="1"/>
  <c r="B191" i="10"/>
  <c r="A191" i="10" s="1"/>
  <c r="B127" i="10"/>
  <c r="A127" i="10" s="1"/>
  <c r="B65" i="10"/>
  <c r="A65" i="10" s="1"/>
  <c r="B198" i="10"/>
  <c r="A198" i="10" s="1"/>
  <c r="B134" i="10"/>
  <c r="A134" i="10" s="1"/>
  <c r="B70" i="10"/>
  <c r="A70" i="10" s="1"/>
  <c r="B38" i="10"/>
  <c r="A38" i="10" s="1"/>
  <c r="B205" i="10"/>
  <c r="A205" i="10" s="1"/>
  <c r="B141" i="10"/>
  <c r="A141" i="10" s="1"/>
  <c r="B77" i="10"/>
  <c r="A77" i="10" s="1"/>
  <c r="B180" i="10"/>
  <c r="A180" i="10" s="1"/>
  <c r="B116" i="10"/>
  <c r="A116" i="10" s="1"/>
  <c r="B53" i="10"/>
  <c r="A53" i="10" s="1"/>
  <c r="B195" i="10"/>
  <c r="A195" i="10" s="1"/>
  <c r="B131" i="10"/>
  <c r="A131" i="10" s="1"/>
  <c r="B67" i="10"/>
  <c r="A67" i="10" s="1"/>
  <c r="C21" i="7"/>
  <c r="C30" i="34" s="1"/>
  <c r="C26" i="14"/>
  <c r="L291" i="20" l="1"/>
  <c r="L290" i="20"/>
  <c r="C20" i="7"/>
  <c r="C32" i="7" s="1"/>
  <c r="L292" i="20"/>
  <c r="L293" i="20"/>
  <c r="L294" i="20"/>
  <c r="C28" i="34" l="1"/>
  <c r="C23" i="7"/>
  <c r="C38" i="7"/>
  <c r="C39" i="7" s="1"/>
  <c r="C22" i="7"/>
  <c r="K48" i="34" l="1"/>
  <c r="R48" i="34" s="1"/>
  <c r="Y48" i="34" s="1"/>
  <c r="K33" i="34"/>
  <c r="R33" i="34" s="1"/>
  <c r="Y33" i="34" s="1"/>
  <c r="K9" i="34"/>
  <c r="R9" i="34" s="1"/>
  <c r="Y9" i="34" s="1"/>
  <c r="K81" i="34"/>
  <c r="R81" i="34" s="1"/>
  <c r="Y81" i="34" s="1"/>
  <c r="K70" i="34"/>
  <c r="R70" i="34" s="1"/>
  <c r="Y70" i="34" s="1"/>
  <c r="K58" i="34"/>
  <c r="R58" i="34" s="1"/>
  <c r="Y58" i="34" s="1"/>
  <c r="K47" i="34"/>
  <c r="R47" i="34" s="1"/>
  <c r="Y47" i="34" s="1"/>
  <c r="K30" i="34"/>
  <c r="R30" i="34" s="1"/>
  <c r="Y30" i="34" s="1"/>
  <c r="K80" i="34"/>
  <c r="R80" i="34" s="1"/>
  <c r="Y80" i="34" s="1"/>
  <c r="K69" i="34"/>
  <c r="R69" i="34" s="1"/>
  <c r="Y69" i="34" s="1"/>
  <c r="K57" i="34"/>
  <c r="R57" i="34" s="1"/>
  <c r="Y57" i="34" s="1"/>
  <c r="K45" i="34"/>
  <c r="R45" i="34" s="1"/>
  <c r="Y45" i="34" s="1"/>
  <c r="K28" i="34"/>
  <c r="R28" i="34" s="1"/>
  <c r="Y28" i="34" s="1"/>
  <c r="K18" i="34"/>
  <c r="R18" i="34" s="1"/>
  <c r="Y18" i="34" s="1"/>
  <c r="K79" i="34"/>
  <c r="R79" i="34" s="1"/>
  <c r="Y79" i="34" s="1"/>
  <c r="K68" i="34"/>
  <c r="R68" i="34" s="1"/>
  <c r="Y68" i="34" s="1"/>
  <c r="K56" i="34"/>
  <c r="R56" i="34" s="1"/>
  <c r="Y56" i="34" s="1"/>
  <c r="K44" i="34"/>
  <c r="R44" i="34" s="1"/>
  <c r="Y44" i="34" s="1"/>
  <c r="K11" i="34"/>
  <c r="R11" i="34" s="1"/>
  <c r="Y11" i="34" s="1"/>
  <c r="K59" i="34"/>
  <c r="R59" i="34" s="1"/>
  <c r="Y59" i="34" s="1"/>
  <c r="K78" i="34"/>
  <c r="R78" i="34" s="1"/>
  <c r="Y78" i="34" s="1"/>
  <c r="K67" i="34"/>
  <c r="R67" i="34" s="1"/>
  <c r="Y67" i="34" s="1"/>
  <c r="K55" i="34"/>
  <c r="R55" i="34" s="1"/>
  <c r="Y55" i="34" s="1"/>
  <c r="K43" i="34"/>
  <c r="R43" i="34" s="1"/>
  <c r="Y43" i="34" s="1"/>
  <c r="K26" i="34"/>
  <c r="R26" i="34" s="1"/>
  <c r="Y26" i="34" s="1"/>
  <c r="K71" i="34"/>
  <c r="R71" i="34" s="1"/>
  <c r="Y71" i="34" s="1"/>
  <c r="K77" i="34"/>
  <c r="R77" i="34" s="1"/>
  <c r="Y77" i="34" s="1"/>
  <c r="K66" i="34"/>
  <c r="R66" i="34" s="1"/>
  <c r="Y66" i="34" s="1"/>
  <c r="K25" i="34"/>
  <c r="R25" i="34" s="1"/>
  <c r="Y25" i="34" s="1"/>
  <c r="K7" i="34"/>
  <c r="R7" i="34" s="1"/>
  <c r="Y7" i="34" s="1"/>
  <c r="K76" i="34"/>
  <c r="R76" i="34" s="1"/>
  <c r="Y76" i="34" s="1"/>
  <c r="K65" i="34"/>
  <c r="R65" i="34" s="1"/>
  <c r="Y65" i="34" s="1"/>
  <c r="K54" i="34"/>
  <c r="R54" i="34" s="1"/>
  <c r="Y54" i="34" s="1"/>
  <c r="K41" i="34"/>
  <c r="R41" i="34" s="1"/>
  <c r="Y41" i="34" s="1"/>
  <c r="K86" i="34"/>
  <c r="R86" i="34" s="1"/>
  <c r="Y86" i="34" s="1"/>
  <c r="K75" i="34"/>
  <c r="R75" i="34" s="1"/>
  <c r="Y75" i="34" s="1"/>
  <c r="K64" i="34"/>
  <c r="R64" i="34" s="1"/>
  <c r="Y64" i="34" s="1"/>
  <c r="K53" i="34"/>
  <c r="R53" i="34" s="1"/>
  <c r="Y53" i="34" s="1"/>
  <c r="K40" i="34"/>
  <c r="R40" i="34" s="1"/>
  <c r="Y40" i="34" s="1"/>
  <c r="K24" i="34"/>
  <c r="R24" i="34" s="1"/>
  <c r="Y24" i="34" s="1"/>
  <c r="K85" i="34"/>
  <c r="R85" i="34" s="1"/>
  <c r="Y85" i="34" s="1"/>
  <c r="K74" i="34"/>
  <c r="R74" i="34" s="1"/>
  <c r="Y74" i="34" s="1"/>
  <c r="K63" i="34"/>
  <c r="R63" i="34" s="1"/>
  <c r="Y63" i="34" s="1"/>
  <c r="K52" i="34"/>
  <c r="R52" i="34" s="1"/>
  <c r="Y52" i="34" s="1"/>
  <c r="K4" i="34"/>
  <c r="R4" i="34" s="1"/>
  <c r="Y4" i="34" s="1"/>
  <c r="K84" i="34"/>
  <c r="R84" i="34" s="1"/>
  <c r="Y84" i="34" s="1"/>
  <c r="K62" i="34"/>
  <c r="R62" i="34" s="1"/>
  <c r="Y62" i="34" s="1"/>
  <c r="K51" i="34"/>
  <c r="R51" i="34" s="1"/>
  <c r="Y51" i="34" s="1"/>
  <c r="K37" i="34"/>
  <c r="R37" i="34" s="1"/>
  <c r="Y37" i="34" s="1"/>
  <c r="K22" i="34"/>
  <c r="R22" i="34" s="1"/>
  <c r="Y22" i="34" s="1"/>
  <c r="K83" i="34"/>
  <c r="R83" i="34" s="1"/>
  <c r="Y83" i="34" s="1"/>
  <c r="K73" i="34"/>
  <c r="R73" i="34" s="1"/>
  <c r="Y73" i="34" s="1"/>
  <c r="K61" i="34"/>
  <c r="R61" i="34" s="1"/>
  <c r="Y61" i="34" s="1"/>
  <c r="K50" i="34"/>
  <c r="R50" i="34" s="1"/>
  <c r="Y50" i="34" s="1"/>
  <c r="K34" i="34"/>
  <c r="R34" i="34" s="1"/>
  <c r="Y34" i="34" s="1"/>
  <c r="K21" i="34"/>
  <c r="R21" i="34" s="1"/>
  <c r="Y21" i="34" s="1"/>
  <c r="K29" i="34"/>
  <c r="R29" i="34" s="1"/>
  <c r="Y29" i="34" s="1"/>
  <c r="K82" i="34"/>
  <c r="R82" i="34" s="1"/>
  <c r="Y82" i="34" s="1"/>
  <c r="K72" i="34"/>
  <c r="R72" i="34" s="1"/>
  <c r="Y72" i="34" s="1"/>
  <c r="K60" i="34"/>
  <c r="R60" i="34" s="1"/>
  <c r="Y60" i="34" s="1"/>
  <c r="K49" i="34"/>
  <c r="R49" i="34" s="1"/>
  <c r="Y49" i="34" s="1"/>
  <c r="K14" i="34"/>
  <c r="R14" i="34" s="1"/>
  <c r="Y14" i="34" s="1"/>
  <c r="K46" i="34"/>
  <c r="R46" i="34" s="1"/>
  <c r="Y46" i="34" s="1"/>
  <c r="K27" i="34"/>
  <c r="R27" i="34" s="1"/>
  <c r="Y27" i="34" s="1"/>
  <c r="K23" i="34"/>
  <c r="R23" i="34" s="1"/>
  <c r="Y23" i="34" s="1"/>
  <c r="K42" i="34"/>
  <c r="R42" i="34" s="1"/>
  <c r="Y42" i="34" s="1"/>
  <c r="K38" i="34"/>
  <c r="R38" i="34" s="1"/>
  <c r="Y38" i="34" s="1"/>
  <c r="K12" i="34"/>
  <c r="R12" i="34" s="1"/>
  <c r="Y12" i="34" s="1"/>
  <c r="K19" i="34"/>
  <c r="R19" i="34" s="1"/>
  <c r="Y19" i="34" s="1"/>
  <c r="K15" i="34"/>
  <c r="R15" i="34" s="1"/>
  <c r="Y15" i="34" s="1"/>
  <c r="K8" i="34"/>
  <c r="R8" i="34" s="1"/>
  <c r="Y8" i="34" s="1"/>
  <c r="K5" i="34"/>
  <c r="R5" i="34" s="1"/>
  <c r="Y5" i="34" s="1"/>
  <c r="K36" i="34"/>
  <c r="R36" i="34" s="1"/>
  <c r="Y36" i="34" s="1"/>
  <c r="K32" i="34"/>
  <c r="R32" i="34" s="1"/>
  <c r="Y32" i="34" s="1"/>
  <c r="K17" i="34"/>
  <c r="R17" i="34" s="1"/>
  <c r="Y17" i="34" s="1"/>
  <c r="K10" i="34"/>
  <c r="R10" i="34" s="1"/>
  <c r="Y10" i="34" s="1"/>
  <c r="K3" i="34"/>
  <c r="R3" i="34" s="1"/>
  <c r="Y3" i="34" s="1"/>
  <c r="K13" i="34"/>
  <c r="R13" i="34" s="1"/>
  <c r="Y13" i="34" s="1"/>
  <c r="K39" i="34"/>
  <c r="R39" i="34" s="1"/>
  <c r="Y39" i="34" s="1"/>
  <c r="K6" i="34"/>
  <c r="R6" i="34" s="1"/>
  <c r="Y6" i="34" s="1"/>
  <c r="K35" i="34"/>
  <c r="R35" i="34" s="1"/>
  <c r="Y35" i="34" s="1"/>
  <c r="K31" i="34"/>
  <c r="R31" i="34" s="1"/>
  <c r="Y31" i="34" s="1"/>
  <c r="K20" i="34"/>
  <c r="R20" i="34" s="1"/>
  <c r="Y20" i="34" s="1"/>
  <c r="K16" i="34"/>
  <c r="R16" i="34" s="1"/>
  <c r="Y16" i="34" s="1"/>
  <c r="A325" i="20"/>
  <c r="A318" i="20"/>
  <c r="A323" i="20"/>
  <c r="A319" i="20"/>
  <c r="A320" i="20"/>
  <c r="A322" i="20"/>
  <c r="A324" i="20"/>
  <c r="A321" i="20"/>
  <c r="A307" i="20"/>
  <c r="A310" i="20"/>
  <c r="A309" i="20"/>
  <c r="A308" i="20"/>
  <c r="A303" i="20"/>
  <c r="A312" i="20"/>
  <c r="A306" i="20"/>
  <c r="A317" i="20"/>
  <c r="A305" i="20"/>
  <c r="A311" i="20"/>
  <c r="A314" i="20"/>
  <c r="A304" i="20"/>
  <c r="A316" i="20"/>
  <c r="A313" i="20"/>
  <c r="A315" i="20"/>
  <c r="I268" i="20"/>
  <c r="J325" i="20"/>
  <c r="J327" i="20"/>
  <c r="J316" i="20"/>
  <c r="I258" i="20"/>
  <c r="I266" i="20"/>
  <c r="I274" i="20"/>
  <c r="I282" i="20"/>
  <c r="I290" i="20"/>
  <c r="I298" i="20"/>
  <c r="A217" i="20"/>
  <c r="I301" i="20"/>
  <c r="J317" i="20"/>
  <c r="I219" i="20"/>
  <c r="I227" i="20"/>
  <c r="I235" i="20"/>
  <c r="I243" i="20"/>
  <c r="I251" i="20"/>
  <c r="I259" i="20"/>
  <c r="I267" i="20"/>
  <c r="I275" i="20"/>
  <c r="I283" i="20"/>
  <c r="I291" i="20"/>
  <c r="I217" i="20"/>
  <c r="J324" i="20"/>
  <c r="J326" i="20"/>
  <c r="I302" i="20"/>
  <c r="J310" i="20"/>
  <c r="J318" i="20"/>
  <c r="I220" i="20"/>
  <c r="I228" i="20"/>
  <c r="I236" i="20"/>
  <c r="I244" i="20"/>
  <c r="I252" i="20"/>
  <c r="I260" i="20"/>
  <c r="I276" i="20"/>
  <c r="I284" i="20"/>
  <c r="I292" i="20"/>
  <c r="I241" i="20"/>
  <c r="A258" i="20"/>
  <c r="I234" i="20"/>
  <c r="A281" i="20"/>
  <c r="I289" i="20"/>
  <c r="J323" i="20"/>
  <c r="A240" i="20"/>
  <c r="I256" i="20"/>
  <c r="A279" i="20"/>
  <c r="I257" i="20"/>
  <c r="I231" i="20"/>
  <c r="A278" i="20"/>
  <c r="I249" i="20"/>
  <c r="I238" i="20"/>
  <c r="A285" i="20"/>
  <c r="A221" i="20"/>
  <c r="I245" i="20"/>
  <c r="A276" i="20"/>
  <c r="I265" i="20"/>
  <c r="A267" i="20"/>
  <c r="J309" i="20"/>
  <c r="J320" i="20"/>
  <c r="A250" i="20"/>
  <c r="I226" i="20"/>
  <c r="A273" i="20"/>
  <c r="I233" i="20"/>
  <c r="A296" i="20"/>
  <c r="A232" i="20"/>
  <c r="I248" i="20"/>
  <c r="A271" i="20"/>
  <c r="I287" i="20"/>
  <c r="I223" i="20"/>
  <c r="A270" i="20"/>
  <c r="I294" i="20"/>
  <c r="I230" i="20"/>
  <c r="A277" i="20"/>
  <c r="I273" i="20"/>
  <c r="I237" i="20"/>
  <c r="A268" i="20"/>
  <c r="J311" i="20"/>
  <c r="A259" i="20"/>
  <c r="I295" i="20"/>
  <c r="J315" i="20"/>
  <c r="A242" i="20"/>
  <c r="I218" i="20"/>
  <c r="A265" i="20"/>
  <c r="I225" i="20"/>
  <c r="A288" i="20"/>
  <c r="A224" i="20"/>
  <c r="I240" i="20"/>
  <c r="A263" i="20"/>
  <c r="I279" i="20"/>
  <c r="J313" i="20"/>
  <c r="A262" i="20"/>
  <c r="I286" i="20"/>
  <c r="I222" i="20"/>
  <c r="A269" i="20"/>
  <c r="I293" i="20"/>
  <c r="I229" i="20"/>
  <c r="A260" i="20"/>
  <c r="J306" i="20"/>
  <c r="A251" i="20"/>
  <c r="A282" i="20"/>
  <c r="A264" i="20"/>
  <c r="I280" i="20"/>
  <c r="J322" i="20"/>
  <c r="I255" i="20"/>
  <c r="A302" i="20"/>
  <c r="J321" i="20"/>
  <c r="A245" i="20"/>
  <c r="A300" i="20"/>
  <c r="A291" i="20"/>
  <c r="A298" i="20"/>
  <c r="A234" i="20"/>
  <c r="J305" i="20"/>
  <c r="A257" i="20"/>
  <c r="J319" i="20"/>
  <c r="A280" i="20"/>
  <c r="I281" i="20"/>
  <c r="I232" i="20"/>
  <c r="A255" i="20"/>
  <c r="I271" i="20"/>
  <c r="J308" i="20"/>
  <c r="A254" i="20"/>
  <c r="I278" i="20"/>
  <c r="J312" i="20"/>
  <c r="A261" i="20"/>
  <c r="I285" i="20"/>
  <c r="I221" i="20"/>
  <c r="A252" i="20"/>
  <c r="I296" i="20"/>
  <c r="A243" i="20"/>
  <c r="A218" i="20"/>
  <c r="A239" i="20"/>
  <c r="A238" i="20"/>
  <c r="I262" i="20"/>
  <c r="I269" i="20"/>
  <c r="A236" i="20"/>
  <c r="A227" i="20"/>
  <c r="A290" i="20"/>
  <c r="A226" i="20"/>
  <c r="I300" i="20"/>
  <c r="A249" i="20"/>
  <c r="J314" i="20"/>
  <c r="A272" i="20"/>
  <c r="I288" i="20"/>
  <c r="I224" i="20"/>
  <c r="A247" i="20"/>
  <c r="I263" i="20"/>
  <c r="J303" i="20"/>
  <c r="A246" i="20"/>
  <c r="I270" i="20"/>
  <c r="J307" i="20"/>
  <c r="A253" i="20"/>
  <c r="I277" i="20"/>
  <c r="I297" i="20"/>
  <c r="A244" i="20"/>
  <c r="A299" i="20"/>
  <c r="A235" i="20"/>
  <c r="A274" i="20"/>
  <c r="I250" i="20"/>
  <c r="A297" i="20"/>
  <c r="A233" i="20"/>
  <c r="J304" i="20"/>
  <c r="A256" i="20"/>
  <c r="I272" i="20"/>
  <c r="A295" i="20"/>
  <c r="A231" i="20"/>
  <c r="I247" i="20"/>
  <c r="A294" i="20"/>
  <c r="A230" i="20"/>
  <c r="I254" i="20"/>
  <c r="A301" i="20"/>
  <c r="A237" i="20"/>
  <c r="I261" i="20"/>
  <c r="A292" i="20"/>
  <c r="A228" i="20"/>
  <c r="A283" i="20"/>
  <c r="A219" i="20"/>
  <c r="A266" i="20"/>
  <c r="I242" i="20"/>
  <c r="A289" i="20"/>
  <c r="A225" i="20"/>
  <c r="I299" i="20"/>
  <c r="A248" i="20"/>
  <c r="I264" i="20"/>
  <c r="A287" i="20"/>
  <c r="A223" i="20"/>
  <c r="I239" i="20"/>
  <c r="A286" i="20"/>
  <c r="A222" i="20"/>
  <c r="I246" i="20"/>
  <c r="A293" i="20"/>
  <c r="A229" i="20"/>
  <c r="I253" i="20"/>
  <c r="A284" i="20"/>
  <c r="A220" i="20"/>
  <c r="A275" i="20"/>
  <c r="A241" i="20"/>
  <c r="C44" i="7"/>
  <c r="C33" i="7"/>
  <c r="C6" i="13"/>
  <c r="C25" i="20"/>
  <c r="C26" i="20" s="1"/>
  <c r="C158" i="20" s="1"/>
  <c r="C25" i="28"/>
  <c r="C26" i="28" s="1"/>
  <c r="C150" i="28" s="1"/>
  <c r="AO34" i="4"/>
  <c r="AP34" i="4" s="1"/>
  <c r="I53" i="14"/>
  <c r="J53" i="14"/>
  <c r="AB84" i="16"/>
  <c r="BG39" i="9"/>
  <c r="BI40" i="9" s="1"/>
  <c r="BE39" i="9"/>
  <c r="BK40" i="9" s="1"/>
  <c r="BF40" i="9"/>
  <c r="BN39" i="9" s="1"/>
  <c r="BM39" i="9"/>
  <c r="AR34" i="4" l="1"/>
  <c r="AG73" i="9" l="1"/>
  <c r="AG74" i="9" s="1"/>
  <c r="AG75" i="9" s="1"/>
  <c r="AG76" i="9" s="1"/>
  <c r="AG77" i="9" s="1"/>
  <c r="AG78" i="9" s="1"/>
  <c r="AG79" i="9" s="1"/>
  <c r="AG80" i="9" s="1"/>
  <c r="AG81" i="9" s="1"/>
  <c r="AG82" i="9" s="1"/>
  <c r="AG83" i="9" s="1"/>
  <c r="AG84" i="9" s="1"/>
  <c r="AG85" i="9" s="1"/>
  <c r="AG86" i="9" s="1"/>
  <c r="AG87" i="9" s="1"/>
  <c r="AG88" i="9" s="1"/>
  <c r="AG89" i="9" s="1"/>
  <c r="K68" i="14"/>
  <c r="K61" i="14"/>
  <c r="K75" i="14"/>
  <c r="K77" i="14"/>
  <c r="K54" i="14"/>
  <c r="K59" i="14"/>
  <c r="K74" i="14"/>
  <c r="K72" i="14"/>
  <c r="K69" i="14"/>
  <c r="K83" i="14"/>
  <c r="K60" i="14"/>
  <c r="K81" i="14"/>
  <c r="K80" i="14"/>
  <c r="K63" i="14"/>
  <c r="K66" i="14"/>
  <c r="K79" i="14"/>
  <c r="K58" i="14"/>
  <c r="K64" i="14"/>
  <c r="K53" i="14"/>
  <c r="K65" i="14"/>
  <c r="K71" i="14"/>
  <c r="K62" i="14"/>
  <c r="K70" i="14"/>
  <c r="K73" i="14"/>
  <c r="K57" i="14"/>
  <c r="K76" i="14"/>
  <c r="K55" i="14"/>
  <c r="K78" i="14"/>
  <c r="K56" i="14"/>
  <c r="K67" i="14"/>
  <c r="D12" i="9" l="1"/>
  <c r="P282" i="9" s="1"/>
  <c r="C60" i="33"/>
  <c r="C74" i="20"/>
  <c r="E76" i="20" s="1"/>
  <c r="E48" i="7"/>
  <c r="K121" i="33" l="1"/>
  <c r="K133" i="33"/>
  <c r="K146" i="33"/>
  <c r="K122" i="33"/>
  <c r="K134" i="33"/>
  <c r="K147" i="33"/>
  <c r="K140" i="33"/>
  <c r="K152" i="33"/>
  <c r="K150" i="33"/>
  <c r="K138" i="33"/>
  <c r="K128" i="33"/>
  <c r="K141" i="33"/>
  <c r="K153" i="33"/>
  <c r="K125" i="33"/>
  <c r="K119" i="33"/>
  <c r="K131" i="33"/>
  <c r="K144" i="33"/>
  <c r="K137" i="33"/>
  <c r="K151" i="33"/>
  <c r="K145" i="33"/>
  <c r="K139" i="33"/>
  <c r="K132" i="33"/>
  <c r="K126" i="33"/>
  <c r="K120" i="33"/>
  <c r="K149" i="33"/>
  <c r="J65" i="33"/>
  <c r="K136" i="33"/>
  <c r="K143" i="33"/>
  <c r="K124" i="33"/>
  <c r="K130" i="33"/>
  <c r="K118" i="33"/>
  <c r="K148" i="33"/>
  <c r="K117" i="33"/>
  <c r="K135" i="33"/>
  <c r="K142" i="33"/>
  <c r="K123" i="33"/>
  <c r="K129" i="33"/>
  <c r="K127" i="33"/>
  <c r="J82" i="33"/>
  <c r="I82" i="33" s="1"/>
  <c r="J97" i="33"/>
  <c r="P348" i="9"/>
  <c r="P301" i="9"/>
  <c r="P208" i="9"/>
  <c r="P181" i="9"/>
  <c r="P213" i="9"/>
  <c r="P364" i="9"/>
  <c r="P162" i="9"/>
  <c r="P308" i="9"/>
  <c r="P180" i="9"/>
  <c r="P67" i="9"/>
  <c r="P242" i="9"/>
  <c r="P66" i="9"/>
  <c r="P303" i="9"/>
  <c r="P402" i="9"/>
  <c r="P51" i="9"/>
  <c r="P311" i="9"/>
  <c r="P68" i="9"/>
  <c r="P325" i="9"/>
  <c r="P58" i="9"/>
  <c r="P229" i="9"/>
  <c r="P80" i="9"/>
  <c r="P331" i="9"/>
  <c r="P116" i="9"/>
  <c r="P244" i="9"/>
  <c r="P305" i="9"/>
  <c r="P199" i="9"/>
  <c r="P211" i="9"/>
  <c r="P276" i="9"/>
  <c r="P255" i="9"/>
  <c r="P250" i="9"/>
  <c r="P121" i="9"/>
  <c r="P106" i="9"/>
  <c r="P164" i="9"/>
  <c r="P319" i="9"/>
  <c r="P278" i="9"/>
  <c r="P236" i="9"/>
  <c r="P298" i="9"/>
  <c r="P85" i="9"/>
  <c r="P432" i="9"/>
  <c r="P214" i="9"/>
  <c r="P410" i="9"/>
  <c r="P218" i="9"/>
  <c r="P63" i="9"/>
  <c r="P371" i="9"/>
  <c r="P394" i="9"/>
  <c r="P403" i="9"/>
  <c r="P292" i="9"/>
  <c r="P275" i="9"/>
  <c r="P143" i="9"/>
  <c r="P91" i="9"/>
  <c r="P357" i="9"/>
  <c r="P413" i="9"/>
  <c r="P323" i="9"/>
  <c r="P177" i="9"/>
  <c r="P297" i="9"/>
  <c r="AH72" i="9"/>
  <c r="P139" i="9"/>
  <c r="P153" i="9"/>
  <c r="P53" i="9"/>
  <c r="P113" i="9"/>
  <c r="P207" i="9"/>
  <c r="P48" i="9"/>
  <c r="P96" i="9"/>
  <c r="P306" i="9"/>
  <c r="P324" i="9"/>
  <c r="P224" i="9"/>
  <c r="P400" i="9"/>
  <c r="P284" i="9"/>
  <c r="J92" i="33"/>
  <c r="J86" i="33"/>
  <c r="J71" i="33"/>
  <c r="J88" i="33"/>
  <c r="J96" i="33"/>
  <c r="J90" i="33"/>
  <c r="J79" i="33"/>
  <c r="J83" i="33"/>
  <c r="J89" i="33"/>
  <c r="J91" i="33"/>
  <c r="J74" i="33"/>
  <c r="J77" i="33"/>
  <c r="J94" i="33"/>
  <c r="J69" i="33"/>
  <c r="J75" i="33"/>
  <c r="J72" i="33"/>
  <c r="J70" i="33"/>
  <c r="J99" i="33"/>
  <c r="J76" i="33"/>
  <c r="J80" i="33"/>
  <c r="J81" i="33"/>
  <c r="J98" i="33"/>
  <c r="J85" i="33"/>
  <c r="J84" i="33"/>
  <c r="J100" i="33"/>
  <c r="J87" i="33"/>
  <c r="J66" i="33"/>
  <c r="J68" i="33"/>
  <c r="J67" i="33"/>
  <c r="J101" i="33"/>
  <c r="J73" i="33"/>
  <c r="J78" i="33"/>
  <c r="J95" i="33"/>
  <c r="C10" i="19"/>
  <c r="C30" i="7"/>
  <c r="C41" i="7" s="1"/>
  <c r="C61" i="20"/>
  <c r="C62" i="20"/>
  <c r="J93" i="33"/>
  <c r="D14" i="9"/>
  <c r="K82" i="33"/>
  <c r="H82" i="33" s="1"/>
  <c r="P344" i="9"/>
  <c r="P246" i="9"/>
  <c r="P195" i="9"/>
  <c r="P291" i="9"/>
  <c r="P274" i="9"/>
  <c r="P108" i="9"/>
  <c r="P90" i="9"/>
  <c r="P59" i="9"/>
  <c r="P342" i="9"/>
  <c r="P376" i="9"/>
  <c r="P119" i="9"/>
  <c r="P233" i="9"/>
  <c r="P421" i="9"/>
  <c r="P249" i="9"/>
  <c r="P147" i="9"/>
  <c r="P140" i="9"/>
  <c r="P178" i="9"/>
  <c r="P117" i="9"/>
  <c r="P416" i="9"/>
  <c r="P133" i="9"/>
  <c r="P98" i="9"/>
  <c r="P354" i="9"/>
  <c r="P252" i="9"/>
  <c r="P93" i="9"/>
  <c r="P128" i="9"/>
  <c r="P132" i="9"/>
  <c r="P88" i="9"/>
  <c r="P170" i="9"/>
  <c r="P368" i="9"/>
  <c r="P380" i="9"/>
  <c r="P157" i="9"/>
  <c r="P225" i="9"/>
  <c r="P50" i="9"/>
  <c r="P283" i="9"/>
  <c r="P168" i="9"/>
  <c r="P217" i="9"/>
  <c r="P126" i="9"/>
  <c r="P192" i="9"/>
  <c r="P247" i="9"/>
  <c r="P312" i="9"/>
  <c r="P254" i="9"/>
  <c r="P437" i="9"/>
  <c r="P317" i="9"/>
  <c r="P149" i="9"/>
  <c r="P182" i="9"/>
  <c r="P372" i="9"/>
  <c r="P111" i="9"/>
  <c r="P271" i="9"/>
  <c r="P47" i="9"/>
  <c r="P64" i="9"/>
  <c r="P340" i="9"/>
  <c r="P39" i="9"/>
  <c r="P167" i="9"/>
  <c r="P251" i="9"/>
  <c r="P79" i="9"/>
  <c r="P44" i="9"/>
  <c r="P269" i="9"/>
  <c r="P434" i="9"/>
  <c r="P329" i="9"/>
  <c r="P74" i="9"/>
  <c r="P289" i="9"/>
  <c r="P109" i="9"/>
  <c r="P171" i="9"/>
  <c r="P330" i="9"/>
  <c r="P82" i="9"/>
  <c r="P315" i="9"/>
  <c r="P435" i="9"/>
  <c r="P87" i="9"/>
  <c r="P156" i="9"/>
  <c r="P270" i="9"/>
  <c r="P285" i="9"/>
  <c r="P346" i="9"/>
  <c r="P268" i="9"/>
  <c r="P184" i="9"/>
  <c r="P349" i="9"/>
  <c r="P430" i="9"/>
  <c r="P129" i="9"/>
  <c r="P392" i="9"/>
  <c r="P355" i="9"/>
  <c r="P69" i="9"/>
  <c r="P101" i="9"/>
  <c r="P310" i="9"/>
  <c r="P145" i="9"/>
  <c r="P189" i="9"/>
  <c r="P373" i="9"/>
  <c r="P234" i="9"/>
  <c r="P124" i="9"/>
  <c r="P318" i="9"/>
  <c r="P172" i="9"/>
  <c r="P316" i="9"/>
  <c r="P72" i="9"/>
  <c r="P154" i="9"/>
  <c r="P65" i="9"/>
  <c r="P374" i="9"/>
  <c r="P385" i="9"/>
  <c r="P405" i="9"/>
  <c r="P227" i="9"/>
  <c r="P321" i="9"/>
  <c r="P296" i="9"/>
  <c r="P150" i="9"/>
  <c r="P424" i="9"/>
  <c r="P295" i="9"/>
  <c r="P245" i="9"/>
  <c r="P378" i="9"/>
  <c r="P92" i="9"/>
  <c r="P241" i="9"/>
  <c r="P265" i="9"/>
  <c r="P264" i="9"/>
  <c r="P159" i="9"/>
  <c r="P338" i="9"/>
  <c r="P73" i="9"/>
  <c r="P343" i="9"/>
  <c r="P256" i="9"/>
  <c r="P415" i="9"/>
  <c r="P144" i="9"/>
  <c r="P266" i="9"/>
  <c r="P253" i="9"/>
  <c r="P263" i="9"/>
  <c r="P360" i="9"/>
  <c r="P408" i="9"/>
  <c r="P406" i="9"/>
  <c r="P203" i="9"/>
  <c r="P429" i="9"/>
  <c r="P396" i="9"/>
  <c r="P309" i="9"/>
  <c r="P356" i="9"/>
  <c r="P404" i="9"/>
  <c r="P148" i="9"/>
  <c r="P426" i="9"/>
  <c r="P428" i="9"/>
  <c r="P46" i="9"/>
  <c r="P243" i="9"/>
  <c r="P104" i="9"/>
  <c r="P40" i="9"/>
  <c r="P186" i="9"/>
  <c r="P94" i="9"/>
  <c r="P358" i="9"/>
  <c r="P174" i="9"/>
  <c r="P136" i="9"/>
  <c r="P61" i="9"/>
  <c r="P202" i="9"/>
  <c r="P425" i="9"/>
  <c r="P194" i="9"/>
  <c r="P359" i="9"/>
  <c r="P387" i="9"/>
  <c r="P131" i="9"/>
  <c r="P205" i="9"/>
  <c r="P141" i="9"/>
  <c r="P123" i="9"/>
  <c r="P187" i="9"/>
  <c r="P261" i="9"/>
  <c r="P299" i="9"/>
  <c r="P339" i="9"/>
  <c r="P230" i="9"/>
  <c r="P391" i="9"/>
  <c r="P120" i="9"/>
  <c r="P419" i="9"/>
  <c r="P286" i="9"/>
  <c r="P414" i="9"/>
  <c r="P302" i="9"/>
  <c r="P49" i="9"/>
  <c r="P160" i="9"/>
  <c r="P294" i="9"/>
  <c r="P134" i="9"/>
  <c r="P232" i="9"/>
  <c r="P71" i="9"/>
  <c r="P352" i="9"/>
  <c r="P290" i="9"/>
  <c r="P97" i="9"/>
  <c r="P401" i="9"/>
  <c r="P193" i="9"/>
  <c r="P179" i="9"/>
  <c r="P197" i="9"/>
  <c r="P353" i="9"/>
  <c r="P173" i="9"/>
  <c r="P60" i="9"/>
  <c r="P239" i="9"/>
  <c r="P334" i="9"/>
  <c r="P418" i="9"/>
  <c r="P175" i="9"/>
  <c r="P138" i="9"/>
  <c r="P327" i="9"/>
  <c r="P277" i="9"/>
  <c r="P386" i="9"/>
  <c r="P86" i="9"/>
  <c r="P221" i="9"/>
  <c r="P237" i="9"/>
  <c r="P118" i="9"/>
  <c r="P335" i="9"/>
  <c r="P381" i="9"/>
  <c r="P161" i="9"/>
  <c r="P257" i="9"/>
  <c r="P313" i="9"/>
  <c r="P398" i="9"/>
  <c r="P407" i="9"/>
  <c r="P422" i="9"/>
  <c r="P397" i="9"/>
  <c r="P259" i="9"/>
  <c r="P204" i="9"/>
  <c r="P114" i="9"/>
  <c r="P122" i="9"/>
  <c r="P89" i="9"/>
  <c r="P262" i="9"/>
  <c r="P196" i="9"/>
  <c r="P206" i="9"/>
  <c r="P370" i="9"/>
  <c r="P350" i="9"/>
  <c r="P332" i="9"/>
  <c r="P155" i="9"/>
  <c r="P125" i="9"/>
  <c r="P55" i="9"/>
  <c r="P105" i="9"/>
  <c r="P152" i="9"/>
  <c r="P163" i="9"/>
  <c r="P345" i="9"/>
  <c r="P389" i="9"/>
  <c r="P433" i="9"/>
  <c r="P185" i="9"/>
  <c r="P280" i="9"/>
  <c r="P165" i="9"/>
  <c r="P75" i="9"/>
  <c r="P70" i="9"/>
  <c r="P216" i="9"/>
  <c r="P412" i="9"/>
  <c r="P379" i="9"/>
  <c r="P273" i="9"/>
  <c r="P260" i="9"/>
  <c r="P281" i="9"/>
  <c r="P314" i="9"/>
  <c r="P37" i="9"/>
  <c r="P351" i="9"/>
  <c r="P169" i="9"/>
  <c r="P417" i="9"/>
  <c r="P337" i="9"/>
  <c r="P341" i="9"/>
  <c r="P62" i="9"/>
  <c r="P322" i="9"/>
  <c r="P304" i="9"/>
  <c r="P431" i="9"/>
  <c r="P427" i="9"/>
  <c r="P307" i="9"/>
  <c r="P54" i="9"/>
  <c r="P102" i="9"/>
  <c r="P409" i="9"/>
  <c r="P375" i="9"/>
  <c r="P328" i="9"/>
  <c r="P228" i="9"/>
  <c r="P393" i="9"/>
  <c r="P395" i="9"/>
  <c r="P300" i="9"/>
  <c r="P361" i="9"/>
  <c r="P363" i="9"/>
  <c r="P420" i="9"/>
  <c r="P57" i="9"/>
  <c r="P411" i="9"/>
  <c r="P347" i="9"/>
  <c r="P384" i="9"/>
  <c r="P212" i="9"/>
  <c r="P258" i="9"/>
  <c r="P56" i="9"/>
  <c r="P390" i="9"/>
  <c r="P423" i="9"/>
  <c r="P112" i="9"/>
  <c r="P107" i="9"/>
  <c r="P377" i="9"/>
  <c r="P288" i="9"/>
  <c r="P383" i="9"/>
  <c r="P436" i="9"/>
  <c r="P248" i="9"/>
  <c r="P127" i="9"/>
  <c r="P231" i="9"/>
  <c r="P166" i="9"/>
  <c r="P81" i="9"/>
  <c r="P226" i="9"/>
  <c r="P84" i="9"/>
  <c r="P210" i="9"/>
  <c r="P215" i="9"/>
  <c r="P188" i="9"/>
  <c r="P279" i="9"/>
  <c r="P399" i="9"/>
  <c r="P336" i="9"/>
  <c r="P38" i="9"/>
  <c r="P42" i="9"/>
  <c r="P220" i="9"/>
  <c r="P142" i="9"/>
  <c r="P115" i="9"/>
  <c r="P103" i="9"/>
  <c r="P198" i="9"/>
  <c r="P267" i="9"/>
  <c r="P367" i="9"/>
  <c r="P45" i="9"/>
  <c r="P137" i="9"/>
  <c r="P78" i="9"/>
  <c r="P200" i="9"/>
  <c r="P76" i="9"/>
  <c r="P365" i="9"/>
  <c r="P77" i="9"/>
  <c r="P238" i="9"/>
  <c r="P223" i="9"/>
  <c r="P99" i="9"/>
  <c r="P388" i="9"/>
  <c r="P219" i="9"/>
  <c r="P366" i="9"/>
  <c r="P209" i="9"/>
  <c r="P183" i="9"/>
  <c r="P222" i="9"/>
  <c r="P320" i="9"/>
  <c r="P151" i="9"/>
  <c r="P146" i="9"/>
  <c r="P240" i="9"/>
  <c r="P362" i="9"/>
  <c r="P41" i="9"/>
  <c r="P272" i="9"/>
  <c r="P158" i="9"/>
  <c r="P191" i="9"/>
  <c r="P95" i="9"/>
  <c r="P382" i="9"/>
  <c r="P130" i="9"/>
  <c r="P235" i="9"/>
  <c r="P293" i="9"/>
  <c r="P190" i="9"/>
  <c r="P176" i="9"/>
  <c r="P43" i="9"/>
  <c r="P201" i="9"/>
  <c r="P83" i="9"/>
  <c r="P100" i="9"/>
  <c r="P110" i="9"/>
  <c r="P333" i="9"/>
  <c r="P287" i="9"/>
  <c r="P326" i="9"/>
  <c r="P369" i="9"/>
  <c r="P52" i="9"/>
  <c r="P135" i="9"/>
  <c r="K80" i="33" l="1"/>
  <c r="I80" i="33"/>
  <c r="H80" i="33" s="1"/>
  <c r="K95" i="33"/>
  <c r="I95" i="33"/>
  <c r="K81" i="33"/>
  <c r="I81" i="33"/>
  <c r="I91" i="33"/>
  <c r="K91" i="33"/>
  <c r="K73" i="33"/>
  <c r="I73" i="33"/>
  <c r="I76" i="33"/>
  <c r="K76" i="33"/>
  <c r="I89" i="33"/>
  <c r="K89" i="33"/>
  <c r="I101" i="33"/>
  <c r="K101" i="33"/>
  <c r="K99" i="33"/>
  <c r="I99" i="33"/>
  <c r="K83" i="33"/>
  <c r="I83" i="33"/>
  <c r="K97" i="33"/>
  <c r="I97" i="33"/>
  <c r="K67" i="33"/>
  <c r="I67" i="33"/>
  <c r="I70" i="33"/>
  <c r="K70" i="33"/>
  <c r="K79" i="33"/>
  <c r="I79" i="33"/>
  <c r="K68" i="33"/>
  <c r="I68" i="33"/>
  <c r="H68" i="33" s="1"/>
  <c r="K72" i="33"/>
  <c r="I72" i="33"/>
  <c r="K90" i="33"/>
  <c r="I90" i="33"/>
  <c r="N291" i="9"/>
  <c r="N298" i="9"/>
  <c r="N106" i="9"/>
  <c r="N313" i="9"/>
  <c r="N317" i="9"/>
  <c r="N300" i="9"/>
  <c r="N350" i="9"/>
  <c r="N179" i="9"/>
  <c r="N218" i="9"/>
  <c r="N382" i="9"/>
  <c r="N54" i="9"/>
  <c r="N252" i="9"/>
  <c r="N293" i="9"/>
  <c r="N365" i="9"/>
  <c r="N49" i="9"/>
  <c r="N370" i="9"/>
  <c r="N88" i="9"/>
  <c r="N167" i="9"/>
  <c r="AS45" i="9"/>
  <c r="AS66" i="9"/>
  <c r="N113" i="9"/>
  <c r="N297" i="9"/>
  <c r="N152" i="9"/>
  <c r="N401" i="9"/>
  <c r="AS77" i="9"/>
  <c r="N219" i="9"/>
  <c r="N422" i="9"/>
  <c r="N239" i="9"/>
  <c r="N266" i="9"/>
  <c r="N209" i="9"/>
  <c r="N233" i="9"/>
  <c r="N107" i="9"/>
  <c r="N143" i="9"/>
  <c r="N139" i="9"/>
  <c r="N205" i="9"/>
  <c r="N71" i="9"/>
  <c r="N82" i="9"/>
  <c r="N418" i="9"/>
  <c r="N374" i="9"/>
  <c r="N410" i="9"/>
  <c r="N207" i="9"/>
  <c r="N329" i="9"/>
  <c r="N53" i="9"/>
  <c r="N253" i="9"/>
  <c r="N141" i="9"/>
  <c r="N393" i="9"/>
  <c r="AS44" i="9"/>
  <c r="AS68" i="9"/>
  <c r="N228" i="9"/>
  <c r="N289" i="9"/>
  <c r="N402" i="9"/>
  <c r="N400" i="9"/>
  <c r="N38" i="9"/>
  <c r="N104" i="9"/>
  <c r="N158" i="9"/>
  <c r="AS80" i="9"/>
  <c r="N411" i="9"/>
  <c r="N279" i="9"/>
  <c r="N56" i="9"/>
  <c r="N226" i="9"/>
  <c r="N348" i="9"/>
  <c r="N282" i="9"/>
  <c r="N278" i="9"/>
  <c r="N380" i="9"/>
  <c r="AS43" i="9"/>
  <c r="N62" i="9"/>
  <c r="N234" i="9"/>
  <c r="N194" i="9"/>
  <c r="N338" i="9"/>
  <c r="N309" i="9"/>
  <c r="AS52" i="9"/>
  <c r="N69" i="9"/>
  <c r="AS40" i="9"/>
  <c r="N276" i="9"/>
  <c r="N77" i="9"/>
  <c r="N249" i="9"/>
  <c r="N336" i="9"/>
  <c r="N157" i="9"/>
  <c r="N60" i="9"/>
  <c r="N140" i="9"/>
  <c r="N160" i="9"/>
  <c r="N345" i="9"/>
  <c r="N255" i="9"/>
  <c r="N144" i="9"/>
  <c r="N195" i="9"/>
  <c r="N87" i="9"/>
  <c r="N416" i="9"/>
  <c r="N274" i="9"/>
  <c r="N377" i="9"/>
  <c r="N156" i="9"/>
  <c r="N94" i="9"/>
  <c r="N100" i="9"/>
  <c r="N360" i="9"/>
  <c r="AS58" i="9"/>
  <c r="N389" i="9"/>
  <c r="N256" i="9"/>
  <c r="N424" i="9"/>
  <c r="N431" i="9"/>
  <c r="N98" i="9"/>
  <c r="N405" i="9"/>
  <c r="N351" i="9"/>
  <c r="N375" i="9"/>
  <c r="N76" i="9"/>
  <c r="N78" i="9"/>
  <c r="N225" i="9"/>
  <c r="N386" i="9"/>
  <c r="N359" i="9"/>
  <c r="AS73" i="9"/>
  <c r="N257" i="9"/>
  <c r="N201" i="9"/>
  <c r="N89" i="9"/>
  <c r="N202" i="9"/>
  <c r="N413" i="9"/>
  <c r="N273" i="9"/>
  <c r="N187" i="9"/>
  <c r="N73" i="9"/>
  <c r="AS89" i="9"/>
  <c r="N131" i="9"/>
  <c r="N414" i="9"/>
  <c r="N121" i="9"/>
  <c r="N165" i="9"/>
  <c r="N324" i="9"/>
  <c r="N216" i="9"/>
  <c r="N292" i="9"/>
  <c r="N230" i="9"/>
  <c r="N319" i="9"/>
  <c r="N395" i="9"/>
  <c r="N174" i="9"/>
  <c r="AS54" i="9"/>
  <c r="N408" i="9"/>
  <c r="N118" i="9"/>
  <c r="N221" i="9"/>
  <c r="AS79" i="9"/>
  <c r="N240" i="9"/>
  <c r="N103" i="9"/>
  <c r="N39" i="9"/>
  <c r="AS42" i="9"/>
  <c r="N294" i="9"/>
  <c r="N384" i="9"/>
  <c r="N361" i="9"/>
  <c r="N427" i="9"/>
  <c r="N283" i="9"/>
  <c r="N91" i="9"/>
  <c r="AS74" i="9"/>
  <c r="AS48" i="9"/>
  <c r="N138" i="9"/>
  <c r="N352" i="9"/>
  <c r="N129" i="9"/>
  <c r="N45" i="9"/>
  <c r="N254" i="9"/>
  <c r="N241" i="9"/>
  <c r="AS70" i="9"/>
  <c r="N290" i="9"/>
  <c r="N208" i="9"/>
  <c r="N310" i="9"/>
  <c r="N151" i="9"/>
  <c r="N284" i="9"/>
  <c r="N387" i="9"/>
  <c r="N181" i="9"/>
  <c r="AS71" i="9"/>
  <c r="N134" i="9"/>
  <c r="AS72" i="9"/>
  <c r="N363" i="9"/>
  <c r="AS82" i="9"/>
  <c r="N308" i="9"/>
  <c r="N407" i="9"/>
  <c r="N432" i="9"/>
  <c r="N373" i="9"/>
  <c r="AS87" i="9"/>
  <c r="N436" i="9"/>
  <c r="N206" i="9"/>
  <c r="N42" i="9"/>
  <c r="N85" i="9"/>
  <c r="N213" i="9"/>
  <c r="N320" i="9"/>
  <c r="N193" i="9"/>
  <c r="N63" i="9"/>
  <c r="N224" i="9"/>
  <c r="N332" i="9"/>
  <c r="N287" i="9"/>
  <c r="N197" i="9"/>
  <c r="N390" i="9"/>
  <c r="N417" i="9"/>
  <c r="N68" i="9"/>
  <c r="N246" i="9"/>
  <c r="N37" i="9"/>
  <c r="AA40" i="9" s="1"/>
  <c r="D16" i="9"/>
  <c r="D25" i="9" s="1"/>
  <c r="N229" i="9"/>
  <c r="N184" i="9"/>
  <c r="AS69" i="9"/>
  <c r="N70" i="9"/>
  <c r="N105" i="9"/>
  <c r="N80" i="9"/>
  <c r="N369" i="9"/>
  <c r="N238" i="9"/>
  <c r="BQ39" i="9"/>
  <c r="N153" i="9"/>
  <c r="N250" i="9"/>
  <c r="AS78" i="9"/>
  <c r="N235" i="9"/>
  <c r="N311" i="9"/>
  <c r="N117" i="9"/>
  <c r="N394" i="9"/>
  <c r="N132" i="9"/>
  <c r="N286" i="9"/>
  <c r="N161" i="9"/>
  <c r="N166" i="9"/>
  <c r="AS39" i="9"/>
  <c r="N74" i="9"/>
  <c r="AS86" i="9"/>
  <c r="N242" i="9"/>
  <c r="N331" i="9"/>
  <c r="N122" i="9"/>
  <c r="N182" i="9"/>
  <c r="N415" i="9"/>
  <c r="AS56" i="9"/>
  <c r="N176" i="9"/>
  <c r="N44" i="9"/>
  <c r="N341" i="9"/>
  <c r="N366" i="9"/>
  <c r="N178" i="9"/>
  <c r="N280" i="9"/>
  <c r="N110" i="9"/>
  <c r="N304" i="9"/>
  <c r="N200" i="9"/>
  <c r="N102" i="9"/>
  <c r="N312" i="9"/>
  <c r="N214" i="9"/>
  <c r="N299" i="9"/>
  <c r="N136" i="9"/>
  <c r="N58" i="9"/>
  <c r="N263" i="9"/>
  <c r="N169" i="9"/>
  <c r="N262" i="9"/>
  <c r="N163" i="9"/>
  <c r="N180" i="9"/>
  <c r="N148" i="9"/>
  <c r="AS50" i="9"/>
  <c r="N231" i="9"/>
  <c r="N396" i="9"/>
  <c r="N65" i="9"/>
  <c r="N188" i="9"/>
  <c r="N314" i="9"/>
  <c r="N295" i="9"/>
  <c r="N199" i="9"/>
  <c r="N146" i="9"/>
  <c r="N385" i="9"/>
  <c r="AS67" i="9"/>
  <c r="N330" i="9"/>
  <c r="N398" i="9"/>
  <c r="N264" i="9"/>
  <c r="AS60" i="9"/>
  <c r="N185" i="9"/>
  <c r="N258" i="9"/>
  <c r="N281" i="9"/>
  <c r="AS85" i="9"/>
  <c r="N275" i="9"/>
  <c r="N155" i="9"/>
  <c r="N93" i="9"/>
  <c r="N358" i="9"/>
  <c r="N86" i="9"/>
  <c r="N48" i="9"/>
  <c r="N96" i="9"/>
  <c r="N43" i="9"/>
  <c r="N243" i="9"/>
  <c r="N357" i="9"/>
  <c r="N51" i="9"/>
  <c r="N399" i="9"/>
  <c r="N412" i="9"/>
  <c r="N354" i="9"/>
  <c r="N186" i="9"/>
  <c r="N79" i="9"/>
  <c r="N325" i="9"/>
  <c r="N245" i="9"/>
  <c r="N223" i="9"/>
  <c r="N285" i="9"/>
  <c r="AS63" i="9"/>
  <c r="N248" i="9"/>
  <c r="N217" i="9"/>
  <c r="N119" i="9"/>
  <c r="N376" i="9"/>
  <c r="N433" i="9"/>
  <c r="AS83" i="9"/>
  <c r="N150" i="9"/>
  <c r="N321" i="9"/>
  <c r="N364" i="9"/>
  <c r="AS55" i="9"/>
  <c r="N72" i="9"/>
  <c r="AS75" i="9"/>
  <c r="N64" i="9"/>
  <c r="N130" i="9"/>
  <c r="N270" i="9"/>
  <c r="N421" i="9"/>
  <c r="N271" i="9"/>
  <c r="N97" i="9"/>
  <c r="AS88" i="9"/>
  <c r="N404" i="9"/>
  <c r="N173" i="9"/>
  <c r="N170" i="9"/>
  <c r="N212" i="9"/>
  <c r="N318" i="9"/>
  <c r="N61" i="9"/>
  <c r="N55" i="9"/>
  <c r="N75" i="9"/>
  <c r="AS46" i="9"/>
  <c r="N419" i="9"/>
  <c r="N108" i="9"/>
  <c r="N127" i="9"/>
  <c r="N267" i="9"/>
  <c r="N211" i="9"/>
  <c r="N333" i="9"/>
  <c r="N379" i="9"/>
  <c r="N349" i="9"/>
  <c r="AS49" i="9"/>
  <c r="N227" i="9"/>
  <c r="N301" i="9"/>
  <c r="N315" i="9"/>
  <c r="N342" i="9"/>
  <c r="N177" i="9"/>
  <c r="N302" i="9"/>
  <c r="N326" i="9"/>
  <c r="N339" i="9"/>
  <c r="AS81" i="9"/>
  <c r="J18" i="32"/>
  <c r="N57" i="9"/>
  <c r="AS59" i="9"/>
  <c r="N392" i="9"/>
  <c r="N420" i="9"/>
  <c r="N203" i="9"/>
  <c r="N306" i="9"/>
  <c r="N346" i="9"/>
  <c r="N159" i="9"/>
  <c r="N47" i="9"/>
  <c r="N149" i="9"/>
  <c r="N168" i="9"/>
  <c r="N183" i="9"/>
  <c r="N115" i="9"/>
  <c r="N66" i="9"/>
  <c r="N215" i="9"/>
  <c r="AS53" i="9"/>
  <c r="N296" i="9"/>
  <c r="N171" i="9"/>
  <c r="N120" i="9"/>
  <c r="N222" i="9"/>
  <c r="N406" i="9"/>
  <c r="N437" i="9"/>
  <c r="N237" i="9"/>
  <c r="N192" i="9"/>
  <c r="N303" i="9"/>
  <c r="AS64" i="9"/>
  <c r="N128" i="9"/>
  <c r="N372" i="9"/>
  <c r="N269" i="9"/>
  <c r="N210" i="9"/>
  <c r="N344" i="9"/>
  <c r="N355" i="9"/>
  <c r="N204" i="9"/>
  <c r="N145" i="9"/>
  <c r="N101" i="9"/>
  <c r="N340" i="9"/>
  <c r="N388" i="9"/>
  <c r="N81" i="9"/>
  <c r="N323" i="9"/>
  <c r="N59" i="9"/>
  <c r="N268" i="9"/>
  <c r="N305" i="9"/>
  <c r="N307" i="9"/>
  <c r="N67" i="9"/>
  <c r="N356" i="9"/>
  <c r="N367" i="9"/>
  <c r="AS51" i="9"/>
  <c r="N90" i="9"/>
  <c r="N126" i="9"/>
  <c r="N403" i="9"/>
  <c r="N112" i="9"/>
  <c r="N198" i="9"/>
  <c r="N84" i="9"/>
  <c r="N99" i="9"/>
  <c r="N175" i="9"/>
  <c r="N116" i="9"/>
  <c r="N124" i="9"/>
  <c r="N83" i="9"/>
  <c r="N135" i="9"/>
  <c r="AS76" i="9"/>
  <c r="N368" i="9"/>
  <c r="N154" i="9"/>
  <c r="N251" i="9"/>
  <c r="AS57" i="9"/>
  <c r="N261" i="9"/>
  <c r="N95" i="9"/>
  <c r="N426" i="9"/>
  <c r="N272" i="9"/>
  <c r="N391" i="9"/>
  <c r="N316" i="9"/>
  <c r="N378" i="9"/>
  <c r="N265" i="9"/>
  <c r="N40" i="9"/>
  <c r="N347" i="9"/>
  <c r="N327" i="9"/>
  <c r="D15" i="9"/>
  <c r="AS65" i="9"/>
  <c r="N236" i="9"/>
  <c r="N425" i="9"/>
  <c r="AS62" i="9"/>
  <c r="N383" i="9"/>
  <c r="N277" i="9"/>
  <c r="N428" i="9"/>
  <c r="N41" i="9"/>
  <c r="N172" i="9"/>
  <c r="N114" i="9"/>
  <c r="N409" i="9"/>
  <c r="N362" i="9"/>
  <c r="N111" i="9"/>
  <c r="AS84" i="9"/>
  <c r="N429" i="9"/>
  <c r="N133" i="9"/>
  <c r="N46" i="9"/>
  <c r="N191" i="9"/>
  <c r="N423" i="9"/>
  <c r="N50" i="9"/>
  <c r="N334" i="9"/>
  <c r="N137" i="9"/>
  <c r="N247" i="9"/>
  <c r="N343" i="9"/>
  <c r="N142" i="9"/>
  <c r="N435" i="9"/>
  <c r="N371" i="9"/>
  <c r="N92" i="9"/>
  <c r="N162" i="9"/>
  <c r="N190" i="9"/>
  <c r="N232" i="9"/>
  <c r="N328" i="9"/>
  <c r="N288" i="9"/>
  <c r="AS61" i="9"/>
  <c r="N147" i="9"/>
  <c r="AS41" i="9"/>
  <c r="N322" i="9"/>
  <c r="N164" i="9"/>
  <c r="N260" i="9"/>
  <c r="AS47" i="9"/>
  <c r="N397" i="9"/>
  <c r="N337" i="9"/>
  <c r="N430" i="9"/>
  <c r="N189" i="9"/>
  <c r="N434" i="9"/>
  <c r="N244" i="9"/>
  <c r="N259" i="9"/>
  <c r="N381" i="9"/>
  <c r="D24" i="9"/>
  <c r="N125" i="9"/>
  <c r="N335" i="9"/>
  <c r="N52" i="9"/>
  <c r="N196" i="9"/>
  <c r="N109" i="9"/>
  <c r="N123" i="9"/>
  <c r="N220" i="9"/>
  <c r="N353" i="9"/>
  <c r="AG39" i="9"/>
  <c r="I66" i="33"/>
  <c r="K66" i="33"/>
  <c r="I75" i="33"/>
  <c r="K75" i="33"/>
  <c r="K96" i="33"/>
  <c r="I96" i="33"/>
  <c r="I93" i="33"/>
  <c r="K93" i="33"/>
  <c r="K87" i="33"/>
  <c r="I87" i="33"/>
  <c r="K69" i="33"/>
  <c r="I69" i="33"/>
  <c r="K88" i="33"/>
  <c r="I88" i="33"/>
  <c r="K100" i="33"/>
  <c r="I100" i="33"/>
  <c r="I65" i="33"/>
  <c r="K65" i="33"/>
  <c r="I71" i="33"/>
  <c r="K71" i="33"/>
  <c r="I84" i="33"/>
  <c r="K84" i="33"/>
  <c r="K94" i="33"/>
  <c r="I94" i="33"/>
  <c r="I86" i="33"/>
  <c r="K86" i="33"/>
  <c r="C42" i="7"/>
  <c r="C40" i="7"/>
  <c r="C46" i="7" s="1"/>
  <c r="K85" i="33"/>
  <c r="I85" i="33"/>
  <c r="K77" i="33"/>
  <c r="I77" i="33"/>
  <c r="K92" i="33"/>
  <c r="I92" i="33"/>
  <c r="I78" i="33"/>
  <c r="K78" i="33"/>
  <c r="C21" i="19"/>
  <c r="C12" i="19"/>
  <c r="C23" i="19"/>
  <c r="C22" i="19"/>
  <c r="I98" i="33"/>
  <c r="K98" i="33"/>
  <c r="I74" i="33"/>
  <c r="K74" i="33"/>
  <c r="H90" i="33" l="1"/>
  <c r="H97" i="33"/>
  <c r="H79" i="33"/>
  <c r="H95" i="33"/>
  <c r="H73" i="33"/>
  <c r="H88" i="33"/>
  <c r="H99" i="33"/>
  <c r="H87" i="33"/>
  <c r="H76" i="33"/>
  <c r="H81" i="33"/>
  <c r="H85" i="33"/>
  <c r="H96" i="33"/>
  <c r="H92" i="33"/>
  <c r="H78" i="33"/>
  <c r="H74" i="33"/>
  <c r="H71" i="33"/>
  <c r="H93" i="33"/>
  <c r="H91" i="33"/>
  <c r="H75" i="33"/>
  <c r="C14" i="19"/>
  <c r="C13" i="19"/>
  <c r="H94" i="33"/>
  <c r="H69" i="33"/>
  <c r="AH39" i="9"/>
  <c r="AG40" i="9"/>
  <c r="H67" i="33"/>
  <c r="H84" i="33"/>
  <c r="H77" i="33"/>
  <c r="H72" i="33"/>
  <c r="H83" i="33"/>
  <c r="D18" i="32"/>
  <c r="D5" i="33"/>
  <c r="C5" i="33" s="1"/>
  <c r="E5" i="33" s="1"/>
  <c r="F5" i="33" s="1"/>
  <c r="H98" i="33"/>
  <c r="H65" i="33"/>
  <c r="H100" i="33"/>
  <c r="L297" i="9"/>
  <c r="L257" i="9"/>
  <c r="L203" i="9"/>
  <c r="L186" i="9"/>
  <c r="L319" i="9"/>
  <c r="L83" i="9"/>
  <c r="L325" i="9"/>
  <c r="L385" i="9"/>
  <c r="AQ52" i="9"/>
  <c r="L435" i="9"/>
  <c r="L143" i="9"/>
  <c r="L412" i="9"/>
  <c r="L122" i="9"/>
  <c r="L124" i="9"/>
  <c r="L431" i="9"/>
  <c r="L189" i="9"/>
  <c r="AQ76" i="9"/>
  <c r="L87" i="9"/>
  <c r="L367" i="9"/>
  <c r="L113" i="9"/>
  <c r="L231" i="9"/>
  <c r="L131" i="9"/>
  <c r="L199" i="9"/>
  <c r="L221" i="9"/>
  <c r="L310" i="9"/>
  <c r="AQ64" i="9"/>
  <c r="L80" i="9"/>
  <c r="L295" i="9"/>
  <c r="L419" i="9"/>
  <c r="L290" i="9"/>
  <c r="L206" i="9"/>
  <c r="L255" i="9"/>
  <c r="L43" i="9"/>
  <c r="L318" i="9"/>
  <c r="L99" i="9"/>
  <c r="L338" i="9"/>
  <c r="L38" i="9"/>
  <c r="L291" i="9"/>
  <c r="L151" i="9"/>
  <c r="L49" i="9"/>
  <c r="AQ48" i="9"/>
  <c r="L192" i="9"/>
  <c r="L188" i="9"/>
  <c r="L366" i="9"/>
  <c r="L138" i="9"/>
  <c r="L95" i="9"/>
  <c r="L187" i="9"/>
  <c r="L293" i="9"/>
  <c r="AQ62" i="9"/>
  <c r="L294" i="9"/>
  <c r="L218" i="9"/>
  <c r="AQ81" i="9"/>
  <c r="L63" i="9"/>
  <c r="L136" i="9"/>
  <c r="L148" i="9"/>
  <c r="L125" i="9"/>
  <c r="L161" i="9"/>
  <c r="L182" i="9"/>
  <c r="L424" i="9"/>
  <c r="AQ88" i="9"/>
  <c r="L418" i="9"/>
  <c r="AQ74" i="9"/>
  <c r="AQ42" i="9"/>
  <c r="AQ49" i="9"/>
  <c r="L55" i="9"/>
  <c r="L158" i="9"/>
  <c r="L314" i="9"/>
  <c r="L58" i="9"/>
  <c r="L44" i="9"/>
  <c r="L171" i="9"/>
  <c r="L374" i="9"/>
  <c r="L253" i="9"/>
  <c r="L317" i="9"/>
  <c r="L248" i="9"/>
  <c r="L168" i="9"/>
  <c r="L428" i="9"/>
  <c r="L276" i="9"/>
  <c r="L250" i="9"/>
  <c r="L391" i="9"/>
  <c r="L379" i="9"/>
  <c r="L174" i="9"/>
  <c r="AQ66" i="9"/>
  <c r="L153" i="9"/>
  <c r="L335" i="9"/>
  <c r="L387" i="9"/>
  <c r="L86" i="9"/>
  <c r="L128" i="9"/>
  <c r="L176" i="9"/>
  <c r="L121" i="9"/>
  <c r="L157" i="9"/>
  <c r="L185" i="9"/>
  <c r="L175" i="9"/>
  <c r="L377" i="9"/>
  <c r="L241" i="9"/>
  <c r="L304" i="9"/>
  <c r="L112" i="9"/>
  <c r="L159" i="9"/>
  <c r="L120" i="9"/>
  <c r="L373" i="9"/>
  <c r="L111" i="9"/>
  <c r="L400" i="9"/>
  <c r="L70" i="9"/>
  <c r="L149" i="9"/>
  <c r="L126" i="9"/>
  <c r="L375" i="9"/>
  <c r="L226" i="9"/>
  <c r="L217" i="9"/>
  <c r="L259" i="9"/>
  <c r="L332" i="9"/>
  <c r="AQ56" i="9"/>
  <c r="L119" i="9"/>
  <c r="L371" i="9"/>
  <c r="AQ54" i="9"/>
  <c r="L196" i="9"/>
  <c r="L68" i="9"/>
  <c r="L395" i="9"/>
  <c r="L75" i="9"/>
  <c r="L216" i="9"/>
  <c r="L303" i="9"/>
  <c r="L213" i="9"/>
  <c r="AQ51" i="9"/>
  <c r="L93" i="9"/>
  <c r="L423" i="9"/>
  <c r="L65" i="9"/>
  <c r="L292" i="9"/>
  <c r="L200" i="9"/>
  <c r="L336" i="9"/>
  <c r="L165" i="9"/>
  <c r="L97" i="9"/>
  <c r="L353" i="9"/>
  <c r="L225" i="9"/>
  <c r="L204" i="9"/>
  <c r="L399" i="9"/>
  <c r="L397" i="9"/>
  <c r="L105" i="9"/>
  <c r="L88" i="9"/>
  <c r="AQ78" i="9"/>
  <c r="L282" i="9"/>
  <c r="AQ45" i="9"/>
  <c r="L184" i="9"/>
  <c r="L228" i="9"/>
  <c r="L207" i="9"/>
  <c r="L402" i="9"/>
  <c r="L422" i="9"/>
  <c r="L179" i="9"/>
  <c r="L89" i="9"/>
  <c r="AQ71" i="9"/>
  <c r="L327" i="9"/>
  <c r="L227" i="9"/>
  <c r="L281" i="9"/>
  <c r="L390" i="9"/>
  <c r="L329" i="9"/>
  <c r="L342" i="9"/>
  <c r="L132" i="9"/>
  <c r="L376" i="9"/>
  <c r="L280" i="9"/>
  <c r="L355" i="9"/>
  <c r="L271" i="9"/>
  <c r="AQ53" i="9"/>
  <c r="L359" i="9"/>
  <c r="L191" i="9"/>
  <c r="L434" i="9"/>
  <c r="AQ67" i="9"/>
  <c r="L211" i="9"/>
  <c r="AQ89" i="9"/>
  <c r="L309" i="9"/>
  <c r="L202" i="9"/>
  <c r="L365" i="9"/>
  <c r="L69" i="9"/>
  <c r="L123" i="9"/>
  <c r="L92" i="9"/>
  <c r="L72" i="9"/>
  <c r="L284" i="9"/>
  <c r="L193" i="9"/>
  <c r="L264" i="9"/>
  <c r="L433" i="9"/>
  <c r="L246" i="9"/>
  <c r="L258" i="9"/>
  <c r="L78" i="9"/>
  <c r="L334" i="9"/>
  <c r="L305" i="9"/>
  <c r="L261" i="9"/>
  <c r="L214" i="9"/>
  <c r="L364" i="9"/>
  <c r="L169" i="9"/>
  <c r="AQ43" i="9"/>
  <c r="L183" i="9"/>
  <c r="L96" i="9"/>
  <c r="AQ46" i="9"/>
  <c r="AQ50" i="9"/>
  <c r="L425" i="9"/>
  <c r="L164" i="9"/>
  <c r="L82" i="9"/>
  <c r="L103" i="9"/>
  <c r="L47" i="9"/>
  <c r="L152" i="9"/>
  <c r="L134" i="9"/>
  <c r="L160" i="9"/>
  <c r="L392" i="9"/>
  <c r="L247" i="9"/>
  <c r="L272" i="9"/>
  <c r="L104" i="9"/>
  <c r="L178" i="9"/>
  <c r="L180" i="9"/>
  <c r="L265" i="9"/>
  <c r="L311" i="9"/>
  <c r="L235" i="9"/>
  <c r="L384" i="9"/>
  <c r="L346" i="9"/>
  <c r="L102" i="9"/>
  <c r="L238" i="9"/>
  <c r="L432" i="9"/>
  <c r="L198" i="9"/>
  <c r="L286" i="9"/>
  <c r="L201" i="9"/>
  <c r="L115" i="9"/>
  <c r="AQ59" i="9"/>
  <c r="L147" i="9"/>
  <c r="AQ70" i="9"/>
  <c r="L275" i="9"/>
  <c r="L81" i="9"/>
  <c r="L154" i="9"/>
  <c r="L323" i="9"/>
  <c r="L194" i="9"/>
  <c r="L42" i="9"/>
  <c r="L177" i="9"/>
  <c r="L137" i="9"/>
  <c r="L362" i="9"/>
  <c r="L173" i="9"/>
  <c r="L307" i="9"/>
  <c r="L315" i="9"/>
  <c r="L215" i="9"/>
  <c r="L358" i="9"/>
  <c r="L223" i="9"/>
  <c r="L289" i="9"/>
  <c r="AQ79" i="9"/>
  <c r="L48" i="9"/>
  <c r="L378" i="9"/>
  <c r="AQ39" i="9"/>
  <c r="L361" i="9"/>
  <c r="L190" i="9"/>
  <c r="L320" i="9"/>
  <c r="AQ72" i="9"/>
  <c r="L252" i="9"/>
  <c r="AQ84" i="9"/>
  <c r="L140" i="9"/>
  <c r="L312" i="9"/>
  <c r="L301" i="9"/>
  <c r="L262" i="9"/>
  <c r="L370" i="9"/>
  <c r="L142" i="9"/>
  <c r="L100" i="9"/>
  <c r="L393" i="9"/>
  <c r="L382" i="9"/>
  <c r="AQ85" i="9"/>
  <c r="L130" i="9"/>
  <c r="L372" i="9"/>
  <c r="L344" i="9"/>
  <c r="L274" i="9"/>
  <c r="L91" i="9"/>
  <c r="L106" i="9"/>
  <c r="L270" i="9"/>
  <c r="L66" i="9"/>
  <c r="L328" i="9"/>
  <c r="L40" i="9"/>
  <c r="AQ77" i="9"/>
  <c r="AQ63" i="9"/>
  <c r="L118" i="9"/>
  <c r="L73" i="9"/>
  <c r="L109" i="9"/>
  <c r="L53" i="9"/>
  <c r="L145" i="9"/>
  <c r="L436" i="9"/>
  <c r="L401" i="9"/>
  <c r="L155" i="9"/>
  <c r="L405" i="9"/>
  <c r="L267" i="9"/>
  <c r="L166" i="9"/>
  <c r="L62" i="9"/>
  <c r="L316" i="9"/>
  <c r="L360" i="9"/>
  <c r="L283" i="9"/>
  <c r="L224" i="9"/>
  <c r="L37" i="9"/>
  <c r="L210" i="9"/>
  <c r="L306" i="9"/>
  <c r="L244" i="9"/>
  <c r="L98" i="9"/>
  <c r="L326" i="9"/>
  <c r="L388" i="9"/>
  <c r="L343" i="9"/>
  <c r="L74" i="9"/>
  <c r="L426" i="9"/>
  <c r="L407" i="9"/>
  <c r="L254" i="9"/>
  <c r="L156" i="9"/>
  <c r="AQ82" i="9"/>
  <c r="L233" i="9"/>
  <c r="AQ44" i="9"/>
  <c r="L380" i="9"/>
  <c r="L268" i="9"/>
  <c r="L396" i="9"/>
  <c r="L321" i="9"/>
  <c r="L260" i="9"/>
  <c r="L351" i="9"/>
  <c r="L146" i="9"/>
  <c r="L340" i="9"/>
  <c r="L234" i="9"/>
  <c r="AQ83" i="9"/>
  <c r="L331" i="9"/>
  <c r="L135" i="9"/>
  <c r="L212" i="9"/>
  <c r="L296" i="9"/>
  <c r="L429" i="9"/>
  <c r="L110" i="9"/>
  <c r="AQ41" i="9"/>
  <c r="L116" i="9"/>
  <c r="L413" i="9"/>
  <c r="L417" i="9"/>
  <c r="L208" i="9"/>
  <c r="L300" i="9"/>
  <c r="L230" i="9"/>
  <c r="L411" i="9"/>
  <c r="L269" i="9"/>
  <c r="L383" i="9"/>
  <c r="AQ68" i="9"/>
  <c r="L167" i="9"/>
  <c r="L339" i="9"/>
  <c r="AQ60" i="9"/>
  <c r="L308" i="9"/>
  <c r="L381" i="9"/>
  <c r="L54" i="9"/>
  <c r="L421" i="9"/>
  <c r="L144" i="9"/>
  <c r="L56" i="9"/>
  <c r="AQ55" i="9"/>
  <c r="L322" i="9"/>
  <c r="L67" i="9"/>
  <c r="L133" i="9"/>
  <c r="L394" i="9"/>
  <c r="AQ47" i="9"/>
  <c r="L76" i="9"/>
  <c r="AQ65" i="9"/>
  <c r="L220" i="9"/>
  <c r="AQ86" i="9"/>
  <c r="L348" i="9"/>
  <c r="L245" i="9"/>
  <c r="L41" i="9"/>
  <c r="L57" i="9"/>
  <c r="L117" i="9"/>
  <c r="L251" i="9"/>
  <c r="L404" i="9"/>
  <c r="L345" i="9"/>
  <c r="L256" i="9"/>
  <c r="L77" i="9"/>
  <c r="L273" i="9"/>
  <c r="L79" i="9"/>
  <c r="L236" i="9"/>
  <c r="AQ57" i="9"/>
  <c r="L195" i="9"/>
  <c r="L430" i="9"/>
  <c r="L299" i="9"/>
  <c r="L59" i="9"/>
  <c r="L45" i="9"/>
  <c r="L363" i="9"/>
  <c r="L352" i="9"/>
  <c r="L349" i="9"/>
  <c r="L181" i="9"/>
  <c r="L298" i="9"/>
  <c r="L278" i="9"/>
  <c r="L313" i="9"/>
  <c r="L279" i="9"/>
  <c r="L129" i="9"/>
  <c r="L39" i="9"/>
  <c r="L356" i="9"/>
  <c r="L90" i="9"/>
  <c r="L285" i="9"/>
  <c r="L64" i="9"/>
  <c r="L60" i="9"/>
  <c r="AQ61" i="9"/>
  <c r="L266" i="9"/>
  <c r="L337" i="9"/>
  <c r="L229" i="9"/>
  <c r="L162" i="9"/>
  <c r="L237" i="9"/>
  <c r="L437" i="9"/>
  <c r="L341" i="9"/>
  <c r="L403" i="9"/>
  <c r="L243" i="9"/>
  <c r="L150" i="9"/>
  <c r="L408" i="9"/>
  <c r="AQ69" i="9"/>
  <c r="L94" i="9"/>
  <c r="L277" i="9"/>
  <c r="L249" i="9"/>
  <c r="L108" i="9"/>
  <c r="L414" i="9"/>
  <c r="L427" i="9"/>
  <c r="AQ80" i="9"/>
  <c r="L232" i="9"/>
  <c r="L170" i="9"/>
  <c r="L107" i="9"/>
  <c r="L369" i="9"/>
  <c r="L416" i="9"/>
  <c r="L50" i="9"/>
  <c r="L287" i="9"/>
  <c r="L127" i="9"/>
  <c r="L368" i="9"/>
  <c r="L409" i="9"/>
  <c r="L46" i="9"/>
  <c r="L350" i="9"/>
  <c r="L197" i="9"/>
  <c r="L114" i="9"/>
  <c r="L205" i="9"/>
  <c r="L354" i="9"/>
  <c r="L420" i="9"/>
  <c r="L263" i="9"/>
  <c r="L302" i="9"/>
  <c r="AQ87" i="9"/>
  <c r="L85" i="9"/>
  <c r="L222" i="9"/>
  <c r="L333" i="9"/>
  <c r="L347" i="9"/>
  <c r="L389" i="9"/>
  <c r="L239" i="9"/>
  <c r="L52" i="9"/>
  <c r="L209" i="9"/>
  <c r="AQ73" i="9"/>
  <c r="L141" i="9"/>
  <c r="L172" i="9"/>
  <c r="L330" i="9"/>
  <c r="L240" i="9"/>
  <c r="AQ40" i="9"/>
  <c r="L71" i="9"/>
  <c r="L139" i="9"/>
  <c r="AQ58" i="9"/>
  <c r="L386" i="9"/>
  <c r="L219" i="9"/>
  <c r="L101" i="9"/>
  <c r="L357" i="9"/>
  <c r="L406" i="9"/>
  <c r="AQ75" i="9"/>
  <c r="L163" i="9"/>
  <c r="L61" i="9"/>
  <c r="L242" i="9"/>
  <c r="L51" i="9"/>
  <c r="L324" i="9"/>
  <c r="L415" i="9"/>
  <c r="L410" i="9"/>
  <c r="L398" i="9"/>
  <c r="L84" i="9"/>
  <c r="L288" i="9"/>
  <c r="H101" i="33"/>
  <c r="M37" i="9"/>
  <c r="AA41" i="9" s="1"/>
  <c r="M393" i="9"/>
  <c r="M422" i="9"/>
  <c r="M137" i="9"/>
  <c r="M394" i="9"/>
  <c r="M400" i="9"/>
  <c r="M67" i="9"/>
  <c r="AU44" i="9"/>
  <c r="AU63" i="9"/>
  <c r="M334" i="9"/>
  <c r="M140" i="9"/>
  <c r="AU41" i="9"/>
  <c r="M260" i="9"/>
  <c r="AU83" i="9"/>
  <c r="M68" i="9"/>
  <c r="M232" i="9"/>
  <c r="M111" i="9"/>
  <c r="M173" i="9"/>
  <c r="M252" i="9"/>
  <c r="M127" i="9"/>
  <c r="M105" i="9"/>
  <c r="M338" i="9"/>
  <c r="M261" i="9"/>
  <c r="M357" i="9"/>
  <c r="M291" i="9"/>
  <c r="M244" i="9"/>
  <c r="M62" i="9"/>
  <c r="M397" i="9"/>
  <c r="M297" i="9"/>
  <c r="M436" i="9"/>
  <c r="M75" i="9"/>
  <c r="M356" i="9"/>
  <c r="M200" i="9"/>
  <c r="M59" i="9"/>
  <c r="M126" i="9"/>
  <c r="M116" i="9"/>
  <c r="M407" i="9"/>
  <c r="M117" i="9"/>
  <c r="M212" i="9"/>
  <c r="M333" i="9"/>
  <c r="M92" i="9"/>
  <c r="M149" i="9"/>
  <c r="M191" i="9"/>
  <c r="M158" i="9"/>
  <c r="M204" i="9"/>
  <c r="M299" i="9"/>
  <c r="M38" i="9"/>
  <c r="M223" i="9"/>
  <c r="M423" i="9"/>
  <c r="M42" i="9"/>
  <c r="M58" i="9"/>
  <c r="M329" i="9"/>
  <c r="M43" i="9"/>
  <c r="M221" i="9"/>
  <c r="M69" i="9"/>
  <c r="M71" i="9"/>
  <c r="M431" i="9"/>
  <c r="AU88" i="9"/>
  <c r="M93" i="9"/>
  <c r="M371" i="9"/>
  <c r="M53" i="9"/>
  <c r="M247" i="9"/>
  <c r="M132" i="9"/>
  <c r="M182" i="9"/>
  <c r="AU46" i="9"/>
  <c r="M409" i="9"/>
  <c r="M46" i="9"/>
  <c r="M408" i="9"/>
  <c r="M41" i="9"/>
  <c r="M248" i="9"/>
  <c r="M216" i="9"/>
  <c r="M367" i="9"/>
  <c r="M267" i="9"/>
  <c r="AU48" i="9"/>
  <c r="AU66" i="9"/>
  <c r="M167" i="9"/>
  <c r="M361" i="9"/>
  <c r="M225" i="9"/>
  <c r="M421" i="9"/>
  <c r="M390" i="9"/>
  <c r="M336" i="9"/>
  <c r="M87" i="9"/>
  <c r="M228" i="9"/>
  <c r="M201" i="9"/>
  <c r="M316" i="9"/>
  <c r="AU68" i="9"/>
  <c r="M194" i="9"/>
  <c r="M186" i="9"/>
  <c r="M288" i="9"/>
  <c r="M78" i="9"/>
  <c r="M303" i="9"/>
  <c r="M79" i="9"/>
  <c r="M219" i="9"/>
  <c r="M144" i="9"/>
  <c r="AU79" i="9"/>
  <c r="M344" i="9"/>
  <c r="M183" i="9"/>
  <c r="AU78" i="9"/>
  <c r="M211" i="9"/>
  <c r="M168" i="9"/>
  <c r="AU73" i="9"/>
  <c r="M44" i="9"/>
  <c r="AU82" i="9"/>
  <c r="M424" i="9"/>
  <c r="M345" i="9"/>
  <c r="M350" i="9"/>
  <c r="M189" i="9"/>
  <c r="M237" i="9"/>
  <c r="M135" i="9"/>
  <c r="M77" i="9"/>
  <c r="M49" i="9"/>
  <c r="AU81" i="9"/>
  <c r="M264" i="9"/>
  <c r="AU87" i="9"/>
  <c r="M255" i="9"/>
  <c r="M162" i="9"/>
  <c r="M293" i="9"/>
  <c r="M139" i="9"/>
  <c r="M143" i="9"/>
  <c r="M61" i="9"/>
  <c r="AU52" i="9"/>
  <c r="M328" i="9"/>
  <c r="M154" i="9"/>
  <c r="M379" i="9"/>
  <c r="M286" i="9"/>
  <c r="M274" i="9"/>
  <c r="M107" i="9"/>
  <c r="M160" i="9"/>
  <c r="M125" i="9"/>
  <c r="M220" i="9"/>
  <c r="M429" i="9"/>
  <c r="M340" i="9"/>
  <c r="M354" i="9"/>
  <c r="M308" i="9"/>
  <c r="M106" i="9"/>
  <c r="M405" i="9"/>
  <c r="AU40" i="9"/>
  <c r="M129" i="9"/>
  <c r="M174" i="9"/>
  <c r="M161" i="9"/>
  <c r="M259" i="9"/>
  <c r="M268" i="9"/>
  <c r="M159" i="9"/>
  <c r="M242" i="9"/>
  <c r="M83" i="9"/>
  <c r="M404" i="9"/>
  <c r="M332" i="9"/>
  <c r="M188" i="9"/>
  <c r="M119" i="9"/>
  <c r="M66" i="9"/>
  <c r="M280" i="9"/>
  <c r="M319" i="9"/>
  <c r="M396" i="9"/>
  <c r="M208" i="9"/>
  <c r="M101" i="9"/>
  <c r="AU59" i="9"/>
  <c r="M198" i="9"/>
  <c r="M419" i="9"/>
  <c r="M145" i="9"/>
  <c r="M287" i="9"/>
  <c r="M192" i="9"/>
  <c r="M175" i="9"/>
  <c r="M56" i="9"/>
  <c r="M331" i="9"/>
  <c r="M73" i="9"/>
  <c r="AU64" i="9"/>
  <c r="M245" i="9"/>
  <c r="AU69" i="9"/>
  <c r="M314" i="9"/>
  <c r="M374" i="9"/>
  <c r="M300" i="9"/>
  <c r="M177" i="9"/>
  <c r="M376" i="9"/>
  <c r="AU51" i="9"/>
  <c r="M330" i="9"/>
  <c r="M157" i="9"/>
  <c r="M187" i="9"/>
  <c r="M226" i="9"/>
  <c r="M163" i="9"/>
  <c r="M217" i="9"/>
  <c r="M146" i="9"/>
  <c r="M134" i="9"/>
  <c r="M389" i="9"/>
  <c r="M109" i="9"/>
  <c r="M292" i="9"/>
  <c r="M378" i="9"/>
  <c r="AU89" i="9"/>
  <c r="M418" i="9"/>
  <c r="AU43" i="9"/>
  <c r="M388" i="9"/>
  <c r="M304" i="9"/>
  <c r="M335" i="9"/>
  <c r="M263" i="9"/>
  <c r="M315" i="9"/>
  <c r="M151" i="9"/>
  <c r="M284" i="9"/>
  <c r="M296" i="9"/>
  <c r="M282" i="9"/>
  <c r="M172" i="9"/>
  <c r="M40" i="9"/>
  <c r="AU71" i="9"/>
  <c r="M412" i="9"/>
  <c r="M210" i="9"/>
  <c r="M54" i="9"/>
  <c r="M108" i="9"/>
  <c r="M124" i="9"/>
  <c r="AU67" i="9"/>
  <c r="AU72" i="9"/>
  <c r="M202" i="9"/>
  <c r="M342" i="9"/>
  <c r="M171" i="9"/>
  <c r="M283" i="9"/>
  <c r="M265" i="9"/>
  <c r="M240" i="9"/>
  <c r="M185" i="9"/>
  <c r="M203" i="9"/>
  <c r="M165" i="9"/>
  <c r="M250" i="9"/>
  <c r="M365" i="9"/>
  <c r="M136" i="9"/>
  <c r="M387" i="9"/>
  <c r="M392" i="9"/>
  <c r="M253" i="9"/>
  <c r="M437" i="9"/>
  <c r="M74" i="9"/>
  <c r="M305" i="9"/>
  <c r="M181" i="9"/>
  <c r="M209" i="9"/>
  <c r="M385" i="9"/>
  <c r="M375" i="9"/>
  <c r="M102" i="9"/>
  <c r="M115" i="9"/>
  <c r="M147" i="9"/>
  <c r="M360" i="9"/>
  <c r="M358" i="9"/>
  <c r="M88" i="9"/>
  <c r="AU75" i="9"/>
  <c r="M347" i="9"/>
  <c r="AU49" i="9"/>
  <c r="M138" i="9"/>
  <c r="M307" i="9"/>
  <c r="M311" i="9"/>
  <c r="M184" i="9"/>
  <c r="M206" i="9"/>
  <c r="M341" i="9"/>
  <c r="M170" i="9"/>
  <c r="M351" i="9"/>
  <c r="M85" i="9"/>
  <c r="M401" i="9"/>
  <c r="M70" i="9"/>
  <c r="M415" i="9"/>
  <c r="M380" i="9"/>
  <c r="M322" i="9"/>
  <c r="M279" i="9"/>
  <c r="M82" i="9"/>
  <c r="M218" i="9"/>
  <c r="AU56" i="9"/>
  <c r="M321" i="9"/>
  <c r="M278" i="9"/>
  <c r="M51" i="9"/>
  <c r="M363" i="9"/>
  <c r="M142" i="9"/>
  <c r="M302" i="9"/>
  <c r="M337" i="9"/>
  <c r="M178" i="9"/>
  <c r="M353" i="9"/>
  <c r="M362" i="9"/>
  <c r="M416" i="9"/>
  <c r="AU47" i="9"/>
  <c r="M238" i="9"/>
  <c r="M298" i="9"/>
  <c r="M395" i="9"/>
  <c r="M197" i="9"/>
  <c r="M153" i="9"/>
  <c r="M352" i="9"/>
  <c r="M339" i="9"/>
  <c r="M155" i="9"/>
  <c r="M254" i="9"/>
  <c r="BQ40" i="9"/>
  <c r="M100" i="9"/>
  <c r="M417" i="9"/>
  <c r="M243" i="9"/>
  <c r="M55" i="9"/>
  <c r="M57" i="9"/>
  <c r="M122" i="9"/>
  <c r="M258" i="9"/>
  <c r="M39" i="9"/>
  <c r="M317" i="9"/>
  <c r="M277" i="9"/>
  <c r="M369" i="9"/>
  <c r="M273" i="9"/>
  <c r="M399" i="9"/>
  <c r="M99" i="9"/>
  <c r="M366" i="9"/>
  <c r="AU54" i="9"/>
  <c r="M294" i="9"/>
  <c r="M269" i="9"/>
  <c r="M98" i="9"/>
  <c r="M118" i="9"/>
  <c r="M179" i="9"/>
  <c r="M227" i="9"/>
  <c r="M246" i="9"/>
  <c r="M166" i="9"/>
  <c r="M310" i="9"/>
  <c r="M214" i="9"/>
  <c r="AU76" i="9"/>
  <c r="M306" i="9"/>
  <c r="M251" i="9"/>
  <c r="M86" i="9"/>
  <c r="M196" i="9"/>
  <c r="M236" i="9"/>
  <c r="M430" i="9"/>
  <c r="M96" i="9"/>
  <c r="M377" i="9"/>
  <c r="M428" i="9"/>
  <c r="M63" i="9"/>
  <c r="M309" i="9"/>
  <c r="M84" i="9"/>
  <c r="AU55" i="9"/>
  <c r="M275" i="9"/>
  <c r="M382" i="9"/>
  <c r="AU60" i="9"/>
  <c r="AU85" i="9"/>
  <c r="M325" i="9"/>
  <c r="M128" i="9"/>
  <c r="M413" i="9"/>
  <c r="M403" i="9"/>
  <c r="AU84" i="9"/>
  <c r="M323" i="9"/>
  <c r="AU74" i="9"/>
  <c r="M90" i="9"/>
  <c r="M156" i="9"/>
  <c r="M164" i="9"/>
  <c r="M47" i="9"/>
  <c r="M231" i="9"/>
  <c r="M72" i="9"/>
  <c r="M411" i="9"/>
  <c r="AU39" i="9"/>
  <c r="M64" i="9"/>
  <c r="M193" i="9"/>
  <c r="M94" i="9"/>
  <c r="M131" i="9"/>
  <c r="M381" i="9"/>
  <c r="M272" i="9"/>
  <c r="AU86" i="9"/>
  <c r="M262" i="9"/>
  <c r="M290" i="9"/>
  <c r="AU50" i="9"/>
  <c r="M435" i="9"/>
  <c r="M80" i="9"/>
  <c r="M50" i="9"/>
  <c r="M434" i="9"/>
  <c r="AU58" i="9"/>
  <c r="M215" i="9"/>
  <c r="AU77" i="9"/>
  <c r="M249" i="9"/>
  <c r="AU53" i="9"/>
  <c r="AU45" i="9"/>
  <c r="AU42" i="9"/>
  <c r="M433" i="9"/>
  <c r="M410" i="9"/>
  <c r="AU65" i="9"/>
  <c r="M45" i="9"/>
  <c r="M234" i="9"/>
  <c r="M65" i="9"/>
  <c r="M95" i="9"/>
  <c r="M239" i="9"/>
  <c r="M289" i="9"/>
  <c r="M257" i="9"/>
  <c r="M281" i="9"/>
  <c r="M373" i="9"/>
  <c r="M76" i="9"/>
  <c r="M301" i="9"/>
  <c r="M112" i="9"/>
  <c r="M346" i="9"/>
  <c r="M229" i="9"/>
  <c r="M224" i="9"/>
  <c r="M359" i="9"/>
  <c r="M114" i="9"/>
  <c r="M326" i="9"/>
  <c r="M364" i="9"/>
  <c r="M97" i="9"/>
  <c r="M391" i="9"/>
  <c r="M324" i="9"/>
  <c r="M425" i="9"/>
  <c r="M427" i="9"/>
  <c r="M370" i="9"/>
  <c r="M420" i="9"/>
  <c r="M270" i="9"/>
  <c r="M276" i="9"/>
  <c r="M89" i="9"/>
  <c r="M169" i="9"/>
  <c r="M327" i="9"/>
  <c r="M241" i="9"/>
  <c r="AU57" i="9"/>
  <c r="M285" i="9"/>
  <c r="AU62" i="9"/>
  <c r="M133" i="9"/>
  <c r="M48" i="9"/>
  <c r="M60" i="9"/>
  <c r="M384" i="9"/>
  <c r="M91" i="9"/>
  <c r="M121" i="9"/>
  <c r="M113" i="9"/>
  <c r="M402" i="9"/>
  <c r="M256" i="9"/>
  <c r="M312" i="9"/>
  <c r="M318" i="9"/>
  <c r="M230" i="9"/>
  <c r="M123" i="9"/>
  <c r="M190" i="9"/>
  <c r="M432" i="9"/>
  <c r="M348" i="9"/>
  <c r="AU70" i="9"/>
  <c r="M104" i="9"/>
  <c r="AU61" i="9"/>
  <c r="M398" i="9"/>
  <c r="M180" i="9"/>
  <c r="M414" i="9"/>
  <c r="M130" i="9"/>
  <c r="M295" i="9"/>
  <c r="M343" i="9"/>
  <c r="M383" i="9"/>
  <c r="M199" i="9"/>
  <c r="M349" i="9"/>
  <c r="M222" i="9"/>
  <c r="M207" i="9"/>
  <c r="M213" i="9"/>
  <c r="M52" i="9"/>
  <c r="M235" i="9"/>
  <c r="M103" i="9"/>
  <c r="M152" i="9"/>
  <c r="M195" i="9"/>
  <c r="M271" i="9"/>
  <c r="M313" i="9"/>
  <c r="M141" i="9"/>
  <c r="M81" i="9"/>
  <c r="M355" i="9"/>
  <c r="M150" i="9"/>
  <c r="M386" i="9"/>
  <c r="M148" i="9"/>
  <c r="M266" i="9"/>
  <c r="M426" i="9"/>
  <c r="M120" i="9"/>
  <c r="AU80" i="9"/>
  <c r="M233" i="9"/>
  <c r="M320" i="9"/>
  <c r="M372" i="9"/>
  <c r="M176" i="9"/>
  <c r="M205" i="9"/>
  <c r="M406" i="9"/>
  <c r="M110" i="9"/>
  <c r="M368" i="9"/>
  <c r="H86" i="33"/>
  <c r="H66" i="33"/>
  <c r="H70" i="33"/>
  <c r="H89" i="33"/>
  <c r="C17" i="19" l="1"/>
  <c r="F17" i="19"/>
  <c r="AH40" i="9"/>
  <c r="AG41" i="9"/>
  <c r="AH41" i="9" l="1"/>
  <c r="AG42" i="9"/>
  <c r="AH42" i="9" l="1"/>
  <c r="AG43" i="9"/>
  <c r="AH43" i="9" l="1"/>
  <c r="AG44" i="9"/>
  <c r="AH44" i="9" l="1"/>
  <c r="AG45" i="9"/>
  <c r="AH45" i="9" l="1"/>
  <c r="AG46" i="9"/>
  <c r="AH46" i="9" l="1"/>
  <c r="AG47" i="9"/>
  <c r="AH47" i="9" l="1"/>
  <c r="AG48" i="9"/>
  <c r="AH48" i="9" l="1"/>
  <c r="AG49" i="9"/>
  <c r="AH49" i="9" l="1"/>
  <c r="AG50" i="9"/>
  <c r="AH50" i="9" l="1"/>
  <c r="AG51" i="9"/>
  <c r="AH51" i="9" l="1"/>
  <c r="AG52" i="9"/>
  <c r="AH52" i="9" l="1"/>
  <c r="AG53" i="9"/>
  <c r="AH53" i="9" l="1"/>
  <c r="AG54" i="9"/>
  <c r="AH54" i="9" l="1"/>
  <c r="AG55" i="9"/>
  <c r="AH55" i="9" l="1"/>
  <c r="AG56" i="9"/>
  <c r="AH56" i="9" l="1"/>
  <c r="AG57" i="9"/>
  <c r="AH57" i="9" l="1"/>
  <c r="AG58" i="9"/>
  <c r="AH58" i="9" l="1"/>
  <c r="AG59" i="9"/>
  <c r="AG60" i="9" l="1"/>
  <c r="AH59" i="9"/>
  <c r="AG61" i="9" l="1"/>
  <c r="AH60" i="9"/>
  <c r="AH61" i="9" l="1"/>
  <c r="AG62" i="9"/>
  <c r="AH62" i="9" l="1"/>
  <c r="AG63" i="9"/>
  <c r="AH63" i="9" l="1"/>
  <c r="AG64" i="9"/>
  <c r="AG65" i="9" l="1"/>
  <c r="AH64" i="9"/>
  <c r="AH65" i="9" l="1"/>
  <c r="AG66" i="9"/>
  <c r="AH66" i="9" l="1"/>
  <c r="AG67" i="9"/>
  <c r="AH67" i="9" l="1"/>
  <c r="AG68" i="9"/>
  <c r="AH68" i="9" l="1"/>
  <c r="AG69" i="9"/>
  <c r="AH69" i="9" l="1"/>
  <c r="AG70" i="9"/>
  <c r="AG71" i="9" l="1"/>
  <c r="AH71" i="9" s="1"/>
  <c r="AH7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Solomon, Percy</author>
  </authors>
  <commentList>
    <comment ref="R36" authorId="0" shapeId="0" xr:uid="{72BF401F-92C4-47E4-AD39-529B8B81EC1D}">
      <text>
        <r>
          <rPr>
            <b/>
            <sz val="9"/>
            <color indexed="81"/>
            <rFont val="Tahoma"/>
            <family val="2"/>
          </rPr>
          <t>Solomon, Percy:</t>
        </r>
        <r>
          <rPr>
            <sz val="9"/>
            <color indexed="81"/>
            <rFont val="Tahoma"/>
            <family val="2"/>
          </rPr>
          <t xml:space="preserve">
Gust V = -50ft/s
at Vd</t>
        </r>
      </text>
    </comment>
    <comment ref="S36" authorId="0" shapeId="0" xr:uid="{DD115BDC-6E11-42DE-8C7F-D7A518CD7D42}">
      <text>
        <r>
          <rPr>
            <b/>
            <sz val="9"/>
            <color indexed="81"/>
            <rFont val="Tahoma"/>
            <family val="2"/>
          </rPr>
          <t>Solomon, Percy:</t>
        </r>
        <r>
          <rPr>
            <sz val="9"/>
            <color indexed="81"/>
            <rFont val="Tahoma"/>
            <family val="2"/>
          </rPr>
          <t xml:space="preserve">
gust v = -25ft/s at vd</t>
        </r>
      </text>
    </comment>
    <comment ref="T36" authorId="0" shapeId="0" xr:uid="{3668B9D7-1C52-4C82-BDAF-D4A3F209D7B1}">
      <text>
        <r>
          <rPr>
            <b/>
            <sz val="9"/>
            <color indexed="81"/>
            <rFont val="Tahoma"/>
            <family val="2"/>
          </rPr>
          <t>Solomon, Percy:</t>
        </r>
        <r>
          <rPr>
            <sz val="9"/>
            <color indexed="81"/>
            <rFont val="Tahoma"/>
            <family val="2"/>
          </rPr>
          <t xml:space="preserve">
gust v= 25 ft/s at Vd</t>
        </r>
      </text>
    </comment>
    <comment ref="U36" authorId="0" shapeId="0" xr:uid="{C8E87B24-0AB8-48E1-8AC7-876DB944D758}">
      <text>
        <r>
          <rPr>
            <b/>
            <sz val="9"/>
            <color indexed="81"/>
            <rFont val="Tahoma"/>
            <family val="2"/>
          </rPr>
          <t>Solomon, Percy:</t>
        </r>
        <r>
          <rPr>
            <sz val="9"/>
            <color indexed="81"/>
            <rFont val="Tahoma"/>
            <family val="2"/>
          </rPr>
          <t xml:space="preserve">
gust v = 50ft/s at Vc</t>
        </r>
      </text>
    </comment>
    <comment ref="Y36" authorId="0" shapeId="0" xr:uid="{77797BA3-472D-4A55-B662-A2B1A0909639}">
      <text>
        <r>
          <rPr>
            <b/>
            <sz val="9"/>
            <color indexed="81"/>
            <rFont val="Tahoma"/>
            <family val="2"/>
          </rPr>
          <t>Solomon, Percy:</t>
        </r>
        <r>
          <rPr>
            <sz val="9"/>
            <color indexed="81"/>
            <rFont val="Tahoma"/>
            <family val="2"/>
          </rPr>
          <t xml:space="preserve">
Gust V = -50ft/s
at Vd</t>
        </r>
      </text>
    </comment>
    <comment ref="Z36" authorId="0" shapeId="0" xr:uid="{7637A5A7-CBB8-48B7-A6E3-CDC2292D8629}">
      <text>
        <r>
          <rPr>
            <b/>
            <sz val="9"/>
            <color indexed="81"/>
            <rFont val="Tahoma"/>
            <family val="2"/>
          </rPr>
          <t>Solomon, Percy:</t>
        </r>
        <r>
          <rPr>
            <sz val="9"/>
            <color indexed="81"/>
            <rFont val="Tahoma"/>
            <family val="2"/>
          </rPr>
          <t xml:space="preserve">
gust v = 50ft/s at Vc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tc={D1FDF726-72B4-4AEE-A4C0-AC005285BB8E}</author>
  </authors>
  <commentList>
    <comment ref="C68" authorId="0" shapeId="0" xr:uid="{D1FDF726-72B4-4AEE-A4C0-AC005285BB8E}">
      <text>
        <t>[Threaded comment]
Your version of Excel allows you to read this threaded comment; however, any edits to it will get removed if the file is opened in a newer version of Excel. Learn more: https://go.microsoft.com/fwlink/?linkid=870924
Comment:
    @Chidester, Alexander D. Assuming what for thrust efficiency? My research shows about 0.75</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tc={45C6F20A-E145-47C6-9D64-8E167FD598EF}</author>
    <author>tc={C9BD8F85-C1ED-4B32-82B0-38CFA651D3BE}</author>
    <author>tc={654F465D-1EEF-4E26-BE23-766F3BC0E41C}</author>
    <author>tc={1654643E-1682-4C49-97D0-8292C87C6543}</author>
    <author>tc={48A30A04-FD3B-4A65-8045-492E05DB091E}</author>
    <author>tc={02487A87-2051-447B-AC5C-5FB5904FA9B8}</author>
    <author>tc={39A535F7-CC30-4728-BB35-DB3C57921893}</author>
    <author>tc={FBE87100-DAF8-4FBB-8931-68CA64F5CA73}</author>
  </authors>
  <commentList>
    <comment ref="P1" authorId="0" shapeId="0" xr:uid="{45C6F20A-E145-47C6-9D64-8E167FD598EF}">
      <text>
        <t>[Threaded comment]
Your version of Excel allows you to read this threaded comment; however, any edits to it will get removed if the file is opened in a newer version of Excel. Learn more: https://go.microsoft.com/fwlink/?linkid=870924
Comment:
    Double check formulas</t>
      </text>
    </comment>
    <comment ref="C5" authorId="1" shapeId="0" xr:uid="{C9BD8F85-C1ED-4B32-82B0-38CFA651D3BE}">
      <text>
        <t>[Threaded comment]
Your version of Excel allows you to read this threaded comment; however, any edits to it will get removed if the file is opened in a newer version of Excel. Learn more: https://go.microsoft.com/fwlink/?linkid=870924
Comment:
    Estimate from Gudmenson’s book</t>
      </text>
    </comment>
    <comment ref="C13" authorId="2" shapeId="0" xr:uid="{654F465D-1EEF-4E26-BE23-766F3BC0E41C}">
      <text>
        <t>[Threaded comment]
Your version of Excel allows you to read this threaded comment; however, any edits to it will get removed if the file is opened in a newer version of Excel. Learn more: https://go.microsoft.com/fwlink/?linkid=870924
Comment:
    @Solomon, Percy is this value specifically in KTAS not KCAS? you can find the value for KTAS in the Drag tab</t>
      </text>
    </comment>
    <comment ref="C14" authorId="3" shapeId="0" xr:uid="{1654643E-1682-4C49-97D0-8292C87C6543}">
      <text>
        <t>[Threaded comment]
Your version of Excel allows you to read this threaded comment; however, any edits to it will get removed if the file is opened in a newer version of Excel. Learn more: https://go.microsoft.com/fwlink/?linkid=870924
Comment:
    Estimated based on book</t>
      </text>
    </comment>
    <comment ref="C20" authorId="4" shapeId="0" xr:uid="{48A30A04-FD3B-4A65-8045-492E05DB091E}">
      <text>
        <t>[Threaded comment]
Your version of Excel allows you to read this threaded comment; however, any edits to it will get removed if the file is opened in a newer version of Excel. Learn more: https://go.microsoft.com/fwlink/?linkid=870924
Comment:
    Estimated based on similar planes</t>
      </text>
    </comment>
    <comment ref="C29" authorId="5" shapeId="0" xr:uid="{02487A87-2051-447B-AC5C-5FB5904FA9B8}">
      <text>
        <t>[Threaded comment]
Your version of Excel allows you to read this threaded comment; however, any edits to it will get removed if the file is opened in a newer version of Excel. Learn more: https://go.microsoft.com/fwlink/?linkid=870924
Comment:
    Based on chart in book</t>
      </text>
    </comment>
    <comment ref="C30" authorId="6" shapeId="0" xr:uid="{39A535F7-CC30-4728-BB35-DB3C57921893}">
      <text>
        <t>[Threaded comment]
Your version of Excel allows you to read this threaded comment; however, any edits to it will get removed if the file is opened in a newer version of Excel. Learn more: https://go.microsoft.com/fwlink/?linkid=870924
Comment:
    Estimated based on chart in book</t>
      </text>
    </comment>
    <comment ref="C32" authorId="7" shapeId="0" xr:uid="{FBE87100-DAF8-4FBB-8931-68CA64F5CA73}">
      <text>
        <t>[Threaded comment]
Your version of Excel allows you to read this threaded comment; however, any edits to it will get removed if the file is opened in a newer version of Excel. Learn more: https://go.microsoft.com/fwlink/?linkid=870924
Comment:
    Estimated based on book</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tc={741A5AFE-AD3F-454D-9714-AAC01F5AA3CA}</author>
    <author>tc={199419D7-7F9A-4902-A9F0-4AA2095B3876}</author>
    <author>tc={8D76C0B8-7FDC-4DAE-972F-9A299B5CF455}</author>
    <author>tc={EF6FEA49-9ACF-4055-9711-0E2BE9494020}</author>
    <author>tc={9205BDFA-690C-44E7-89FA-F5A5A31B085B}</author>
    <author>tc={96D594BA-1BC5-47A2-B3CA-4289ECF8044D}</author>
    <author>tc={3308A5C6-F1D8-42AE-B776-49ACC4073E99}</author>
    <author>tc={ECA35C34-6EB8-4B14-A18E-A7AC67F204C2}</author>
  </authors>
  <commentList>
    <comment ref="P1" authorId="0" shapeId="0" xr:uid="{741A5AFE-AD3F-454D-9714-AAC01F5AA3CA}">
      <text>
        <t>[Threaded comment]
Your version of Excel allows you to read this threaded comment; however, any edits to it will get removed if the file is opened in a newer version of Excel. Learn more: https://go.microsoft.com/fwlink/?linkid=870924
Comment:
    Double check formulas</t>
      </text>
    </comment>
    <comment ref="C5" authorId="1" shapeId="0" xr:uid="{199419D7-7F9A-4902-A9F0-4AA2095B3876}">
      <text>
        <t>[Threaded comment]
Your version of Excel allows you to read this threaded comment; however, any edits to it will get removed if the file is opened in a newer version of Excel. Learn more: https://go.microsoft.com/fwlink/?linkid=870924
Comment:
    Estimate from Gudmenson’s book</t>
      </text>
    </comment>
    <comment ref="C13" authorId="2" shapeId="0" xr:uid="{8D76C0B8-7FDC-4DAE-972F-9A299B5CF455}">
      <text>
        <t>[Threaded comment]
Your version of Excel allows you to read this threaded comment; however, any edits to it will get removed if the file is opened in a newer version of Excel. Learn more: https://go.microsoft.com/fwlink/?linkid=870924
Comment:
    @Solomon, Percy is this value specifically in KTAS not KCAS? you can find the value for KTAS in the Drag tab</t>
      </text>
    </comment>
    <comment ref="C14" authorId="3" shapeId="0" xr:uid="{EF6FEA49-9ACF-4055-9711-0E2BE9494020}">
      <text>
        <t>[Threaded comment]
Your version of Excel allows you to read this threaded comment; however, any edits to it will get removed if the file is opened in a newer version of Excel. Learn more: https://go.microsoft.com/fwlink/?linkid=870924
Comment:
    Estimated based on book</t>
      </text>
    </comment>
    <comment ref="C20" authorId="4" shapeId="0" xr:uid="{9205BDFA-690C-44E7-89FA-F5A5A31B085B}">
      <text>
        <t>[Threaded comment]
Your version of Excel allows you to read this threaded comment; however, any edits to it will get removed if the file is opened in a newer version of Excel. Learn more: https://go.microsoft.com/fwlink/?linkid=870924
Comment:
    Estimated based on similar planes</t>
      </text>
    </comment>
    <comment ref="C29" authorId="5" shapeId="0" xr:uid="{96D594BA-1BC5-47A2-B3CA-4289ECF8044D}">
      <text>
        <t>[Threaded comment]
Your version of Excel allows you to read this threaded comment; however, any edits to it will get removed if the file is opened in a newer version of Excel. Learn more: https://go.microsoft.com/fwlink/?linkid=870924
Comment:
    Based on chart in book</t>
      </text>
    </comment>
    <comment ref="C30" authorId="6" shapeId="0" xr:uid="{3308A5C6-F1D8-42AE-B776-49ACC4073E99}">
      <text>
        <t>[Threaded comment]
Your version of Excel allows you to read this threaded comment; however, any edits to it will get removed if the file is opened in a newer version of Excel. Learn more: https://go.microsoft.com/fwlink/?linkid=870924
Comment:
    Estimated based on chart in book</t>
      </text>
    </comment>
    <comment ref="C32" authorId="7" shapeId="0" xr:uid="{ECA35C34-6EB8-4B14-A18E-A7AC67F204C2}">
      <text>
        <t>[Threaded comment]
Your version of Excel allows you to read this threaded comment; however, any edits to it will get removed if the file is opened in a newer version of Excel. Learn more: https://go.microsoft.com/fwlink/?linkid=870924
Comment:
    Estimated based on book</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tc={B0617105-D461-481E-BFF8-4C86A3ADD076}</author>
    <author>tc={C0B0D6C0-DCF8-46DC-92D9-695836453289}</author>
    <author>tc={245186EC-B387-463C-952E-E3A9A7E2746C}</author>
    <author>tc={6E1D99A7-710F-4D29-B3FF-9E906779973E}</author>
  </authors>
  <commentList>
    <comment ref="B23" authorId="0" shapeId="0" xr:uid="{B0617105-D461-481E-BFF8-4C86A3ADD076}">
      <text>
        <t>[Threaded comment]
Your version of Excel allows you to read this threaded comment; however, any edits to it will get removed if the file is opened in a newer version of Excel. Learn more: https://go.microsoft.com/fwlink/?linkid=870924
Comment:
    @Nadolne, Kevin T. can you confirm/update these values as necessary</t>
      </text>
    </comment>
    <comment ref="C114" authorId="1" shapeId="0" xr:uid="{C0B0D6C0-DCF8-46DC-92D9-695836453289}">
      <text>
        <t>[Threaded comment]
Your version of Excel allows you to read this threaded comment; however, any edits to it will get removed if the file is opened in a newer version of Excel. Learn more: https://go.microsoft.com/fwlink/?linkid=870924
Comment:
    Check this guy</t>
      </text>
    </comment>
    <comment ref="C143" authorId="2" shapeId="0" xr:uid="{245186EC-B387-463C-952E-E3A9A7E2746C}">
      <text>
        <t>[Threaded comment]
Your version of Excel allows you to read this threaded comment; however, any edits to it will get removed if the file is opened in a newer version of Excel. Learn more: https://go.microsoft.com/fwlink/?linkid=870924
Comment:
    And this one</t>
      </text>
    </comment>
    <comment ref="C229" authorId="3" shapeId="0" xr:uid="{6E1D99A7-710F-4D29-B3FF-9E906779973E}">
      <text>
        <t>[Threaded comment]
Your version of Excel allows you to read this threaded comment; however, any edits to it will get removed if the file is opened in a newer version of Excel. Learn more: https://go.microsoft.com/fwlink/?linkid=870924
Comment:
    Check this guy</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tc={29A24FAC-3E6B-4765-82F7-A13FB8B72666}</author>
  </authors>
  <commentList>
    <comment ref="C25" authorId="0" shapeId="0" xr:uid="{29A24FAC-3E6B-4765-82F7-A13FB8B72666}">
      <text>
        <t>[Threaded comment]
Your version of Excel allows you to read this threaded comment; however, any edits to it will get removed if the file is opened in a newer version of Excel. Learn more: https://go.microsoft.com/fwlink/?linkid=870924
Comment:
    @Chidester, Alexander D. Is this the bhp? 
Reply:
    Yes, I’m going to adjust that page cause I think it’s wrong. I’m going to try and replicate the video gudmasson made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tc={3DFF37C3-0A25-44EF-99F5-5E3779210457}</author>
  </authors>
  <commentList>
    <comment ref="A53" authorId="0" shapeId="0" xr:uid="{3DFF37C3-0A25-44EF-99F5-5E3779210457}">
      <text>
        <t>[Threaded comment]
Your version of Excel allows you to read this threaded comment; however, any edits to it will get removed if the file is opened in a newer version of Excel. Learn more: https://go.microsoft.com/fwlink/?linkid=870924
Comment:
    @Arroyo, Kiana when you get a chance, let's chat about the cost per unit so i dont fuck up your graphs</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<sst xmlns="http://schemas.openxmlformats.org/spreadsheetml/2006/main" count="5211" uniqueCount="2276">
  <si>
    <t>GENERAL</t>
  </si>
  <si>
    <t>User Input</t>
  </si>
  <si>
    <t xml:space="preserve">PROJECT NAME: </t>
  </si>
  <si>
    <t>FOXTROT</t>
  </si>
  <si>
    <t>Formula</t>
  </si>
  <si>
    <t>Details</t>
  </si>
  <si>
    <t>WEIGHT</t>
  </si>
  <si>
    <t>DESCRIPTION</t>
  </si>
  <si>
    <t>SYMBOL</t>
  </si>
  <si>
    <t>VALUE</t>
  </si>
  <si>
    <t>UNITS</t>
  </si>
  <si>
    <t>COMMENT</t>
  </si>
  <si>
    <t>Design Gross Weight</t>
  </si>
  <si>
    <r>
      <t>W</t>
    </r>
    <r>
      <rPr>
        <vertAlign val="subscript"/>
        <sz val="11"/>
        <color theme="1"/>
        <rFont val="Aptos Narrow"/>
        <family val="2"/>
        <scheme val="minor"/>
      </rPr>
      <t>0</t>
    </r>
  </si>
  <si>
    <t>lb</t>
  </si>
  <si>
    <t>Gudmunssen pg.149</t>
  </si>
  <si>
    <t>gotten from teams</t>
  </si>
  <si>
    <t xml:space="preserve"> Empty Weight</t>
  </si>
  <si>
    <r>
      <t>W</t>
    </r>
    <r>
      <rPr>
        <vertAlign val="subscript"/>
        <sz val="11"/>
        <color theme="1"/>
        <rFont val="Aptos Narrow"/>
        <family val="2"/>
        <scheme val="minor"/>
      </rPr>
      <t>E</t>
    </r>
  </si>
  <si>
    <t>Structural + Engines + Seats + Elect + Battery</t>
  </si>
  <si>
    <t>Structural Weight</t>
  </si>
  <si>
    <t>Turbofan Weight</t>
  </si>
  <si>
    <t>Propellors and Motors</t>
  </si>
  <si>
    <t>Design Fuel Weight</t>
  </si>
  <si>
    <r>
      <t>W</t>
    </r>
    <r>
      <rPr>
        <vertAlign val="subscript"/>
        <sz val="11"/>
        <color theme="1"/>
        <rFont val="Aptos Narrow"/>
        <family val="2"/>
        <scheme val="minor"/>
      </rPr>
      <t>F</t>
    </r>
  </si>
  <si>
    <t>Calculated by TSFC of VH-5</t>
  </si>
  <si>
    <t>Payload Weight</t>
  </si>
  <si>
    <r>
      <t>W</t>
    </r>
    <r>
      <rPr>
        <vertAlign val="subscript"/>
        <sz val="11"/>
        <color theme="1"/>
        <rFont val="Aptos Narrow"/>
        <family val="2"/>
        <scheme val="minor"/>
      </rPr>
      <t>P</t>
    </r>
  </si>
  <si>
    <t>Baggage, PAX</t>
  </si>
  <si>
    <t>Crew Weight</t>
  </si>
  <si>
    <r>
      <t>W</t>
    </r>
    <r>
      <rPr>
        <vertAlign val="subscript"/>
        <sz val="11"/>
        <color theme="1"/>
        <rFont val="Aptos Narrow"/>
        <family val="2"/>
        <scheme val="minor"/>
      </rPr>
      <t>C</t>
    </r>
  </si>
  <si>
    <t>Assume 250 lb max w/ 10 PAX + 3 crew</t>
  </si>
  <si>
    <t>Useful Load (?)</t>
  </si>
  <si>
    <r>
      <t>W</t>
    </r>
    <r>
      <rPr>
        <vertAlign val="subscript"/>
        <sz val="11"/>
        <color theme="1"/>
        <rFont val="Aptos Narrow"/>
        <family val="2"/>
        <scheme val="minor"/>
      </rPr>
      <t>U</t>
    </r>
  </si>
  <si>
    <t>Wing Loading</t>
  </si>
  <si>
    <t>W/S =</t>
  </si>
  <si>
    <t>Gudmunssen pg.60</t>
  </si>
  <si>
    <t>Aileron Area</t>
  </si>
  <si>
    <r>
      <rPr>
        <sz val="11"/>
        <color rgb="FF000000"/>
        <rFont val="Aptos Narrow"/>
      </rPr>
      <t>S</t>
    </r>
    <r>
      <rPr>
        <vertAlign val="subscript"/>
        <sz val="11"/>
        <color rgb="FF000000"/>
        <rFont val="Aptos Narrow"/>
      </rPr>
      <t>a</t>
    </r>
  </si>
  <si>
    <r>
      <t>ft</t>
    </r>
    <r>
      <rPr>
        <vertAlign val="superscript"/>
        <sz val="11"/>
        <color theme="1"/>
        <rFont val="Aptos Narrow"/>
        <family val="2"/>
        <scheme val="minor"/>
      </rPr>
      <t>2</t>
    </r>
  </si>
  <si>
    <t>Ruddervator Area</t>
  </si>
  <si>
    <r>
      <rPr>
        <sz val="11"/>
        <color rgb="FF000000"/>
        <rFont val="Aptos Narrow"/>
      </rPr>
      <t>S</t>
    </r>
    <r>
      <rPr>
        <vertAlign val="subscript"/>
        <sz val="11"/>
        <color rgb="FF000000"/>
        <rFont val="Aptos Narrow"/>
      </rPr>
      <t>r</t>
    </r>
  </si>
  <si>
    <t>WING GEOMETRY</t>
  </si>
  <si>
    <t>Wing Area</t>
  </si>
  <si>
    <r>
      <t>S</t>
    </r>
    <r>
      <rPr>
        <vertAlign val="subscript"/>
        <sz val="11"/>
        <color theme="1"/>
        <rFont val="Aptos Narrow"/>
        <family val="2"/>
      </rPr>
      <t>W</t>
    </r>
  </si>
  <si>
    <t>Wing Aspect Ratio</t>
  </si>
  <si>
    <r>
      <rPr>
        <sz val="11"/>
        <color rgb="FF000000"/>
        <rFont val="Aptos Narrow"/>
        <family val="2"/>
      </rPr>
      <t>A</t>
    </r>
    <r>
      <rPr>
        <vertAlign val="subscript"/>
        <sz val="11"/>
        <color rgb="FF000000"/>
        <rFont val="Aptos Narrow"/>
        <family val="2"/>
      </rPr>
      <t>W</t>
    </r>
  </si>
  <si>
    <t>Wing Taper Ratio</t>
  </si>
  <si>
    <r>
      <t>λ</t>
    </r>
    <r>
      <rPr>
        <vertAlign val="subscript"/>
        <sz val="11"/>
        <color theme="1"/>
        <rFont val="Aptos Narrow"/>
        <family val="2"/>
      </rPr>
      <t>W</t>
    </r>
  </si>
  <si>
    <t>Airfoil Thickness Ratio</t>
  </si>
  <si>
    <t>t/c</t>
  </si>
  <si>
    <t>%</t>
  </si>
  <si>
    <t xml:space="preserve">Using NACA 4415 airfoil </t>
  </si>
  <si>
    <t>Wing Sweep @LE</t>
  </si>
  <si>
    <r>
      <rPr>
        <sz val="11"/>
        <color rgb="FF000000"/>
        <rFont val="Aptos Narrow"/>
        <family val="2"/>
      </rPr>
      <t>Λ</t>
    </r>
    <r>
      <rPr>
        <vertAlign val="subscript"/>
        <sz val="11"/>
        <color rgb="FF000000"/>
        <rFont val="Aptos Narrow"/>
        <family val="2"/>
      </rPr>
      <t>LE</t>
    </r>
  </si>
  <si>
    <t>º</t>
  </si>
  <si>
    <t>rad</t>
  </si>
  <si>
    <t>Wing Sweep @c/4</t>
  </si>
  <si>
    <r>
      <rPr>
        <sz val="11"/>
        <color rgb="FF000000"/>
        <rFont val="Aptos Narrow"/>
        <family val="2"/>
      </rPr>
      <t>Λ</t>
    </r>
    <r>
      <rPr>
        <vertAlign val="subscript"/>
        <sz val="11"/>
        <color rgb="FF000000"/>
        <rFont val="Aptos Narrow"/>
        <family val="2"/>
      </rPr>
      <t>c/4</t>
    </r>
  </si>
  <si>
    <t>°</t>
  </si>
  <si>
    <t>Wing Sweep @c/2</t>
  </si>
  <si>
    <t>Λc/2</t>
  </si>
  <si>
    <t>Wing Sweep @max airfoil thickness</t>
  </si>
  <si>
    <r>
      <rPr>
        <sz val="11"/>
        <color rgb="FF000000"/>
        <rFont val="Aptos Narrow"/>
        <family val="2"/>
      </rPr>
      <t>Λ</t>
    </r>
    <r>
      <rPr>
        <vertAlign val="subscript"/>
        <sz val="11"/>
        <color rgb="FF000000"/>
        <rFont val="Aptos Narrow"/>
        <family val="2"/>
      </rPr>
      <t>max t/c</t>
    </r>
  </si>
  <si>
    <t>Average chord</t>
  </si>
  <si>
    <r>
      <t>C</t>
    </r>
    <r>
      <rPr>
        <vertAlign val="subscript"/>
        <sz val="11"/>
        <color theme="1"/>
        <rFont val="Aptos Narrow"/>
        <family val="2"/>
      </rPr>
      <t>avg</t>
    </r>
  </si>
  <si>
    <t>ft</t>
  </si>
  <si>
    <t>Gudmunssen pg.87</t>
  </si>
  <si>
    <t>Wing chord, root</t>
  </si>
  <si>
    <r>
      <t>C</t>
    </r>
    <r>
      <rPr>
        <vertAlign val="subscript"/>
        <sz val="11"/>
        <color theme="1"/>
        <rFont val="Aptos Narrow"/>
        <family val="2"/>
      </rPr>
      <t>rw</t>
    </r>
  </si>
  <si>
    <t>Wing chord, tip</t>
  </si>
  <si>
    <r>
      <t>C</t>
    </r>
    <r>
      <rPr>
        <vertAlign val="subscript"/>
        <sz val="11"/>
        <color theme="1"/>
        <rFont val="Aptos Narrow"/>
        <family val="2"/>
      </rPr>
      <t>tw</t>
    </r>
  </si>
  <si>
    <t>Mean Geometric Chord</t>
  </si>
  <si>
    <r>
      <t>C</t>
    </r>
    <r>
      <rPr>
        <vertAlign val="subscript"/>
        <sz val="11"/>
        <color theme="1"/>
        <rFont val="Aptos Narrow"/>
        <family val="2"/>
      </rPr>
      <t>mgc</t>
    </r>
  </si>
  <si>
    <t>Gudmunssen pg.173</t>
  </si>
  <si>
    <t>Wing Span</t>
  </si>
  <si>
    <r>
      <t>B</t>
    </r>
    <r>
      <rPr>
        <vertAlign val="subscript"/>
        <sz val="11"/>
        <color theme="1"/>
        <rFont val="Aptos Narrow"/>
        <family val="2"/>
      </rPr>
      <t>W</t>
    </r>
  </si>
  <si>
    <t>Gudmunssen pg.171</t>
  </si>
  <si>
    <t>Projected</t>
  </si>
  <si>
    <t>X -Location of MGC LE</t>
  </si>
  <si>
    <r>
      <t>X</t>
    </r>
    <r>
      <rPr>
        <vertAlign val="subscript"/>
        <sz val="11"/>
        <color theme="1"/>
        <rFont val="Aptos Narrow"/>
        <family val="2"/>
      </rPr>
      <t>ref</t>
    </r>
  </si>
  <si>
    <t>Y - location of MGC LE</t>
  </si>
  <si>
    <t xml:space="preserve">Y-ref </t>
  </si>
  <si>
    <t>Total V-tail Area</t>
  </si>
  <si>
    <r>
      <rPr>
        <sz val="11"/>
        <color rgb="FF000000"/>
        <rFont val="Aptos Narrow"/>
      </rPr>
      <t>S</t>
    </r>
    <r>
      <rPr>
        <vertAlign val="subscript"/>
        <sz val="11"/>
        <color rgb="FF000000"/>
        <rFont val="Aptos Narrow"/>
      </rPr>
      <t>T</t>
    </r>
  </si>
  <si>
    <t>HT GEOMETRY</t>
  </si>
  <si>
    <t>HT Area</t>
  </si>
  <si>
    <r>
      <t>S</t>
    </r>
    <r>
      <rPr>
        <vertAlign val="subscript"/>
        <sz val="11"/>
        <color theme="1"/>
        <rFont val="Aptos Narrow"/>
        <family val="2"/>
        <scheme val="minor"/>
      </rPr>
      <t>HT</t>
    </r>
  </si>
  <si>
    <t>All components projected from V-tail</t>
  </si>
  <si>
    <t>HT Aspect Ratio</t>
  </si>
  <si>
    <r>
      <t>AR</t>
    </r>
    <r>
      <rPr>
        <vertAlign val="subscript"/>
        <sz val="11"/>
        <color theme="1"/>
        <rFont val="Aptos Narrow"/>
        <family val="2"/>
        <scheme val="minor"/>
      </rPr>
      <t>HT</t>
    </r>
  </si>
  <si>
    <t xml:space="preserve">HT Taper Ratio </t>
  </si>
  <si>
    <r>
      <rPr>
        <sz val="11"/>
        <color theme="1"/>
        <rFont val="Aptos Narrow"/>
        <family val="2"/>
      </rPr>
      <t>λ</t>
    </r>
    <r>
      <rPr>
        <vertAlign val="subscript"/>
        <sz val="9.35"/>
        <color theme="1"/>
        <rFont val="Aptos Narrow"/>
        <family val="2"/>
      </rPr>
      <t>HT</t>
    </r>
  </si>
  <si>
    <t>Assuming NACA 0009 airfoil</t>
  </si>
  <si>
    <t>HT Sweep @LE</t>
  </si>
  <si>
    <r>
      <rPr>
        <sz val="11"/>
        <color theme="1"/>
        <rFont val="Aptos Narrow"/>
        <family val="2"/>
      </rPr>
      <t>Λ</t>
    </r>
    <r>
      <rPr>
        <vertAlign val="subscript"/>
        <sz val="9.35"/>
        <color theme="1"/>
        <rFont val="Aptos Narrow"/>
        <family val="2"/>
      </rPr>
      <t>HT</t>
    </r>
  </si>
  <si>
    <t>HT Sweep @max thickness</t>
  </si>
  <si>
    <t>Average Chord</t>
  </si>
  <si>
    <r>
      <t>C</t>
    </r>
    <r>
      <rPr>
        <vertAlign val="subscript"/>
        <sz val="11"/>
        <color theme="1"/>
        <rFont val="Aptos Narrow"/>
        <family val="2"/>
        <scheme val="minor"/>
      </rPr>
      <t>avg</t>
    </r>
  </si>
  <si>
    <t>HT chord, root</t>
  </si>
  <si>
    <r>
      <t>C</t>
    </r>
    <r>
      <rPr>
        <vertAlign val="subscript"/>
        <sz val="11"/>
        <color theme="1"/>
        <rFont val="Aptos Narrow"/>
        <family val="2"/>
        <scheme val="minor"/>
      </rPr>
      <t>rht</t>
    </r>
  </si>
  <si>
    <t>HT chord, tip</t>
  </si>
  <si>
    <r>
      <t>C</t>
    </r>
    <r>
      <rPr>
        <vertAlign val="subscript"/>
        <sz val="11"/>
        <color theme="1"/>
        <rFont val="Aptos Narrow"/>
        <family val="2"/>
        <scheme val="minor"/>
      </rPr>
      <t>tht</t>
    </r>
  </si>
  <si>
    <t>HT span</t>
  </si>
  <si>
    <r>
      <t>B</t>
    </r>
    <r>
      <rPr>
        <vertAlign val="subscript"/>
        <sz val="11"/>
        <color theme="1"/>
        <rFont val="Aptos Narrow"/>
        <family val="2"/>
        <scheme val="minor"/>
      </rPr>
      <t>HT</t>
    </r>
  </si>
  <si>
    <t>Xref</t>
  </si>
  <si>
    <t xml:space="preserve">Yref </t>
  </si>
  <si>
    <t>VT GEOMETRY</t>
  </si>
  <si>
    <t>VT Area</t>
  </si>
  <si>
    <r>
      <t>S</t>
    </r>
    <r>
      <rPr>
        <vertAlign val="subscript"/>
        <sz val="11"/>
        <color theme="1"/>
        <rFont val="Aptos Narrow"/>
        <family val="2"/>
        <scheme val="minor"/>
      </rPr>
      <t>VT</t>
    </r>
  </si>
  <si>
    <t>All compenents equal to HT due to 45 degree dihedral</t>
  </si>
  <si>
    <t>VT Aspect Ratio</t>
  </si>
  <si>
    <r>
      <t>AR</t>
    </r>
    <r>
      <rPr>
        <vertAlign val="subscript"/>
        <sz val="11"/>
        <color theme="1"/>
        <rFont val="Aptos Narrow"/>
        <family val="2"/>
        <scheme val="minor"/>
      </rPr>
      <t>VT</t>
    </r>
  </si>
  <si>
    <t>VT Taper Ratio</t>
  </si>
  <si>
    <r>
      <t>λ</t>
    </r>
    <r>
      <rPr>
        <vertAlign val="subscript"/>
        <sz val="9.35"/>
        <color theme="1"/>
        <rFont val="Aptos Narrow"/>
        <family val="2"/>
      </rPr>
      <t>VT</t>
    </r>
  </si>
  <si>
    <t>Airfoil thickness ratio</t>
  </si>
  <si>
    <t>VT sweep @LE</t>
  </si>
  <si>
    <r>
      <t>Λ</t>
    </r>
    <r>
      <rPr>
        <vertAlign val="subscript"/>
        <sz val="9.35"/>
        <color theme="1"/>
        <rFont val="Aptos Narrow"/>
        <family val="2"/>
      </rPr>
      <t>VT</t>
    </r>
  </si>
  <si>
    <t>VT chord, root</t>
  </si>
  <si>
    <r>
      <t>C</t>
    </r>
    <r>
      <rPr>
        <vertAlign val="subscript"/>
        <sz val="11"/>
        <color theme="1"/>
        <rFont val="Aptos Narrow"/>
        <family val="2"/>
        <scheme val="minor"/>
      </rPr>
      <t>rvt</t>
    </r>
  </si>
  <si>
    <t>VT chord, tip</t>
  </si>
  <si>
    <r>
      <t>C</t>
    </r>
    <r>
      <rPr>
        <vertAlign val="subscript"/>
        <sz val="11"/>
        <color theme="1"/>
        <rFont val="Aptos Narrow"/>
        <family val="2"/>
        <scheme val="minor"/>
      </rPr>
      <t>tvt</t>
    </r>
  </si>
  <si>
    <t>VT Span</t>
  </si>
  <si>
    <r>
      <t>B</t>
    </r>
    <r>
      <rPr>
        <vertAlign val="subscript"/>
        <sz val="11"/>
        <color theme="1"/>
        <rFont val="Aptos Narrow"/>
        <family val="2"/>
        <scheme val="minor"/>
      </rPr>
      <t>VT</t>
    </r>
  </si>
  <si>
    <t>FUSELAGE GEOMETRY</t>
  </si>
  <si>
    <t>Wetted Area</t>
  </si>
  <si>
    <r>
      <t>S</t>
    </r>
    <r>
      <rPr>
        <vertAlign val="subscript"/>
        <sz val="11"/>
        <color theme="1"/>
        <rFont val="Aptos Narrow"/>
        <family val="2"/>
        <scheme val="minor"/>
      </rPr>
      <t>f</t>
    </r>
  </si>
  <si>
    <r>
      <rPr>
        <sz val="11"/>
        <color rgb="FF000000"/>
        <rFont val="Aptos Narrow"/>
        <family val="2"/>
      </rPr>
      <t>S</t>
    </r>
    <r>
      <rPr>
        <vertAlign val="subscript"/>
        <sz val="11"/>
        <color rgb="FF000000"/>
        <rFont val="Aptos Narrow"/>
        <family val="2"/>
      </rPr>
      <t>f wet</t>
    </r>
  </si>
  <si>
    <t>X -Location of Wing LE</t>
  </si>
  <si>
    <t>XwLE</t>
  </si>
  <si>
    <t>X -Location of Tail LE</t>
  </si>
  <si>
    <t>XtLE</t>
  </si>
  <si>
    <t>Tail Arm, 25%C_w to 25% C_ht</t>
  </si>
  <si>
    <r>
      <t>L</t>
    </r>
    <r>
      <rPr>
        <vertAlign val="subscript"/>
        <sz val="11"/>
        <color theme="1"/>
        <rFont val="Aptos Narrow"/>
        <family val="2"/>
        <scheme val="minor"/>
      </rPr>
      <t>ht</t>
    </r>
  </si>
  <si>
    <t>Fuselage max width</t>
  </si>
  <si>
    <r>
      <t>D</t>
    </r>
    <r>
      <rPr>
        <vertAlign val="subscript"/>
        <sz val="11"/>
        <color theme="1"/>
        <rFont val="Aptos Narrow"/>
        <family val="2"/>
        <scheme val="minor"/>
      </rPr>
      <t>fus</t>
    </r>
  </si>
  <si>
    <t>Fuselage structural length</t>
  </si>
  <si>
    <r>
      <t>L</t>
    </r>
    <r>
      <rPr>
        <vertAlign val="subscript"/>
        <sz val="11"/>
        <color theme="1"/>
        <rFont val="Aptos Narrow"/>
        <family val="2"/>
        <scheme val="minor"/>
      </rPr>
      <t>fus</t>
    </r>
  </si>
  <si>
    <t>Average fusel. cabin width</t>
  </si>
  <si>
    <r>
      <t>D</t>
    </r>
    <r>
      <rPr>
        <vertAlign val="subscript"/>
        <sz val="11"/>
        <color theme="1"/>
        <rFont val="Aptos Narrow"/>
        <family val="2"/>
        <scheme val="minor"/>
      </rPr>
      <t>1</t>
    </r>
  </si>
  <si>
    <t>Fuselage tailcone width</t>
  </si>
  <si>
    <r>
      <t>D</t>
    </r>
    <r>
      <rPr>
        <vertAlign val="subscript"/>
        <sz val="11"/>
        <color theme="1"/>
        <rFont val="Aptos Narrow"/>
        <family val="2"/>
        <scheme val="minor"/>
      </rPr>
      <t>2</t>
    </r>
  </si>
  <si>
    <t>AERODYNAMIC PROPERTIES</t>
  </si>
  <si>
    <t>DRAG CHARACTERISTICS</t>
  </si>
  <si>
    <t>Basic drag coefficient</t>
  </si>
  <si>
    <r>
      <t>C</t>
    </r>
    <r>
      <rPr>
        <vertAlign val="subscript"/>
        <sz val="11"/>
        <color theme="1"/>
        <rFont val="Aptos Narrow"/>
        <family val="2"/>
        <scheme val="minor"/>
      </rPr>
      <t>D0</t>
    </r>
  </si>
  <si>
    <t>Diff. between C_Dmin and C_Df</t>
  </si>
  <si>
    <t>skin friction drag coefficient</t>
  </si>
  <si>
    <r>
      <t>C</t>
    </r>
    <r>
      <rPr>
        <vertAlign val="subscript"/>
        <sz val="11"/>
        <color theme="1"/>
        <rFont val="Aptos Narrow"/>
        <family val="2"/>
        <scheme val="minor"/>
      </rPr>
      <t>Df</t>
    </r>
  </si>
  <si>
    <t>Obtained from "Drag" tab</t>
  </si>
  <si>
    <t>Minimum drag coefficient</t>
  </si>
  <si>
    <r>
      <t>C</t>
    </r>
    <r>
      <rPr>
        <vertAlign val="subscript"/>
        <sz val="11"/>
        <color theme="1"/>
        <rFont val="Aptos Narrow"/>
        <family val="2"/>
        <scheme val="minor"/>
      </rPr>
      <t>Dmin</t>
    </r>
  </si>
  <si>
    <t>Span efficiency</t>
  </si>
  <si>
    <t>e</t>
  </si>
  <si>
    <t>Induced drag constant</t>
  </si>
  <si>
    <t>k</t>
  </si>
  <si>
    <t>Dynamic Pressure</t>
  </si>
  <si>
    <t>q</t>
  </si>
  <si>
    <t>lb/ft^2</t>
  </si>
  <si>
    <t>LIFT CHARACTERISTICS</t>
  </si>
  <si>
    <t>CL of minimum drag</t>
  </si>
  <si>
    <r>
      <t>C</t>
    </r>
    <r>
      <rPr>
        <vertAlign val="subscript"/>
        <sz val="11"/>
        <color theme="1"/>
        <rFont val="Aptos Narrow"/>
        <family val="2"/>
        <scheme val="minor"/>
      </rPr>
      <t>LminD</t>
    </r>
  </si>
  <si>
    <t>Maximum lift coefficient</t>
  </si>
  <si>
    <r>
      <t>C</t>
    </r>
    <r>
      <rPr>
        <vertAlign val="subscript"/>
        <sz val="11"/>
        <color theme="1"/>
        <rFont val="Aptos Narrow"/>
        <family val="2"/>
        <scheme val="minor"/>
      </rPr>
      <t>Lmax</t>
    </r>
  </si>
  <si>
    <t>Lift curve slope</t>
  </si>
  <si>
    <r>
      <t>C</t>
    </r>
    <r>
      <rPr>
        <vertAlign val="subscript"/>
        <sz val="11"/>
        <color theme="1"/>
        <rFont val="Aptos Narrow"/>
        <family val="2"/>
        <scheme val="minor"/>
      </rPr>
      <t>La</t>
    </r>
  </si>
  <si>
    <r>
      <t xml:space="preserve">per </t>
    </r>
    <r>
      <rPr>
        <sz val="11"/>
        <color theme="1"/>
        <rFont val="Aptos Narrow"/>
        <family val="2"/>
      </rPr>
      <t>º</t>
    </r>
  </si>
  <si>
    <t>per rad</t>
  </si>
  <si>
    <t>Zero-alpha lift coefficient</t>
  </si>
  <si>
    <r>
      <t>C</t>
    </r>
    <r>
      <rPr>
        <vertAlign val="subscript"/>
        <sz val="11"/>
        <color theme="1"/>
        <rFont val="Aptos Narrow"/>
        <family val="2"/>
        <scheme val="minor"/>
      </rPr>
      <t>L0</t>
    </r>
  </si>
  <si>
    <t>PERFORMANCE</t>
  </si>
  <si>
    <t>Stalling speed, clean</t>
  </si>
  <si>
    <r>
      <t>V</t>
    </r>
    <r>
      <rPr>
        <vertAlign val="subscript"/>
        <sz val="11"/>
        <color theme="1"/>
        <rFont val="Aptos Narrow"/>
        <family val="2"/>
        <scheme val="minor"/>
      </rPr>
      <t>51</t>
    </r>
  </si>
  <si>
    <t>KCAS</t>
  </si>
  <si>
    <t>LSA Regulations</t>
  </si>
  <si>
    <t>found in Gudmunssen pg 70</t>
  </si>
  <si>
    <t>Stalling speed, ldg</t>
  </si>
  <si>
    <r>
      <t>V</t>
    </r>
    <r>
      <rPr>
        <vertAlign val="subscript"/>
        <sz val="11"/>
        <color theme="1"/>
        <rFont val="Aptos Narrow"/>
        <family val="2"/>
        <scheme val="minor"/>
      </rPr>
      <t>50</t>
    </r>
  </si>
  <si>
    <t>Design Max Speed</t>
  </si>
  <si>
    <t>Vmax</t>
  </si>
  <si>
    <t>Design cruising speed</t>
  </si>
  <si>
    <r>
      <t>V</t>
    </r>
    <r>
      <rPr>
        <vertAlign val="subscript"/>
        <sz val="11"/>
        <color theme="1"/>
        <rFont val="Aptos Narrow"/>
        <family val="2"/>
        <scheme val="minor"/>
      </rPr>
      <t>c</t>
    </r>
  </si>
  <si>
    <t>From requirement</t>
  </si>
  <si>
    <t>ft/s</t>
  </si>
  <si>
    <t>Design Mach number</t>
  </si>
  <si>
    <t>M</t>
  </si>
  <si>
    <t>From "Drag" tab</t>
  </si>
  <si>
    <t>Design cruise altitude</t>
  </si>
  <si>
    <r>
      <t>H</t>
    </r>
    <r>
      <rPr>
        <vertAlign val="subscript"/>
        <sz val="11"/>
        <color theme="1"/>
        <rFont val="Aptos Narrow"/>
        <family val="2"/>
        <scheme val="minor"/>
      </rPr>
      <t>c</t>
    </r>
  </si>
  <si>
    <t>VN DIAGRAM</t>
  </si>
  <si>
    <t>Variable</t>
  </si>
  <si>
    <t>Value</t>
  </si>
  <si>
    <t>Units</t>
  </si>
  <si>
    <t>Comments</t>
  </si>
  <si>
    <t>BASIC PROPERTIES</t>
  </si>
  <si>
    <t>Sw</t>
  </si>
  <si>
    <t>ft^2</t>
  </si>
  <si>
    <t>Cmgc</t>
  </si>
  <si>
    <t>Gross Weight</t>
  </si>
  <si>
    <t>W</t>
  </si>
  <si>
    <t>rho</t>
  </si>
  <si>
    <t>slug/ft^3</t>
  </si>
  <si>
    <t>g</t>
  </si>
  <si>
    <t>ft/s^2</t>
  </si>
  <si>
    <t>negative load factor</t>
  </si>
  <si>
    <t>n</t>
  </si>
  <si>
    <t>ACTUAL PERFORMANCE</t>
  </si>
  <si>
    <t>Pos. max lift coefficient</t>
  </si>
  <si>
    <t>CLmax</t>
  </si>
  <si>
    <t>Neg. max lift coefficient</t>
  </si>
  <si>
    <t>CLmin</t>
  </si>
  <si>
    <t>Stalling speed (+)</t>
  </si>
  <si>
    <t>Vs</t>
  </si>
  <si>
    <t>knots</t>
  </si>
  <si>
    <t>Stalling speed (-)</t>
  </si>
  <si>
    <t>Specialty speed</t>
  </si>
  <si>
    <t>1.4*Vs</t>
  </si>
  <si>
    <t>Cla</t>
  </si>
  <si>
    <t>LOAD FACTORS</t>
  </si>
  <si>
    <t>Pos. limit load factor</t>
  </si>
  <si>
    <t>n1</t>
  </si>
  <si>
    <t>gs</t>
  </si>
  <si>
    <t xml:space="preserve">eqn. 17-33 </t>
  </si>
  <si>
    <t>Neg. limit load factor</t>
  </si>
  <si>
    <t>n2</t>
  </si>
  <si>
    <t>DESIGN AIRSPEEDS</t>
  </si>
  <si>
    <t>Design manuevering speed</t>
  </si>
  <si>
    <t>Va</t>
  </si>
  <si>
    <t>Design Flap speed</t>
  </si>
  <si>
    <t>Vf</t>
  </si>
  <si>
    <t xml:space="preserve">Max level airspeed @SL </t>
  </si>
  <si>
    <t>Vh</t>
  </si>
  <si>
    <t>Design cruise speed 1</t>
  </si>
  <si>
    <t>Vcmin</t>
  </si>
  <si>
    <t>keas</t>
  </si>
  <si>
    <t>Design cruise speed 2</t>
  </si>
  <si>
    <t>0.9*Vh</t>
  </si>
  <si>
    <t>Selected Design cruise speed</t>
  </si>
  <si>
    <t>Vc</t>
  </si>
  <si>
    <t>Design dive speed</t>
  </si>
  <si>
    <t>Vd</t>
  </si>
  <si>
    <t>Vg</t>
  </si>
  <si>
    <t>Design speed for Max gust intensity</t>
  </si>
  <si>
    <t>Vb</t>
  </si>
  <si>
    <t>Ude</t>
  </si>
  <si>
    <t>U</t>
  </si>
  <si>
    <t>mu g</t>
  </si>
  <si>
    <t>VS-</t>
  </si>
  <si>
    <t>VS+</t>
  </si>
  <si>
    <t>V</t>
  </si>
  <si>
    <t>Positive Stall Line</t>
  </si>
  <si>
    <t>Negative Stall Line</t>
  </si>
  <si>
    <t>ng1</t>
  </si>
  <si>
    <t>ng2</t>
  </si>
  <si>
    <t>ng3</t>
  </si>
  <si>
    <t>ng4</t>
  </si>
  <si>
    <t>V speeds</t>
  </si>
  <si>
    <t>Kg</t>
  </si>
  <si>
    <t>positive stall</t>
  </si>
  <si>
    <t>negative stall</t>
  </si>
  <si>
    <t>ng1 intersect line</t>
  </si>
  <si>
    <t>ng4 intersect line</t>
  </si>
  <si>
    <t>Zero line</t>
  </si>
  <si>
    <t>n=0.0122V+1</t>
  </si>
  <si>
    <t>0.0061x+1</t>
  </si>
  <si>
    <t>v=(n-1)/0.0122</t>
  </si>
  <si>
    <t>Aircraft Design Quick Pass Calculations</t>
  </si>
  <si>
    <t>Team Number</t>
  </si>
  <si>
    <t>Foxtrot</t>
  </si>
  <si>
    <t>Loading Cloud for CG estimation</t>
  </si>
  <si>
    <t>Distance from nose to wing</t>
  </si>
  <si>
    <t>Team Name</t>
  </si>
  <si>
    <t>APPA</t>
  </si>
  <si>
    <t>Combination</t>
  </si>
  <si>
    <t>Empty weight</t>
  </si>
  <si>
    <t>Crew</t>
  </si>
  <si>
    <t>Front Seats</t>
  </si>
  <si>
    <t>Back Seats</t>
  </si>
  <si>
    <t>Baggage Area</t>
  </si>
  <si>
    <t>Fuel</t>
  </si>
  <si>
    <t>Total</t>
  </si>
  <si>
    <t>distance from nose to first seat</t>
  </si>
  <si>
    <t xml:space="preserve">Aircraft Name </t>
  </si>
  <si>
    <t>Solaris XIL-1</t>
  </si>
  <si>
    <t>ID</t>
  </si>
  <si>
    <t>We</t>
  </si>
  <si>
    <t>XCGe</t>
  </si>
  <si>
    <t>arm</t>
  </si>
  <si>
    <t>moment</t>
  </si>
  <si>
    <t>XCG</t>
  </si>
  <si>
    <t>% MAC</t>
  </si>
  <si>
    <t>distance from nose to last seat</t>
  </si>
  <si>
    <t>Target Mission Altitude</t>
  </si>
  <si>
    <t>distance from nose to baggage area</t>
  </si>
  <si>
    <t>Target Cruise Speed</t>
  </si>
  <si>
    <t>distance from nose to cockpit</t>
  </si>
  <si>
    <t>Wing Lift Model</t>
  </si>
  <si>
    <t>Estimating CL for 3D wing</t>
  </si>
  <si>
    <t>Step 1: Airfoil Lift Coefficient</t>
  </si>
  <si>
    <t>Airfoil Selected</t>
  </si>
  <si>
    <t>Cl at Cruise AoA</t>
  </si>
  <si>
    <t>Cl</t>
  </si>
  <si>
    <t>Airfoil Lift Curve Slope a0</t>
  </si>
  <si>
    <t>a0</t>
  </si>
  <si>
    <t>per deg</t>
  </si>
  <si>
    <t>Step 2: Convert 3D Wing CL</t>
  </si>
  <si>
    <t>b</t>
  </si>
  <si>
    <t>S</t>
  </si>
  <si>
    <t>Aspect Ratio</t>
  </si>
  <si>
    <t>AR</t>
  </si>
  <si>
    <t>Oswald Efficiency</t>
  </si>
  <si>
    <t>assume 0.75 to 0.9</t>
  </si>
  <si>
    <t>CL</t>
  </si>
  <si>
    <t>calculated</t>
  </si>
  <si>
    <t>Compute Total Lift</t>
  </si>
  <si>
    <t>Recall the Lift Equation</t>
  </si>
  <si>
    <t xml:space="preserve">Wing Lift Coefficient </t>
  </si>
  <si>
    <t>Air Density at Cruise Altitude</t>
  </si>
  <si>
    <t xml:space="preserve"> ρ</t>
  </si>
  <si>
    <t>slugs/ft^3</t>
  </si>
  <si>
    <t xml:space="preserve">True Airspeed at Cruise </t>
  </si>
  <si>
    <t>Wing Reference Area</t>
  </si>
  <si>
    <t>Total Lift Force</t>
  </si>
  <si>
    <t>L</t>
  </si>
  <si>
    <t>lbf</t>
  </si>
  <si>
    <t>Compare Lift to Weight</t>
  </si>
  <si>
    <t>Aircraft Weight</t>
  </si>
  <si>
    <t>lbs</t>
  </si>
  <si>
    <t>Lift - Weight</t>
  </si>
  <si>
    <t>L-W</t>
  </si>
  <si>
    <t>Weight Model</t>
  </si>
  <si>
    <t>Component</t>
  </si>
  <si>
    <t>Units:</t>
  </si>
  <si>
    <t>Step 1:</t>
  </si>
  <si>
    <t>Simulated Neutral Point</t>
  </si>
  <si>
    <t>W_cr</t>
  </si>
  <si>
    <t>W_cargo</t>
  </si>
  <si>
    <t>Max weight</t>
  </si>
  <si>
    <t>W_pax</t>
  </si>
  <si>
    <t>Min weight</t>
  </si>
  <si>
    <t>W_bat</t>
  </si>
  <si>
    <t>Battery</t>
  </si>
  <si>
    <t>Engine Weight</t>
  </si>
  <si>
    <t>W_eng</t>
  </si>
  <si>
    <t>add to structural for actual empty weight</t>
  </si>
  <si>
    <t>Fwd CG Envelope</t>
  </si>
  <si>
    <t>Fuel Weight</t>
  </si>
  <si>
    <t>W_f</t>
  </si>
  <si>
    <t>Aft CG Envelope</t>
  </si>
  <si>
    <t>Takeoff Weight</t>
  </si>
  <si>
    <t>W_o</t>
  </si>
  <si>
    <t>Step 2:</t>
  </si>
  <si>
    <t>Specific Fuel Consumption</t>
  </si>
  <si>
    <t>SFC</t>
  </si>
  <si>
    <t>lb/hr/hp</t>
  </si>
  <si>
    <t>CG Limits (fwd and aft)</t>
  </si>
  <si>
    <t>CG fwd</t>
  </si>
  <si>
    <t>fuselage</t>
  </si>
  <si>
    <t>(fwd of NP)</t>
  </si>
  <si>
    <t>CG aft</t>
  </si>
  <si>
    <t>(aft of NP)</t>
  </si>
  <si>
    <t>Estimated NP =</t>
  </si>
  <si>
    <t>MAC</t>
  </si>
  <si>
    <t>Based on current aircraft geometry. May need to set parameters for flight packing/seating</t>
  </si>
  <si>
    <t>Thrust Model</t>
  </si>
  <si>
    <t>Section 1:</t>
  </si>
  <si>
    <t>Variable:</t>
  </si>
  <si>
    <t>Unit</t>
  </si>
  <si>
    <t>Drag at Cruise</t>
  </si>
  <si>
    <t>Temp Ratio</t>
  </si>
  <si>
    <t>Torque max</t>
  </si>
  <si>
    <t>Required Thrust at Cruise</t>
  </si>
  <si>
    <t>Pressure Ratio</t>
  </si>
  <si>
    <t>RPM max</t>
  </si>
  <si>
    <t>Brake Horsepower</t>
  </si>
  <si>
    <t>Section 2:</t>
  </si>
  <si>
    <t>Propellor Diameter</t>
  </si>
  <si>
    <t>D_p</t>
  </si>
  <si>
    <t>in</t>
  </si>
  <si>
    <t xml:space="preserve">Propellor Efficiency </t>
  </si>
  <si>
    <t>np</t>
  </si>
  <si>
    <t>Engine Power Output (Trubofan)</t>
  </si>
  <si>
    <t>hp</t>
  </si>
  <si>
    <t>Engine Power Output (Electrical Motors)</t>
  </si>
  <si>
    <t>BHP</t>
  </si>
  <si>
    <t>Combined Power</t>
  </si>
  <si>
    <t>Converted Power</t>
  </si>
  <si>
    <t>P_ft.lb/s</t>
  </si>
  <si>
    <t>ft*lb/s</t>
  </si>
  <si>
    <t>Converted Power (Props)</t>
  </si>
  <si>
    <t>Thrust Available (prop)</t>
  </si>
  <si>
    <t>T_avail</t>
  </si>
  <si>
    <t>Thrust Available (turbofan)</t>
  </si>
  <si>
    <t>Propellor Disk Area</t>
  </si>
  <si>
    <t>Drag Model</t>
  </si>
  <si>
    <t>Section 1: Wing</t>
  </si>
  <si>
    <t>Airfoil Drag Coefficient at Cruise</t>
  </si>
  <si>
    <t>C_d0 =</t>
  </si>
  <si>
    <t>From Airfoil data</t>
  </si>
  <si>
    <t>Wing Planform Area</t>
  </si>
  <si>
    <t>S =</t>
  </si>
  <si>
    <t>From General tab</t>
  </si>
  <si>
    <t>Estimated Wing Wetted Area</t>
  </si>
  <si>
    <t>S_wet_w =</t>
  </si>
  <si>
    <t>2*S</t>
  </si>
  <si>
    <t>Wing Zero-Lift Drag Coefficient</t>
  </si>
  <si>
    <t>C_D0w =</t>
  </si>
  <si>
    <t>C_d0*(Swet/S)</t>
  </si>
  <si>
    <t>Section 2: Fuselage</t>
  </si>
  <si>
    <t>Fuselage Length</t>
  </si>
  <si>
    <t>L =</t>
  </si>
  <si>
    <t>Fuselage Maximum Diameter</t>
  </si>
  <si>
    <t>D =</t>
  </si>
  <si>
    <t>Fineness Ratio</t>
  </si>
  <si>
    <t>L/D =</t>
  </si>
  <si>
    <t>Fuselage Wetted Area</t>
  </si>
  <si>
    <t>S_wet_f =</t>
  </si>
  <si>
    <t>From Drag tab</t>
  </si>
  <si>
    <t>Fuselage Coefficient of Friction</t>
  </si>
  <si>
    <t>C_f =</t>
  </si>
  <si>
    <t>Fuselage Zero-Lift Drag Coefficient</t>
  </si>
  <si>
    <t>C_D0_f =</t>
  </si>
  <si>
    <t>Section 3: Other Sources</t>
  </si>
  <si>
    <t>Estimated Value</t>
  </si>
  <si>
    <t>Tail Surface Drag</t>
  </si>
  <si>
    <t>C_D0t =</t>
  </si>
  <si>
    <t>Based on similar aircraft and historical data of V-tails</t>
  </si>
  <si>
    <t xml:space="preserve">Interference Drag </t>
  </si>
  <si>
    <t>C_D0_int =</t>
  </si>
  <si>
    <t>Based on similar aircraft and historical data</t>
  </si>
  <si>
    <t xml:space="preserve">Cooling Drag </t>
  </si>
  <si>
    <t>C_D0cool =</t>
  </si>
  <si>
    <t>Section 4: Total</t>
  </si>
  <si>
    <t>Induced Drag</t>
  </si>
  <si>
    <t>C_Di =</t>
  </si>
  <si>
    <t>CL^2/(pi*e*AR)</t>
  </si>
  <si>
    <t>Total Drag Coefficient</t>
  </si>
  <si>
    <t>C_D =</t>
  </si>
  <si>
    <t>Section 5: Drag Force at Cruise</t>
  </si>
  <si>
    <t xml:space="preserve"> ρ =</t>
  </si>
  <si>
    <t>Cruise Speed</t>
  </si>
  <si>
    <t>V =</t>
  </si>
  <si>
    <t>Drag Force at Cruise</t>
  </si>
  <si>
    <t>Decrease wing area to lower drag</t>
  </si>
  <si>
    <t>FUSELAGE STATIONS</t>
  </si>
  <si>
    <t>STATION</t>
  </si>
  <si>
    <t>X-POS</t>
  </si>
  <si>
    <t>HEIGHT</t>
  </si>
  <si>
    <t>WIDTH</t>
  </si>
  <si>
    <t>Z-POS CENT</t>
  </si>
  <si>
    <t>LENGTH</t>
  </si>
  <si>
    <t>WING LOC</t>
  </si>
  <si>
    <t>TOTAL WEIGHT</t>
  </si>
  <si>
    <t>TAIL LOC</t>
  </si>
  <si>
    <t>405.7 on VSP</t>
  </si>
  <si>
    <t>Add any other applicable parameters</t>
  </si>
  <si>
    <t>End Nose</t>
  </si>
  <si>
    <t>Start Bulk</t>
  </si>
  <si>
    <t>Main Cabin</t>
  </si>
  <si>
    <t>Cabin End?</t>
  </si>
  <si>
    <t>Start Tail</t>
  </si>
  <si>
    <r>
      <rPr>
        <sz val="11"/>
        <color rgb="FF000000"/>
        <rFont val="Aptos Narrow"/>
        <family val="2"/>
      </rPr>
      <t>X</t>
    </r>
    <r>
      <rPr>
        <vertAlign val="subscript"/>
        <sz val="11"/>
        <color rgb="FF000000"/>
        <rFont val="Aptos Narrow"/>
        <family val="2"/>
      </rPr>
      <t>w LE</t>
    </r>
  </si>
  <si>
    <t xml:space="preserve">ft </t>
  </si>
  <si>
    <r>
      <rPr>
        <sz val="11"/>
        <color rgb="FF000000"/>
        <rFont val="Aptos Narrow"/>
        <family val="2"/>
      </rPr>
      <t>X</t>
    </r>
    <r>
      <rPr>
        <vertAlign val="subscript"/>
        <sz val="11"/>
        <color rgb="FF000000"/>
        <rFont val="Aptos Narrow"/>
        <family val="2"/>
      </rPr>
      <t>t LE</t>
    </r>
  </si>
  <si>
    <t>Length of nose section</t>
  </si>
  <si>
    <t>L1</t>
  </si>
  <si>
    <t>Nose &amp; Flight deck</t>
  </si>
  <si>
    <t>Length of center section</t>
  </si>
  <si>
    <t>L2</t>
  </si>
  <si>
    <t>Cabin</t>
  </si>
  <si>
    <t>Length of tail section</t>
  </si>
  <si>
    <t>L3</t>
  </si>
  <si>
    <t>Tail cone</t>
  </si>
  <si>
    <t>Fuselage structural width</t>
  </si>
  <si>
    <t>Input</t>
  </si>
  <si>
    <t>Calculated</t>
  </si>
  <si>
    <t>Z UPPER</t>
  </si>
  <si>
    <t>Z LOWER</t>
  </si>
  <si>
    <t>Dihedral</t>
  </si>
  <si>
    <t>degrees</t>
  </si>
  <si>
    <t>Actual Span (not proj)</t>
  </si>
  <si>
    <r>
      <rPr>
        <sz val="11"/>
        <color rgb="FF000000"/>
        <rFont val="Aptos Narrow"/>
        <family val="2"/>
      </rPr>
      <t>B</t>
    </r>
    <r>
      <rPr>
        <vertAlign val="subscript"/>
        <sz val="11"/>
        <color rgb="FF000000"/>
        <rFont val="Aptos Narrow"/>
        <family val="2"/>
      </rPr>
      <t>act</t>
    </r>
  </si>
  <si>
    <t>KEY FEATURES</t>
  </si>
  <si>
    <t>Flight Deck</t>
  </si>
  <si>
    <t>Wing LE</t>
  </si>
  <si>
    <t>Wing TE</t>
  </si>
  <si>
    <t>Tail LE</t>
  </si>
  <si>
    <t>new estimate, was 18.7</t>
  </si>
  <si>
    <t xml:space="preserve">new estimate, was 41 </t>
  </si>
  <si>
    <t>wing incedence angle</t>
  </si>
  <si>
    <t>deg</t>
  </si>
  <si>
    <t>Trimmed using hand calcs and XFLR5 and hand calcs in Stability tab, trimmed to a stable CMa and a balanced CMo</t>
  </si>
  <si>
    <t>tail incedence angle</t>
  </si>
  <si>
    <t>distance from nose to props</t>
  </si>
  <si>
    <t>Z -Location of Wing LE</t>
  </si>
  <si>
    <t>From FCL</t>
  </si>
  <si>
    <t>Z -Location of Tail LE</t>
  </si>
  <si>
    <t>exposed semi-span</t>
  </si>
  <si>
    <t>distance from nose to tail</t>
  </si>
  <si>
    <t>FOXTROT - FLIGHT ENVELOPE PERFORMANCE ANALYSIS</t>
  </si>
  <si>
    <t>Weight as Condition</t>
  </si>
  <si>
    <t>W=</t>
  </si>
  <si>
    <t>C_L of zero alpha</t>
  </si>
  <si>
    <t>CL0=</t>
  </si>
  <si>
    <t>Fuel weight</t>
  </si>
  <si>
    <t>W_f=</t>
  </si>
  <si>
    <t>CLa=</t>
  </si>
  <si>
    <t>Weight minus fuel</t>
  </si>
  <si>
    <t>W_fin=</t>
  </si>
  <si>
    <t>C_L of minimum drag</t>
  </si>
  <si>
    <t>CLminD=</t>
  </si>
  <si>
    <t>Assumed from NACA 4415</t>
  </si>
  <si>
    <t>S=</t>
  </si>
  <si>
    <t>Minimum Drag Coefficient</t>
  </si>
  <si>
    <t>CDmin</t>
  </si>
  <si>
    <t xml:space="preserve"> </t>
  </si>
  <si>
    <t>b=</t>
  </si>
  <si>
    <t xml:space="preserve">Oswalds Efficiency </t>
  </si>
  <si>
    <t>e=</t>
  </si>
  <si>
    <t>AR=</t>
  </si>
  <si>
    <t>Lift-Induced drag constant</t>
  </si>
  <si>
    <t>k=</t>
  </si>
  <si>
    <t xml:space="preserve">Altitude </t>
  </si>
  <si>
    <t>H=</t>
  </si>
  <si>
    <t xml:space="preserve">Specific Fuel Consumption </t>
  </si>
  <si>
    <t>SFC=</t>
  </si>
  <si>
    <t>lb/hr-bhp</t>
  </si>
  <si>
    <t>Density Ratio</t>
  </si>
  <si>
    <t>𝜎=</t>
  </si>
  <si>
    <t>D_p=</t>
  </si>
  <si>
    <t>Density</t>
  </si>
  <si>
    <t>𝜌=</t>
  </si>
  <si>
    <t>Maximum Rated Power at S-L</t>
  </si>
  <si>
    <t>P_BHP SL=</t>
  </si>
  <si>
    <t>Ambient Temperature</t>
  </si>
  <si>
    <t>T=</t>
  </si>
  <si>
    <t>Rankine</t>
  </si>
  <si>
    <t>Gagg-Ferrar Factor</t>
  </si>
  <si>
    <t>GF=</t>
  </si>
  <si>
    <t>Speed of Sound</t>
  </si>
  <si>
    <t>a=</t>
  </si>
  <si>
    <t>Available Engine Power</t>
  </si>
  <si>
    <t>P_BHP=</t>
  </si>
  <si>
    <t>Engine RPM</t>
  </si>
  <si>
    <t>RPM=</t>
  </si>
  <si>
    <t>Maximum Lift Coefficient</t>
  </si>
  <si>
    <t>Clmax</t>
  </si>
  <si>
    <t>Stall speed limit</t>
  </si>
  <si>
    <t>Maximum level airspeed</t>
  </si>
  <si>
    <t>p0</t>
  </si>
  <si>
    <t>p</t>
  </si>
  <si>
    <t>Vba</t>
  </si>
  <si>
    <t>Vbg</t>
  </si>
  <si>
    <t>Vy</t>
  </si>
  <si>
    <t>Vx</t>
  </si>
  <si>
    <t>Ve</t>
  </si>
  <si>
    <t>Vr</t>
  </si>
  <si>
    <t>Tavmax</t>
  </si>
  <si>
    <t>qc</t>
  </si>
  <si>
    <t>Vopt</t>
  </si>
  <si>
    <t>Max</t>
  </si>
  <si>
    <t>Min</t>
  </si>
  <si>
    <t>V_CAS</t>
  </si>
  <si>
    <t>V_EAS</t>
  </si>
  <si>
    <t>V_TAS</t>
  </si>
  <si>
    <t>V_ft/s</t>
  </si>
  <si>
    <t>a</t>
  </si>
  <si>
    <t>CDi</t>
  </si>
  <si>
    <t>CD</t>
  </si>
  <si>
    <t>CL/CD</t>
  </si>
  <si>
    <t>CL^1.5/CD</t>
  </si>
  <si>
    <t>CL^0.5/CD</t>
  </si>
  <si>
    <t>J</t>
  </si>
  <si>
    <t>eta</t>
  </si>
  <si>
    <t>T</t>
  </si>
  <si>
    <t>D</t>
  </si>
  <si>
    <t>Tcomb</t>
  </si>
  <si>
    <t>Tturb</t>
  </si>
  <si>
    <t>P_req</t>
  </si>
  <si>
    <t>P_av</t>
  </si>
  <si>
    <t>P_ex</t>
  </si>
  <si>
    <t>SQRT(Pex^2)</t>
  </si>
  <si>
    <t>ROD</t>
  </si>
  <si>
    <t>AOD</t>
  </si>
  <si>
    <t>ROC</t>
  </si>
  <si>
    <t>AOC</t>
  </si>
  <si>
    <t>E</t>
  </si>
  <si>
    <t>R</t>
  </si>
  <si>
    <t>V-L/D</t>
  </si>
  <si>
    <t>M-L/D</t>
  </si>
  <si>
    <t>AOC SL</t>
  </si>
  <si>
    <t>ROC Cruise</t>
  </si>
  <si>
    <t xml:space="preserve">Fuel Consumed </t>
  </si>
  <si>
    <t>Fuel Burn per hr</t>
  </si>
  <si>
    <t>TSFC</t>
  </si>
  <si>
    <t>KEAS</t>
  </si>
  <si>
    <t>KTAS</t>
  </si>
  <si>
    <t>psf</t>
  </si>
  <si>
    <t>deg (AOA)</t>
  </si>
  <si>
    <t>ft-lb/s</t>
  </si>
  <si>
    <t>fpm</t>
  </si>
  <si>
    <t>hrs</t>
  </si>
  <si>
    <t>nm</t>
  </si>
  <si>
    <t>Pass</t>
  </si>
  <si>
    <t>Weight finus fuel</t>
  </si>
  <si>
    <t>Range</t>
  </si>
  <si>
    <t>LIFT MODEL</t>
  </si>
  <si>
    <t>Mach number parameter.</t>
  </si>
  <si>
    <t>β</t>
  </si>
  <si>
    <t>Gudmunssen pg.368</t>
  </si>
  <si>
    <r>
      <t>Ratio of 2D lift curve slope to 2</t>
    </r>
    <r>
      <rPr>
        <sz val="11"/>
        <color theme="1"/>
        <rFont val="Aptos Narrow"/>
        <family val="2"/>
      </rPr>
      <t>π</t>
    </r>
  </si>
  <si>
    <t>κ</t>
  </si>
  <si>
    <t xml:space="preserve">Oswad efficiency </t>
  </si>
  <si>
    <t xml:space="preserve">Dynamic Pressure </t>
  </si>
  <si>
    <t>Q</t>
  </si>
  <si>
    <t>Angle of Climb for Climb</t>
  </si>
  <si>
    <t>γ</t>
  </si>
  <si>
    <t>Airfoil for Wing</t>
  </si>
  <si>
    <r>
      <t>α</t>
    </r>
    <r>
      <rPr>
        <vertAlign val="subscript"/>
        <sz val="11"/>
        <color rgb="FF000000"/>
        <rFont val="Aptos Narrow"/>
        <family val="2"/>
      </rPr>
      <t>OL</t>
    </r>
  </si>
  <si>
    <r>
      <t>C</t>
    </r>
    <r>
      <rPr>
        <vertAlign val="subscript"/>
        <sz val="11"/>
        <color rgb="FF000000"/>
        <rFont val="Aptos Narrow"/>
        <family val="2"/>
      </rPr>
      <t>mac</t>
    </r>
  </si>
  <si>
    <r>
      <t>C</t>
    </r>
    <r>
      <rPr>
        <vertAlign val="subscript"/>
        <sz val="11"/>
        <color rgb="FF000000"/>
        <rFont val="Aptos Narrow"/>
        <family val="2"/>
      </rPr>
      <t>lα</t>
    </r>
  </si>
  <si>
    <t>a.c.</t>
  </si>
  <si>
    <r>
      <t>α</t>
    </r>
    <r>
      <rPr>
        <vertAlign val="subscript"/>
        <sz val="11"/>
        <color rgb="FF000000"/>
        <rFont val="Aptos Narrow"/>
        <family val="2"/>
      </rPr>
      <t>cLmax</t>
    </r>
  </si>
  <si>
    <r>
      <t>Cl</t>
    </r>
    <r>
      <rPr>
        <vertAlign val="subscript"/>
        <sz val="11"/>
        <color rgb="FF000000"/>
        <rFont val="Aptos Narrow"/>
        <family val="2"/>
      </rPr>
      <t>max</t>
    </r>
  </si>
  <si>
    <r>
      <t>C</t>
    </r>
    <r>
      <rPr>
        <vertAlign val="subscript"/>
        <sz val="11"/>
        <color rgb="FF000000"/>
        <rFont val="Aptos Narrow"/>
        <family val="2"/>
      </rPr>
      <t>Dmin</t>
    </r>
  </si>
  <si>
    <t>Clo</t>
  </si>
  <si>
    <t>in per rad</t>
  </si>
  <si>
    <t>TE Device: Single Slotted Fowler Flap</t>
  </si>
  <si>
    <r>
      <rPr>
        <b/>
        <sz val="11"/>
        <color rgb="FF000000"/>
        <rFont val="Arial"/>
        <family val="2"/>
      </rPr>
      <t>δ</t>
    </r>
    <r>
      <rPr>
        <b/>
        <sz val="11"/>
        <color rgb="FF000000"/>
        <rFont val="Aptos Narrow"/>
        <family val="2"/>
      </rPr>
      <t>f</t>
    </r>
  </si>
  <si>
    <r>
      <rPr>
        <b/>
        <sz val="11"/>
        <color rgb="FF000000"/>
        <rFont val="Arial"/>
        <family val="2"/>
      </rPr>
      <t>Δ</t>
    </r>
    <r>
      <rPr>
        <b/>
        <sz val="11"/>
        <color rgb="FF000000"/>
        <rFont val="Aptos Narrow"/>
        <family val="2"/>
      </rPr>
      <t>Clo</t>
    </r>
  </si>
  <si>
    <t>Δαstall</t>
  </si>
  <si>
    <r>
      <rPr>
        <b/>
        <sz val="11"/>
        <color rgb="FF000000"/>
        <rFont val="Arial"/>
        <family val="2"/>
      </rPr>
      <t>ΔCl</t>
    </r>
    <r>
      <rPr>
        <b/>
        <sz val="11"/>
        <color rgb="FF000000"/>
        <rFont val="Aptos Narrow"/>
        <family val="2"/>
      </rPr>
      <t>max</t>
    </r>
  </si>
  <si>
    <r>
      <rPr>
        <b/>
        <sz val="11"/>
        <color rgb="FF000000"/>
        <rFont val="Arial"/>
        <family val="2"/>
      </rPr>
      <t>Δ</t>
    </r>
    <r>
      <rPr>
        <b/>
        <sz val="11"/>
        <color rgb="FF000000"/>
        <rFont val="Aptos Narrow"/>
        <family val="2"/>
      </rPr>
      <t>CDmin</t>
    </r>
  </si>
  <si>
    <t>Clark Y (airfoil and flap)</t>
  </si>
  <si>
    <t>-</t>
  </si>
  <si>
    <t>WING LIFT</t>
  </si>
  <si>
    <t>ASSUMING AIRCRAFT UTILIZES HIGH LIFT SYSTEMS AT LE AND TE</t>
  </si>
  <si>
    <t xml:space="preserve"> AoA @cruise</t>
  </si>
  <si>
    <t>αC</t>
  </si>
  <si>
    <t>eqn 9-54</t>
  </si>
  <si>
    <t>Airfoil lift coefficient @ cruise</t>
  </si>
  <si>
    <r>
      <t>Clo+Cl</t>
    </r>
    <r>
      <rPr>
        <sz val="11"/>
        <color rgb="FF000000"/>
        <rFont val="Aptos Narrow"/>
        <family val="2"/>
      </rPr>
      <t>α*α</t>
    </r>
  </si>
  <si>
    <t xml:space="preserve">Airfoil Lift curve slope </t>
  </si>
  <si>
    <t>ao</t>
  </si>
  <si>
    <t>/rad</t>
  </si>
  <si>
    <t>/deg</t>
  </si>
  <si>
    <t>3D lift coefficient of wing based on airfoil</t>
  </si>
  <si>
    <t>CLw</t>
  </si>
  <si>
    <t>Total Lift force</t>
  </si>
  <si>
    <t>Lw</t>
  </si>
  <si>
    <t>AoA for zero lift</t>
  </si>
  <si>
    <t>αZL</t>
  </si>
  <si>
    <t>From XLFR5</t>
  </si>
  <si>
    <t>Lift curve slope of wing</t>
  </si>
  <si>
    <r>
      <t>CL</t>
    </r>
    <r>
      <rPr>
        <b/>
        <sz val="11"/>
        <color theme="1"/>
        <rFont val="Aptos Narrow"/>
        <family val="2"/>
      </rPr>
      <t>α</t>
    </r>
    <r>
      <rPr>
        <b/>
        <sz val="11"/>
        <color theme="1"/>
        <rFont val="Aptos Narrow"/>
        <family val="2"/>
        <scheme val="minor"/>
      </rPr>
      <t>w</t>
    </r>
  </si>
  <si>
    <t>3D Zero lift coefficient</t>
  </si>
  <si>
    <t>CLo</t>
  </si>
  <si>
    <t>3D cruise lift coefficient of wing</t>
  </si>
  <si>
    <t>CLwc</t>
  </si>
  <si>
    <t>2D c/4 pitching moment @cruise</t>
  </si>
  <si>
    <t>Cmc/4</t>
  </si>
  <si>
    <t>3D CMα</t>
  </si>
  <si>
    <r>
      <t>CM</t>
    </r>
    <r>
      <rPr>
        <b/>
        <sz val="11"/>
        <color theme="1"/>
        <rFont val="Aptos Narrow"/>
        <family val="2"/>
      </rPr>
      <t>α</t>
    </r>
  </si>
  <si>
    <t>3D Cmo for wing</t>
  </si>
  <si>
    <t>CMo</t>
  </si>
  <si>
    <t>CMo = Cmac  eqn. 9-97</t>
  </si>
  <si>
    <t>3D Pitching Moment for wing</t>
  </si>
  <si>
    <t>CMw</t>
  </si>
  <si>
    <t>Rapid Estimation of CLmaxO</t>
  </si>
  <si>
    <t>2D Clmax using Law of Effectiveness</t>
  </si>
  <si>
    <t>3D CLmax0</t>
  </si>
  <si>
    <t>CLmax0</t>
  </si>
  <si>
    <t>Estimation of CLmax0 per USAF DATCOM Method 2</t>
  </si>
  <si>
    <t>Stalling Speed  for wing</t>
  </si>
  <si>
    <t>Stalling Speed Mach Number for wing</t>
  </si>
  <si>
    <t>Ms</t>
  </si>
  <si>
    <t>Taper ratio correction factor</t>
  </si>
  <si>
    <t>C1</t>
  </si>
  <si>
    <t>does the wing comply for high AR</t>
  </si>
  <si>
    <t>AR &gt;</t>
  </si>
  <si>
    <t>LE parameter (LEP) for 4 dig. Airfoil</t>
  </si>
  <si>
    <t>∆y</t>
  </si>
  <si>
    <t>eq. 9.83</t>
  </si>
  <si>
    <t>Max Lift Ratio</t>
  </si>
  <si>
    <t>CLmax/Clmax</t>
  </si>
  <si>
    <t>figure 9-65</t>
  </si>
  <si>
    <t>Mach number correction factor</t>
  </si>
  <si>
    <t>∆Clmax</t>
  </si>
  <si>
    <t>fig 9.66</t>
  </si>
  <si>
    <t>Wing area affected by TE deflection</t>
  </si>
  <si>
    <t>Swf</t>
  </si>
  <si>
    <t>estimated using ηi = 0.2, ηo=0.8; Greiner  pg. 3.4</t>
  </si>
  <si>
    <t>Span factor for inboard flaps.</t>
  </si>
  <si>
    <t>Kb</t>
  </si>
  <si>
    <t>estimated from fig. 6.1.4.1. pg. 10.1.10</t>
  </si>
  <si>
    <r>
      <t xml:space="preserve">Airfoil 2D </t>
    </r>
    <r>
      <rPr>
        <sz val="11"/>
        <color theme="1"/>
        <rFont val="Aptos Narrow"/>
        <family val="2"/>
      </rPr>
      <t>∆Clmax</t>
    </r>
    <r>
      <rPr>
        <sz val="11"/>
        <color theme="1"/>
        <rFont val="Aptos Narrow"/>
        <family val="2"/>
        <scheme val="minor"/>
      </rPr>
      <t xml:space="preserve"> to 3D</t>
    </r>
  </si>
  <si>
    <t>∆CLmaxTE</t>
  </si>
  <si>
    <t>Greiner method for 2D to 3D; pg.10.1.23</t>
  </si>
  <si>
    <t>Percent Diff between Rapid &amp; USAF</t>
  </si>
  <si>
    <t>%diff</t>
  </si>
  <si>
    <t>Stall Angle of Attack Correction</t>
  </si>
  <si>
    <t>∆αstall</t>
  </si>
  <si>
    <r>
      <t xml:space="preserve">assuming a </t>
    </r>
    <r>
      <rPr>
        <sz val="11"/>
        <color theme="1"/>
        <rFont val="Aptos Narrow"/>
        <family val="2"/>
      </rPr>
      <t>∆y of 4</t>
    </r>
  </si>
  <si>
    <t>Wing Stall Angle of Attack</t>
  </si>
  <si>
    <t>αstall</t>
  </si>
  <si>
    <t>XFLR estimates @~20degrees</t>
  </si>
  <si>
    <t>Wing Sweep Correction</t>
  </si>
  <si>
    <r>
      <t>K</t>
    </r>
    <r>
      <rPr>
        <b/>
        <sz val="11"/>
        <color theme="1"/>
        <rFont val="Arial"/>
        <family val="2"/>
      </rPr>
      <t>Λ</t>
    </r>
  </si>
  <si>
    <t>A General Model of CLmax</t>
  </si>
  <si>
    <t>MORE VARIABLES RELATED TO CL OF THE WING</t>
  </si>
  <si>
    <t>GE: Wing to ground seperation</t>
  </si>
  <si>
    <r>
      <t xml:space="preserve">WGS </t>
    </r>
    <r>
      <rPr>
        <sz val="11"/>
        <color theme="1"/>
        <rFont val="Aptos Narrow"/>
        <family val="2"/>
      </rPr>
      <t>≤</t>
    </r>
  </si>
  <si>
    <t>ground effect starts occuring @58 ft or below</t>
  </si>
  <si>
    <t>distance from ground to ac of cmgc</t>
  </si>
  <si>
    <t>h</t>
  </si>
  <si>
    <t>assumed to equal span + thickness of wing</t>
  </si>
  <si>
    <t>Variable from Phillips and Hunsaker method</t>
  </si>
  <si>
    <t>βL</t>
  </si>
  <si>
    <t>eqn 9-112</t>
  </si>
  <si>
    <t>δL</t>
  </si>
  <si>
    <t>GE for a tapered wing</t>
  </si>
  <si>
    <t>ΦL</t>
  </si>
  <si>
    <t>ground influence coefficient for lift. Eqn.9-112</t>
  </si>
  <si>
    <t>Change in Lift w/ Flap deflection</t>
  </si>
  <si>
    <r>
      <t>CL</t>
    </r>
    <r>
      <rPr>
        <b/>
        <sz val="11"/>
        <color theme="1"/>
        <rFont val="Arial"/>
        <family val="2"/>
      </rPr>
      <t>f</t>
    </r>
  </si>
  <si>
    <r>
      <t xml:space="preserve">based on </t>
    </r>
    <r>
      <rPr>
        <sz val="11"/>
        <color theme="1"/>
        <rFont val="Arial"/>
        <family val="2"/>
      </rPr>
      <t>Δ</t>
    </r>
    <r>
      <rPr>
        <sz val="11"/>
        <color theme="1"/>
        <rFont val="Aptos Narrow"/>
        <family val="2"/>
      </rPr>
      <t>CLmax/</t>
    </r>
    <r>
      <rPr>
        <sz val="11"/>
        <color theme="1"/>
        <rFont val="Arial"/>
        <family val="2"/>
      </rPr>
      <t>Δδ</t>
    </r>
    <r>
      <rPr>
        <sz val="11"/>
        <color theme="1"/>
        <rFont val="Aptos Narrow"/>
        <family val="2"/>
      </rPr>
      <t>f</t>
    </r>
    <r>
      <rPr>
        <sz val="11"/>
        <color theme="1"/>
        <rFont val="Aptos Narrow"/>
        <family val="2"/>
        <scheme val="minor"/>
      </rPr>
      <t xml:space="preserve"> … eqn 24-56</t>
    </r>
  </si>
  <si>
    <t>TAIL GEOMETRY</t>
  </si>
  <si>
    <t>HT Seep @ c/4</t>
  </si>
  <si>
    <r>
      <t>Λ</t>
    </r>
    <r>
      <rPr>
        <vertAlign val="subscript"/>
        <sz val="9.35"/>
        <color theme="1"/>
        <rFont val="Aptos Narrow"/>
        <family val="2"/>
      </rPr>
      <t>HT</t>
    </r>
    <r>
      <rPr>
        <sz val="11"/>
        <color theme="1"/>
        <rFont val="Aptos Narrow"/>
        <family val="2"/>
      </rPr>
      <t>c/4</t>
    </r>
  </si>
  <si>
    <t>HT Seep @ c/2</t>
  </si>
  <si>
    <r>
      <t>Λ</t>
    </r>
    <r>
      <rPr>
        <vertAlign val="subscript"/>
        <sz val="9.35"/>
        <color theme="1"/>
        <rFont val="Aptos Narrow"/>
        <family val="2"/>
      </rPr>
      <t>HT</t>
    </r>
    <r>
      <rPr>
        <sz val="11"/>
        <color theme="1"/>
        <rFont val="Aptos Narrow"/>
        <family val="2"/>
      </rPr>
      <t>c/2</t>
    </r>
  </si>
  <si>
    <t xml:space="preserve">rad </t>
  </si>
  <si>
    <t>Horiz. tail volume per class: turboprop</t>
  </si>
  <si>
    <t>Vht</t>
  </si>
  <si>
    <t>recommended table 11-4</t>
  </si>
  <si>
    <t xml:space="preserve">HT arm </t>
  </si>
  <si>
    <t>lht</t>
  </si>
  <si>
    <t>Vert. tail volume per class: turboprop</t>
  </si>
  <si>
    <t>Vvt</t>
  </si>
  <si>
    <t>VT arm</t>
  </si>
  <si>
    <t>lvt</t>
  </si>
  <si>
    <t>HT &amp; &amp; VT Airfoil - Symmetric</t>
  </si>
  <si>
    <r>
      <t>C</t>
    </r>
    <r>
      <rPr>
        <vertAlign val="subscript"/>
        <sz val="11"/>
        <color rgb="FF000000"/>
        <rFont val="Aptos Narrow"/>
        <family val="2"/>
      </rPr>
      <t>Lmax</t>
    </r>
  </si>
  <si>
    <t>0009</t>
  </si>
  <si>
    <t>Elevator Flaps: Plain Flaps</t>
  </si>
  <si>
    <t>cf/c</t>
  </si>
  <si>
    <t>Clark Y</t>
  </si>
  <si>
    <t>0.2</t>
  </si>
  <si>
    <t>TAIL LIFT</t>
  </si>
  <si>
    <t>AoA for zero lift for HT/VT</t>
  </si>
  <si>
    <t>αzl</t>
  </si>
  <si>
    <t>2D tail lift coefficient at cruise</t>
  </si>
  <si>
    <t>Clt</t>
  </si>
  <si>
    <t>at</t>
  </si>
  <si>
    <t>3D coefficient of lift of tail @cruise</t>
  </si>
  <si>
    <t>CLt</t>
  </si>
  <si>
    <t>3D Lift curve slope of tail</t>
  </si>
  <si>
    <r>
      <t>CL</t>
    </r>
    <r>
      <rPr>
        <b/>
        <sz val="11"/>
        <color theme="1"/>
        <rFont val="Arial"/>
        <family val="2"/>
      </rPr>
      <t>α</t>
    </r>
    <r>
      <rPr>
        <b/>
        <sz val="11"/>
        <color theme="1"/>
        <rFont val="Aptos Narrow"/>
        <family val="2"/>
        <scheme val="minor"/>
      </rPr>
      <t>t</t>
    </r>
  </si>
  <si>
    <t>3D lift of HT @ cruise</t>
  </si>
  <si>
    <t>CLct</t>
  </si>
  <si>
    <t>HT dynamic pressure ratio</t>
  </si>
  <si>
    <r>
      <rPr>
        <sz val="11"/>
        <color theme="1"/>
        <rFont val="Arial"/>
        <family val="2"/>
      </rPr>
      <t>η</t>
    </r>
    <r>
      <rPr>
        <sz val="11"/>
        <color theme="1"/>
        <rFont val="Aptos Narrow"/>
        <family val="2"/>
      </rPr>
      <t>HT</t>
    </r>
  </si>
  <si>
    <t>assume 1 for v-tails (Griener pg. 7.45)</t>
  </si>
  <si>
    <t>Ratio of elevator to tail area</t>
  </si>
  <si>
    <t>Se/St</t>
  </si>
  <si>
    <t>assumed value based on Aircraft Design: A systems Engineering Approach CH.12</t>
  </si>
  <si>
    <t>Elevator effective parameter</t>
  </si>
  <si>
    <t>τ</t>
  </si>
  <si>
    <t>Change in Lift w/ Elevator deflection</t>
  </si>
  <si>
    <t>Clδe</t>
  </si>
  <si>
    <t>Down wash gradient</t>
  </si>
  <si>
    <t>dɛ/dα</t>
  </si>
  <si>
    <t xml:space="preserve">Lift of tail </t>
  </si>
  <si>
    <t>Lt</t>
  </si>
  <si>
    <t>TOTAL AIRCRAFT</t>
  </si>
  <si>
    <t>AoA for Takeoff</t>
  </si>
  <si>
    <r>
      <rPr>
        <sz val="11"/>
        <color theme="1"/>
        <rFont val="Arial"/>
        <family val="2"/>
      </rPr>
      <t>α</t>
    </r>
    <r>
      <rPr>
        <sz val="11"/>
        <color theme="1"/>
        <rFont val="Aptos Narrow"/>
        <family val="2"/>
      </rPr>
      <t>TO</t>
    </r>
  </si>
  <si>
    <t>elev. deflection @αcruise and flap def. @20deg  during T-O; during takeoff flaps up =neg</t>
  </si>
  <si>
    <t>Coeffiecient of Lift @Take-off</t>
  </si>
  <si>
    <t>CL_TO</t>
  </si>
  <si>
    <t>utilizes full AC 3D lift coefficients; eqn 18-7 - for Alex</t>
  </si>
  <si>
    <t>Coeffiecient of Lift @TO w/ flap deflection</t>
  </si>
  <si>
    <t>CL_TOf</t>
  </si>
  <si>
    <t>different from TO as it takes into account flap and elevator deflection that affects CL-eqn.9-63</t>
  </si>
  <si>
    <t>Coeffiecient of Lift @rotation w/ flap deflection</t>
  </si>
  <si>
    <t>CL_LOf</t>
  </si>
  <si>
    <t>3D Lift Coefficient of the AC @ Cruise</t>
  </si>
  <si>
    <t>CLc_AC</t>
  </si>
  <si>
    <t>Assuming L=W and the area of the wing.</t>
  </si>
  <si>
    <t>3D Lift Coefficient of the AC</t>
  </si>
  <si>
    <t>CL_AC</t>
  </si>
  <si>
    <t>greiner textbook Clw+Clat*dynamic press. ratio*St/Sw</t>
  </si>
  <si>
    <t>3D Zero Lift Coefficient of AC</t>
  </si>
  <si>
    <t>CL0_AC</t>
  </si>
  <si>
    <t xml:space="preserve">3DLift Curve Slope of AC </t>
  </si>
  <si>
    <r>
      <t>CL</t>
    </r>
    <r>
      <rPr>
        <b/>
        <sz val="11"/>
        <color theme="1"/>
        <rFont val="Aptos Narrow"/>
        <family val="2"/>
      </rPr>
      <t>α_AC</t>
    </r>
  </si>
  <si>
    <t>3D Lift Coefficient of the AC for Climb</t>
  </si>
  <si>
    <t>CLcl_AC</t>
  </si>
  <si>
    <t>l</t>
  </si>
  <si>
    <t>From the graph trendline in drag tab. - EX. 16.26</t>
  </si>
  <si>
    <t>A</t>
  </si>
  <si>
    <t>3D Lift Coeefiecient @ min Drag</t>
  </si>
  <si>
    <t>CL_minD</t>
  </si>
  <si>
    <t>AoA for Landing</t>
  </si>
  <si>
    <t>αLDG</t>
  </si>
  <si>
    <t>same as T-O run;  - eqn 23-3</t>
  </si>
  <si>
    <t>3D Lift Coefficient of the AC for Landing</t>
  </si>
  <si>
    <t>CLldg_AC</t>
  </si>
  <si>
    <t>after touchdown;  AoA = AoA during T-O run</t>
  </si>
  <si>
    <r>
      <t xml:space="preserve">assuming elev. def @pos. trim and flap def @ 17 deg - flaps down = pos; higher than landing as we need an </t>
    </r>
    <r>
      <rPr>
        <sz val="11"/>
        <color theme="1"/>
        <rFont val="Aptos Narrow"/>
        <family val="2"/>
      </rPr>
      <t>↑drag which ↑lift</t>
    </r>
  </si>
  <si>
    <t>Lift of aircraft in cruise</t>
  </si>
  <si>
    <t>Lc</t>
  </si>
  <si>
    <t>Lift-to-Weight</t>
  </si>
  <si>
    <t>Aiming for zero for steady flight</t>
  </si>
  <si>
    <t>Modeling</t>
  </si>
  <si>
    <r>
      <t xml:space="preserve">CL vs. </t>
    </r>
    <r>
      <rPr>
        <sz val="11"/>
        <color theme="1"/>
        <rFont val="Aptos Narrow"/>
        <family val="2"/>
      </rPr>
      <t>α</t>
    </r>
  </si>
  <si>
    <t>AOA</t>
  </si>
  <si>
    <t>CL_takeoff</t>
  </si>
  <si>
    <t>Computed in "Drag" Tab</t>
  </si>
  <si>
    <t>Take-Off Lift Force</t>
  </si>
  <si>
    <t>Take-Off Drag Force</t>
  </si>
  <si>
    <t>Distance (ft)</t>
  </si>
  <si>
    <t>Velocity (ft/s)</t>
  </si>
  <si>
    <t>Velcoity (KCAS)</t>
  </si>
  <si>
    <t>Lift Force (lb)</t>
  </si>
  <si>
    <t>MTOW (lb)</t>
  </si>
  <si>
    <t>Drag Force (lb)</t>
  </si>
  <si>
    <t>XFLR5</t>
  </si>
  <si>
    <r>
      <rPr>
        <sz val="11"/>
        <color theme="1"/>
        <rFont val="Aptos Narrow"/>
        <family val="2"/>
      </rPr>
      <t>α</t>
    </r>
    <r>
      <rPr>
        <sz val="7.7"/>
        <color theme="1"/>
        <rFont val="Aptos Narrow"/>
        <family val="2"/>
      </rPr>
      <t>stall</t>
    </r>
  </si>
  <si>
    <t>Alpha</t>
  </si>
  <si>
    <t>not accurate - just trend (XFLR)</t>
  </si>
  <si>
    <t>ideal for L=W 151 ft</t>
  </si>
  <si>
    <t>double check</t>
  </si>
  <si>
    <t>(CLc-CLo)/Cla for complete AC</t>
  </si>
  <si>
    <t xml:space="preserve">3D cruise lift coefficient of wing </t>
  </si>
  <si>
    <t>CLcw</t>
  </si>
  <si>
    <t>from XLFR5</t>
  </si>
  <si>
    <t>AR = 8.29</t>
  </si>
  <si>
    <t>Clmax/Clmax</t>
  </si>
  <si>
    <t>Assuming CLmaxTE/LE are similar to the 2D info @max deflectiom ie. TO</t>
  </si>
  <si>
    <t>ft2</t>
  </si>
  <si>
    <t>Lift of HT</t>
  </si>
  <si>
    <t>HT tail effectiveness</t>
  </si>
  <si>
    <t>assumed effectiveness value</t>
  </si>
  <si>
    <t>Downwash gradient</t>
  </si>
  <si>
    <t>eqn 24-91</t>
  </si>
  <si>
    <t>elev. deflection @40deg and flap def. @18 deg during T-O; during takeoff flaps up =neg</t>
  </si>
  <si>
    <t>CLto</t>
  </si>
  <si>
    <t>utilizes full AC 3D lift coefficients; eqn 18-7</t>
  </si>
  <si>
    <t>2W/rho*V^2*Sw</t>
  </si>
  <si>
    <t>B</t>
  </si>
  <si>
    <t>3D Lift Coefficient of the AC for Descent</t>
  </si>
  <si>
    <t>CLd_AC</t>
  </si>
  <si>
    <t>TOTAL LIFT OF AC @cruise</t>
  </si>
  <si>
    <t>Lw+ Lt</t>
  </si>
  <si>
    <t>FOXTROT - MIXED BOUNDARY LAYER DRAG ANALYSIS</t>
  </si>
  <si>
    <t>Altitude (ft)</t>
  </si>
  <si>
    <t>FLIGHT CONDITION</t>
  </si>
  <si>
    <t>Density (slug/ft^3)</t>
  </si>
  <si>
    <t>Cruise at 250 KCAS</t>
  </si>
  <si>
    <t>Description</t>
  </si>
  <si>
    <t>Symbol</t>
  </si>
  <si>
    <t xml:space="preserve">Units </t>
  </si>
  <si>
    <t>Key</t>
  </si>
  <si>
    <t>Selected Airspeed</t>
  </si>
  <si>
    <t>Velocity (KTAS)</t>
  </si>
  <si>
    <t>Drag (lb)</t>
  </si>
  <si>
    <t>Thrust Needed to Maintain 250 KCAS (lb)</t>
  </si>
  <si>
    <t>Thrust Needed to Overcome Drag and Maintain Cruise (lb)</t>
  </si>
  <si>
    <t>Fraction of availible total thrust</t>
  </si>
  <si>
    <t>Fraction of available turbofan thrust assuming full props</t>
  </si>
  <si>
    <t>Altitude</t>
  </si>
  <si>
    <t>H =</t>
  </si>
  <si>
    <t>From "General" tab</t>
  </si>
  <si>
    <t>User Entry</t>
  </si>
  <si>
    <t>V_KCAS =</t>
  </si>
  <si>
    <t>V_KTAS =</t>
  </si>
  <si>
    <t>Invalid</t>
  </si>
  <si>
    <t>Ch 16 calcs use KTAS</t>
  </si>
  <si>
    <t>Mach number</t>
  </si>
  <si>
    <t>M =</t>
  </si>
  <si>
    <t>θ =</t>
  </si>
  <si>
    <t>Density ratio</t>
  </si>
  <si>
    <r>
      <rPr>
        <sz val="11"/>
        <color theme="1"/>
        <rFont val="Aptos Narrow"/>
        <family val="2"/>
      </rPr>
      <t>σ</t>
    </r>
    <r>
      <rPr>
        <sz val="11"/>
        <color theme="1"/>
        <rFont val="Aptos Narrow"/>
        <family val="2"/>
        <scheme val="minor"/>
      </rPr>
      <t xml:space="preserve"> =</t>
    </r>
  </si>
  <si>
    <t>Air density</t>
  </si>
  <si>
    <r>
      <rPr>
        <sz val="11"/>
        <color theme="1"/>
        <rFont val="Aptos Narrow"/>
        <family val="2"/>
      </rPr>
      <t>ρ</t>
    </r>
    <r>
      <rPr>
        <sz val="11"/>
        <color theme="1"/>
        <rFont val="Aptos Narrow"/>
        <family val="2"/>
        <scheme val="minor"/>
      </rPr>
      <t xml:space="preserve"> =</t>
    </r>
  </si>
  <si>
    <t>Outside Air Temperature</t>
  </si>
  <si>
    <t>T =</t>
  </si>
  <si>
    <t>deg Rankine</t>
  </si>
  <si>
    <t>Dynamic Viscosity (Sutherlands Formula)</t>
  </si>
  <si>
    <r>
      <rPr>
        <sz val="11"/>
        <color theme="1"/>
        <rFont val="Aptos Narrow"/>
        <family val="2"/>
      </rPr>
      <t>µ</t>
    </r>
    <r>
      <rPr>
        <sz val="11"/>
        <color theme="1"/>
        <rFont val="Aptos Narrow"/>
        <family val="2"/>
        <scheme val="minor"/>
      </rPr>
      <t xml:space="preserve"> =</t>
    </r>
  </si>
  <si>
    <t>lb _f*s/ft^2</t>
  </si>
  <si>
    <t>Kinematic Viscosity</t>
  </si>
  <si>
    <t>ν =</t>
  </si>
  <si>
    <t>ft^2/s</t>
  </si>
  <si>
    <t>GEOMETRY</t>
  </si>
  <si>
    <t xml:space="preserve">Symbol </t>
  </si>
  <si>
    <t>Wing 1</t>
  </si>
  <si>
    <t>HT</t>
  </si>
  <si>
    <t>VT</t>
  </si>
  <si>
    <t>Fuselage</t>
  </si>
  <si>
    <t>Area</t>
  </si>
  <si>
    <t>S_i =</t>
  </si>
  <si>
    <t>AR_i =</t>
  </si>
  <si>
    <t>Taper Ratio</t>
  </si>
  <si>
    <t>λ_i =</t>
  </si>
  <si>
    <t>Select Surface Type (Name)</t>
  </si>
  <si>
    <t>Smooth Paint</t>
  </si>
  <si>
    <t>Table 16-2</t>
  </si>
  <si>
    <t>Skin roughness value</t>
  </si>
  <si>
    <t>k =</t>
  </si>
  <si>
    <t>Span (max width of the fuselage)</t>
  </si>
  <si>
    <t>b_i =</t>
  </si>
  <si>
    <t xml:space="preserve">Average chord </t>
  </si>
  <si>
    <t>C_avgi =</t>
  </si>
  <si>
    <t>Root chord</t>
  </si>
  <si>
    <t>C_ri =</t>
  </si>
  <si>
    <t>Tip chord</t>
  </si>
  <si>
    <t>C_ti =</t>
  </si>
  <si>
    <t>Wetted area booster coefficient</t>
  </si>
  <si>
    <t xml:space="preserve">k_weti = </t>
  </si>
  <si>
    <t>Assumed from Gudmundsson</t>
  </si>
  <si>
    <t xml:space="preserve">Wetted Area </t>
  </si>
  <si>
    <t>S_weti =</t>
  </si>
  <si>
    <t>Wetted Area Ratio (Fuselage to Wing)</t>
  </si>
  <si>
    <t>S_wer/S =</t>
  </si>
  <si>
    <t>On par with other aircraft Table 16-11</t>
  </si>
  <si>
    <t xml:space="preserve">Reference area </t>
  </si>
  <si>
    <t>S_ref =</t>
  </si>
  <si>
    <t>Total Wetted Area</t>
  </si>
  <si>
    <t>S_wet =</t>
  </si>
  <si>
    <t>ANALYSIS FOR ROOT CHORD</t>
  </si>
  <si>
    <t>Reynolds Number based on C_ref</t>
  </si>
  <si>
    <t>Re_true1 =</t>
  </si>
  <si>
    <t>Eq. 16-27</t>
  </si>
  <si>
    <t>Goal is efficiency. Higher altitudes would increase cruise fuel efficiency (but not accounting for propellor efficiency loss). At 15,000 ft, the aircraft can reduce climb time and therefore fuel consumption for short-range missions.</t>
  </si>
  <si>
    <t>Cutoff Reynolds Number</t>
  </si>
  <si>
    <t>Re_cutoff1 =</t>
  </si>
  <si>
    <t>Eq. 16-28</t>
  </si>
  <si>
    <t xml:space="preserve">Analysis Reynolds Number </t>
  </si>
  <si>
    <t>Re_1 =</t>
  </si>
  <si>
    <t>If Re_true exceeds Re_cutoff, use Re_cutoff. Otherwise, use Re_true.</t>
  </si>
  <si>
    <t>Lower surface transition</t>
  </si>
  <si>
    <t>X_tr/C_R =</t>
  </si>
  <si>
    <t>Assumed based on textbook and airfoil data</t>
  </si>
  <si>
    <t xml:space="preserve">Upper surface transition </t>
  </si>
  <si>
    <t>Lower surface fictitious transition</t>
  </si>
  <si>
    <t>X_0/C_R =</t>
  </si>
  <si>
    <t>Eq. 16-69</t>
  </si>
  <si>
    <t xml:space="preserve">Upper surface fictitious transition </t>
  </si>
  <si>
    <t>Skin friction coefficient - Lower</t>
  </si>
  <si>
    <t>C_flower1 =</t>
  </si>
  <si>
    <t>Eq. 16-70</t>
  </si>
  <si>
    <t xml:space="preserve">Skin friction coefficient - Upper </t>
  </si>
  <si>
    <t>C_fupper1 =</t>
  </si>
  <si>
    <t>Skin friction coefficient - Average</t>
  </si>
  <si>
    <t>C_f1 =</t>
  </si>
  <si>
    <t>Avg upper and lower</t>
  </si>
  <si>
    <t>10,000 ft</t>
  </si>
  <si>
    <t>15,000 ft</t>
  </si>
  <si>
    <t>20,000 ft</t>
  </si>
  <si>
    <t>30,000 ft</t>
  </si>
  <si>
    <t>ANALYSIS FOR TIP CHORD</t>
  </si>
  <si>
    <t xml:space="preserve">Wing 1 </t>
  </si>
  <si>
    <t>Reynolds Number based on Cref</t>
  </si>
  <si>
    <t>Re_true2 =</t>
  </si>
  <si>
    <t>Same as above</t>
  </si>
  <si>
    <t>Re_cutoff2 =</t>
  </si>
  <si>
    <t>Analysis Reynolds Number</t>
  </si>
  <si>
    <t>Re_2 =</t>
  </si>
  <si>
    <t>X_tr/C_T =</t>
  </si>
  <si>
    <t>X_0/C_T =</t>
  </si>
  <si>
    <t>Upper surface fictitious transition</t>
  </si>
  <si>
    <t>Skin friction coefficient -Lower</t>
  </si>
  <si>
    <t>C_flower2 =</t>
  </si>
  <si>
    <t>Skin friction coefficient -Upper</t>
  </si>
  <si>
    <t>C_fupper2 =</t>
  </si>
  <si>
    <t>C_f2 =</t>
  </si>
  <si>
    <t>MIXED BL ANALYSIS FOR A COMPLETE AIRPLANE</t>
  </si>
  <si>
    <t>WING</t>
  </si>
  <si>
    <t>FUSELAGE</t>
  </si>
  <si>
    <t>Component wetted area</t>
  </si>
  <si>
    <t xml:space="preserve">Skin friction coefficient </t>
  </si>
  <si>
    <t>C_fi =</t>
  </si>
  <si>
    <t xml:space="preserve">Skin friction drag coefficient </t>
  </si>
  <si>
    <t>C_Dfi =</t>
  </si>
  <si>
    <t>Skin fricition drag force</t>
  </si>
  <si>
    <t>D_fi =</t>
  </si>
  <si>
    <t>using C_fi</t>
  </si>
  <si>
    <t>Skin friction drag force</t>
  </si>
  <si>
    <t>using C_Dfi</t>
  </si>
  <si>
    <t>TOTAL SKIN FRICTION DRAG COEFFICIENT</t>
  </si>
  <si>
    <t>C_Df =</t>
  </si>
  <si>
    <t>TOTAL SKIN FRICTION DRAG</t>
  </si>
  <si>
    <t>D_f =</t>
  </si>
  <si>
    <t>MINIMUM DRAG COEFFICIENT</t>
  </si>
  <si>
    <t>Location of maximum thickness</t>
  </si>
  <si>
    <t>(x/c)_max =</t>
  </si>
  <si>
    <t>Thickness ratio</t>
  </si>
  <si>
    <t>t/c =</t>
  </si>
  <si>
    <t>Max thickness sweep angle</t>
  </si>
  <si>
    <r>
      <rPr>
        <sz val="11"/>
        <color theme="1"/>
        <rFont val="Aptos Narrow"/>
        <family val="2"/>
      </rPr>
      <t>Λ</t>
    </r>
    <r>
      <rPr>
        <sz val="8.8000000000000007"/>
        <color theme="1"/>
        <rFont val="Aptos Narrow"/>
        <family val="2"/>
      </rPr>
      <t>_tmax =</t>
    </r>
  </si>
  <si>
    <t>Representative length (fuselage only)</t>
  </si>
  <si>
    <t>l =</t>
  </si>
  <si>
    <t>Representative diameter (fuselage only)</t>
  </si>
  <si>
    <t>d =</t>
  </si>
  <si>
    <t>Fineness ratio</t>
  </si>
  <si>
    <t>f =</t>
  </si>
  <si>
    <t>Form factor</t>
  </si>
  <si>
    <t>FF =</t>
  </si>
  <si>
    <t>Interference factor</t>
  </si>
  <si>
    <t>IF =</t>
  </si>
  <si>
    <t>Wetted area (same as above)</t>
  </si>
  <si>
    <t>Weighted Drag Factor</t>
  </si>
  <si>
    <t>1/Sref*Cf*FF*IF*Swet</t>
  </si>
  <si>
    <t>Total skin friction drag coefficient</t>
  </si>
  <si>
    <t>Cf*FF*IF*Swet</t>
  </si>
  <si>
    <t>Alternate Calculation</t>
  </si>
  <si>
    <t>C_Dmini =</t>
  </si>
  <si>
    <t>Minimum drag coefficient (mixed BL)</t>
  </si>
  <si>
    <t>Lift Induced Drag</t>
  </si>
  <si>
    <t>Eq 16-87</t>
  </si>
  <si>
    <t>CL^2/(pi*AR*e)</t>
  </si>
  <si>
    <t>Compressibility Drag Coefficient</t>
  </si>
  <si>
    <t>C_Dw =</t>
  </si>
  <si>
    <t>Figure 16-37</t>
  </si>
  <si>
    <t>Miscellaneous drag</t>
  </si>
  <si>
    <t xml:space="preserve">C_Dmisc = </t>
  </si>
  <si>
    <t>Assumed from similar aircraft/text</t>
  </si>
  <si>
    <t>Leakage and proturberance</t>
  </si>
  <si>
    <t>C_DL&amp;P =</t>
  </si>
  <si>
    <t>C_L</t>
  </si>
  <si>
    <t>C_L^2</t>
  </si>
  <si>
    <t>C_D</t>
  </si>
  <si>
    <t>C_Di</t>
  </si>
  <si>
    <t>CRUD percentage</t>
  </si>
  <si>
    <t>CRUD =</t>
  </si>
  <si>
    <t>Total minimum drag coefficient</t>
  </si>
  <si>
    <t>C_Dmin =</t>
  </si>
  <si>
    <t>CDmin eq above</t>
  </si>
  <si>
    <t xml:space="preserve">TOTAL CRUISING DRAG </t>
  </si>
  <si>
    <t>Total drag coefficient at Cruise</t>
  </si>
  <si>
    <t>CDmin+CDi+CDw</t>
  </si>
  <si>
    <t>Total dragcount</t>
  </si>
  <si>
    <t>ΔC_D =</t>
  </si>
  <si>
    <t>Typical aircraft range from 200-400</t>
  </si>
  <si>
    <t>Cruise Lift-to-Drag Ratio</t>
  </si>
  <si>
    <t xml:space="preserve">TOTAL CLIMBING DRAG </t>
  </si>
  <si>
    <t>Lift Induced Drag at Climb</t>
  </si>
  <si>
    <t xml:space="preserve">C_Di = </t>
  </si>
  <si>
    <t xml:space="preserve">Total Drag coefficient </t>
  </si>
  <si>
    <t>Lift-off Speed</t>
  </si>
  <si>
    <t>V_TO =</t>
  </si>
  <si>
    <t>Density @ SL</t>
  </si>
  <si>
    <t>Drag Force at T-O</t>
  </si>
  <si>
    <t>Clmindrag</t>
  </si>
  <si>
    <t>K</t>
  </si>
  <si>
    <t>Velocity</t>
  </si>
  <si>
    <t>Drag</t>
  </si>
  <si>
    <t>Vmin</t>
  </si>
  <si>
    <t>Vs (Stalling speed)</t>
  </si>
  <si>
    <t>Vba (best rate-of-descent)</t>
  </si>
  <si>
    <t>Vbg (Best angle-of-descent)</t>
  </si>
  <si>
    <t>Vy (Best angle-of-climb)</t>
  </si>
  <si>
    <t>Vx (Best rate-of-climb)</t>
  </si>
  <si>
    <t>Ve (Best endurance)</t>
  </si>
  <si>
    <t>Vr (Best endurance)</t>
  </si>
  <si>
    <t>Vmax (max level speed)</t>
  </si>
  <si>
    <t>ALT,ft</t>
  </si>
  <si>
    <t>Ldmax</t>
  </si>
  <si>
    <t>AOC, deg</t>
  </si>
  <si>
    <t>ROC, fpm</t>
  </si>
  <si>
    <t>E, hrs</t>
  </si>
  <si>
    <t>R, hrs</t>
  </si>
  <si>
    <t>Annabelle-- Flight Env Attempt</t>
  </si>
  <si>
    <t>Presets</t>
  </si>
  <si>
    <t>Max Available Thrust @ SL</t>
  </si>
  <si>
    <t>T_max</t>
  </si>
  <si>
    <t>S_w</t>
  </si>
  <si>
    <t xml:space="preserve">ft^2 </t>
  </si>
  <si>
    <t>Minimum Drag Coeff</t>
  </si>
  <si>
    <t>CD_min</t>
  </si>
  <si>
    <t>Lift Coeff where drag is minimum</t>
  </si>
  <si>
    <t>CL_minCD</t>
  </si>
  <si>
    <t>Lift-induced Drag Constant</t>
  </si>
  <si>
    <t xml:space="preserve">Weight </t>
  </si>
  <si>
    <t>Max Lift Coeff</t>
  </si>
  <si>
    <t>CL_max</t>
  </si>
  <si>
    <t>Radical</t>
  </si>
  <si>
    <t>Sea - Level</t>
  </si>
  <si>
    <t>Air Density, lb/ft^2</t>
  </si>
  <si>
    <t>Pressure, lb/ft^2</t>
  </si>
  <si>
    <t>Speed of Sound, kts</t>
  </si>
  <si>
    <t>Vmax is calculated</t>
  </si>
  <si>
    <t>SEA - Level</t>
  </si>
  <si>
    <t>rho/rhos</t>
  </si>
  <si>
    <t>ceiling</t>
  </si>
  <si>
    <t>x-for ceiling</t>
  </si>
  <si>
    <t>Function delta 1</t>
  </si>
  <si>
    <t>Figure 16-63</t>
  </si>
  <si>
    <t>Function delta 2</t>
  </si>
  <si>
    <t>Figure 16-64</t>
  </si>
  <si>
    <t>Flap Drag coefficient</t>
  </si>
  <si>
    <t>ΔC_Dfl =</t>
  </si>
  <si>
    <t>Table 16-18</t>
  </si>
  <si>
    <t>C_DTO =</t>
  </si>
  <si>
    <t>Drag Force at Liftoff</t>
  </si>
  <si>
    <t>Cruise Conditions--Gudmunsson Video Tutorial</t>
  </si>
  <si>
    <t>Liftoff Conditions</t>
  </si>
  <si>
    <t>Velocity ft/s</t>
  </si>
  <si>
    <t>Velcoity KCAS</t>
  </si>
  <si>
    <t>Drag Force lb</t>
  </si>
  <si>
    <t>Drag Force Cruise</t>
  </si>
  <si>
    <t>Drag Polar at 412 KTAS</t>
  </si>
  <si>
    <t>W/S</t>
  </si>
  <si>
    <t>T/W</t>
  </si>
  <si>
    <t>Power Ratios</t>
  </si>
  <si>
    <t>Constant Velocity Turn</t>
  </si>
  <si>
    <t>Rate of Climb</t>
  </si>
  <si>
    <t xml:space="preserve"> T-O Distance</t>
  </si>
  <si>
    <t>Cruise Airspeed</t>
  </si>
  <si>
    <t>Service Ceiling</t>
  </si>
  <si>
    <t>MTOW</t>
  </si>
  <si>
    <t>General Inputs</t>
  </si>
  <si>
    <t>Lift Induced Drag Constant</t>
  </si>
  <si>
    <t>Hcvt</t>
  </si>
  <si>
    <t>Maneuver Altitude</t>
  </si>
  <si>
    <t>Vcvt</t>
  </si>
  <si>
    <t>Maneuver Speed</t>
  </si>
  <si>
    <t>Load Factor</t>
  </si>
  <si>
    <t>Desired Rate of Climb</t>
  </si>
  <si>
    <t>Hvy</t>
  </si>
  <si>
    <t>Target Altitude at Maneuver</t>
  </si>
  <si>
    <t>ROCmax</t>
  </si>
  <si>
    <t>Maximum Rate of Climb</t>
  </si>
  <si>
    <t>Vv</t>
  </si>
  <si>
    <t>Verical Speed</t>
  </si>
  <si>
    <t>Airspeed</t>
  </si>
  <si>
    <t>Desired T-O Distance</t>
  </si>
  <si>
    <t>Hto</t>
  </si>
  <si>
    <t>Sg</t>
  </si>
  <si>
    <t>Ground Roll Distance</t>
  </si>
  <si>
    <t>Ground Roll CL</t>
  </si>
  <si>
    <t>CDto</t>
  </si>
  <si>
    <t>Ground Roll CD</t>
  </si>
  <si>
    <t>ρ</t>
  </si>
  <si>
    <t>μ</t>
  </si>
  <si>
    <t>Ground Friction Constant</t>
  </si>
  <si>
    <t>Desired Cruise Airspeed</t>
  </si>
  <si>
    <t>Hc</t>
  </si>
  <si>
    <t>Max Cruise Speed</t>
  </si>
  <si>
    <t>Desired Service Ceiling</t>
  </si>
  <si>
    <t>Hsc</t>
  </si>
  <si>
    <t>FOXTROT - CONSTRAINT ANALYSIS</t>
  </si>
  <si>
    <t>GENERAL INFORMATION</t>
  </si>
  <si>
    <t>Target Min. Drag</t>
  </si>
  <si>
    <r>
      <t>C</t>
    </r>
    <r>
      <rPr>
        <vertAlign val="subscript"/>
        <sz val="11"/>
        <color theme="1"/>
        <rFont val="Aptos Narrow"/>
        <family val="2"/>
        <scheme val="minor"/>
      </rPr>
      <t>dmin</t>
    </r>
  </si>
  <si>
    <t xml:space="preserve">Formula </t>
  </si>
  <si>
    <t xml:space="preserve">Propeller efficiency </t>
  </si>
  <si>
    <t>η</t>
  </si>
  <si>
    <t>Target design gross weight.</t>
  </si>
  <si>
    <t>W =</t>
  </si>
  <si>
    <t>lb_f</t>
  </si>
  <si>
    <t>Target span efficiency</t>
  </si>
  <si>
    <t>REQUIREMENT FOR TURN LOAD FACT AND SPEED</t>
  </si>
  <si>
    <t>COMMENTS</t>
  </si>
  <si>
    <t>Turn load factor required</t>
  </si>
  <si>
    <r>
      <t>n</t>
    </r>
    <r>
      <rPr>
        <vertAlign val="subscript"/>
        <sz val="11"/>
        <color theme="1"/>
        <rFont val="Aptos Narrow"/>
        <family val="2"/>
        <scheme val="minor"/>
      </rPr>
      <t>turn</t>
    </r>
  </si>
  <si>
    <t>Required turning speed</t>
  </si>
  <si>
    <t>Required altitude</t>
  </si>
  <si>
    <r>
      <t>H</t>
    </r>
    <r>
      <rPr>
        <vertAlign val="subscript"/>
        <sz val="11"/>
        <color theme="1"/>
        <rFont val="Aptos Narrow"/>
        <family val="2"/>
        <scheme val="minor"/>
      </rPr>
      <t>ref</t>
    </r>
  </si>
  <si>
    <t xml:space="preserve">Density at altitude </t>
  </si>
  <si>
    <r>
      <rPr>
        <sz val="11"/>
        <color theme="1"/>
        <rFont val="Aptos Narrow"/>
        <family val="2"/>
      </rPr>
      <t>ρ</t>
    </r>
    <r>
      <rPr>
        <sz val="11"/>
        <color theme="1"/>
        <rFont val="Aptos Narrow"/>
        <family val="2"/>
        <scheme val="minor"/>
      </rPr>
      <t xml:space="preserve"> </t>
    </r>
  </si>
  <si>
    <t>Dynamic pressure at alt.</t>
  </si>
  <si>
    <r>
      <t>q</t>
    </r>
    <r>
      <rPr>
        <vertAlign val="subscript"/>
        <sz val="11"/>
        <color theme="1"/>
        <rFont val="Aptos Narrow"/>
        <family val="2"/>
        <scheme val="minor"/>
      </rPr>
      <t>c</t>
    </r>
  </si>
  <si>
    <t>T/W at W/S =?</t>
  </si>
  <si>
    <t xml:space="preserve">T/W </t>
  </si>
  <si>
    <t>REQUIREMENTS FOR RATE-OF-CLIMB</t>
  </si>
  <si>
    <t>Comment</t>
  </si>
  <si>
    <t>Required Climb speed</t>
  </si>
  <si>
    <r>
      <t>V</t>
    </r>
    <r>
      <rPr>
        <vertAlign val="subscript"/>
        <sz val="11"/>
        <color theme="1"/>
        <rFont val="Aptos Narrow"/>
        <family val="2"/>
        <scheme val="minor"/>
      </rPr>
      <t>y</t>
    </r>
  </si>
  <si>
    <t>Required ROC</t>
  </si>
  <si>
    <r>
      <t>V</t>
    </r>
    <r>
      <rPr>
        <vertAlign val="subscript"/>
        <sz val="11"/>
        <color theme="1"/>
        <rFont val="Aptos Narrow"/>
        <family val="2"/>
        <scheme val="minor"/>
      </rPr>
      <t>v</t>
    </r>
  </si>
  <si>
    <t xml:space="preserve">fpm </t>
  </si>
  <si>
    <t>Required climb speed</t>
  </si>
  <si>
    <t xml:space="preserve">fps </t>
  </si>
  <si>
    <t>Dynamic pressure @alt.</t>
  </si>
  <si>
    <r>
      <t>q</t>
    </r>
    <r>
      <rPr>
        <vertAlign val="subscript"/>
        <sz val="11"/>
        <color theme="1"/>
        <rFont val="Aptos Narrow"/>
        <family val="2"/>
        <scheme val="minor"/>
      </rPr>
      <t>y</t>
    </r>
  </si>
  <si>
    <t>lb_f/ft^2</t>
  </si>
  <si>
    <t>T/W @ W/S =?</t>
  </si>
  <si>
    <t>REQUIREMENT FOR T-O GROUND RUN</t>
  </si>
  <si>
    <t>"First stab" T-O lift coefficient</t>
  </si>
  <si>
    <r>
      <t>C</t>
    </r>
    <r>
      <rPr>
        <vertAlign val="subscript"/>
        <sz val="11"/>
        <color theme="1"/>
        <rFont val="Aptos Narrow"/>
        <family val="2"/>
        <scheme val="minor"/>
      </rPr>
      <t>LTO</t>
    </r>
  </si>
  <si>
    <t>"First stab" T-O drag coefficient</t>
  </si>
  <si>
    <r>
      <t>C</t>
    </r>
    <r>
      <rPr>
        <vertAlign val="subscript"/>
        <sz val="11"/>
        <color theme="1"/>
        <rFont val="Aptos Narrow"/>
        <family val="2"/>
        <scheme val="minor"/>
      </rPr>
      <t>DTO</t>
    </r>
  </si>
  <si>
    <t>Required lift-off speed</t>
  </si>
  <si>
    <r>
      <t>V</t>
    </r>
    <r>
      <rPr>
        <vertAlign val="subscript"/>
        <sz val="11"/>
        <color theme="1"/>
        <rFont val="Aptos Narrow"/>
        <family val="2"/>
        <scheme val="minor"/>
      </rPr>
      <t>LOF</t>
    </r>
  </si>
  <si>
    <t>Required ground run dist.</t>
  </si>
  <si>
    <r>
      <t>S</t>
    </r>
    <r>
      <rPr>
        <vertAlign val="subscript"/>
        <sz val="11"/>
        <color theme="1"/>
        <rFont val="Aptos Narrow"/>
        <family val="2"/>
        <scheme val="minor"/>
      </rPr>
      <t>G</t>
    </r>
  </si>
  <si>
    <t>Propeller efficiency</t>
  </si>
  <si>
    <t>Speed averaging</t>
  </si>
  <si>
    <r>
      <t>V</t>
    </r>
    <r>
      <rPr>
        <vertAlign val="subscript"/>
        <sz val="11"/>
        <color theme="1"/>
        <rFont val="Aptos Narrow"/>
        <family val="2"/>
        <scheme val="minor"/>
      </rPr>
      <t>LOF/2</t>
    </r>
  </si>
  <si>
    <t>Dynamic pressure at cond.</t>
  </si>
  <si>
    <t>Ground friction</t>
  </si>
  <si>
    <t>µ</t>
  </si>
  <si>
    <t>REQUIREMENT FOR MAX SPEED</t>
  </si>
  <si>
    <t>Desired true airspeed</t>
  </si>
  <si>
    <t>Cruise altitude</t>
  </si>
  <si>
    <t>H</t>
  </si>
  <si>
    <t>Density at altitude</t>
  </si>
  <si>
    <t>Dynamic pressure @ cond.</t>
  </si>
  <si>
    <t>T/W at W/S = ?</t>
  </si>
  <si>
    <t>CONSTRAINT RESULTS</t>
  </si>
  <si>
    <t>Minimum T/W</t>
  </si>
  <si>
    <r>
      <t>(T/W)</t>
    </r>
    <r>
      <rPr>
        <vertAlign val="subscript"/>
        <sz val="11"/>
        <color theme="1"/>
        <rFont val="Aptos Narrow"/>
        <family val="2"/>
        <scheme val="minor"/>
      </rPr>
      <t>min</t>
    </r>
  </si>
  <si>
    <t>Minimum thrust</t>
  </si>
  <si>
    <r>
      <t>T</t>
    </r>
    <r>
      <rPr>
        <vertAlign val="subscript"/>
        <sz val="11"/>
        <color theme="1"/>
        <rFont val="Aptos Narrow"/>
        <family val="2"/>
        <scheme val="minor"/>
      </rPr>
      <t>min</t>
    </r>
  </si>
  <si>
    <t>Minimum power</t>
  </si>
  <si>
    <r>
      <t>P</t>
    </r>
    <r>
      <rPr>
        <vertAlign val="subscript"/>
        <sz val="11"/>
        <color theme="1"/>
        <rFont val="Aptos Narrow"/>
        <family val="2"/>
        <scheme val="minor"/>
      </rPr>
      <t>min</t>
    </r>
  </si>
  <si>
    <t>CONSTRAINT ANALYSIS</t>
  </si>
  <si>
    <t>Desired W/S</t>
  </si>
  <si>
    <t xml:space="preserve">W/S </t>
  </si>
  <si>
    <t>lb/ft ^2</t>
  </si>
  <si>
    <t xml:space="preserve">Will match a W/S in the table below </t>
  </si>
  <si>
    <t>Required T/W</t>
  </si>
  <si>
    <t>Lookup from table below using W/S</t>
  </si>
  <si>
    <t>Required Power</t>
  </si>
  <si>
    <r>
      <t>P</t>
    </r>
    <r>
      <rPr>
        <vertAlign val="subscript"/>
        <sz val="11"/>
        <color theme="1"/>
        <rFont val="Aptos Narrow"/>
        <family val="2"/>
        <scheme val="minor"/>
      </rPr>
      <t>req</t>
    </r>
  </si>
  <si>
    <t xml:space="preserve">Required Wing Area </t>
  </si>
  <si>
    <r>
      <t>S</t>
    </r>
    <r>
      <rPr>
        <vertAlign val="subscript"/>
        <sz val="11"/>
        <color theme="1"/>
        <rFont val="Aptos Narrow"/>
        <family val="2"/>
        <scheme val="minor"/>
      </rPr>
      <t>req</t>
    </r>
  </si>
  <si>
    <t>Min area req. to meet mission</t>
  </si>
  <si>
    <t>IMPLICATIONS FOR STALL SPEED</t>
  </si>
  <si>
    <t>Expected max lift coefficient</t>
  </si>
  <si>
    <t>No flaps</t>
  </si>
  <si>
    <t>Resulting stall speed</t>
  </si>
  <si>
    <r>
      <t>V</t>
    </r>
    <r>
      <rPr>
        <vertAlign val="subscript"/>
        <sz val="11"/>
        <color theme="1"/>
        <rFont val="Aptos Narrow"/>
        <family val="2"/>
        <scheme val="minor"/>
      </rPr>
      <t>s</t>
    </r>
  </si>
  <si>
    <t>C_Lmax required for …KCAS</t>
  </si>
  <si>
    <t>REQUIREMENT FOR ENDURANCE</t>
  </si>
  <si>
    <r>
      <t>C</t>
    </r>
    <r>
      <rPr>
        <vertAlign val="subscript"/>
        <sz val="11"/>
        <color theme="1"/>
        <rFont val="Aptos Narrow"/>
        <family val="2"/>
        <scheme val="minor"/>
      </rPr>
      <t>BHP</t>
    </r>
  </si>
  <si>
    <t>lb_f/hr/BHP</t>
  </si>
  <si>
    <r>
      <t>W</t>
    </r>
    <r>
      <rPr>
        <vertAlign val="subscript"/>
        <sz val="11"/>
        <color theme="1"/>
        <rFont val="Aptos Narrow"/>
        <family val="2"/>
        <scheme val="minor"/>
      </rPr>
      <t>f</t>
    </r>
  </si>
  <si>
    <t>Target endurance</t>
  </si>
  <si>
    <r>
      <t>t</t>
    </r>
    <r>
      <rPr>
        <vertAlign val="subscript"/>
        <sz val="11"/>
        <color theme="1"/>
        <rFont val="Aptos Narrow"/>
        <family val="2"/>
        <scheme val="minor"/>
      </rPr>
      <t>hours</t>
    </r>
  </si>
  <si>
    <t>Target endurance speed</t>
  </si>
  <si>
    <r>
      <t>V</t>
    </r>
    <r>
      <rPr>
        <vertAlign val="subscript"/>
        <sz val="11"/>
        <color theme="1"/>
        <rFont val="Aptos Narrow"/>
        <family val="2"/>
        <scheme val="minor"/>
      </rPr>
      <t>e</t>
    </r>
  </si>
  <si>
    <t>Speed for max endurance</t>
  </si>
  <si>
    <r>
      <t>V</t>
    </r>
    <r>
      <rPr>
        <vertAlign val="subscript"/>
        <sz val="11"/>
        <color theme="1"/>
        <rFont val="Aptos Narrow"/>
        <family val="2"/>
        <scheme val="minor"/>
      </rPr>
      <t>L/Dmax</t>
    </r>
  </si>
  <si>
    <t>Final weight</t>
  </si>
  <si>
    <t xml:space="preserve">ft/s </t>
  </si>
  <si>
    <r>
      <t>C</t>
    </r>
    <r>
      <rPr>
        <vertAlign val="subscript"/>
        <sz val="11"/>
        <color theme="1"/>
        <rFont val="Aptos Narrow"/>
        <family val="2"/>
        <scheme val="minor"/>
      </rPr>
      <t>t</t>
    </r>
  </si>
  <si>
    <t>1/sec</t>
  </si>
  <si>
    <t>Lift-to-drag ratio</t>
  </si>
  <si>
    <r>
      <t>C</t>
    </r>
    <r>
      <rPr>
        <vertAlign val="subscript"/>
        <sz val="11"/>
        <color theme="1"/>
        <rFont val="Aptos Narrow"/>
        <family val="2"/>
        <scheme val="minor"/>
      </rPr>
      <t>L</t>
    </r>
    <r>
      <rPr>
        <sz val="11"/>
        <color theme="1"/>
        <rFont val="Aptos Narrow"/>
        <family val="2"/>
        <scheme val="minor"/>
      </rPr>
      <t>/C</t>
    </r>
    <r>
      <rPr>
        <vertAlign val="subscript"/>
        <sz val="11"/>
        <color theme="1"/>
        <rFont val="Aptos Narrow"/>
        <family val="2"/>
        <scheme val="minor"/>
      </rPr>
      <t>D</t>
    </r>
  </si>
  <si>
    <t>IMPLICATION FOR MAX L/D</t>
  </si>
  <si>
    <t>Maximum L/D</t>
  </si>
  <si>
    <r>
      <t>L/D</t>
    </r>
    <r>
      <rPr>
        <vertAlign val="subscript"/>
        <sz val="11"/>
        <color theme="1"/>
        <rFont val="Aptos Narrow"/>
        <family val="2"/>
        <scheme val="minor"/>
      </rPr>
      <t>max</t>
    </r>
  </si>
  <si>
    <t>Speed for max L/D</t>
  </si>
  <si>
    <t>PLOT DATA FOR T/W</t>
  </si>
  <si>
    <t>FOXTROT - INITIAL TAIL SIZING</t>
  </si>
  <si>
    <t>UNIT</t>
  </si>
  <si>
    <t xml:space="preserve">Desired HT volume </t>
  </si>
  <si>
    <t>V_HT =</t>
  </si>
  <si>
    <t>Desired VT volume</t>
  </si>
  <si>
    <t>V_VT =</t>
  </si>
  <si>
    <t>C_avg =</t>
  </si>
  <si>
    <t>Wing span</t>
  </si>
  <si>
    <t>b_w =</t>
  </si>
  <si>
    <t xml:space="preserve">Wing area </t>
  </si>
  <si>
    <t>S_w =</t>
  </si>
  <si>
    <t>Tail aspect ratio</t>
  </si>
  <si>
    <t>AR_t =</t>
  </si>
  <si>
    <t>Fuselage cabin radius</t>
  </si>
  <si>
    <t xml:space="preserve">R_1 = </t>
  </si>
  <si>
    <t>Fuselage tail cone radius</t>
  </si>
  <si>
    <t>R2 =</t>
  </si>
  <si>
    <t>Tail arm</t>
  </si>
  <si>
    <t>L_HT =</t>
  </si>
  <si>
    <t>HT area</t>
  </si>
  <si>
    <t>S_HT =</t>
  </si>
  <si>
    <t>VT area</t>
  </si>
  <si>
    <t>S_VT =</t>
  </si>
  <si>
    <t>b_HT =</t>
  </si>
  <si>
    <t>VT span</t>
  </si>
  <si>
    <t>b_VT =</t>
  </si>
  <si>
    <t>HT average chord</t>
  </si>
  <si>
    <t>VT average chord</t>
  </si>
  <si>
    <t>V-Tail span (actual)</t>
  </si>
  <si>
    <t>b_T =</t>
  </si>
  <si>
    <t>Total from projected span at 45deg dihedral</t>
  </si>
  <si>
    <t>FOXTROT - AIRFOIL COMPARISON</t>
  </si>
  <si>
    <t>From figures</t>
  </si>
  <si>
    <t>AIRFOIL OPTIONS</t>
  </si>
  <si>
    <t>Column1</t>
  </si>
  <si>
    <t>633-018</t>
  </si>
  <si>
    <t>642-215</t>
  </si>
  <si>
    <t>AIRFOIL SELECTION</t>
  </si>
  <si>
    <t>NACA</t>
  </si>
  <si>
    <t>Wing</t>
  </si>
  <si>
    <t>Very popular for similar applications; widely used and reliable</t>
  </si>
  <si>
    <t>Tail</t>
  </si>
  <si>
    <t>Simple to analyze</t>
  </si>
  <si>
    <t>COB</t>
  </si>
  <si>
    <t>Expense</t>
  </si>
  <si>
    <t>Hours</t>
  </si>
  <si>
    <t>Rate</t>
  </si>
  <si>
    <t>Engineering Labor</t>
  </si>
  <si>
    <t>Tooling Labor Rate ($/hr)</t>
  </si>
  <si>
    <t>Manufacturing Labor</t>
  </si>
  <si>
    <t>Cost of Avionics ($ per aircraft)</t>
  </si>
  <si>
    <t>Cost of Hybrid Powerplant ($ per aircraft)</t>
  </si>
  <si>
    <t>Raw Material Cost ($ per a/c)</t>
  </si>
  <si>
    <t>Total Cost of Quality Control (%)</t>
  </si>
  <si>
    <t>FOXTROT - WEIGHT ESTIMATION</t>
  </si>
  <si>
    <t>HISTORICAL DATA</t>
  </si>
  <si>
    <t>MATERIAL COMPARISON</t>
  </si>
  <si>
    <t>Structure breakdown</t>
  </si>
  <si>
    <r>
      <t>W</t>
    </r>
    <r>
      <rPr>
        <vertAlign val="subscript"/>
        <sz val="11"/>
        <color theme="1"/>
        <rFont val="Aptos Narrow"/>
        <family val="2"/>
        <scheme val="minor"/>
      </rPr>
      <t>E</t>
    </r>
    <r>
      <rPr>
        <sz val="11"/>
        <color theme="1"/>
        <rFont val="Aptos Narrow"/>
        <family val="2"/>
        <scheme val="minor"/>
      </rPr>
      <t>/W</t>
    </r>
    <r>
      <rPr>
        <vertAlign val="subscript"/>
        <sz val="11"/>
        <color theme="1"/>
        <rFont val="Aptos Narrow"/>
        <family val="2"/>
        <scheme val="minor"/>
      </rPr>
      <t>0</t>
    </r>
  </si>
  <si>
    <r>
      <t>W</t>
    </r>
    <r>
      <rPr>
        <vertAlign val="subscript"/>
        <sz val="11"/>
        <color theme="1"/>
        <rFont val="Aptos Narrow"/>
        <family val="2"/>
        <scheme val="minor"/>
      </rPr>
      <t>F</t>
    </r>
    <r>
      <rPr>
        <sz val="11"/>
        <color theme="1"/>
        <rFont val="Aptos Narrow"/>
        <family val="2"/>
        <scheme val="minor"/>
      </rPr>
      <t>/W</t>
    </r>
    <r>
      <rPr>
        <vertAlign val="subscript"/>
        <sz val="11"/>
        <color theme="1"/>
        <rFont val="Aptos Narrow"/>
        <family val="2"/>
        <scheme val="minor"/>
      </rPr>
      <t>0</t>
    </r>
  </si>
  <si>
    <t>Material</t>
  </si>
  <si>
    <t>Common Applications</t>
  </si>
  <si>
    <t>Tensile Strength (ksi)</t>
  </si>
  <si>
    <t>Density (lb/in^3)</t>
  </si>
  <si>
    <t>Corrosion Resistance</t>
  </si>
  <si>
    <t>Fatigue Performance</t>
  </si>
  <si>
    <t xml:space="preserve">Fuselage </t>
  </si>
  <si>
    <r>
      <t>lb</t>
    </r>
    <r>
      <rPr>
        <vertAlign val="subscript"/>
        <sz val="11"/>
        <color theme="1"/>
        <rFont val="Aptos Narrow"/>
        <family val="2"/>
        <scheme val="minor"/>
      </rPr>
      <t>f</t>
    </r>
  </si>
  <si>
    <t>2024 Al</t>
  </si>
  <si>
    <t>Wings, fuselage sections</t>
  </si>
  <si>
    <t>68 (high)</t>
  </si>
  <si>
    <t>Poor</t>
  </si>
  <si>
    <t>Good</t>
  </si>
  <si>
    <t>Wings</t>
  </si>
  <si>
    <t>Starship 2000A</t>
  </si>
  <si>
    <t>6061 Al</t>
  </si>
  <si>
    <t>Non-structural parts and frames</t>
  </si>
  <si>
    <t>45 (medium)</t>
  </si>
  <si>
    <t>Cessna 208 Caravan</t>
  </si>
  <si>
    <t>7075 Al</t>
  </si>
  <si>
    <t>Wings, landing gear</t>
  </si>
  <si>
    <t>83 (high)</t>
  </si>
  <si>
    <t>Excellent</t>
  </si>
  <si>
    <t>PC-12 NGX</t>
  </si>
  <si>
    <t>HA-420 Elite II</t>
  </si>
  <si>
    <t>Tensile Strength (MPa)</t>
  </si>
  <si>
    <t>Density (g/cm^3)</t>
  </si>
  <si>
    <t>Recyclable?</t>
  </si>
  <si>
    <t>Applications</t>
  </si>
  <si>
    <t>PZL M28 05 Skytruck</t>
  </si>
  <si>
    <t>Yes</t>
  </si>
  <si>
    <t>Wing, fuselage structure</t>
  </si>
  <si>
    <t>Phenom 300</t>
  </si>
  <si>
    <t>Non-structural components</t>
  </si>
  <si>
    <t>Citation Excel</t>
  </si>
  <si>
    <t>High-strength structural components</t>
  </si>
  <si>
    <t>Fairchild Dornier 328JET</t>
  </si>
  <si>
    <t>CF</t>
  </si>
  <si>
    <t>No</t>
  </si>
  <si>
    <t>AVERAGE</t>
  </si>
  <si>
    <t>METHOD 1: INITIAL WEIGHT ESTIMATION</t>
  </si>
  <si>
    <t>Empty weight ratio</t>
  </si>
  <si>
    <t>Average from historical data</t>
  </si>
  <si>
    <t>Fuel weight ratio</t>
  </si>
  <si>
    <t>Structural + Engines + Seats</t>
  </si>
  <si>
    <t>Crew weight</t>
  </si>
  <si>
    <t>Set in General tab</t>
  </si>
  <si>
    <r>
      <rPr>
        <sz val="11"/>
        <color rgb="FF000000"/>
        <rFont val="Aptos Narrow"/>
        <family val="2"/>
      </rPr>
      <t>W</t>
    </r>
    <r>
      <rPr>
        <vertAlign val="subscript"/>
        <sz val="11"/>
        <color rgb="FF000000"/>
        <rFont val="Aptos Narrow"/>
        <family val="2"/>
      </rPr>
      <t>S</t>
    </r>
  </si>
  <si>
    <t>Payload</t>
  </si>
  <si>
    <r>
      <rPr>
        <sz val="11"/>
        <color rgb="FF000000"/>
        <rFont val="Aptos Narrow"/>
        <family val="2"/>
      </rPr>
      <t>W</t>
    </r>
    <r>
      <rPr>
        <vertAlign val="subscript"/>
        <sz val="11"/>
        <color rgb="FF000000"/>
        <rFont val="Aptos Narrow"/>
        <family val="2"/>
      </rPr>
      <t>T</t>
    </r>
  </si>
  <si>
    <t>Figure this out</t>
  </si>
  <si>
    <r>
      <rPr>
        <sz val="11"/>
        <color rgb="FF000000"/>
        <rFont val="Aptos Narrow"/>
        <family val="2"/>
      </rPr>
      <t>W</t>
    </r>
    <r>
      <rPr>
        <vertAlign val="subscript"/>
        <sz val="11"/>
        <color rgb="FF000000"/>
        <rFont val="Aptos Narrow"/>
        <family val="2"/>
      </rPr>
      <t>M</t>
    </r>
  </si>
  <si>
    <t>Useful Load</t>
  </si>
  <si>
    <t>Baggage, PAX, Battery</t>
  </si>
  <si>
    <t>Gross weight</t>
  </si>
  <si>
    <t>Based on historical data</t>
  </si>
  <si>
    <t>Battery Weight</t>
  </si>
  <si>
    <r>
      <rPr>
        <sz val="11"/>
        <color rgb="FF000000"/>
        <rFont val="Aptos Narrow"/>
        <family val="2"/>
      </rPr>
      <t>W</t>
    </r>
    <r>
      <rPr>
        <vertAlign val="subscript"/>
        <sz val="11"/>
        <color rgb="FF000000"/>
        <rFont val="Aptos Narrow"/>
        <family val="2"/>
      </rPr>
      <t>B</t>
    </r>
  </si>
  <si>
    <t>EMPTY WEIGHT</t>
  </si>
  <si>
    <t>Including structure, engines, systems</t>
  </si>
  <si>
    <t>METHOD 2:  WEIGHT ESTIMATION PER RAYMER</t>
  </si>
  <si>
    <t>Fwd CG</t>
  </si>
  <si>
    <t>Aft CG</t>
  </si>
  <si>
    <t>Neutral Point</t>
  </si>
  <si>
    <t>CG Loc</t>
  </si>
  <si>
    <t>MOMENT ABOUT NOSE</t>
  </si>
  <si>
    <t>Constant A</t>
  </si>
  <si>
    <t>Table 6.4 in Raymer</t>
  </si>
  <si>
    <t>Constant C</t>
  </si>
  <si>
    <t>C</t>
  </si>
  <si>
    <t>MAXIMUM WEIGHT</t>
  </si>
  <si>
    <t>Constant Kvs</t>
  </si>
  <si>
    <r>
      <t>K</t>
    </r>
    <r>
      <rPr>
        <vertAlign val="subscript"/>
        <sz val="11"/>
        <color theme="1"/>
        <rFont val="Aptos Narrow"/>
        <family val="2"/>
        <scheme val="minor"/>
      </rPr>
      <t>VS</t>
    </r>
  </si>
  <si>
    <t>MINIMUM WEIGHT</t>
  </si>
  <si>
    <t>Expected gross weight</t>
  </si>
  <si>
    <t>From General Tab</t>
  </si>
  <si>
    <t>METHOD 3: STATISTICAL WEIGHT ESTIMATION PER RAYMER</t>
  </si>
  <si>
    <t>Wing sweep at 25% MAC</t>
  </si>
  <si>
    <t>Λ</t>
  </si>
  <si>
    <t>From general tab</t>
  </si>
  <si>
    <t>Weight of Wing</t>
  </si>
  <si>
    <r>
      <t>W</t>
    </r>
    <r>
      <rPr>
        <b/>
        <vertAlign val="subscript"/>
        <sz val="11"/>
        <color theme="0"/>
        <rFont val="Aptos Narrow"/>
        <family val="2"/>
        <scheme val="minor"/>
      </rPr>
      <t>WING</t>
    </r>
  </si>
  <si>
    <r>
      <t>lb</t>
    </r>
    <r>
      <rPr>
        <b/>
        <vertAlign val="subscript"/>
        <sz val="11"/>
        <color theme="0"/>
        <rFont val="Aptos Narrow"/>
        <family val="2"/>
        <scheme val="minor"/>
      </rPr>
      <t>f</t>
    </r>
  </si>
  <si>
    <t>Fill in these formulas</t>
  </si>
  <si>
    <t>H-Tail</t>
  </si>
  <si>
    <r>
      <t>AR</t>
    </r>
    <r>
      <rPr>
        <vertAlign val="subscript"/>
        <sz val="11"/>
        <color theme="0"/>
        <rFont val="Aptos Narrow"/>
        <family val="2"/>
        <scheme val="minor"/>
      </rPr>
      <t>HT</t>
    </r>
  </si>
  <si>
    <t>Horizontal tail area</t>
  </si>
  <si>
    <r>
      <t>S</t>
    </r>
    <r>
      <rPr>
        <vertAlign val="subscript"/>
        <sz val="11"/>
        <color theme="0"/>
        <rFont val="Aptos Narrow"/>
        <family val="2"/>
        <scheme val="minor"/>
      </rPr>
      <t>HT</t>
    </r>
  </si>
  <si>
    <r>
      <t>ft</t>
    </r>
    <r>
      <rPr>
        <vertAlign val="superscript"/>
        <sz val="11"/>
        <color theme="0"/>
        <rFont val="Aptos Narrow"/>
        <family val="2"/>
        <scheme val="minor"/>
      </rPr>
      <t>2</t>
    </r>
  </si>
  <si>
    <r>
      <t>B</t>
    </r>
    <r>
      <rPr>
        <vertAlign val="subscript"/>
        <sz val="11"/>
        <color theme="0"/>
        <rFont val="Aptos Narrow"/>
        <family val="2"/>
        <scheme val="minor"/>
      </rPr>
      <t>HT</t>
    </r>
  </si>
  <si>
    <t>HT taper ratio</t>
  </si>
  <si>
    <r>
      <t>λ</t>
    </r>
    <r>
      <rPr>
        <vertAlign val="subscript"/>
        <sz val="9.35"/>
        <color theme="0"/>
        <rFont val="Aptos Narrow"/>
        <family val="2"/>
      </rPr>
      <t>HT</t>
    </r>
  </si>
  <si>
    <t>HT sweep at 25% MAC</t>
  </si>
  <si>
    <r>
      <t>Λ</t>
    </r>
    <r>
      <rPr>
        <vertAlign val="subscript"/>
        <sz val="9.35"/>
        <color theme="0"/>
        <rFont val="Aptos Narrow"/>
        <family val="2"/>
      </rPr>
      <t>HT</t>
    </r>
  </si>
  <si>
    <t>Weight of H-Tail</t>
  </si>
  <si>
    <r>
      <t>W</t>
    </r>
    <r>
      <rPr>
        <b/>
        <vertAlign val="subscript"/>
        <sz val="11"/>
        <color theme="0"/>
        <rFont val="Aptos Narrow"/>
        <family val="2"/>
        <scheme val="minor"/>
      </rPr>
      <t>HT</t>
    </r>
  </si>
  <si>
    <t>V-Tail</t>
  </si>
  <si>
    <r>
      <t>AR</t>
    </r>
    <r>
      <rPr>
        <vertAlign val="subscript"/>
        <sz val="11"/>
        <color theme="0"/>
        <rFont val="Aptos Narrow"/>
        <family val="2"/>
        <scheme val="minor"/>
      </rPr>
      <t>VT</t>
    </r>
  </si>
  <si>
    <t>Vertical tail area</t>
  </si>
  <si>
    <r>
      <t>S</t>
    </r>
    <r>
      <rPr>
        <vertAlign val="subscript"/>
        <sz val="11"/>
        <color theme="0"/>
        <rFont val="Aptos Narrow"/>
        <family val="2"/>
        <scheme val="minor"/>
      </rPr>
      <t>VT</t>
    </r>
  </si>
  <si>
    <r>
      <t>B</t>
    </r>
    <r>
      <rPr>
        <vertAlign val="subscript"/>
        <sz val="11"/>
        <color theme="0"/>
        <rFont val="Aptos Narrow"/>
        <family val="2"/>
        <scheme val="minor"/>
      </rPr>
      <t>VT</t>
    </r>
  </si>
  <si>
    <t>VT taper ratio</t>
  </si>
  <si>
    <r>
      <t>λ</t>
    </r>
    <r>
      <rPr>
        <vertAlign val="subscript"/>
        <sz val="9.35"/>
        <color theme="0"/>
        <rFont val="Aptos Narrow"/>
        <family val="2"/>
      </rPr>
      <t>VT</t>
    </r>
  </si>
  <si>
    <t> </t>
  </si>
  <si>
    <t>VT sweep at 25% MAC</t>
  </si>
  <si>
    <r>
      <t>Λ</t>
    </r>
    <r>
      <rPr>
        <vertAlign val="subscript"/>
        <sz val="9.35"/>
        <color theme="0"/>
        <rFont val="Aptos Narrow"/>
        <family val="2"/>
      </rPr>
      <t>VT</t>
    </r>
  </si>
  <si>
    <t>Conventional/T-tail</t>
  </si>
  <si>
    <r>
      <t>H</t>
    </r>
    <r>
      <rPr>
        <vertAlign val="subscript"/>
        <sz val="11"/>
        <color theme="0"/>
        <rFont val="Aptos Narrow"/>
        <family val="2"/>
      </rPr>
      <t>T</t>
    </r>
    <r>
      <rPr>
        <sz val="11"/>
        <color theme="0"/>
        <rFont val="Aptos Narrow"/>
        <family val="2"/>
      </rPr>
      <t>/H</t>
    </r>
    <r>
      <rPr>
        <vertAlign val="subscript"/>
        <sz val="11"/>
        <color theme="0"/>
        <rFont val="Aptos Narrow"/>
        <family val="2"/>
      </rPr>
      <t>V</t>
    </r>
  </si>
  <si>
    <t>Weight of V-Tail</t>
  </si>
  <si>
    <r>
      <t>W</t>
    </r>
    <r>
      <rPr>
        <b/>
        <vertAlign val="subscript"/>
        <sz val="11"/>
        <color theme="0"/>
        <rFont val="Aptos Narrow"/>
        <family val="2"/>
        <scheme val="minor"/>
      </rPr>
      <t>VT</t>
    </r>
  </si>
  <si>
    <t>Pressurization System</t>
  </si>
  <si>
    <t>Cabin pressure differential</t>
  </si>
  <si>
    <r>
      <t>P</t>
    </r>
    <r>
      <rPr>
        <vertAlign val="subscript"/>
        <sz val="11"/>
        <color theme="0"/>
        <rFont val="Aptos Narrow"/>
        <family val="2"/>
        <scheme val="minor"/>
      </rPr>
      <t>delta</t>
    </r>
  </si>
  <si>
    <t>psi</t>
  </si>
  <si>
    <t>Volume of pressurized section</t>
  </si>
  <si>
    <r>
      <t>V</t>
    </r>
    <r>
      <rPr>
        <vertAlign val="subscript"/>
        <sz val="11"/>
        <color theme="0"/>
        <rFont val="Aptos Narrow"/>
        <family val="2"/>
        <scheme val="minor"/>
      </rPr>
      <t>pr</t>
    </r>
  </si>
  <si>
    <r>
      <t>ft</t>
    </r>
    <r>
      <rPr>
        <vertAlign val="superscript"/>
        <sz val="11"/>
        <color theme="0"/>
        <rFont val="Aptos Narrow"/>
        <family val="2"/>
        <scheme val="minor"/>
      </rPr>
      <t>3</t>
    </r>
  </si>
  <si>
    <t>Airplane features press. system</t>
  </si>
  <si>
    <t>Weight of pressurization system</t>
  </si>
  <si>
    <r>
      <t>W</t>
    </r>
    <r>
      <rPr>
        <b/>
        <vertAlign val="subscript"/>
        <sz val="11"/>
        <color theme="0"/>
        <rFont val="Aptos Narrow"/>
        <family val="2"/>
        <scheme val="minor"/>
      </rPr>
      <t>PRESS</t>
    </r>
  </si>
  <si>
    <t>Greiner's Methods (see Teams folder)</t>
  </si>
  <si>
    <t>Given Charecteristics</t>
  </si>
  <si>
    <t>Summary</t>
  </si>
  <si>
    <t>CM_o</t>
  </si>
  <si>
    <t>Weight</t>
  </si>
  <si>
    <t>CM_alpha</t>
  </si>
  <si>
    <t>ALT</t>
  </si>
  <si>
    <t>CYB</t>
  </si>
  <si>
    <t>CNB</t>
  </si>
  <si>
    <t>CLB</t>
  </si>
  <si>
    <t>Pressure</t>
  </si>
  <si>
    <t>Temperature</t>
  </si>
  <si>
    <t>Temp</t>
  </si>
  <si>
    <t>deg R</t>
  </si>
  <si>
    <t>Gas Constant</t>
  </si>
  <si>
    <t>ft-lb/slug- deg R</t>
  </si>
  <si>
    <t>lb/ft^3</t>
  </si>
  <si>
    <t>CG Location</t>
  </si>
  <si>
    <t>xcg_tilda_cg</t>
  </si>
  <si>
    <t>Assumed until determined</t>
  </si>
  <si>
    <t>v</t>
  </si>
  <si>
    <t>From A.2</t>
  </si>
  <si>
    <t>sos</t>
  </si>
  <si>
    <t>Mach</t>
  </si>
  <si>
    <t>Mach Parameter</t>
  </si>
  <si>
    <t>beta</t>
  </si>
  <si>
    <t>Synths Parameters</t>
  </si>
  <si>
    <t>XW.syn</t>
  </si>
  <si>
    <t>nose to wing LE</t>
  </si>
  <si>
    <t>ZW.syn</t>
  </si>
  <si>
    <t>ALIW.syn</t>
  </si>
  <si>
    <t>XH.syn</t>
  </si>
  <si>
    <t>nose to HT LE</t>
  </si>
  <si>
    <t>ZH.syn</t>
  </si>
  <si>
    <t>ALIH.syn</t>
  </si>
  <si>
    <t>XV.syn</t>
  </si>
  <si>
    <t>Nose to VT LE (equal to HT for v-tail)</t>
  </si>
  <si>
    <t>ZV.syn</t>
  </si>
  <si>
    <t>XP</t>
  </si>
  <si>
    <t>nose to props</t>
  </si>
  <si>
    <t>Wing Parameters</t>
  </si>
  <si>
    <t>Chord Root</t>
  </si>
  <si>
    <t>Cr.w</t>
  </si>
  <si>
    <t>CHRDR.w</t>
  </si>
  <si>
    <t>Chord Tip</t>
  </si>
  <si>
    <t>Ct.w</t>
  </si>
  <si>
    <t>CHRDTP.w</t>
  </si>
  <si>
    <t>Semi-Span</t>
  </si>
  <si>
    <t>SSPN.w</t>
  </si>
  <si>
    <t>Exposed Semi-Span</t>
  </si>
  <si>
    <t>SSPNE.w</t>
  </si>
  <si>
    <t>Sweep of the LE</t>
  </si>
  <si>
    <t>SAVSI.w</t>
  </si>
  <si>
    <t>MAC sweep angle reference</t>
  </si>
  <si>
    <t>CHSTAT.w</t>
  </si>
  <si>
    <t>twist angle</t>
  </si>
  <si>
    <t>TWISTS.w</t>
  </si>
  <si>
    <t>dihedral</t>
  </si>
  <si>
    <t>Γ.w</t>
  </si>
  <si>
    <t>DHDADI.w</t>
  </si>
  <si>
    <t>Horizontal Tail Parameters</t>
  </si>
  <si>
    <t>CHRDR.ht</t>
  </si>
  <si>
    <t>CHRDTP.ht</t>
  </si>
  <si>
    <t>SSPN.ht</t>
  </si>
  <si>
    <t>SSPNE.ht</t>
  </si>
  <si>
    <t>SAVSI.ht</t>
  </si>
  <si>
    <t>CHSTAT.ht</t>
  </si>
  <si>
    <t>TWISTS.ht</t>
  </si>
  <si>
    <t>DHDADI.ht</t>
  </si>
  <si>
    <t>Vertical Tail Parameters</t>
  </si>
  <si>
    <t>CHRDR.vt</t>
  </si>
  <si>
    <t>CHRDTP.vt</t>
  </si>
  <si>
    <t>SSPN.vt</t>
  </si>
  <si>
    <t>SSPNE.vt</t>
  </si>
  <si>
    <t>SAVSI.vt</t>
  </si>
  <si>
    <t>CHSTAT.vt</t>
  </si>
  <si>
    <t>Calculations</t>
  </si>
  <si>
    <t>cr.w</t>
  </si>
  <si>
    <t>ct.w</t>
  </si>
  <si>
    <t>LE sweep</t>
  </si>
  <si>
    <t>Λ.w</t>
  </si>
  <si>
    <t>Span</t>
  </si>
  <si>
    <t>b.w</t>
  </si>
  <si>
    <t>Incidence angle of the wing</t>
  </si>
  <si>
    <t>i.w</t>
  </si>
  <si>
    <t>wing mach zero lift-curve slope</t>
  </si>
  <si>
    <t>a0.w</t>
  </si>
  <si>
    <t>a0.w-rad</t>
  </si>
  <si>
    <t>x location of AC on Wing</t>
  </si>
  <si>
    <t>ac.w</t>
  </si>
  <si>
    <t>2D Cm_ac of wing</t>
  </si>
  <si>
    <t>Cm.ac</t>
  </si>
  <si>
    <t>NACA 4415</t>
  </si>
  <si>
    <t>A.w</t>
  </si>
  <si>
    <t>λw</t>
  </si>
  <si>
    <t>Wing Sweep at half chord</t>
  </si>
  <si>
    <t>Λw c/2</t>
  </si>
  <si>
    <t>Wing lift curve slope</t>
  </si>
  <si>
    <t>a.wrad</t>
  </si>
  <si>
    <t>a.w</t>
  </si>
  <si>
    <t>per degree</t>
  </si>
  <si>
    <t>using rad command bc its per degree</t>
  </si>
  <si>
    <t>Mean aerodynamic chord</t>
  </si>
  <si>
    <t>c_bar.w</t>
  </si>
  <si>
    <t>y location of mac</t>
  </si>
  <si>
    <t>y_bar.w</t>
  </si>
  <si>
    <t>x location of mac</t>
  </si>
  <si>
    <t>x_bar.w</t>
  </si>
  <si>
    <t>S.w</t>
  </si>
  <si>
    <t>e.w</t>
  </si>
  <si>
    <t>from fig 4.22 on pg 4.5</t>
  </si>
  <si>
    <t>x-location of cg wrt LE</t>
  </si>
  <si>
    <t>xcg</t>
  </si>
  <si>
    <t>x-location of cg wrt nose</t>
  </si>
  <si>
    <t>CG location on wing root chord</t>
  </si>
  <si>
    <t>xcg_tilda</t>
  </si>
  <si>
    <t>c_mac</t>
  </si>
  <si>
    <t>At MTOW</t>
  </si>
  <si>
    <t>Horizontal Tail</t>
  </si>
  <si>
    <t>Chord root</t>
  </si>
  <si>
    <t>c_r.ht</t>
  </si>
  <si>
    <t>Chord tip</t>
  </si>
  <si>
    <t>c_t.ht</t>
  </si>
  <si>
    <t>Lambda.ht</t>
  </si>
  <si>
    <t>span</t>
  </si>
  <si>
    <t>b.ht</t>
  </si>
  <si>
    <t>incidence angle of the tail</t>
  </si>
  <si>
    <t>i.ht</t>
  </si>
  <si>
    <t>HT mach zero lift-curve slove</t>
  </si>
  <si>
    <t>a_0.ht</t>
  </si>
  <si>
    <t>HT lift-curve slop</t>
  </si>
  <si>
    <t>a.ht</t>
  </si>
  <si>
    <t>x location of AC on HT</t>
  </si>
  <si>
    <t>ac.ht</t>
  </si>
  <si>
    <t>n.ht</t>
  </si>
  <si>
    <t>estimated</t>
  </si>
  <si>
    <t>A.ht</t>
  </si>
  <si>
    <t>Wing area</t>
  </si>
  <si>
    <t>S.ht</t>
  </si>
  <si>
    <t>Taper ratio</t>
  </si>
  <si>
    <t>lambda.ht</t>
  </si>
  <si>
    <t>mac</t>
  </si>
  <si>
    <t>c_bar.ht</t>
  </si>
  <si>
    <t>y loc of mac</t>
  </si>
  <si>
    <t>y_bar.ht</t>
  </si>
  <si>
    <t>x loc of mac</t>
  </si>
  <si>
    <t>x_bar.ht</t>
  </si>
  <si>
    <t>l.ht</t>
  </si>
  <si>
    <t>Width array of fuselage</t>
  </si>
  <si>
    <t>dZi</t>
  </si>
  <si>
    <t>in matrices tab</t>
  </si>
  <si>
    <t>Nose to wing root chord</t>
  </si>
  <si>
    <t>l.f</t>
  </si>
  <si>
    <t>Nose to tail cone</t>
  </si>
  <si>
    <t>L.f</t>
  </si>
  <si>
    <t>max width/diameter</t>
  </si>
  <si>
    <t>w.f</t>
  </si>
  <si>
    <t>correction factor</t>
  </si>
  <si>
    <t>K.f</t>
  </si>
  <si>
    <t>Vertical Tail</t>
  </si>
  <si>
    <t>c_r.v</t>
  </si>
  <si>
    <t>chord tip</t>
  </si>
  <si>
    <t>c_t.vt</t>
  </si>
  <si>
    <t>λ.vt</t>
  </si>
  <si>
    <t>total span</t>
  </si>
  <si>
    <t>b.ve</t>
  </si>
  <si>
    <t>Total span (including body)</t>
  </si>
  <si>
    <t>b.v</t>
  </si>
  <si>
    <t>b.v/2r1</t>
  </si>
  <si>
    <t>r1= 1.5ft, avg fuselage radius at tail</t>
  </si>
  <si>
    <t>Correction Factor</t>
  </si>
  <si>
    <t>K_vb</t>
  </si>
  <si>
    <t>Fig 5.3.1.1-22(d) on pg. 9.14, Vertical Tail Body Interference for 3.5&lt;(b.v/2r1)</t>
  </si>
  <si>
    <t>A.vt</t>
  </si>
  <si>
    <t>Horizontal-to-Vertical Tail Ratio</t>
  </si>
  <si>
    <t>S.h/S.v</t>
  </si>
  <si>
    <t>V-tail, effective proportions are even</t>
  </si>
  <si>
    <t>A.v_b/A.v</t>
  </si>
  <si>
    <t>A.v_hb/A.v</t>
  </si>
  <si>
    <t>Estimated from Fig. 5.3.1.1-22 (b) on pg. 9.13</t>
  </si>
  <si>
    <t>K.h</t>
  </si>
  <si>
    <t>Fig. 5.3.1.1-22(c) pn pg. 9.14</t>
  </si>
  <si>
    <t>Effective aspect ratio</t>
  </si>
  <si>
    <t>A.v_eff</t>
  </si>
  <si>
    <t>c_bar.vt</t>
  </si>
  <si>
    <t>y_bar.vt</t>
  </si>
  <si>
    <t>x_bar.vt</t>
  </si>
  <si>
    <t>Quarter-chord sweep</t>
  </si>
  <si>
    <t>Λ.v_c/4</t>
  </si>
  <si>
    <t>Half-chord sweep</t>
  </si>
  <si>
    <t>Λ.v_c/2</t>
  </si>
  <si>
    <t>Sidewash gradient w/ dyn. pressure ratio</t>
  </si>
  <si>
    <t>(1+dt/db)nv</t>
  </si>
  <si>
    <t>Sideslip angle</t>
  </si>
  <si>
    <t>At low mach</t>
  </si>
  <si>
    <t>Lift-curve slope</t>
  </si>
  <si>
    <t>a.v</t>
  </si>
  <si>
    <t>VT Sideslip Slope</t>
  </si>
  <si>
    <t xml:space="preserve">CYB.v </t>
  </si>
  <si>
    <t>alpha zero-lift</t>
  </si>
  <si>
    <t>alpha.ZL</t>
  </si>
  <si>
    <t>from table G.1 on pg A.27</t>
  </si>
  <si>
    <t>Side force gradient</t>
  </si>
  <si>
    <t>theoretical downwas gradient</t>
  </si>
  <si>
    <t>delpsilon.dalpha</t>
  </si>
  <si>
    <t>Calculating CLs</t>
  </si>
  <si>
    <t>a_0_M</t>
  </si>
  <si>
    <t>including mach effects</t>
  </si>
  <si>
    <t>C_L_0</t>
  </si>
  <si>
    <t>CL.o</t>
  </si>
  <si>
    <t>CL.crit</t>
  </si>
  <si>
    <t>CL.alpha</t>
  </si>
  <si>
    <t>CL.cruisewinc</t>
  </si>
  <si>
    <t>Additional lift from incidence angle</t>
  </si>
  <si>
    <t>alpha.crit</t>
  </si>
  <si>
    <t>Calculating CMs</t>
  </si>
  <si>
    <t>Stability slope of fuselage</t>
  </si>
  <si>
    <t>CM.alpha_f</t>
  </si>
  <si>
    <t>Stability slope of AC</t>
  </si>
  <si>
    <t>CM.alpha</t>
  </si>
  <si>
    <t>CM.of</t>
  </si>
  <si>
    <t>assume no fuselage moment</t>
  </si>
  <si>
    <t>CM.acw</t>
  </si>
  <si>
    <t>table G.1 on A.27</t>
  </si>
  <si>
    <t>CM.o</t>
  </si>
  <si>
    <t>Moment needed</t>
  </si>
  <si>
    <t>CM</t>
  </si>
  <si>
    <t>Stable aircraft</t>
  </si>
  <si>
    <t>Stability slope needed</t>
  </si>
  <si>
    <t>Goal for alpha.trim (should be negative)</t>
  </si>
  <si>
    <t>Static Margin</t>
  </si>
  <si>
    <t>SM</t>
  </si>
  <si>
    <t>cmac</t>
  </si>
  <si>
    <r>
      <rPr>
        <b/>
        <u/>
        <sz val="11"/>
        <color rgb="FF000000"/>
        <rFont val="Aptos Narrow"/>
        <family val="2"/>
        <scheme val="minor"/>
      </rPr>
      <t>N</t>
    </r>
    <r>
      <rPr>
        <b/>
        <sz val="11"/>
        <color rgb="FF000000"/>
        <rFont val="Aptos Narrow"/>
        <family val="2"/>
        <scheme val="minor"/>
      </rPr>
      <t>.o</t>
    </r>
  </si>
  <si>
    <t>from nose</t>
  </si>
  <si>
    <t>Remaining CYB Calcs</t>
  </si>
  <si>
    <t>Wing-Body</t>
  </si>
  <si>
    <t>z</t>
  </si>
  <si>
    <t>Assumed</t>
  </si>
  <si>
    <t>d_atz</t>
  </si>
  <si>
    <t>z_d2</t>
  </si>
  <si>
    <t>Correction factor</t>
  </si>
  <si>
    <t>K.wb</t>
  </si>
  <si>
    <t>from Fig 5.2.1.1-7 on pg 9.6</t>
  </si>
  <si>
    <t>fineness_ratio</t>
  </si>
  <si>
    <t>ratio for k2-k1</t>
  </si>
  <si>
    <t>K2_K1</t>
  </si>
  <si>
    <t>mass factor from Fig 4.2.1.1-20a on pg 9.7</t>
  </si>
  <si>
    <t>x.l</t>
  </si>
  <si>
    <t>station loc at start of decrease</t>
  </si>
  <si>
    <t>x.o</t>
  </si>
  <si>
    <t>station for c-sec</t>
  </si>
  <si>
    <t>S.o</t>
  </si>
  <si>
    <t>cross-sectional area wher flow ceases to be potential</t>
  </si>
  <si>
    <t>Sideslip slope of wing-body</t>
  </si>
  <si>
    <t>CYB.wb</t>
  </si>
  <si>
    <t>Props</t>
  </si>
  <si>
    <t>bhp</t>
  </si>
  <si>
    <t>Numbers of Props</t>
  </si>
  <si>
    <t>n.pe</t>
  </si>
  <si>
    <t>number of props</t>
  </si>
  <si>
    <t>Diameter</t>
  </si>
  <si>
    <t>D.p</t>
  </si>
  <si>
    <t>model info</t>
  </si>
  <si>
    <t>Propellor thrust coefficient</t>
  </si>
  <si>
    <t>T.c</t>
  </si>
  <si>
    <t>Propellor inflow factor</t>
  </si>
  <si>
    <t>f</t>
  </si>
  <si>
    <t>beta_pitch</t>
  </si>
  <si>
    <t>Pg. 8.24</t>
  </si>
  <si>
    <t>Nominal Blade Angle</t>
  </si>
  <si>
    <t>nom_pitch</t>
  </si>
  <si>
    <t>S.p</t>
  </si>
  <si>
    <t>CYB.Tc0</t>
  </si>
  <si>
    <t>fig 4.6.1-25a</t>
  </si>
  <si>
    <t>Sideslip slope of propellors</t>
  </si>
  <si>
    <t>CYB.prop</t>
  </si>
  <si>
    <t>Sideslip Stability</t>
  </si>
  <si>
    <t>CYB.total</t>
  </si>
  <si>
    <t>Calculating CNBs</t>
  </si>
  <si>
    <t>Directional stability of wing dihedral</t>
  </si>
  <si>
    <t>CNB.wd</t>
  </si>
  <si>
    <t>wing due to dihedral</t>
  </si>
  <si>
    <t>Wing sweep at quarter-chord</t>
  </si>
  <si>
    <t>Lambda.w_c4</t>
  </si>
  <si>
    <t>CNB.wsw_M0</t>
  </si>
  <si>
    <t>wing due to sweep at M=0</t>
  </si>
  <si>
    <t>General variable</t>
  </si>
  <si>
    <t>Divided eq</t>
  </si>
  <si>
    <t>CNB.wsw_term1</t>
  </si>
  <si>
    <t>CNB.wsw_term2</t>
  </si>
  <si>
    <t>Directional stability of wing sweep</t>
  </si>
  <si>
    <t>CNB.wsw</t>
  </si>
  <si>
    <t>wing due to sweep</t>
  </si>
  <si>
    <t>Calculate ratios to find Kn</t>
  </si>
  <si>
    <t>fig8.ratio1</t>
  </si>
  <si>
    <t>x_m/l_f</t>
  </si>
  <si>
    <t>j</t>
  </si>
  <si>
    <t>in Matrix tab</t>
  </si>
  <si>
    <t>Body Side Area</t>
  </si>
  <si>
    <t>S_bs</t>
  </si>
  <si>
    <t>fig8.ratio2</t>
  </si>
  <si>
    <t>l_f^2/S_bs</t>
  </si>
  <si>
    <t>XB_interp</t>
  </si>
  <si>
    <t>h_vbl</t>
  </si>
  <si>
    <t>fig8.ratio3</t>
  </si>
  <si>
    <t>sqrt(h1/h2)</t>
  </si>
  <si>
    <t>h1=25% and h2=75% fuselage height</t>
  </si>
  <si>
    <t>fig8.ratio4</t>
  </si>
  <si>
    <t>h/w</t>
  </si>
  <si>
    <t>K.N</t>
  </si>
  <si>
    <t>Fig. 5.2.3.1-8 on pg. 9.31 using ratios 1-4</t>
  </si>
  <si>
    <t>Re.lf</t>
  </si>
  <si>
    <t>K.rl</t>
  </si>
  <si>
    <t>Also check fig 5.2.3.1-9 on pg. 9.32</t>
  </si>
  <si>
    <t>CNB.bw</t>
  </si>
  <si>
    <t>l.v</t>
  </si>
  <si>
    <t>CNB.v</t>
  </si>
  <si>
    <t>x.p</t>
  </si>
  <si>
    <t>CNB.prop</t>
  </si>
  <si>
    <t>Directional Stablility</t>
  </si>
  <si>
    <t>CNB.total</t>
  </si>
  <si>
    <t>Calculating ClBs</t>
  </si>
  <si>
    <t>Subsonic ratio due to sweep</t>
  </si>
  <si>
    <t>ClB_CL.sw_c2</t>
  </si>
  <si>
    <t>from Fig. 5.1.2.1-27 on pg. 9.37</t>
  </si>
  <si>
    <t>ClB.wsw_ratio1</t>
  </si>
  <si>
    <t>M*cosΛ_c/2</t>
  </si>
  <si>
    <t>ClB.wsw_ratio2</t>
  </si>
  <si>
    <t>A/cosΛ_c/2</t>
  </si>
  <si>
    <t>Compressibility correction factor</t>
  </si>
  <si>
    <t>K_Msw</t>
  </si>
  <si>
    <t>from Fig. 5.1.2.1-28a on pg. 9.38</t>
  </si>
  <si>
    <t>l.f_c2</t>
  </si>
  <si>
    <t>from nose to c_t/2</t>
  </si>
  <si>
    <t>ClB.wsw_ratio3</t>
  </si>
  <si>
    <t>l.f/b.w</t>
  </si>
  <si>
    <t>K.f_c2</t>
  </si>
  <si>
    <t>from Fig 5.2.2.1-26 on pg. 9.41</t>
  </si>
  <si>
    <t>Lateral stability of wing sweep</t>
  </si>
  <si>
    <t>ClB.wsw</t>
  </si>
  <si>
    <t>Aspect ratio contribution</t>
  </si>
  <si>
    <t>ClB_CL.A</t>
  </si>
  <si>
    <t>from Fig. 5.1.2.1-28b on pg.9.38</t>
  </si>
  <si>
    <t>Lateral stability of wing aspect ratio</t>
  </si>
  <si>
    <t>ClB.wA</t>
  </si>
  <si>
    <t>dClB_tw_c4</t>
  </si>
  <si>
    <t>per deg^2</t>
  </si>
  <si>
    <t>from Fig. 5.1.2.1-30b</t>
  </si>
  <si>
    <t>Lateral stability of wing twist</t>
  </si>
  <si>
    <t>ClB.wtw</t>
  </si>
  <si>
    <t>no twist</t>
  </si>
  <si>
    <t>ClB_Di_Di</t>
  </si>
  <si>
    <t>from Fig. 5.1.2.1-29b on pg. 9.39</t>
  </si>
  <si>
    <t>K.Mdi</t>
  </si>
  <si>
    <t>from Fig. 5.1.2.1-30a on pg. 9.40</t>
  </si>
  <si>
    <t>d.eq</t>
  </si>
  <si>
    <t>diameter at wing root chord, interpolation value is in matrix tab</t>
  </si>
  <si>
    <t>Lateral stability of wing dihedral</t>
  </si>
  <si>
    <t>ClB.wdi</t>
  </si>
  <si>
    <t>z_prm.w</t>
  </si>
  <si>
    <t>Lateral stability of wing-body</t>
  </si>
  <si>
    <t>ClB.bw</t>
  </si>
  <si>
    <t>h.v</t>
  </si>
  <si>
    <t>Lateral stability of vertical tail</t>
  </si>
  <si>
    <t>ClB.v</t>
  </si>
  <si>
    <t>Lateral Stability</t>
  </si>
  <si>
    <t>ClB.total</t>
  </si>
  <si>
    <t>Input Parameters</t>
  </si>
  <si>
    <t>XB</t>
  </si>
  <si>
    <t>ZU</t>
  </si>
  <si>
    <t>ZL</t>
  </si>
  <si>
    <t>RB</t>
  </si>
  <si>
    <t>d.eq_xinterp</t>
  </si>
  <si>
    <t>d.eq_interp</t>
  </si>
  <si>
    <t>z_prm.w-xinterp</t>
  </si>
  <si>
    <t>z_prm.w-interp</t>
  </si>
  <si>
    <t>Propulsion Specifications</t>
  </si>
  <si>
    <t>Engine Specs:</t>
  </si>
  <si>
    <t>VH5</t>
  </si>
  <si>
    <t>unit</t>
  </si>
  <si>
    <t>Max rated Thrust</t>
  </si>
  <si>
    <t>lb/lbhr</t>
  </si>
  <si>
    <t>100% power</t>
  </si>
  <si>
    <t>PSFC</t>
  </si>
  <si>
    <t>PSFC  at 50% Power</t>
  </si>
  <si>
    <t>BPR</t>
  </si>
  <si>
    <t>Battery Specifications</t>
  </si>
  <si>
    <t>Energy Density</t>
  </si>
  <si>
    <t>Wh/Kg</t>
  </si>
  <si>
    <t>Motor Specifications</t>
  </si>
  <si>
    <t>Max Power Per Motor</t>
  </si>
  <si>
    <t>kW</t>
  </si>
  <si>
    <t># of motors</t>
  </si>
  <si>
    <t>Max Torque</t>
  </si>
  <si>
    <t>Nm</t>
  </si>
  <si>
    <t>Model 500 Magidrive electric motors</t>
  </si>
  <si>
    <t>Max RPM</t>
  </si>
  <si>
    <t>RPM</t>
  </si>
  <si>
    <t>Weight per</t>
  </si>
  <si>
    <t>Kp</t>
  </si>
  <si>
    <t>Max combined Output power (bhp)</t>
  </si>
  <si>
    <t>Combined Motor Power</t>
  </si>
  <si>
    <t>Engine Power Output (Turbofan)</t>
  </si>
  <si>
    <t>Thrust Available (prop) (cruise)</t>
  </si>
  <si>
    <t>Thrust Available (turbofan) (cruise)</t>
  </si>
  <si>
    <t>Throttle Ratio</t>
  </si>
  <si>
    <t>Outputs:</t>
  </si>
  <si>
    <t>*look at efficency loss</t>
  </si>
  <si>
    <t>Combined Thrust</t>
  </si>
  <si>
    <t>Static Thrust</t>
  </si>
  <si>
    <t>T_static</t>
  </si>
  <si>
    <t>Propellor Thrust at desired airspeed</t>
  </si>
  <si>
    <t>dell</t>
  </si>
  <si>
    <t>temperature ratio</t>
  </si>
  <si>
    <t>theta</t>
  </si>
  <si>
    <t>Max Rated Sea Level Thrust</t>
  </si>
  <si>
    <t>F_SL</t>
  </si>
  <si>
    <t>Average thrust during T-O (Turbofan)</t>
  </si>
  <si>
    <t>Tbar</t>
  </si>
  <si>
    <t>Average thrust during takeoff (propellor)</t>
  </si>
  <si>
    <t>T_bar</t>
  </si>
  <si>
    <t>Combined takeoff thrust</t>
  </si>
  <si>
    <t>T_comb</t>
  </si>
  <si>
    <t>For Turbofan</t>
  </si>
  <si>
    <t>Thrust Ratio</t>
  </si>
  <si>
    <t>Sea Level</t>
  </si>
  <si>
    <t>theta =1</t>
  </si>
  <si>
    <t>5000 ft</t>
  </si>
  <si>
    <t>Mach #</t>
  </si>
  <si>
    <t>TR</t>
  </si>
  <si>
    <t>temp ratio: (theta_0)</t>
  </si>
  <si>
    <t>F</t>
  </si>
  <si>
    <t>F/F_SL</t>
  </si>
  <si>
    <t>15,000ft</t>
  </si>
  <si>
    <t>20,000ft</t>
  </si>
  <si>
    <t>Density at SL</t>
  </si>
  <si>
    <t>dell = 1</t>
  </si>
  <si>
    <t>Temp ratio</t>
  </si>
  <si>
    <t>Pressure ratio</t>
  </si>
  <si>
    <t>F(prop)</t>
  </si>
  <si>
    <t>F (turbofan)</t>
  </si>
  <si>
    <t>temp ratio</t>
  </si>
  <si>
    <t>pressure datio (dell)</t>
  </si>
  <si>
    <t>t/T0</t>
  </si>
  <si>
    <t xml:space="preserve">pressure at condition </t>
  </si>
  <si>
    <t>pa</t>
  </si>
  <si>
    <t>sea level pressure</t>
  </si>
  <si>
    <t>1+kh</t>
  </si>
  <si>
    <t>Propellor Thrust</t>
  </si>
  <si>
    <t>Engine Revolutions per minute</t>
  </si>
  <si>
    <t>V_inf (ft/s)</t>
  </si>
  <si>
    <t>Propellor:</t>
  </si>
  <si>
    <t>diameter</t>
  </si>
  <si>
    <t>d</t>
  </si>
  <si>
    <t>Propellor efficiency</t>
  </si>
  <si>
    <t>Output:</t>
  </si>
  <si>
    <t>Advance Ratio</t>
  </si>
  <si>
    <t>V_inf (KCAS)</t>
  </si>
  <si>
    <t>Prop thrust (HP)</t>
  </si>
  <si>
    <t>Turbofan Thrust</t>
  </si>
  <si>
    <t>Power Coefficient</t>
  </si>
  <si>
    <t>Cp</t>
  </si>
  <si>
    <t>FOXTROT - PERFORMANCE ANALYSIS</t>
  </si>
  <si>
    <t>From "general" tab</t>
  </si>
  <si>
    <t>100 for full power, 0 no no power</t>
  </si>
  <si>
    <t>Annabelle--Performance Anaylsis</t>
  </si>
  <si>
    <t>ROC Prop</t>
  </si>
  <si>
    <t>FOXTROT - PERFORMANCE ANALYSIS - TAKEOFF</t>
  </si>
  <si>
    <t>INPUT DATA</t>
  </si>
  <si>
    <t>Initial combined  weight</t>
  </si>
  <si>
    <t>W_i=</t>
  </si>
  <si>
    <t xml:space="preserve">Ground Friction Coefficients </t>
  </si>
  <si>
    <t>nP</t>
  </si>
  <si>
    <t>Ground friction coefficient</t>
  </si>
  <si>
    <t>Coefficient of lift at To</t>
  </si>
  <si>
    <t>C_Lto</t>
  </si>
  <si>
    <t>Cl max</t>
  </si>
  <si>
    <t>C_Lmax =</t>
  </si>
  <si>
    <t>density at altitude</t>
  </si>
  <si>
    <t>Combined propellor and turbofan thrust</t>
  </si>
  <si>
    <t>Oswalds Efficiency</t>
  </si>
  <si>
    <t>Output Data</t>
  </si>
  <si>
    <t>From Lift tab</t>
  </si>
  <si>
    <t>Lift at takeoff</t>
  </si>
  <si>
    <t>Coefficent of Lift at takeoff</t>
  </si>
  <si>
    <t>C_Lt-o</t>
  </si>
  <si>
    <t>Drag at Take off</t>
  </si>
  <si>
    <t>Coefficent of Drag During T/O</t>
  </si>
  <si>
    <t>C_D_t-o</t>
  </si>
  <si>
    <t>Lift/Drag Ratio at Takeoff</t>
  </si>
  <si>
    <t>L/D_to</t>
  </si>
  <si>
    <t>Acceleration</t>
  </si>
  <si>
    <t>a_i</t>
  </si>
  <si>
    <t>Lift Off Speed</t>
  </si>
  <si>
    <t>V_r</t>
  </si>
  <si>
    <t>V_r_knots</t>
  </si>
  <si>
    <t>Thrust:</t>
  </si>
  <si>
    <t>Stall Speed in ft/s</t>
  </si>
  <si>
    <t>Vs1</t>
  </si>
  <si>
    <t xml:space="preserve">Ground Run </t>
  </si>
  <si>
    <t>S_g</t>
  </si>
  <si>
    <t>time to lift off</t>
  </si>
  <si>
    <t>t</t>
  </si>
  <si>
    <t>Can be noted as V_LOF</t>
  </si>
  <si>
    <t>Rotation and Transition</t>
  </si>
  <si>
    <t>Rotation Distance</t>
  </si>
  <si>
    <t>S_Rot</t>
  </si>
  <si>
    <t>s</t>
  </si>
  <si>
    <t>Climb Angle</t>
  </si>
  <si>
    <t>ᵞ_climb</t>
  </si>
  <si>
    <t xml:space="preserve">Transition distance </t>
  </si>
  <si>
    <t>S_tr</t>
  </si>
  <si>
    <t>transition height</t>
  </si>
  <si>
    <t>h_tr</t>
  </si>
  <si>
    <t>Distance on ground</t>
  </si>
  <si>
    <t>Dist</t>
  </si>
  <si>
    <t>Total Takeoff Distance</t>
  </si>
  <si>
    <t>S_tot</t>
  </si>
  <si>
    <t>Thrust required at rotation speed (prop)</t>
  </si>
  <si>
    <t>S_tot = S_g+s_r+S_tr_s_c</t>
  </si>
  <si>
    <t>=</t>
  </si>
  <si>
    <t>FOXTROT - PERFORMANCE ANALYSIS - CLIMB</t>
  </si>
  <si>
    <t>ᵞ</t>
  </si>
  <si>
    <t>Thrust</t>
  </si>
  <si>
    <t>climb velocity</t>
  </si>
  <si>
    <t>v_inf</t>
  </si>
  <si>
    <t>Density at 2500ft</t>
  </si>
  <si>
    <t>Density at 5000ft</t>
  </si>
  <si>
    <t>Density at 7500ft</t>
  </si>
  <si>
    <t>Density at 10000ft</t>
  </si>
  <si>
    <t>Density at 12500ft</t>
  </si>
  <si>
    <t>Density at 15000ft</t>
  </si>
  <si>
    <t>Drag during climb</t>
  </si>
  <si>
    <t>Rate of climb</t>
  </si>
  <si>
    <t>V_v</t>
  </si>
  <si>
    <t>ft/min</t>
  </si>
  <si>
    <t>FOXTROT - PERFORMANCE ANALYSIS - CRUISE</t>
  </si>
  <si>
    <t>Coefficient of Drag at Cruise</t>
  </si>
  <si>
    <t>Density at Cruise</t>
  </si>
  <si>
    <t>p_cr</t>
  </si>
  <si>
    <t>Coefficient of Lift at Cruise</t>
  </si>
  <si>
    <t>k coefficent</t>
  </si>
  <si>
    <t>Minimum CD</t>
  </si>
  <si>
    <t>lb/lbf/hr</t>
  </si>
  <si>
    <t>from VerdeGo (Piper)</t>
  </si>
  <si>
    <t>Propulsive Fuel Consuption</t>
  </si>
  <si>
    <t>Zero Fuel Weight</t>
  </si>
  <si>
    <t>Wfin</t>
  </si>
  <si>
    <t>Bypass Ratio</t>
  </si>
  <si>
    <t>Empty Weight</t>
  </si>
  <si>
    <t>Power Required for Cruise</t>
  </si>
  <si>
    <t>Maximum Level Airspeed</t>
  </si>
  <si>
    <t>V_max</t>
  </si>
  <si>
    <t>Airspeed of min thrust req</t>
  </si>
  <si>
    <t>V_TR_min</t>
  </si>
  <si>
    <t>T_TR_min</t>
  </si>
  <si>
    <t>Airspeed at desired Lift Coefficient</t>
  </si>
  <si>
    <t>V_inf</t>
  </si>
  <si>
    <t>Range Turbofan (under fuel)</t>
  </si>
  <si>
    <t>mi</t>
  </si>
  <si>
    <t>*from Gundmassons Range equation</t>
  </si>
  <si>
    <t>Range for usuing electrical generator</t>
  </si>
  <si>
    <t>R_prop</t>
  </si>
  <si>
    <t>make range vs airpspeed</t>
  </si>
  <si>
    <t>fuel</t>
  </si>
  <si>
    <t>range</t>
  </si>
  <si>
    <t>Weight 0 passengers and fuel fuel</t>
  </si>
  <si>
    <t>Passenger Weight</t>
  </si>
  <si>
    <t xml:space="preserve">Range At 3000lbs Fuel </t>
  </si>
  <si>
    <t>Wf</t>
  </si>
  <si>
    <t>Range under Trubofan</t>
  </si>
  <si>
    <t>Range for generator</t>
  </si>
  <si>
    <t>Range Embraer Phenomon 300</t>
  </si>
  <si>
    <t>Range Cessna Sky Courier</t>
  </si>
  <si>
    <t>Range Beechcraft King Air</t>
  </si>
  <si>
    <t>from geometry</t>
  </si>
  <si>
    <t>motor idle power</t>
  </si>
  <si>
    <t>P_BHP</t>
  </si>
  <si>
    <t>from general</t>
  </si>
  <si>
    <t>Coefficient of Drag at Landing</t>
  </si>
  <si>
    <t>C_Dldg</t>
  </si>
  <si>
    <t>Coefficient of Lift at Landing</t>
  </si>
  <si>
    <t>C_Lldg</t>
  </si>
  <si>
    <t>Prop effiicency</t>
  </si>
  <si>
    <t>Stall Speed</t>
  </si>
  <si>
    <t>V_s0</t>
  </si>
  <si>
    <t>from Gundmassons Performance landing</t>
  </si>
  <si>
    <t xml:space="preserve">Brake velocity </t>
  </si>
  <si>
    <t>V_BR</t>
  </si>
  <si>
    <t>Lift during Landing</t>
  </si>
  <si>
    <t>Drag during Landing</t>
  </si>
  <si>
    <t>Best Glide Speed</t>
  </si>
  <si>
    <t>V_BG</t>
  </si>
  <si>
    <t>Braking Distance</t>
  </si>
  <si>
    <t>S_BR</t>
  </si>
  <si>
    <t>excel is wrong should be*</t>
  </si>
  <si>
    <t>Touchdown speed</t>
  </si>
  <si>
    <t>V_TD</t>
  </si>
  <si>
    <t>1.1*stall speed</t>
  </si>
  <si>
    <t>Flare Speed</t>
  </si>
  <si>
    <t>V_FLR</t>
  </si>
  <si>
    <t>1.3 * stall speed</t>
  </si>
  <si>
    <t>Refrence Speed</t>
  </si>
  <si>
    <t>V_REF</t>
  </si>
  <si>
    <t>1.3*stall speed</t>
  </si>
  <si>
    <t>More Electrical</t>
  </si>
  <si>
    <t>Wiring Distances</t>
  </si>
  <si>
    <t>(ft)</t>
  </si>
  <si>
    <t xml:space="preserve">mass batteries </t>
  </si>
  <si>
    <t>m_b</t>
  </si>
  <si>
    <t>kg</t>
  </si>
  <si>
    <t xml:space="preserve">Distacne from Engine to Battery </t>
  </si>
  <si>
    <t xml:space="preserve">Battery specific Energy </t>
  </si>
  <si>
    <t>E_sb</t>
  </si>
  <si>
    <t>wh/kg</t>
  </si>
  <si>
    <t xml:space="preserve">Distance from Motor to central fuselage </t>
  </si>
  <si>
    <t xml:space="preserve">total system efficency </t>
  </si>
  <si>
    <t>n_b2s</t>
  </si>
  <si>
    <t>*assumption for comparable aircraft</t>
  </si>
  <si>
    <t xml:space="preserve">Distacne from Leading edge of wing to Battery </t>
  </si>
  <si>
    <t>average Power Used</t>
  </si>
  <si>
    <t xml:space="preserve">P_used </t>
  </si>
  <si>
    <t xml:space="preserve">W </t>
  </si>
  <si>
    <t>in KW</t>
  </si>
  <si>
    <t>Lift</t>
  </si>
  <si>
    <t>Total Wiring Length:</t>
  </si>
  <si>
    <t xml:space="preserve">aircraft mass in Kg </t>
  </si>
  <si>
    <t>velocity in m/s</t>
  </si>
  <si>
    <t>Wiring Mass</t>
  </si>
  <si>
    <t>lift in kg</t>
  </si>
  <si>
    <t>Wire Type:</t>
  </si>
  <si>
    <t xml:space="preserve">drag in kg </t>
  </si>
  <si>
    <t>Turbolex AWG G 961-003</t>
  </si>
  <si>
    <t>L/D</t>
  </si>
  <si>
    <t>Resistance</t>
  </si>
  <si>
    <t>per 1000ft</t>
  </si>
  <si>
    <t xml:space="preserve">air density </t>
  </si>
  <si>
    <t>kg/m^3</t>
  </si>
  <si>
    <t>VAC</t>
  </si>
  <si>
    <t xml:space="preserve">Propellor efficency </t>
  </si>
  <si>
    <t>Amps(Tin/Silver/Copper)</t>
  </si>
  <si>
    <t>Amp</t>
  </si>
  <si>
    <t xml:space="preserve">Motor Efficency </t>
  </si>
  <si>
    <t>Amps (NiCo)</t>
  </si>
  <si>
    <t>Power (T/S/C)</t>
  </si>
  <si>
    <t>MW</t>
  </si>
  <si>
    <t>Power (NiCo)</t>
  </si>
  <si>
    <t>Voltage Drop</t>
  </si>
  <si>
    <t>50ft</t>
  </si>
  <si>
    <t>Run Time Endurance</t>
  </si>
  <si>
    <t>per 1ft</t>
  </si>
  <si>
    <t>E_take</t>
  </si>
  <si>
    <t xml:space="preserve">Wire efficincy </t>
  </si>
  <si>
    <t>Level Flight Endurance</t>
  </si>
  <si>
    <t>Level Flight Range</t>
  </si>
  <si>
    <t>km</t>
  </si>
  <si>
    <t>Total Battery Range</t>
  </si>
  <si>
    <t xml:space="preserve">mi </t>
  </si>
  <si>
    <t>L/D Max</t>
  </si>
  <si>
    <t xml:space="preserve">Electrical Power Required </t>
  </si>
  <si>
    <t>m/s</t>
  </si>
  <si>
    <t>Speed (KCAS)</t>
  </si>
  <si>
    <t>Weights:</t>
  </si>
  <si>
    <t>Notes/Assumptions</t>
  </si>
  <si>
    <t>Constraint</t>
  </si>
  <si>
    <t>Column3</t>
  </si>
  <si>
    <t xml:space="preserve">Engine Types </t>
  </si>
  <si>
    <t>Weight (lbs)</t>
  </si>
  <si>
    <t>Max Thrust</t>
  </si>
  <si>
    <t>length (in)</t>
  </si>
  <si>
    <t>Diameter (in)</t>
  </si>
  <si>
    <t>Struct Weight:</t>
  </si>
  <si>
    <t>Only fuselage weight aluminium</t>
  </si>
  <si>
    <t>Length:</t>
  </si>
  <si>
    <t>Main</t>
  </si>
  <si>
    <t xml:space="preserve">Garret TFE731-60 </t>
  </si>
  <si>
    <t>inlet temp =</t>
  </si>
  <si>
    <t>engine Max Mach</t>
  </si>
  <si>
    <t>Payload:</t>
  </si>
  <si>
    <t xml:space="preserve">10 Pax/crew @190lbs each w/ luggage @max  1.5 50lb bags per pax </t>
  </si>
  <si>
    <t>Width:</t>
  </si>
  <si>
    <t>Williams FJ44-4</t>
  </si>
  <si>
    <t xml:space="preserve">Fuel: </t>
  </si>
  <si>
    <t>assuming 2 hr flight</t>
  </si>
  <si>
    <t>Wingspan:</t>
  </si>
  <si>
    <t>Engine+assembly:</t>
  </si>
  <si>
    <t>Garrett TFE 731</t>
  </si>
  <si>
    <t xml:space="preserve">Battery: </t>
  </si>
  <si>
    <t>100 kWh Battery</t>
  </si>
  <si>
    <t>Mcualley 5 blade (2 props)</t>
  </si>
  <si>
    <t xml:space="preserve">Crew </t>
  </si>
  <si>
    <t>Prop Motors</t>
  </si>
  <si>
    <t xml:space="preserve">Lavatory </t>
  </si>
  <si>
    <t>Seats</t>
  </si>
  <si>
    <t>Total Weight</t>
  </si>
  <si>
    <t>~ 190kW power to miantain 200kt cruise</t>
  </si>
  <si>
    <t>Power Required:</t>
  </si>
  <si>
    <t>~20,000ft *ceiling</t>
  </si>
  <si>
    <t>5 blade Prop info</t>
  </si>
  <si>
    <t>https://mccauley.txtav.com/en/featured-products</t>
  </si>
  <si>
    <t>FOXTROT - Cost Analysis</t>
  </si>
  <si>
    <t>Variables</t>
  </si>
  <si>
    <t>Fexp</t>
  </si>
  <si>
    <t>experience effectiveness (80%, …)</t>
  </si>
  <si>
    <t>Qm</t>
  </si>
  <si>
    <t>est. prod. Rate in # of AC per month (5 years)</t>
  </si>
  <si>
    <t>F_MF</t>
  </si>
  <si>
    <t>N</t>
  </si>
  <si>
    <t>for 5 years 500 units produced</t>
  </si>
  <si>
    <t>Ftaper</t>
  </si>
  <si>
    <t>tapered wing value</t>
  </si>
  <si>
    <t>R_AP</t>
  </si>
  <si>
    <t>Wairframe</t>
  </si>
  <si>
    <t>Weight of structural skeleton (lb) -last 4400</t>
  </si>
  <si>
    <t>Fpress2</t>
  </si>
  <si>
    <t># for pressurized cabin for tooling</t>
  </si>
  <si>
    <t>Q_FLGT</t>
  </si>
  <si>
    <t>max level airspeed KTAS (knts)</t>
  </si>
  <si>
    <t>Fcomp2</t>
  </si>
  <si>
    <t>% AC composite (wings) for manu. Hrs (.25)</t>
  </si>
  <si>
    <t>Fcert</t>
  </si>
  <si>
    <t>using 14 CFR 23</t>
  </si>
  <si>
    <t>CPI 2012</t>
  </si>
  <si>
    <t>consumer price index compared to the year 2012</t>
  </si>
  <si>
    <t>BHPcruise</t>
  </si>
  <si>
    <t>Fcf</t>
  </si>
  <si>
    <t>simple flap value</t>
  </si>
  <si>
    <t>Fcomp3</t>
  </si>
  <si>
    <t>% AC composite (wings) for manu. Hrs (.5)</t>
  </si>
  <si>
    <t>fcomp</t>
  </si>
  <si>
    <t>% AC composite (wings)</t>
  </si>
  <si>
    <t>Np</t>
  </si>
  <si>
    <t># of prototypes</t>
  </si>
  <si>
    <t>Rfuel</t>
  </si>
  <si>
    <t xml:space="preserve">Fcomp1 </t>
  </si>
  <si>
    <t>NppT</t>
  </si>
  <si>
    <t>Turbofan Engines</t>
  </si>
  <si>
    <t>Fpress1</t>
  </si>
  <si>
    <t># for pressurized cabin for eng. hours</t>
  </si>
  <si>
    <t>NppP</t>
  </si>
  <si>
    <t>Turboprop Engines</t>
  </si>
  <si>
    <t>Cac</t>
  </si>
  <si>
    <t>CppT</t>
  </si>
  <si>
    <t>cost of turbofan</t>
  </si>
  <si>
    <t>SHP</t>
  </si>
  <si>
    <t>horsepower from cruise from alex</t>
  </si>
  <si>
    <t>Cins</t>
  </si>
  <si>
    <t>Annual Insurance Cost</t>
  </si>
  <si>
    <t>CppP</t>
  </si>
  <si>
    <t>cost of propellers</t>
  </si>
  <si>
    <t>lbf - thrust of turbofan</t>
  </si>
  <si>
    <t>Dp</t>
  </si>
  <si>
    <t>in inches propeller diameter</t>
  </si>
  <si>
    <t>specific fuel consumption during cruise</t>
  </si>
  <si>
    <t>Cinsp</t>
  </si>
  <si>
    <t>Annual Inspection Cost</t>
  </si>
  <si>
    <t>Fmf</t>
  </si>
  <si>
    <t>maintenance to FH ratio</t>
  </si>
  <si>
    <t>Cost of fuel in $/gallon</t>
  </si>
  <si>
    <t>Rap</t>
  </si>
  <si>
    <t>hrly rate for a certified Airframe and Powerplant</t>
  </si>
  <si>
    <t>Npp</t>
  </si>
  <si>
    <t>Qflgt</t>
  </si>
  <si>
    <t>number of flight hours per year</t>
  </si>
  <si>
    <t>Cover</t>
  </si>
  <si>
    <t>Engine Overhaul Fund</t>
  </si>
  <si>
    <t>Rstor</t>
  </si>
  <si>
    <t>storage cost</t>
  </si>
  <si>
    <t>P</t>
  </si>
  <si>
    <t>i</t>
  </si>
  <si>
    <t>Cloan</t>
  </si>
  <si>
    <t>Annual Loan Payment</t>
  </si>
  <si>
    <t>Man-hours</t>
  </si>
  <si>
    <t>Rate, $/hr in 2012</t>
  </si>
  <si>
    <t>Total Cost for 500 AC</t>
  </si>
  <si>
    <t>Cost per Unit</t>
  </si>
  <si>
    <t>Engineering</t>
  </si>
  <si>
    <t>Development Cost</t>
  </si>
  <si>
    <t>Flight Test Operations</t>
  </si>
  <si>
    <t>Tooling</t>
  </si>
  <si>
    <t>Certification Cost</t>
  </si>
  <si>
    <t>Quality Control</t>
  </si>
  <si>
    <t>Materials/Equipment</t>
  </si>
  <si>
    <t>Units Produced in 5 years</t>
  </si>
  <si>
    <t>Quality Discount Factor</t>
  </si>
  <si>
    <t>Total Cost</t>
  </si>
  <si>
    <t>W/O QDF</t>
  </si>
  <si>
    <t>W/ QDF</t>
  </si>
  <si>
    <t>Fixed landing gear discount</t>
  </si>
  <si>
    <t>no fixed landing gear</t>
  </si>
  <si>
    <t>Engine(s)</t>
  </si>
  <si>
    <t>toral cost divided by N</t>
  </si>
  <si>
    <t>Propeller(s)</t>
  </si>
  <si>
    <t>Avionics</t>
  </si>
  <si>
    <t>avionics in 2012 (15000) to 2025</t>
  </si>
  <si>
    <t>TOTAL COST TO PRODUCE</t>
  </si>
  <si>
    <t>Manufacturers lianbility insurance</t>
  </si>
  <si>
    <t>MINIMUM SELLING PRICE</t>
  </si>
  <si>
    <t>Break Even Analysis for Engineering</t>
  </si>
  <si>
    <t>Break Even Analysis for Business</t>
  </si>
  <si>
    <t>Total fixed cost</t>
  </si>
  <si>
    <t>Same as cert. cost</t>
  </si>
  <si>
    <t xml:space="preserve"> variable cost</t>
  </si>
  <si>
    <t>BEP  for Engineering</t>
  </si>
  <si>
    <t>BEP  for Business</t>
  </si>
  <si>
    <t>Nbe</t>
  </si>
  <si>
    <t xml:space="preserve">Break Even Point </t>
  </si>
  <si>
    <t>For Engineering</t>
  </si>
  <si>
    <t>Units (N)</t>
  </si>
  <si>
    <t>variable</t>
  </si>
  <si>
    <t>fixed</t>
  </si>
  <si>
    <t>fixed+Variable</t>
  </si>
  <si>
    <t>For Business</t>
  </si>
  <si>
    <t>Operational Cost</t>
  </si>
  <si>
    <t>Maintenance Cost</t>
  </si>
  <si>
    <t>Cap</t>
  </si>
  <si>
    <t>maintenance cost per year</t>
  </si>
  <si>
    <t>Cstor</t>
  </si>
  <si>
    <t>storage cost per year</t>
  </si>
  <si>
    <t>Cfuel</t>
  </si>
  <si>
    <t>per gallon</t>
  </si>
  <si>
    <t>annual insurance cost</t>
  </si>
  <si>
    <t>annual inspection cost</t>
  </si>
  <si>
    <t>engine overhaul fund</t>
  </si>
  <si>
    <t>Annual loan payment</t>
  </si>
  <si>
    <t>Cyear</t>
  </si>
  <si>
    <t>Total yearly cost</t>
  </si>
  <si>
    <t>CHR</t>
  </si>
  <si>
    <t>total cost per flight hour</t>
  </si>
  <si>
    <t>embraer phenom 300</t>
  </si>
  <si>
    <t>Beechcraft King Air 350</t>
  </si>
  <si>
    <t>Cessna SkyCourier</t>
  </si>
  <si>
    <t>Seating capacity</t>
  </si>
  <si>
    <t>Engines</t>
  </si>
  <si>
    <t>Selling price (mil)</t>
  </si>
  <si>
    <t>Estimated Equivalent Price (mil)</t>
  </si>
  <si>
    <t>price of landing + eqn. for materials/equipment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</si>
</sst>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5" formatCode="&quot;$&quot;#,##0_);\(&quot;$&quot;#,##0\)"/>
    <numFmt numFmtId="8" formatCode="&quot;$&quot;#,##0.00_);[Red]\(&quot;$&quot;#,##0.00\)"/>
    <numFmt numFmtId="44" formatCode="_(&quot;$&quot;* #,##0.00_);_(&quot;$&quot;* \(#,##0.00\);_(&quot;$&quot;* &quot;-&quot;??_);_(@_)"/>
    <numFmt numFmtId="43" formatCode="_(* #,##0.00_);_(* \(#,##0.00\);_(* &quot;-&quot;??_);_(@_)"/>
    <numFmt numFmtId="164" formatCode="&quot;$&quot;#,##0.00"/>
    <numFmt numFmtId="165" formatCode="&quot;$&quot;#,##0"/>
    <numFmt numFmtId="166" formatCode="0.0000"/>
    <numFmt numFmtId="167" formatCode="[$$-409]#,##0.00"/>
    <numFmt numFmtId="168" formatCode="&quot;$&quot;#,##0.0000"/>
    <numFmt numFmtId="169" formatCode="0.0"/>
    <numFmt numFmtId="170" formatCode="0.000"/>
    <numFmt numFmtId="171" formatCode="0.000000"/>
    <numFmt numFmtId="172" formatCode="0.00000"/>
    <numFmt numFmtId="173" formatCode="_(* #,##0_);_(* \(#,##0\);_(* &quot;-&quot;??_);_(@_)"/>
    <numFmt numFmtId="174" formatCode="_(* #,##0.0_);_(* \(#,##0.0\);_(* &quot;-&quot;?_);_(@_)"/>
    <numFmt numFmtId="175" formatCode="0.0000000"/>
    <numFmt numFmtId="176" formatCode="0.0%"/>
    <numFmt numFmtId="177" formatCode="0.00000000"/>
  </numFmts>
  <fonts count="47">
    <font>
      <sz val="11"/>
      <color theme="1"/>
      <name val="Aptos Narrow"/>
      <family val="2"/>
      <scheme val="minor"/>
    </font>
    <font>
      <b/>
      <sz val="11"/>
      <color theme="1"/>
      <name val="Aptos Narrow"/>
      <family val="2"/>
      <scheme val="minor"/>
    </font>
    <font>
      <b/>
      <sz val="11"/>
      <color rgb="FF000000"/>
      <name val="Aptos Narrow"/>
      <family val="2"/>
      <scheme val="minor"/>
    </font>
    <font>
      <sz val="11"/>
      <color theme="1"/>
      <name val="Aptos Narrow"/>
      <family val="2"/>
    </font>
    <font>
      <sz val="8"/>
      <name val="Aptos Narrow"/>
      <family val="2"/>
      <scheme val="minor"/>
    </font>
    <font>
      <sz val="8.8000000000000007"/>
      <color theme="1"/>
      <name val="Aptos Narrow"/>
      <family val="2"/>
    </font>
    <font>
      <vertAlign val="subscript"/>
      <sz val="11"/>
      <color theme="1"/>
      <name val="Aptos Narrow"/>
      <family val="2"/>
      <scheme val="minor"/>
    </font>
    <font>
      <vertAlign val="superscript"/>
      <sz val="11"/>
      <color theme="1"/>
      <name val="Aptos Narrow"/>
      <family val="2"/>
      <scheme val="minor"/>
    </font>
    <font>
      <vertAlign val="subscript"/>
      <sz val="11"/>
      <color theme="1"/>
      <name val="Aptos Narrow"/>
      <family val="2"/>
    </font>
    <font>
      <vertAlign val="subscript"/>
      <sz val="9.35"/>
      <color theme="1"/>
      <name val="Aptos Narrow"/>
      <family val="2"/>
    </font>
    <font>
      <sz val="10"/>
      <color rgb="FF000000"/>
      <name val="Aptos Narrow"/>
      <family val="2"/>
      <scheme val="minor"/>
    </font>
    <font>
      <sz val="11"/>
      <color theme="1"/>
      <name val="Aptos Narrow"/>
      <family val="2"/>
      <scheme val="minor"/>
    </font>
    <font>
      <b/>
      <sz val="11"/>
      <color rgb="FFFA7D00"/>
      <name val="Aptos Narrow"/>
      <family val="2"/>
      <scheme val="minor"/>
    </font>
    <font>
      <sz val="11"/>
      <color rgb="FF000000"/>
      <name val="Aptos Narrow"/>
      <family val="2"/>
    </font>
    <font>
      <vertAlign val="subscript"/>
      <sz val="11"/>
      <color rgb="FF000000"/>
      <name val="Aptos Narrow"/>
      <family val="2"/>
    </font>
    <font>
      <sz val="11"/>
      <color rgb="FF242424"/>
      <name val="Aptos Narrow"/>
      <family val="2"/>
    </font>
    <font>
      <b/>
      <sz val="11"/>
      <color rgb="FF000000"/>
      <name val="Aptos Narrow"/>
      <family val="2"/>
    </font>
    <font>
      <b/>
      <sz val="11"/>
      <name val="Aptos Narrow"/>
      <family val="2"/>
      <scheme val="minor"/>
    </font>
    <font>
      <u/>
      <sz val="11"/>
      <color theme="1"/>
      <name val="Aptos Narrow"/>
      <family val="2"/>
      <scheme val="minor"/>
    </font>
    <font>
      <sz val="11"/>
      <color rgb="FF000000"/>
      <name val="Aptos Narrow"/>
      <family val="2"/>
      <scheme val="minor"/>
    </font>
    <font>
      <b/>
      <sz val="11"/>
      <color theme="1"/>
      <name val="Aptos Narrow"/>
      <family val="2"/>
    </font>
    <font>
      <b/>
      <sz val="11"/>
      <color rgb="FF000000"/>
      <name val="Arial"/>
      <family val="2"/>
    </font>
    <font>
      <b/>
      <sz val="11"/>
      <color theme="1"/>
      <name val="Arial"/>
      <family val="2"/>
    </font>
    <font>
      <sz val="11"/>
      <color theme="1"/>
      <name val="Arial"/>
      <family val="2"/>
    </font>
    <font>
      <sz val="11"/>
      <color rgb="FFFF0000"/>
      <name val="Aptos Narrow"/>
      <family val="2"/>
      <scheme val="minor"/>
    </font>
    <font>
      <sz val="9"/>
      <color theme="1"/>
      <name val="Aptos Narrow"/>
      <family val="2"/>
      <scheme val="minor"/>
    </font>
    <font>
      <b/>
      <sz val="11"/>
      <color theme="0"/>
      <name val="Aptos Narrow"/>
      <family val="2"/>
      <scheme val="minor"/>
    </font>
    <font>
      <vertAlign val="superscript"/>
      <sz val="11"/>
      <color theme="0"/>
      <name val="Aptos Narrow"/>
      <family val="2"/>
      <scheme val="minor"/>
    </font>
    <font>
      <vertAlign val="subscript"/>
      <sz val="11"/>
      <color theme="0"/>
      <name val="Aptos Narrow"/>
      <family val="2"/>
      <scheme val="minor"/>
    </font>
    <font>
      <sz val="11"/>
      <color theme="0"/>
      <name val="Aptos Narrow"/>
      <family val="2"/>
      <scheme val="minor"/>
    </font>
    <font>
      <vertAlign val="subscript"/>
      <sz val="11"/>
      <color theme="0"/>
      <name val="Aptos Narrow"/>
      <family val="2"/>
    </font>
    <font>
      <b/>
      <vertAlign val="subscript"/>
      <sz val="11"/>
      <color theme="0"/>
      <name val="Aptos Narrow"/>
      <family val="2"/>
      <scheme val="minor"/>
    </font>
    <font>
      <vertAlign val="subscript"/>
      <sz val="9.35"/>
      <color theme="0"/>
      <name val="Aptos Narrow"/>
      <family val="2"/>
    </font>
    <font>
      <sz val="11"/>
      <color theme="0"/>
      <name val="Aptos Narrow"/>
      <family val="2"/>
    </font>
    <font>
      <sz val="11"/>
      <color rgb="FF000000"/>
      <name val="Calibri"/>
      <family val="2"/>
    </font>
    <font>
      <b/>
      <sz val="11"/>
      <color rgb="FF000000"/>
      <name val="Calibri"/>
      <family val="2"/>
    </font>
    <font>
      <sz val="9"/>
      <color indexed="81"/>
      <name val="Tahoma"/>
      <family val="2"/>
    </font>
    <font>
      <b/>
      <sz val="9"/>
      <color indexed="81"/>
      <name val="Tahoma"/>
      <family val="2"/>
    </font>
    <font>
      <sz val="11"/>
      <color rgb="FF242424"/>
      <name val="Consolas"/>
      <family val="2"/>
    </font>
    <font>
      <sz val="7.7"/>
      <color theme="1"/>
      <name val="Aptos Narrow"/>
      <family val="2"/>
    </font>
    <font>
      <sz val="11"/>
      <name val="Aptos Narrow"/>
      <family val="2"/>
      <scheme val="minor"/>
    </font>
    <font>
      <b/>
      <u/>
      <sz val="11"/>
      <color rgb="FF000000"/>
      <name val="Aptos Narrow"/>
      <family val="2"/>
      <scheme val="minor"/>
    </font>
    <font>
      <sz val="13.5"/>
      <color rgb="FF000000"/>
      <name val="Times New Roman"/>
      <family val="1"/>
    </font>
    <font>
      <sz val="11"/>
      <color rgb="FFFF0000"/>
      <name val="Consolas"/>
      <family val="2"/>
    </font>
    <font>
      <sz val="10"/>
      <name val="Arial"/>
      <family val="2"/>
    </font>
    <font>
      <sz val="11"/>
      <color rgb="FF000000"/>
      <name val="Aptos Narrow"/>
    </font>
    <font>
      <vertAlign val="subscript"/>
      <sz val="11"/>
      <color rgb="FF000000"/>
      <name val="Aptos Narrow"/>
    </font>
  </fonts>
  <fills count="34">
    <fill>
      <patternFill patternType="none"/>
    </fill>
    <fill>
      <patternFill patternType="gray125"/>
    </fill>
    <fill>
      <patternFill patternType="solid">
        <fgColor theme="5" tint="0.39997558519241921"/>
        <bgColor indexed="64"/>
      </patternFill>
    </fill>
    <fill>
      <patternFill patternType="solid">
        <fgColor theme="4" tint="0.39997558519241921"/>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rgb="FFF10F0F"/>
        <bgColor indexed="64"/>
      </patternFill>
    </fill>
    <fill>
      <patternFill patternType="solid">
        <fgColor rgb="FFFFFF00"/>
        <bgColor indexed="64"/>
      </patternFill>
    </fill>
    <fill>
      <patternFill patternType="solid">
        <fgColor theme="3" tint="0.89999084444715716"/>
        <bgColor indexed="64"/>
      </patternFill>
    </fill>
    <fill>
      <patternFill patternType="solid">
        <fgColor theme="3" tint="0.749992370372631"/>
        <bgColor indexed="64"/>
      </patternFill>
    </fill>
    <fill>
      <patternFill patternType="lightUp">
        <fgColor auto="1"/>
        <bgColor theme="2" tint="-9.9948118533890809E-2"/>
      </patternFill>
    </fill>
    <fill>
      <patternFill patternType="lightUp">
        <bgColor theme="2" tint="-9.9948118533890809E-2"/>
      </patternFill>
    </fill>
    <fill>
      <patternFill patternType="solid">
        <fgColor rgb="FFF2F2F2"/>
      </patternFill>
    </fill>
    <fill>
      <patternFill patternType="solid">
        <fgColor theme="0"/>
        <bgColor indexed="64"/>
      </patternFill>
    </fill>
    <fill>
      <patternFill patternType="solid">
        <fgColor theme="7"/>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rgb="FFFFB3B3"/>
        <bgColor indexed="64"/>
      </patternFill>
    </fill>
    <fill>
      <patternFill patternType="solid">
        <fgColor rgb="FFF9EE87"/>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00B0F0"/>
        <bgColor indexed="64"/>
      </patternFill>
    </fill>
    <fill>
      <patternFill patternType="solid">
        <fgColor theme="0" tint="-0.249977111117893"/>
        <bgColor indexed="64"/>
      </patternFill>
    </fill>
    <fill>
      <patternFill patternType="solid">
        <fgColor theme="2"/>
        <bgColor indexed="64"/>
      </patternFill>
    </fill>
    <fill>
      <patternFill patternType="solid">
        <fgColor theme="7" tint="0.39997558519241921"/>
        <bgColor indexed="64"/>
      </patternFill>
    </fill>
    <fill>
      <patternFill patternType="solid">
        <fgColor rgb="FFF8D924"/>
        <bgColor indexed="64"/>
      </patternFill>
    </fill>
    <fill>
      <patternFill patternType="solid">
        <fgColor rgb="FFE8E8E8"/>
        <bgColor indexed="64"/>
      </patternFill>
    </fill>
    <fill>
      <patternFill patternType="solid">
        <fgColor rgb="FF92D050"/>
        <bgColor indexed="64"/>
      </patternFill>
    </fill>
    <fill>
      <patternFill patternType="solid">
        <fgColor theme="0" tint="-0.14999847407452621"/>
        <bgColor theme="0" tint="-0.14999847407452621"/>
      </patternFill>
    </fill>
  </fills>
  <borders count="66">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505050"/>
      </left>
      <right/>
      <top style="medium">
        <color rgb="FF505050"/>
      </top>
      <bottom style="medium">
        <color rgb="FF505050"/>
      </bottom>
      <diagonal/>
    </border>
    <border>
      <left/>
      <right style="medium">
        <color rgb="FF505050"/>
      </right>
      <top style="medium">
        <color rgb="FF505050"/>
      </top>
      <bottom style="medium">
        <color rgb="FF505050"/>
      </bottom>
      <diagonal/>
    </border>
    <border>
      <left/>
      <right/>
      <top style="medium">
        <color rgb="FF505050"/>
      </top>
      <bottom style="medium">
        <color rgb="FF505050"/>
      </bottom>
      <diagonal/>
    </border>
    <border>
      <left/>
      <right/>
      <top/>
      <bottom style="medium">
        <color rgb="FF505050"/>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right/>
      <top/>
      <bottom style="thin">
        <color rgb="FF000000"/>
      </bottom>
      <diagonal/>
    </border>
    <border>
      <left/>
      <right style="thin">
        <color rgb="FF000000"/>
      </right>
      <top/>
      <bottom/>
      <diagonal/>
    </border>
    <border>
      <left style="thin">
        <color theme="4" tint="0.39997558519241921"/>
      </left>
      <right/>
      <top style="thin">
        <color theme="4" tint="0.39997558519241921"/>
      </top>
      <bottom style="thin">
        <color theme="4" tint="0.39997558519241921"/>
      </bottom>
      <diagonal/>
    </border>
    <border>
      <left style="thin">
        <color indexed="64"/>
      </left>
      <right style="thin">
        <color indexed="64"/>
      </right>
      <top/>
      <bottom/>
      <diagonal/>
    </border>
    <border>
      <left/>
      <right style="thin">
        <color indexed="64"/>
      </right>
      <top style="thin">
        <color theme="4" tint="0.39997558519241921"/>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rgb="FF000000"/>
      </right>
      <top/>
      <bottom style="thin">
        <color indexed="64"/>
      </bottom>
      <diagonal/>
    </border>
    <border>
      <left/>
      <right style="thin">
        <color rgb="FF000000"/>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style="medium">
        <color indexed="64"/>
      </right>
      <top/>
      <bottom/>
      <diagonal/>
    </border>
    <border>
      <left/>
      <right style="medium">
        <color indexed="64"/>
      </right>
      <top/>
      <bottom style="thin">
        <color indexed="64"/>
      </bottom>
      <diagonal/>
    </border>
    <border>
      <left/>
      <right style="medium">
        <color indexed="64"/>
      </right>
      <top/>
      <bottom style="thin">
        <color rgb="FF000000"/>
      </bottom>
      <diagonal/>
    </border>
    <border>
      <left style="thin">
        <color indexed="64"/>
      </left>
      <right style="thin">
        <color indexed="64"/>
      </right>
      <top/>
      <bottom style="thin">
        <color theme="4" tint="0.39997558519241921"/>
      </bottom>
      <diagonal/>
    </border>
    <border>
      <left/>
      <right style="thin">
        <color indexed="64"/>
      </right>
      <top style="thin">
        <color indexed="64"/>
      </top>
      <bottom/>
      <diagonal/>
    </border>
    <border>
      <left style="thin">
        <color theme="4" tint="0.39997558519241921"/>
      </left>
      <right/>
      <top style="thin">
        <color theme="4" tint="0.39997558519241921"/>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double">
        <color rgb="FF000000"/>
      </bottom>
      <diagonal/>
    </border>
    <border>
      <left style="thin">
        <color rgb="FF000000"/>
      </left>
      <right/>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top/>
      <bottom style="thin">
        <color rgb="FF000000"/>
      </bottom>
      <diagonal/>
    </border>
    <border>
      <left/>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thin">
        <color indexed="64"/>
      </left>
      <right/>
      <top style="thin">
        <color indexed="64"/>
      </top>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rgb="FF000000"/>
      </left>
      <right style="thin">
        <color indexed="64"/>
      </right>
      <top style="thin">
        <color indexed="64"/>
      </top>
      <bottom style="thin">
        <color indexed="64"/>
      </bottom>
      <diagonal/>
    </border>
    <border>
      <left style="medium">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style="medium">
        <color rgb="FF505050"/>
      </top>
      <bottom/>
      <diagonal/>
    </border>
    <border>
      <left style="medium">
        <color indexed="64"/>
      </left>
      <right/>
      <top style="medium">
        <color rgb="FF505050"/>
      </top>
      <bottom style="medium">
        <color rgb="FF505050"/>
      </bottom>
      <diagonal/>
    </border>
    <border>
      <left/>
      <right style="medium">
        <color indexed="64"/>
      </right>
      <top style="medium">
        <color rgb="FF505050"/>
      </top>
      <bottom style="medium">
        <color rgb="FF50505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medium">
        <color theme="1"/>
      </bottom>
      <diagonal/>
    </border>
  </borders>
  <cellStyleXfs count="5">
    <xf numFmtId="0" fontId="0" fillId="0" borderId="0"/>
    <xf numFmtId="43" fontId="11" fillId="0" borderId="0" applyFont="0" applyFill="0" applyBorder="0" applyAlignment="0" applyProtection="0"/>
    <xf numFmtId="44" fontId="11" fillId="0" borderId="0" applyFont="0" applyFill="0" applyBorder="0" applyAlignment="0" applyProtection="0"/>
    <xf numFmtId="0" fontId="12" fillId="13" borderId="8" applyNumberFormat="0" applyAlignment="0" applyProtection="0"/>
    <xf numFmtId="9" fontId="11" fillId="0" borderId="0" applyFont="0" applyFill="0" applyBorder="0" applyAlignment="0" applyProtection="0"/>
  </cellStyleXfs>
  <cellXfs count="396">
    <xf numFmtId="0" fontId="0" fillId="0" borderId="0" xfId="0"/>
    <xf numFmtId="0" fontId="0" fillId="0" borderId="0" xfId="0" applyAlignment="1">
      <alignment wrapText="1"/>
    </xf>
    <xf numFmtId="0" fontId="1" fillId="2" borderId="0" xfId="0" applyFont="1" applyFill="1"/>
    <xf numFmtId="0" fontId="0" fillId="2" borderId="0" xfId="0" applyFill="1"/>
    <xf numFmtId="0" fontId="2" fillId="2" borderId="0" xfId="0" applyFont="1" applyFill="1"/>
    <xf numFmtId="0" fontId="0" fillId="4" borderId="0" xfId="0" applyFill="1"/>
    <xf numFmtId="0" fontId="0" fillId="5" borderId="0" xfId="0" applyFill="1"/>
    <xf numFmtId="0" fontId="1" fillId="0" borderId="0" xfId="0" applyFont="1"/>
    <xf numFmtId="0" fontId="1" fillId="0" borderId="0" xfId="0" applyFont="1" applyAlignment="1">
      <alignment horizontal="center"/>
    </xf>
    <xf numFmtId="0" fontId="0" fillId="0" borderId="0" xfId="0" applyAlignment="1">
      <alignment horizontal="right"/>
    </xf>
    <xf numFmtId="0" fontId="3" fillId="0" borderId="0" xfId="0" applyFont="1" applyAlignment="1">
      <alignment horizontal="right"/>
    </xf>
    <xf numFmtId="0" fontId="3" fillId="0" borderId="0" xfId="0" applyFont="1"/>
    <xf numFmtId="0" fontId="1" fillId="3" borderId="0" xfId="0" applyFont="1" applyFill="1" applyAlignment="1">
      <alignment horizontal="center"/>
    </xf>
    <xf numFmtId="0" fontId="0" fillId="6" borderId="1" xfId="0" applyFill="1" applyBorder="1"/>
    <xf numFmtId="0" fontId="0" fillId="5" borderId="1" xfId="0" applyFill="1" applyBorder="1"/>
    <xf numFmtId="0" fontId="1" fillId="6" borderId="1" xfId="0" applyFont="1" applyFill="1" applyBorder="1"/>
    <xf numFmtId="0" fontId="0" fillId="7" borderId="0" xfId="0" applyFill="1"/>
    <xf numFmtId="0" fontId="1" fillId="0" borderId="0" xfId="0" applyFont="1" applyAlignment="1">
      <alignment horizontal="right"/>
    </xf>
    <xf numFmtId="0" fontId="1" fillId="0" borderId="0" xfId="0" applyFont="1" applyAlignment="1">
      <alignment horizontal="left"/>
    </xf>
    <xf numFmtId="0" fontId="0" fillId="8" borderId="0" xfId="0" applyFill="1"/>
    <xf numFmtId="0" fontId="0" fillId="6" borderId="1" xfId="0" applyFill="1" applyBorder="1" applyAlignment="1">
      <alignment horizontal="center" vertical="center"/>
    </xf>
    <xf numFmtId="0" fontId="0" fillId="4" borderId="1" xfId="0" applyFill="1" applyBorder="1"/>
    <xf numFmtId="0" fontId="2" fillId="0" borderId="0" xfId="0" applyFont="1"/>
    <xf numFmtId="0" fontId="2" fillId="0" borderId="0" xfId="0" applyFont="1" applyAlignment="1">
      <alignment horizontal="center" vertical="center"/>
    </xf>
    <xf numFmtId="0" fontId="1" fillId="10" borderId="0" xfId="0" applyFont="1" applyFill="1" applyAlignment="1">
      <alignment horizontal="center"/>
    </xf>
    <xf numFmtId="0" fontId="0" fillId="0" borderId="0" xfId="0" applyAlignment="1">
      <alignment horizontal="center"/>
    </xf>
    <xf numFmtId="3" fontId="0" fillId="0" borderId="0" xfId="1" applyNumberFormat="1" applyFont="1"/>
    <xf numFmtId="0" fontId="1" fillId="0" borderId="5" xfId="0" applyFont="1" applyBorder="1" applyAlignment="1">
      <alignment horizontal="center"/>
    </xf>
    <xf numFmtId="0" fontId="1" fillId="0" borderId="1" xfId="0" applyFont="1" applyBorder="1" applyAlignment="1">
      <alignment horizontal="center"/>
    </xf>
    <xf numFmtId="37" fontId="0" fillId="0" borderId="0" xfId="1" applyNumberFormat="1" applyFont="1"/>
    <xf numFmtId="0" fontId="1" fillId="10" borderId="0" xfId="0" applyFont="1" applyFill="1" applyAlignment="1">
      <alignment horizontal="center" wrapText="1"/>
    </xf>
    <xf numFmtId="166" fontId="0" fillId="0" borderId="0" xfId="0" applyNumberFormat="1"/>
    <xf numFmtId="164" fontId="0" fillId="0" borderId="0" xfId="0" applyNumberFormat="1"/>
    <xf numFmtId="165" fontId="0" fillId="0" borderId="0" xfId="0" applyNumberFormat="1"/>
    <xf numFmtId="165" fontId="0" fillId="0" borderId="0" xfId="1" applyNumberFormat="1" applyFont="1" applyFill="1" applyAlignment="1">
      <alignment horizontal="center"/>
    </xf>
    <xf numFmtId="165" fontId="0" fillId="0" borderId="0" xfId="2" applyNumberFormat="1" applyFont="1"/>
    <xf numFmtId="165" fontId="0" fillId="0" borderId="2" xfId="0" applyNumberFormat="1" applyBorder="1"/>
    <xf numFmtId="165" fontId="0" fillId="0" borderId="4" xfId="0" applyNumberFormat="1" applyBorder="1"/>
    <xf numFmtId="0" fontId="0" fillId="12" borderId="0" xfId="0" applyFill="1"/>
    <xf numFmtId="0" fontId="0" fillId="9" borderId="0" xfId="0" applyFill="1"/>
    <xf numFmtId="167" fontId="0" fillId="0" borderId="0" xfId="0" applyNumberFormat="1"/>
    <xf numFmtId="164" fontId="0" fillId="0" borderId="0" xfId="2" applyNumberFormat="1" applyFont="1" applyAlignment="1">
      <alignment horizontal="center"/>
    </xf>
    <xf numFmtId="0" fontId="12" fillId="13" borderId="8" xfId="3"/>
    <xf numFmtId="1" fontId="0" fillId="0" borderId="0" xfId="0" applyNumberFormat="1"/>
    <xf numFmtId="0" fontId="1" fillId="0" borderId="13" xfId="0" applyFont="1" applyBorder="1"/>
    <xf numFmtId="168" fontId="0" fillId="0" borderId="0" xfId="0" applyNumberFormat="1"/>
    <xf numFmtId="5" fontId="0" fillId="0" borderId="0" xfId="0" applyNumberFormat="1"/>
    <xf numFmtId="2" fontId="0" fillId="5" borderId="0" xfId="0" applyNumberFormat="1" applyFill="1"/>
    <xf numFmtId="0" fontId="13" fillId="6" borderId="1" xfId="0" applyFont="1" applyFill="1" applyBorder="1" applyAlignment="1">
      <alignment horizontal="center" vertical="center"/>
    </xf>
    <xf numFmtId="169" fontId="0" fillId="4" borderId="1" xfId="0" applyNumberFormat="1" applyFill="1" applyBorder="1"/>
    <xf numFmtId="2" fontId="0" fillId="4" borderId="1" xfId="0" applyNumberFormat="1" applyFill="1" applyBorder="1"/>
    <xf numFmtId="170" fontId="0" fillId="4" borderId="1" xfId="0" applyNumberFormat="1" applyFill="1" applyBorder="1"/>
    <xf numFmtId="169" fontId="0" fillId="4" borderId="14" xfId="0" applyNumberFormat="1" applyFill="1" applyBorder="1"/>
    <xf numFmtId="170" fontId="0" fillId="4" borderId="14" xfId="0" applyNumberFormat="1" applyFill="1" applyBorder="1"/>
    <xf numFmtId="2" fontId="0" fillId="4" borderId="14" xfId="0" applyNumberFormat="1" applyFill="1" applyBorder="1"/>
    <xf numFmtId="0" fontId="0" fillId="14" borderId="0" xfId="0" applyFill="1"/>
    <xf numFmtId="0" fontId="0" fillId="6" borderId="1" xfId="0" applyFill="1" applyBorder="1" applyAlignment="1">
      <alignment horizontal="right"/>
    </xf>
    <xf numFmtId="0" fontId="15" fillId="0" borderId="0" xfId="0" applyFont="1"/>
    <xf numFmtId="0" fontId="0" fillId="0" borderId="0" xfId="0" applyAlignment="1">
      <alignment horizontal="left"/>
    </xf>
    <xf numFmtId="0" fontId="13" fillId="0" borderId="0" xfId="0" applyFont="1" applyAlignment="1">
      <alignment horizontal="right"/>
    </xf>
    <xf numFmtId="49" fontId="0" fillId="0" borderId="0" xfId="0" applyNumberFormat="1" applyAlignment="1">
      <alignment horizontal="right"/>
    </xf>
    <xf numFmtId="0" fontId="0" fillId="0" borderId="15" xfId="0" applyBorder="1" applyAlignment="1">
      <alignment horizontal="center"/>
    </xf>
    <xf numFmtId="0" fontId="0" fillId="0" borderId="16" xfId="0" applyBorder="1"/>
    <xf numFmtId="2" fontId="0" fillId="4" borderId="0" xfId="0" applyNumberFormat="1" applyFill="1"/>
    <xf numFmtId="166" fontId="0" fillId="5" borderId="0" xfId="0" applyNumberFormat="1" applyFill="1"/>
    <xf numFmtId="169" fontId="0" fillId="5" borderId="0" xfId="0" applyNumberFormat="1" applyFill="1"/>
    <xf numFmtId="11" fontId="0" fillId="5" borderId="0" xfId="0" applyNumberFormat="1" applyFill="1"/>
    <xf numFmtId="171" fontId="0" fillId="5" borderId="0" xfId="0" applyNumberFormat="1" applyFill="1"/>
    <xf numFmtId="49" fontId="0" fillId="6" borderId="1" xfId="0" applyNumberFormat="1" applyFill="1" applyBorder="1" applyAlignment="1">
      <alignment horizontal="right"/>
    </xf>
    <xf numFmtId="2" fontId="0" fillId="0" borderId="0" xfId="0" applyNumberFormat="1"/>
    <xf numFmtId="0" fontId="16" fillId="6" borderId="1" xfId="0" applyFont="1" applyFill="1" applyBorder="1" applyAlignment="1">
      <alignment horizontal="center" vertical="center"/>
    </xf>
    <xf numFmtId="0" fontId="17" fillId="14" borderId="17" xfId="0" applyFont="1" applyFill="1" applyBorder="1" applyAlignment="1">
      <alignment horizontal="right"/>
    </xf>
    <xf numFmtId="0" fontId="18" fillId="0" borderId="0" xfId="0" applyFont="1"/>
    <xf numFmtId="0" fontId="19" fillId="0" borderId="0" xfId="0" applyFont="1" applyAlignment="1">
      <alignment horizontal="right"/>
    </xf>
    <xf numFmtId="0" fontId="19" fillId="0" borderId="0" xfId="0" applyFont="1" applyAlignment="1">
      <alignment horizontal="left" vertical="center"/>
    </xf>
    <xf numFmtId="170" fontId="0" fillId="5" borderId="0" xfId="0" applyNumberFormat="1" applyFill="1"/>
    <xf numFmtId="1" fontId="0" fillId="5" borderId="0" xfId="0" applyNumberFormat="1" applyFill="1"/>
    <xf numFmtId="2" fontId="0" fillId="4" borderId="0" xfId="0" applyNumberFormat="1" applyFill="1" applyAlignment="1">
      <alignment horizontal="right"/>
    </xf>
    <xf numFmtId="2" fontId="0" fillId="0" borderId="0" xfId="0" applyNumberFormat="1" applyAlignment="1">
      <alignment horizontal="right"/>
    </xf>
    <xf numFmtId="2" fontId="1" fillId="0" borderId="0" xfId="0" applyNumberFormat="1" applyFont="1"/>
    <xf numFmtId="0" fontId="20" fillId="0" borderId="0" xfId="0" applyFont="1" applyAlignment="1">
      <alignment horizontal="right"/>
    </xf>
    <xf numFmtId="0" fontId="20" fillId="0" borderId="0" xfId="0" applyFont="1"/>
    <xf numFmtId="170" fontId="1" fillId="0" borderId="0" xfId="0" applyNumberFormat="1" applyFont="1"/>
    <xf numFmtId="169" fontId="1" fillId="0" borderId="0" xfId="0" applyNumberFormat="1" applyFont="1"/>
    <xf numFmtId="172" fontId="1" fillId="10" borderId="0" xfId="0" applyNumberFormat="1" applyFont="1" applyFill="1" applyAlignment="1">
      <alignment wrapText="1"/>
    </xf>
    <xf numFmtId="172" fontId="1" fillId="19" borderId="0" xfId="0" applyNumberFormat="1" applyFont="1" applyFill="1" applyAlignment="1">
      <alignment wrapText="1"/>
    </xf>
    <xf numFmtId="172" fontId="1" fillId="20" borderId="0" xfId="0" applyNumberFormat="1" applyFont="1" applyFill="1" applyAlignment="1">
      <alignment wrapText="1"/>
    </xf>
    <xf numFmtId="172" fontId="1" fillId="21" borderId="0" xfId="0" applyNumberFormat="1" applyFont="1" applyFill="1" applyAlignment="1">
      <alignment wrapText="1"/>
    </xf>
    <xf numFmtId="172" fontId="1" fillId="18" borderId="0" xfId="0" applyNumberFormat="1" applyFont="1" applyFill="1" applyAlignment="1">
      <alignment wrapText="1"/>
    </xf>
    <xf numFmtId="172" fontId="0" fillId="0" borderId="0" xfId="0" applyNumberFormat="1"/>
    <xf numFmtId="0" fontId="1" fillId="0" borderId="1" xfId="0" applyFont="1" applyBorder="1" applyAlignment="1">
      <alignment horizontal="center" vertical="center"/>
    </xf>
    <xf numFmtId="0" fontId="0" fillId="0" borderId="1" xfId="0" applyBorder="1"/>
    <xf numFmtId="0" fontId="0" fillId="22" borderId="1" xfId="0" applyFill="1" applyBorder="1"/>
    <xf numFmtId="0" fontId="0" fillId="23" borderId="1" xfId="0" applyFill="1" applyBorder="1"/>
    <xf numFmtId="0" fontId="3" fillId="0" borderId="1" xfId="0" applyFont="1" applyBorder="1"/>
    <xf numFmtId="0" fontId="0" fillId="4" borderId="19" xfId="0" applyFill="1" applyBorder="1"/>
    <xf numFmtId="2" fontId="0" fillId="23" borderId="1" xfId="0" applyNumberFormat="1" applyFill="1" applyBorder="1"/>
    <xf numFmtId="0" fontId="0" fillId="6" borderId="0" xfId="0" applyFill="1" applyAlignment="1">
      <alignment horizontal="right"/>
    </xf>
    <xf numFmtId="169" fontId="0" fillId="0" borderId="0" xfId="0" applyNumberFormat="1"/>
    <xf numFmtId="170" fontId="0" fillId="0" borderId="0" xfId="0" applyNumberFormat="1"/>
    <xf numFmtId="172" fontId="0" fillId="5" borderId="0" xfId="0" applyNumberFormat="1" applyFill="1"/>
    <xf numFmtId="169" fontId="0" fillId="4" borderId="1" xfId="0" applyNumberFormat="1" applyFill="1" applyBorder="1" applyAlignment="1">
      <alignment horizontal="center"/>
    </xf>
    <xf numFmtId="166" fontId="0" fillId="4" borderId="1" xfId="0" applyNumberFormat="1" applyFill="1" applyBorder="1" applyAlignment="1">
      <alignment horizontal="center"/>
    </xf>
    <xf numFmtId="0" fontId="0" fillId="0" borderId="20" xfId="0" applyBorder="1"/>
    <xf numFmtId="0" fontId="0" fillId="0" borderId="21" xfId="0" applyBorder="1"/>
    <xf numFmtId="0" fontId="0" fillId="0" borderId="22" xfId="0" applyBorder="1"/>
    <xf numFmtId="0" fontId="0" fillId="0" borderId="24" xfId="0" applyBorder="1"/>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18" xfId="0" applyBorder="1" applyAlignment="1">
      <alignment horizontal="center"/>
    </xf>
    <xf numFmtId="169" fontId="0" fillId="4" borderId="0" xfId="0" applyNumberFormat="1" applyFill="1"/>
    <xf numFmtId="0" fontId="19" fillId="0" borderId="0" xfId="0" applyFont="1"/>
    <xf numFmtId="2" fontId="19" fillId="0" borderId="0" xfId="0" applyNumberFormat="1" applyFont="1" applyAlignment="1">
      <alignment horizontal="center" vertical="center"/>
    </xf>
    <xf numFmtId="0" fontId="16" fillId="0" borderId="0" xfId="0" applyFont="1" applyAlignment="1">
      <alignment horizontal="right"/>
    </xf>
    <xf numFmtId="2" fontId="1" fillId="0" borderId="0" xfId="0" applyNumberFormat="1" applyFont="1" applyAlignment="1">
      <alignment horizontal="right"/>
    </xf>
    <xf numFmtId="173" fontId="0" fillId="5" borderId="0" xfId="0" applyNumberFormat="1" applyFill="1"/>
    <xf numFmtId="11" fontId="0" fillId="0" borderId="0" xfId="0" applyNumberFormat="1"/>
    <xf numFmtId="10" fontId="0" fillId="4" borderId="0" xfId="0" applyNumberFormat="1" applyFill="1"/>
    <xf numFmtId="0" fontId="0" fillId="24" borderId="0" xfId="0" applyFill="1"/>
    <xf numFmtId="0" fontId="0" fillId="0" borderId="26" xfId="0" applyBorder="1" applyAlignment="1">
      <alignment horizontal="center"/>
    </xf>
    <xf numFmtId="0" fontId="0" fillId="0" borderId="27" xfId="0" applyBorder="1"/>
    <xf numFmtId="0" fontId="0" fillId="24" borderId="18" xfId="0" applyFill="1" applyBorder="1" applyAlignment="1">
      <alignment horizontal="center"/>
    </xf>
    <xf numFmtId="0" fontId="0" fillId="24" borderId="16" xfId="0" applyFill="1" applyBorder="1"/>
    <xf numFmtId="0" fontId="0" fillId="24" borderId="20" xfId="0" applyFill="1" applyBorder="1"/>
    <xf numFmtId="0" fontId="0" fillId="0" borderId="26" xfId="0" applyBorder="1"/>
    <xf numFmtId="2" fontId="0" fillId="0" borderId="20" xfId="0" applyNumberFormat="1" applyBorder="1"/>
    <xf numFmtId="2" fontId="0" fillId="24" borderId="20" xfId="0" applyNumberFormat="1" applyFill="1" applyBorder="1"/>
    <xf numFmtId="2" fontId="0" fillId="0" borderId="22" xfId="0" applyNumberFormat="1" applyBorder="1"/>
    <xf numFmtId="0" fontId="0" fillId="0" borderId="15" xfId="0" applyBorder="1"/>
    <xf numFmtId="169" fontId="1" fillId="5" borderId="0" xfId="0" applyNumberFormat="1" applyFont="1" applyFill="1"/>
    <xf numFmtId="170" fontId="1" fillId="0" borderId="0" xfId="0" applyNumberFormat="1" applyFont="1" applyAlignment="1">
      <alignment horizontal="right"/>
    </xf>
    <xf numFmtId="9" fontId="0" fillId="5" borderId="0" xfId="4" applyFont="1" applyFill="1"/>
    <xf numFmtId="0" fontId="1" fillId="0" borderId="25" xfId="0" applyFont="1" applyBorder="1"/>
    <xf numFmtId="0" fontId="0" fillId="0" borderId="32" xfId="0" applyBorder="1" applyAlignment="1">
      <alignment horizontal="center"/>
    </xf>
    <xf numFmtId="0" fontId="0" fillId="0" borderId="31" xfId="0" applyBorder="1"/>
    <xf numFmtId="0" fontId="0" fillId="24" borderId="31" xfId="0" applyFill="1" applyBorder="1"/>
    <xf numFmtId="0" fontId="0" fillId="0" borderId="33" xfId="0" applyBorder="1"/>
    <xf numFmtId="9" fontId="0" fillId="0" borderId="0" xfId="4" applyFont="1"/>
    <xf numFmtId="9" fontId="0" fillId="0" borderId="0" xfId="4" applyFont="1" applyFill="1"/>
    <xf numFmtId="0" fontId="13" fillId="0" borderId="0" xfId="0" applyFont="1"/>
    <xf numFmtId="0" fontId="13" fillId="0" borderId="15" xfId="0" applyFont="1" applyBorder="1"/>
    <xf numFmtId="166" fontId="0" fillId="5" borderId="15" xfId="0" applyNumberFormat="1" applyFill="1" applyBorder="1"/>
    <xf numFmtId="0" fontId="2" fillId="0" borderId="0" xfId="0" applyFont="1" applyAlignment="1">
      <alignment horizontal="center"/>
    </xf>
    <xf numFmtId="166" fontId="1" fillId="0" borderId="0" xfId="0" applyNumberFormat="1" applyFont="1"/>
    <xf numFmtId="11" fontId="1" fillId="5" borderId="0" xfId="0" applyNumberFormat="1" applyFont="1" applyFill="1"/>
    <xf numFmtId="0" fontId="23" fillId="0" borderId="0" xfId="0" applyFont="1" applyAlignment="1">
      <alignment horizontal="right"/>
    </xf>
    <xf numFmtId="0" fontId="13" fillId="0" borderId="0" xfId="0" applyFont="1" applyAlignment="1">
      <alignment horizontal="left"/>
    </xf>
    <xf numFmtId="0" fontId="24" fillId="0" borderId="0" xfId="0" applyFont="1"/>
    <xf numFmtId="0" fontId="24" fillId="0" borderId="0" xfId="0" applyFont="1" applyAlignment="1">
      <alignment horizontal="right"/>
    </xf>
    <xf numFmtId="172" fontId="24" fillId="24" borderId="0" xfId="0" applyNumberFormat="1" applyFont="1" applyFill="1"/>
    <xf numFmtId="11" fontId="24" fillId="5" borderId="0" xfId="0" applyNumberFormat="1" applyFont="1" applyFill="1"/>
    <xf numFmtId="11" fontId="2" fillId="5" borderId="0" xfId="0" applyNumberFormat="1" applyFont="1" applyFill="1"/>
    <xf numFmtId="11" fontId="1" fillId="0" borderId="0" xfId="0" applyNumberFormat="1" applyFont="1"/>
    <xf numFmtId="2" fontId="0" fillId="5" borderId="0" xfId="0" applyNumberFormat="1" applyFill="1" applyAlignment="1">
      <alignment horizontal="right"/>
    </xf>
    <xf numFmtId="0" fontId="25" fillId="0" borderId="0" xfId="0" applyFont="1"/>
    <xf numFmtId="0" fontId="21" fillId="6" borderId="14" xfId="0" applyFont="1" applyFill="1" applyBorder="1" applyAlignment="1">
      <alignment horizontal="center" vertical="center"/>
    </xf>
    <xf numFmtId="169" fontId="0" fillId="4" borderId="5" xfId="0" applyNumberFormat="1" applyFill="1" applyBorder="1"/>
    <xf numFmtId="170" fontId="0" fillId="4" borderId="5" xfId="0" applyNumberFormat="1" applyFill="1" applyBorder="1"/>
    <xf numFmtId="2" fontId="0" fillId="4" borderId="5" xfId="0" applyNumberFormat="1" applyFill="1" applyBorder="1"/>
    <xf numFmtId="0" fontId="0" fillId="4" borderId="7" xfId="0" applyFill="1" applyBorder="1"/>
    <xf numFmtId="0" fontId="16" fillId="6" borderId="14" xfId="0" applyFont="1" applyFill="1" applyBorder="1" applyAlignment="1">
      <alignment horizontal="center" vertical="center"/>
    </xf>
    <xf numFmtId="1" fontId="0" fillId="4" borderId="5" xfId="0" applyNumberFormat="1" applyFill="1" applyBorder="1"/>
    <xf numFmtId="169" fontId="0" fillId="4" borderId="5" xfId="0" applyNumberFormat="1" applyFill="1" applyBorder="1" applyAlignment="1">
      <alignment horizontal="center"/>
    </xf>
    <xf numFmtId="0" fontId="0" fillId="4" borderId="1" xfId="0" applyFill="1" applyBorder="1" applyAlignment="1">
      <alignment horizontal="center"/>
    </xf>
    <xf numFmtId="0" fontId="17" fillId="27" borderId="1" xfId="0" applyFont="1" applyFill="1" applyBorder="1" applyAlignment="1">
      <alignment horizontal="right"/>
    </xf>
    <xf numFmtId="49" fontId="0" fillId="4" borderId="1" xfId="0" applyNumberFormat="1" applyFill="1" applyBorder="1" applyAlignment="1">
      <alignment horizontal="right"/>
    </xf>
    <xf numFmtId="0" fontId="17" fillId="14" borderId="36" xfId="0" applyFont="1" applyFill="1" applyBorder="1" applyAlignment="1">
      <alignment horizontal="right"/>
    </xf>
    <xf numFmtId="1" fontId="1" fillId="5" borderId="0" xfId="0" applyNumberFormat="1" applyFont="1" applyFill="1"/>
    <xf numFmtId="173" fontId="0" fillId="0" borderId="0" xfId="0" applyNumberFormat="1"/>
    <xf numFmtId="0" fontId="0" fillId="28" borderId="0" xfId="0" applyFill="1"/>
    <xf numFmtId="11" fontId="0" fillId="28" borderId="0" xfId="0" applyNumberFormat="1" applyFill="1"/>
    <xf numFmtId="173" fontId="0" fillId="5" borderId="0" xfId="0" applyNumberFormat="1" applyFill="1" applyAlignment="1">
      <alignment horizontal="center"/>
    </xf>
    <xf numFmtId="173" fontId="0" fillId="25" borderId="0" xfId="0" applyNumberFormat="1" applyFill="1"/>
    <xf numFmtId="0" fontId="1" fillId="28" borderId="0" xfId="0" applyFont="1" applyFill="1"/>
    <xf numFmtId="0" fontId="3" fillId="28" borderId="0" xfId="0" applyFont="1" applyFill="1"/>
    <xf numFmtId="49" fontId="0" fillId="0" borderId="0" xfId="0" applyNumberFormat="1" applyAlignment="1">
      <alignment horizontal="left"/>
    </xf>
    <xf numFmtId="0" fontId="1" fillId="9" borderId="0" xfId="0" applyFont="1" applyFill="1"/>
    <xf numFmtId="44" fontId="0" fillId="0" borderId="0" xfId="0" applyNumberFormat="1"/>
    <xf numFmtId="174" fontId="0" fillId="0" borderId="0" xfId="0" applyNumberFormat="1"/>
    <xf numFmtId="166" fontId="0" fillId="4" borderId="0" xfId="0" applyNumberFormat="1" applyFill="1"/>
    <xf numFmtId="167" fontId="24" fillId="0" borderId="0" xfId="0" applyNumberFormat="1" applyFont="1"/>
    <xf numFmtId="164" fontId="24" fillId="0" borderId="0" xfId="0" applyNumberFormat="1" applyFont="1"/>
    <xf numFmtId="0" fontId="21" fillId="6" borderId="1" xfId="0" applyFont="1" applyFill="1" applyBorder="1" applyAlignment="1">
      <alignment horizontal="center" vertical="center"/>
    </xf>
    <xf numFmtId="0" fontId="26" fillId="0" borderId="0" xfId="0" applyFont="1"/>
    <xf numFmtId="0" fontId="29" fillId="0" borderId="0" xfId="0" applyFont="1"/>
    <xf numFmtId="0" fontId="29" fillId="0" borderId="0" xfId="0" applyFont="1" applyAlignment="1">
      <alignment horizontal="left" indent="1"/>
    </xf>
    <xf numFmtId="0" fontId="29" fillId="0" borderId="0" xfId="0" applyFont="1" applyAlignment="1">
      <alignment horizontal="right"/>
    </xf>
    <xf numFmtId="0" fontId="26" fillId="0" borderId="0" xfId="0" applyFont="1" applyAlignment="1">
      <alignment horizontal="left"/>
    </xf>
    <xf numFmtId="0" fontId="26" fillId="0" borderId="0" xfId="0" applyFont="1" applyAlignment="1">
      <alignment horizontal="right"/>
    </xf>
    <xf numFmtId="171" fontId="0" fillId="0" borderId="0" xfId="0" applyNumberFormat="1"/>
    <xf numFmtId="175" fontId="0" fillId="5" borderId="0" xfId="0" applyNumberFormat="1" applyFill="1"/>
    <xf numFmtId="0" fontId="1" fillId="0" borderId="40" xfId="0" applyFont="1" applyBorder="1"/>
    <xf numFmtId="166" fontId="1" fillId="5" borderId="40" xfId="0" applyNumberFormat="1" applyFont="1" applyFill="1" applyBorder="1"/>
    <xf numFmtId="0" fontId="19" fillId="28" borderId="0" xfId="0" applyFont="1" applyFill="1"/>
    <xf numFmtId="0" fontId="1" fillId="28" borderId="0" xfId="0" applyFont="1" applyFill="1" applyAlignment="1">
      <alignment horizontal="center"/>
    </xf>
    <xf numFmtId="0" fontId="19" fillId="28" borderId="16" xfId="0" applyFont="1" applyFill="1" applyBorder="1"/>
    <xf numFmtId="0" fontId="19" fillId="0" borderId="16" xfId="0" applyFont="1" applyBorder="1"/>
    <xf numFmtId="0" fontId="19" fillId="28" borderId="41" xfId="0" applyFont="1" applyFill="1" applyBorder="1"/>
    <xf numFmtId="0" fontId="19" fillId="0" borderId="41" xfId="0" applyFont="1" applyBorder="1"/>
    <xf numFmtId="172" fontId="0" fillId="4" borderId="0" xfId="0" applyNumberFormat="1" applyFill="1"/>
    <xf numFmtId="170" fontId="0" fillId="4" borderId="0" xfId="0" applyNumberFormat="1" applyFill="1"/>
    <xf numFmtId="1" fontId="0" fillId="4" borderId="0" xfId="0" applyNumberFormat="1" applyFill="1"/>
    <xf numFmtId="171" fontId="0" fillId="4" borderId="0" xfId="0" applyNumberFormat="1" applyFill="1"/>
    <xf numFmtId="166" fontId="0" fillId="0" borderId="0" xfId="0" applyNumberFormat="1" applyAlignment="1">
      <alignment horizontal="center"/>
    </xf>
    <xf numFmtId="0" fontId="0" fillId="30" borderId="0" xfId="0" applyFill="1" applyAlignment="1">
      <alignment horizontal="center"/>
    </xf>
    <xf numFmtId="166" fontId="0" fillId="9" borderId="0" xfId="0" applyNumberFormat="1" applyFill="1"/>
    <xf numFmtId="170" fontId="0" fillId="9" borderId="0" xfId="0" applyNumberFormat="1" applyFill="1"/>
    <xf numFmtId="2" fontId="0" fillId="9" borderId="0" xfId="0" applyNumberFormat="1" applyFill="1"/>
    <xf numFmtId="169" fontId="0" fillId="9" borderId="0" xfId="0" applyNumberFormat="1" applyFill="1"/>
    <xf numFmtId="1" fontId="0" fillId="9" borderId="0" xfId="0" applyNumberFormat="1" applyFill="1"/>
    <xf numFmtId="0" fontId="1" fillId="5" borderId="0" xfId="0" applyFont="1" applyFill="1"/>
    <xf numFmtId="0" fontId="0" fillId="31" borderId="0" xfId="0" applyFill="1"/>
    <xf numFmtId="170" fontId="1" fillId="5" borderId="0" xfId="0" applyNumberFormat="1" applyFont="1" applyFill="1"/>
    <xf numFmtId="0" fontId="16" fillId="0" borderId="0" xfId="0" applyFont="1" applyAlignment="1">
      <alignment horizontal="center" vertical="center"/>
    </xf>
    <xf numFmtId="0" fontId="16" fillId="6" borderId="23" xfId="0" applyFont="1" applyFill="1" applyBorder="1" applyAlignment="1">
      <alignment horizontal="center" vertical="center"/>
    </xf>
    <xf numFmtId="0" fontId="16" fillId="6" borderId="34" xfId="0" applyFont="1" applyFill="1" applyBorder="1" applyAlignment="1">
      <alignment horizontal="center" vertical="center"/>
    </xf>
    <xf numFmtId="0" fontId="16" fillId="6" borderId="35" xfId="0" applyFont="1" applyFill="1" applyBorder="1" applyAlignment="1">
      <alignment horizontal="center" vertical="center"/>
    </xf>
    <xf numFmtId="0" fontId="13" fillId="6" borderId="18" xfId="0" applyFont="1" applyFill="1" applyBorder="1" applyAlignment="1">
      <alignment horizontal="center" vertical="center"/>
    </xf>
    <xf numFmtId="0" fontId="33" fillId="0" borderId="0" xfId="0" applyFont="1"/>
    <xf numFmtId="0" fontId="33" fillId="0" borderId="0" xfId="0" applyFont="1" applyAlignment="1">
      <alignment horizontal="right"/>
    </xf>
    <xf numFmtId="0" fontId="11" fillId="0" borderId="0" xfId="0" applyFont="1"/>
    <xf numFmtId="0" fontId="2" fillId="10" borderId="0" xfId="0" applyFont="1" applyFill="1" applyAlignment="1">
      <alignment horizontal="center"/>
    </xf>
    <xf numFmtId="0" fontId="0" fillId="16" borderId="0" xfId="0" applyFill="1"/>
    <xf numFmtId="0" fontId="34" fillId="0" borderId="0" xfId="0" applyFont="1"/>
    <xf numFmtId="3" fontId="19" fillId="0" borderId="0" xfId="0" applyNumberFormat="1" applyFont="1"/>
    <xf numFmtId="44" fontId="34" fillId="0" borderId="0" xfId="0" applyNumberFormat="1" applyFont="1"/>
    <xf numFmtId="8" fontId="34" fillId="0" borderId="0" xfId="0" applyNumberFormat="1" applyFont="1"/>
    <xf numFmtId="44" fontId="35" fillId="0" borderId="0" xfId="0" applyNumberFormat="1" applyFont="1"/>
    <xf numFmtId="166" fontId="0" fillId="24" borderId="0" xfId="0" applyNumberFormat="1" applyFill="1"/>
    <xf numFmtId="169" fontId="0" fillId="31" borderId="0" xfId="0" applyNumberFormat="1" applyFill="1"/>
    <xf numFmtId="0" fontId="0" fillId="0" borderId="42" xfId="0" applyBorder="1" applyAlignment="1">
      <alignment horizontal="center"/>
    </xf>
    <xf numFmtId="0" fontId="0" fillId="0" borderId="43" xfId="0" applyBorder="1"/>
    <xf numFmtId="0" fontId="0" fillId="0" borderId="44" xfId="0" applyBorder="1"/>
    <xf numFmtId="2" fontId="0" fillId="0" borderId="43" xfId="0" applyNumberFormat="1" applyBorder="1"/>
    <xf numFmtId="1" fontId="0" fillId="28" borderId="0" xfId="0" applyNumberFormat="1" applyFill="1"/>
    <xf numFmtId="2" fontId="0" fillId="8" borderId="0" xfId="0" applyNumberFormat="1" applyFill="1"/>
    <xf numFmtId="0" fontId="0" fillId="32" borderId="0" xfId="0" applyFill="1"/>
    <xf numFmtId="2" fontId="3" fillId="0" borderId="0" xfId="0" applyNumberFormat="1" applyFont="1"/>
    <xf numFmtId="177" fontId="0" fillId="5" borderId="0" xfId="0" applyNumberFormat="1" applyFill="1"/>
    <xf numFmtId="0" fontId="1" fillId="0" borderId="45" xfId="0" applyFont="1" applyBorder="1"/>
    <xf numFmtId="0" fontId="1" fillId="33" borderId="46" xfId="0" applyFont="1" applyFill="1" applyBorder="1"/>
    <xf numFmtId="0" fontId="1" fillId="0" borderId="47" xfId="0" applyFont="1" applyBorder="1"/>
    <xf numFmtId="0" fontId="1" fillId="0" borderId="20" xfId="0" applyFont="1" applyBorder="1"/>
    <xf numFmtId="0" fontId="0" fillId="0" borderId="25" xfId="0" applyBorder="1"/>
    <xf numFmtId="2" fontId="0" fillId="0" borderId="25" xfId="0" applyNumberFormat="1" applyBorder="1"/>
    <xf numFmtId="2" fontId="0" fillId="0" borderId="24" xfId="0" applyNumberFormat="1" applyBorder="1"/>
    <xf numFmtId="0" fontId="1" fillId="5" borderId="25" xfId="0" applyFont="1" applyFill="1" applyBorder="1"/>
    <xf numFmtId="0" fontId="1" fillId="5" borderId="20" xfId="0" applyFont="1" applyFill="1" applyBorder="1"/>
    <xf numFmtId="2" fontId="0" fillId="4" borderId="25" xfId="0" applyNumberFormat="1" applyFill="1" applyBorder="1"/>
    <xf numFmtId="0" fontId="0" fillId="26" borderId="22" xfId="0" applyFill="1" applyBorder="1"/>
    <xf numFmtId="0" fontId="1" fillId="0" borderId="23" xfId="0" applyFont="1" applyBorder="1" applyAlignment="1">
      <alignment horizontal="center"/>
    </xf>
    <xf numFmtId="0" fontId="1" fillId="0" borderId="21" xfId="0" applyFont="1" applyBorder="1" applyAlignment="1">
      <alignment horizontal="center"/>
    </xf>
    <xf numFmtId="0" fontId="1" fillId="0" borderId="22" xfId="0" applyFont="1" applyBorder="1" applyAlignment="1">
      <alignment horizontal="center"/>
    </xf>
    <xf numFmtId="0" fontId="1" fillId="0" borderId="26" xfId="0" applyFont="1" applyBorder="1" applyAlignment="1">
      <alignment horizontal="center"/>
    </xf>
    <xf numFmtId="0" fontId="1" fillId="0" borderId="32" xfId="0" applyFont="1" applyBorder="1" applyAlignment="1">
      <alignment horizontal="center"/>
    </xf>
    <xf numFmtId="2" fontId="0" fillId="0" borderId="50" xfId="0" applyNumberFormat="1" applyBorder="1"/>
    <xf numFmtId="2" fontId="0" fillId="0" borderId="52" xfId="0" applyNumberFormat="1" applyBorder="1"/>
    <xf numFmtId="0" fontId="1" fillId="0" borderId="49" xfId="0" applyFont="1" applyBorder="1"/>
    <xf numFmtId="0" fontId="1" fillId="0" borderId="51" xfId="0" applyFont="1" applyBorder="1"/>
    <xf numFmtId="2" fontId="1" fillId="0" borderId="45" xfId="0" applyNumberFormat="1" applyFont="1" applyBorder="1"/>
    <xf numFmtId="1" fontId="0" fillId="0" borderId="15" xfId="0" applyNumberFormat="1" applyBorder="1"/>
    <xf numFmtId="10" fontId="0" fillId="5" borderId="0" xfId="0" applyNumberFormat="1" applyFill="1"/>
    <xf numFmtId="10" fontId="0" fillId="0" borderId="0" xfId="0" applyNumberFormat="1"/>
    <xf numFmtId="1" fontId="0" fillId="0" borderId="0" xfId="0" applyNumberFormat="1" applyAlignment="1">
      <alignment horizontal="center"/>
    </xf>
    <xf numFmtId="2" fontId="1" fillId="17" borderId="0" xfId="0" applyNumberFormat="1" applyFont="1" applyFill="1" applyAlignment="1">
      <alignment horizontal="center"/>
    </xf>
    <xf numFmtId="8" fontId="0" fillId="0" borderId="0" xfId="0" applyNumberFormat="1"/>
    <xf numFmtId="170" fontId="0" fillId="4" borderId="0" xfId="0" quotePrefix="1" applyNumberFormat="1" applyFill="1"/>
    <xf numFmtId="0" fontId="0" fillId="0" borderId="17" xfId="0" applyBorder="1" applyAlignment="1">
      <alignment horizontal="center"/>
    </xf>
    <xf numFmtId="166" fontId="0" fillId="0" borderId="53" xfId="0" applyNumberFormat="1" applyBorder="1" applyAlignment="1">
      <alignment horizontal="center"/>
    </xf>
    <xf numFmtId="0" fontId="0" fillId="0" borderId="54" xfId="0" applyBorder="1" applyAlignment="1">
      <alignment horizontal="center"/>
    </xf>
    <xf numFmtId="0" fontId="1" fillId="33" borderId="45" xfId="0" applyFont="1" applyFill="1" applyBorder="1"/>
    <xf numFmtId="2" fontId="1" fillId="33" borderId="45" xfId="0" applyNumberFormat="1" applyFont="1" applyFill="1" applyBorder="1"/>
    <xf numFmtId="1" fontId="0" fillId="33" borderId="0" xfId="0" applyNumberFormat="1" applyFill="1"/>
    <xf numFmtId="0" fontId="1" fillId="33" borderId="45" xfId="0" applyFont="1" applyFill="1" applyBorder="1" applyAlignment="1">
      <alignment horizontal="right"/>
    </xf>
    <xf numFmtId="2" fontId="24" fillId="0" borderId="0" xfId="0" applyNumberFormat="1" applyFont="1"/>
    <xf numFmtId="2" fontId="19" fillId="0" borderId="0" xfId="0" applyNumberFormat="1" applyFont="1"/>
    <xf numFmtId="169" fontId="0" fillId="33" borderId="0" xfId="0" applyNumberFormat="1" applyFill="1"/>
    <xf numFmtId="1" fontId="24" fillId="33" borderId="0" xfId="0" applyNumberFormat="1" applyFont="1" applyFill="1"/>
    <xf numFmtId="1" fontId="24" fillId="0" borderId="0" xfId="0" applyNumberFormat="1" applyFont="1"/>
    <xf numFmtId="0" fontId="24" fillId="0" borderId="0" xfId="0" applyFont="1" applyAlignment="1">
      <alignment horizontal="center"/>
    </xf>
    <xf numFmtId="1" fontId="19" fillId="33" borderId="0" xfId="0" applyNumberFormat="1" applyFont="1" applyFill="1"/>
    <xf numFmtId="1" fontId="19" fillId="0" borderId="0" xfId="0" applyNumberFormat="1" applyFont="1"/>
    <xf numFmtId="0" fontId="0" fillId="0" borderId="7" xfId="0" applyBorder="1"/>
    <xf numFmtId="0" fontId="0" fillId="24" borderId="7" xfId="0" applyFill="1" applyBorder="1"/>
    <xf numFmtId="0" fontId="0" fillId="24" borderId="1" xfId="0" applyFill="1" applyBorder="1"/>
    <xf numFmtId="0" fontId="38" fillId="0" borderId="0" xfId="0" applyFont="1"/>
    <xf numFmtId="0" fontId="0" fillId="0" borderId="55" xfId="0" applyBorder="1" applyAlignment="1">
      <alignment horizontal="center"/>
    </xf>
    <xf numFmtId="0" fontId="1" fillId="0" borderId="56" xfId="0" applyFont="1" applyBorder="1"/>
    <xf numFmtId="0" fontId="1" fillId="0" borderId="57" xfId="0" applyFont="1" applyBorder="1"/>
    <xf numFmtId="0" fontId="1" fillId="0" borderId="1" xfId="0" applyFont="1" applyBorder="1"/>
    <xf numFmtId="167" fontId="40" fillId="0" borderId="0" xfId="0" applyNumberFormat="1" applyFont="1"/>
    <xf numFmtId="164" fontId="40" fillId="0" borderId="0" xfId="0" applyNumberFormat="1" applyFont="1"/>
    <xf numFmtId="11" fontId="0" fillId="22" borderId="1" xfId="0" applyNumberFormat="1" applyFill="1" applyBorder="1"/>
    <xf numFmtId="0" fontId="0" fillId="0" borderId="18" xfId="0" applyBorder="1"/>
    <xf numFmtId="176" fontId="1" fillId="5" borderId="0" xfId="0" applyNumberFormat="1" applyFont="1" applyFill="1"/>
    <xf numFmtId="0" fontId="42" fillId="0" borderId="0" xfId="0" applyFont="1"/>
    <xf numFmtId="0" fontId="1" fillId="16" borderId="0" xfId="0" applyFont="1" applyFill="1"/>
    <xf numFmtId="0" fontId="43" fillId="0" borderId="0" xfId="0" applyFont="1"/>
    <xf numFmtId="171" fontId="24" fillId="0" borderId="0" xfId="0" applyNumberFormat="1" applyFont="1"/>
    <xf numFmtId="166" fontId="24" fillId="0" borderId="0" xfId="0" applyNumberFormat="1" applyFont="1"/>
    <xf numFmtId="10" fontId="0" fillId="28" borderId="61" xfId="0" applyNumberFormat="1" applyFill="1" applyBorder="1"/>
    <xf numFmtId="10" fontId="0" fillId="28" borderId="62" xfId="0" applyNumberFormat="1" applyFill="1" applyBorder="1"/>
    <xf numFmtId="166" fontId="1" fillId="5" borderId="0" xfId="0" applyNumberFormat="1" applyFont="1" applyFill="1"/>
    <xf numFmtId="2" fontId="44" fillId="0" borderId="0" xfId="0" applyNumberFormat="1" applyFont="1" applyAlignment="1">
      <alignment wrapText="1"/>
    </xf>
    <xf numFmtId="0" fontId="44" fillId="0" borderId="0" xfId="0" applyFont="1" applyAlignment="1">
      <alignment wrapText="1"/>
    </xf>
    <xf numFmtId="0" fontId="45" fillId="0" borderId="0" xfId="0" applyFont="1" applyAlignment="1">
      <alignment horizontal="right"/>
    </xf>
    <xf numFmtId="0" fontId="0" fillId="33" borderId="0" xfId="0" applyFill="1"/>
    <xf numFmtId="0" fontId="0" fillId="33" borderId="65" xfId="0" applyFill="1" applyBorder="1"/>
    <xf numFmtId="0" fontId="1" fillId="3" borderId="0" xfId="0" applyFont="1" applyFill="1" applyAlignment="1">
      <alignment horizontal="center"/>
    </xf>
    <xf numFmtId="0" fontId="2" fillId="3" borderId="0" xfId="0" applyFont="1" applyFill="1" applyAlignment="1">
      <alignment horizontal="center"/>
    </xf>
    <xf numFmtId="0" fontId="0" fillId="3" borderId="0" xfId="0" applyFill="1" applyAlignment="1">
      <alignment horizontal="center"/>
    </xf>
    <xf numFmtId="0" fontId="1" fillId="0" borderId="0" xfId="0" applyFont="1" applyAlignment="1">
      <alignment horizontal="center"/>
    </xf>
    <xf numFmtId="0" fontId="1" fillId="0" borderId="25" xfId="0" applyFont="1" applyBorder="1" applyAlignment="1">
      <alignment horizontal="center"/>
    </xf>
    <xf numFmtId="0" fontId="0" fillId="0" borderId="0" xfId="0" applyAlignment="1">
      <alignment horizontal="left"/>
    </xf>
    <xf numFmtId="0" fontId="1" fillId="0" borderId="48" xfId="0" applyFont="1" applyBorder="1" applyAlignment="1">
      <alignment horizontal="center"/>
    </xf>
    <xf numFmtId="0" fontId="1" fillId="0" borderId="35" xfId="0" applyFont="1" applyBorder="1" applyAlignment="1">
      <alignment horizontal="center"/>
    </xf>
    <xf numFmtId="0" fontId="1" fillId="5" borderId="48" xfId="0" applyFont="1" applyFill="1" applyBorder="1" applyAlignment="1">
      <alignment horizontal="center"/>
    </xf>
    <xf numFmtId="0" fontId="1" fillId="5" borderId="35" xfId="0" applyFont="1" applyFill="1" applyBorder="1" applyAlignment="1">
      <alignment horizontal="center"/>
    </xf>
    <xf numFmtId="0" fontId="0" fillId="0" borderId="0" xfId="0" applyAlignment="1">
      <alignment horizontal="center"/>
    </xf>
    <xf numFmtId="0" fontId="1" fillId="16" borderId="0" xfId="0" applyFont="1" applyFill="1" applyAlignment="1">
      <alignment horizontal="center"/>
    </xf>
    <xf numFmtId="0" fontId="1" fillId="0" borderId="0" xfId="0" applyFont="1" applyAlignment="1">
      <alignment horizontal="left"/>
    </xf>
    <xf numFmtId="0" fontId="1" fillId="0" borderId="16" xfId="0" applyFont="1" applyBorder="1" applyAlignment="1">
      <alignment horizontal="center"/>
    </xf>
    <xf numFmtId="0" fontId="1" fillId="17" borderId="28" xfId="0" applyFont="1" applyFill="1" applyBorder="1" applyAlignment="1">
      <alignment horizontal="center"/>
    </xf>
    <xf numFmtId="0" fontId="1" fillId="17" borderId="29" xfId="0" applyFont="1" applyFill="1" applyBorder="1" applyAlignment="1">
      <alignment horizontal="center"/>
    </xf>
    <xf numFmtId="0" fontId="1" fillId="17" borderId="30" xfId="0" applyFont="1" applyFill="1" applyBorder="1" applyAlignment="1">
      <alignment horizontal="center"/>
    </xf>
    <xf numFmtId="0" fontId="17" fillId="17" borderId="0" xfId="0" applyFont="1" applyFill="1" applyAlignment="1">
      <alignment horizontal="center"/>
    </xf>
    <xf numFmtId="0" fontId="1" fillId="17" borderId="0" xfId="0" applyFont="1" applyFill="1" applyAlignment="1">
      <alignment horizontal="center"/>
    </xf>
    <xf numFmtId="0" fontId="1" fillId="0" borderId="20" xfId="0" applyFont="1" applyBorder="1" applyAlignment="1">
      <alignment horizontal="center"/>
    </xf>
    <xf numFmtId="0" fontId="1" fillId="0" borderId="31" xfId="0" applyFont="1" applyBorder="1" applyAlignment="1">
      <alignment horizontal="center"/>
    </xf>
    <xf numFmtId="0" fontId="0" fillId="8" borderId="37" xfId="0" applyFill="1" applyBorder="1" applyAlignment="1">
      <alignment horizontal="center"/>
    </xf>
    <xf numFmtId="0" fontId="0" fillId="8" borderId="38" xfId="0" applyFill="1" applyBorder="1" applyAlignment="1">
      <alignment horizontal="center"/>
    </xf>
    <xf numFmtId="0" fontId="0" fillId="8" borderId="39" xfId="0" applyFill="1" applyBorder="1" applyAlignment="1">
      <alignment horizontal="center"/>
    </xf>
    <xf numFmtId="0" fontId="2" fillId="0" borderId="0" xfId="0" applyFont="1" applyAlignment="1">
      <alignment horizontal="center"/>
    </xf>
    <xf numFmtId="0" fontId="19" fillId="0" borderId="0" xfId="0" applyFont="1" applyAlignment="1">
      <alignment horizontal="left"/>
    </xf>
    <xf numFmtId="0" fontId="2" fillId="0" borderId="0" xfId="0" applyFont="1" applyAlignment="1">
      <alignment horizontal="left"/>
    </xf>
    <xf numFmtId="0" fontId="0" fillId="0" borderId="0" xfId="0" applyAlignment="1">
      <alignment horizontal="center" wrapText="1"/>
    </xf>
    <xf numFmtId="0" fontId="0" fillId="16" borderId="15" xfId="0" applyFill="1" applyBorder="1" applyAlignment="1">
      <alignment horizontal="center"/>
    </xf>
    <xf numFmtId="0" fontId="0" fillId="25" borderId="0" xfId="0" applyFill="1" applyAlignment="1">
      <alignment horizontal="center"/>
    </xf>
    <xf numFmtId="0" fontId="0" fillId="4" borderId="0" xfId="0" applyFill="1" applyAlignment="1">
      <alignment horizontal="center"/>
    </xf>
    <xf numFmtId="0" fontId="0" fillId="0" borderId="0" xfId="0" applyAlignment="1">
      <alignment horizontal="center" vertical="center"/>
    </xf>
    <xf numFmtId="0" fontId="0" fillId="24" borderId="6" xfId="0" applyFill="1"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24" borderId="1" xfId="0" applyFill="1" applyBorder="1" applyAlignment="1">
      <alignment horizontal="center"/>
    </xf>
    <xf numFmtId="0" fontId="0" fillId="0" borderId="1" xfId="0" applyBorder="1" applyAlignment="1">
      <alignment horizontal="center"/>
    </xf>
    <xf numFmtId="0" fontId="1" fillId="3" borderId="15" xfId="0" applyFont="1" applyFill="1" applyBorder="1" applyAlignment="1">
      <alignment horizontal="center"/>
    </xf>
    <xf numFmtId="0" fontId="1" fillId="0" borderId="0" xfId="0" applyFont="1" applyAlignment="1">
      <alignment horizontal="center" vertical="center"/>
    </xf>
    <xf numFmtId="0" fontId="1" fillId="18" borderId="1" xfId="0" applyFont="1" applyFill="1" applyBorder="1" applyAlignment="1">
      <alignment horizontal="center"/>
    </xf>
    <xf numFmtId="172" fontId="1" fillId="0" borderId="0" xfId="0" applyNumberFormat="1" applyFont="1" applyAlignment="1">
      <alignment horizontal="center"/>
    </xf>
    <xf numFmtId="0" fontId="1" fillId="0" borderId="1" xfId="0" applyFont="1" applyBorder="1" applyAlignment="1">
      <alignment horizontal="center"/>
    </xf>
    <xf numFmtId="0" fontId="1" fillId="10" borderId="1" xfId="0" applyFont="1" applyFill="1" applyBorder="1" applyAlignment="1">
      <alignment horizontal="center"/>
    </xf>
    <xf numFmtId="0" fontId="1" fillId="19" borderId="1" xfId="0" applyFont="1" applyFill="1" applyBorder="1" applyAlignment="1">
      <alignment horizontal="center"/>
    </xf>
    <xf numFmtId="0" fontId="1" fillId="20" borderId="1" xfId="0" applyFont="1" applyFill="1" applyBorder="1" applyAlignment="1">
      <alignment horizontal="center"/>
    </xf>
    <xf numFmtId="0" fontId="1" fillId="21" borderId="1" xfId="0" applyFont="1" applyFill="1" applyBorder="1" applyAlignment="1">
      <alignment horizontal="center"/>
    </xf>
    <xf numFmtId="0" fontId="1" fillId="28" borderId="64" xfId="0" applyFont="1" applyFill="1" applyBorder="1" applyAlignment="1">
      <alignment horizontal="center"/>
    </xf>
    <xf numFmtId="0" fontId="1" fillId="28" borderId="62" xfId="0" applyFont="1" applyFill="1" applyBorder="1" applyAlignment="1">
      <alignment horizontal="center"/>
    </xf>
    <xf numFmtId="0" fontId="1" fillId="17" borderId="63" xfId="0" applyFont="1" applyFill="1" applyBorder="1" applyAlignment="1">
      <alignment horizontal="center"/>
    </xf>
    <xf numFmtId="0" fontId="1" fillId="17" borderId="64" xfId="0" applyFont="1" applyFill="1" applyBorder="1" applyAlignment="1">
      <alignment horizontal="center"/>
    </xf>
    <xf numFmtId="0" fontId="26" fillId="0" borderId="0" xfId="0" applyFont="1" applyAlignment="1">
      <alignment horizontal="center"/>
    </xf>
    <xf numFmtId="0" fontId="1" fillId="29" borderId="0" xfId="0" applyFont="1" applyFill="1" applyAlignment="1">
      <alignment horizontal="center"/>
    </xf>
    <xf numFmtId="0" fontId="1" fillId="24" borderId="0" xfId="0" applyFont="1" applyFill="1" applyAlignment="1">
      <alignment horizontal="center"/>
    </xf>
    <xf numFmtId="0" fontId="1" fillId="15" borderId="0" xfId="0" applyFont="1" applyFill="1" applyAlignment="1">
      <alignment horizontal="center"/>
    </xf>
    <xf numFmtId="2" fontId="1" fillId="15" borderId="0" xfId="0" applyNumberFormat="1" applyFont="1" applyFill="1" applyAlignment="1">
      <alignment horizontal="center"/>
    </xf>
    <xf numFmtId="2" fontId="1" fillId="24" borderId="0" xfId="0" applyNumberFormat="1" applyFont="1" applyFill="1" applyAlignment="1">
      <alignment horizontal="center"/>
    </xf>
    <xf numFmtId="2" fontId="1" fillId="17" borderId="0" xfId="0" applyNumberFormat="1" applyFont="1" applyFill="1" applyAlignment="1">
      <alignment horizontal="center"/>
    </xf>
    <xf numFmtId="0" fontId="1" fillId="10" borderId="0" xfId="0" applyFont="1" applyFill="1" applyAlignment="1">
      <alignment horizontal="center"/>
    </xf>
    <xf numFmtId="0" fontId="0" fillId="10" borderId="0" xfId="0" applyFill="1" applyAlignment="1">
      <alignment horizontal="center"/>
    </xf>
    <xf numFmtId="0" fontId="1" fillId="0" borderId="9" xfId="0" applyFont="1" applyBorder="1" applyAlignment="1">
      <alignment horizontal="center"/>
    </xf>
    <xf numFmtId="0" fontId="1" fillId="0" borderId="60" xfId="0" applyFont="1" applyBorder="1" applyAlignment="1">
      <alignment horizontal="center"/>
    </xf>
    <xf numFmtId="0" fontId="1" fillId="0" borderId="59" xfId="0" applyFont="1" applyBorder="1" applyAlignment="1">
      <alignment horizontal="center"/>
    </xf>
    <xf numFmtId="0" fontId="1" fillId="0" borderId="10" xfId="0" applyFont="1" applyBorder="1" applyAlignment="1">
      <alignment horizontal="center"/>
    </xf>
    <xf numFmtId="0" fontId="0" fillId="0" borderId="58" xfId="0" applyBorder="1" applyAlignment="1">
      <alignment horizontal="center"/>
    </xf>
    <xf numFmtId="0" fontId="1" fillId="0" borderId="0" xfId="0" applyFont="1" applyAlignment="1">
      <alignment horizontal="center" wrapText="1"/>
    </xf>
    <xf numFmtId="0" fontId="1" fillId="10" borderId="12" xfId="0" applyFont="1" applyFill="1" applyBorder="1" applyAlignment="1">
      <alignment horizontal="center"/>
    </xf>
    <xf numFmtId="0" fontId="1" fillId="9" borderId="0" xfId="0" applyFont="1" applyFill="1" applyAlignment="1">
      <alignment horizontal="center"/>
    </xf>
    <xf numFmtId="0" fontId="1" fillId="0" borderId="11" xfId="0" applyFont="1" applyBorder="1" applyAlignment="1">
      <alignment horizontal="center"/>
    </xf>
    <xf numFmtId="0" fontId="0" fillId="9" borderId="0" xfId="0" applyFill="1" applyAlignment="1">
      <alignment horizontal="center"/>
    </xf>
    <xf numFmtId="0" fontId="1" fillId="10" borderId="2" xfId="0" applyFont="1" applyFill="1" applyBorder="1" applyAlignment="1">
      <alignment horizontal="center"/>
    </xf>
    <xf numFmtId="0" fontId="1" fillId="10" borderId="3" xfId="0" applyFont="1" applyFill="1" applyBorder="1" applyAlignment="1">
      <alignment horizontal="center"/>
    </xf>
    <xf numFmtId="0" fontId="1" fillId="10" borderId="4" xfId="0" applyFont="1" applyFill="1" applyBorder="1" applyAlignment="1">
      <alignment horizontal="center"/>
    </xf>
    <xf numFmtId="0" fontId="10" fillId="10" borderId="0" xfId="0" applyFont="1" applyFill="1" applyAlignment="1">
      <alignment horizontal="center"/>
    </xf>
    <xf numFmtId="0" fontId="0" fillId="11" borderId="0" xfId="0" applyFill="1" applyAlignment="1">
      <alignment horizontal="center"/>
    </xf>
    <xf numFmtId="165" fontId="0" fillId="0" borderId="0" xfId="2" applyNumberFormat="1" applyFont="1" applyAlignment="1">
      <alignment horizontal="center"/>
    </xf>
    <xf numFmtId="5" fontId="0" fillId="0" borderId="0" xfId="2" applyNumberFormat="1" applyFont="1" applyAlignment="1">
      <alignment horizontal="center"/>
    </xf>
    <xf numFmtId="0" fontId="1" fillId="0" borderId="5"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12" borderId="0" xfId="0" applyFill="1" applyAlignment="1">
      <alignment horizontal="center"/>
    </xf>
    <xf numFmtId="165" fontId="0" fillId="0" borderId="0" xfId="0" applyNumberFormat="1" applyAlignment="1">
      <alignment horizontal="center"/>
    </xf>
    <xf numFmtId="5" fontId="0" fillId="0" borderId="0" xfId="0" applyNumberFormat="1" applyAlignment="1">
      <alignment horizontal="center"/>
    </xf>
    <xf numFmtId="165" fontId="1" fillId="0" borderId="0" xfId="2" applyNumberFormat="1" applyFont="1" applyAlignment="1">
      <alignment horizontal="center"/>
    </xf>
    <xf numFmtId="164" fontId="0" fillId="0" borderId="0" xfId="0" applyNumberFormat="1" applyAlignment="1">
      <alignment horizontal="center"/>
    </xf>
    <xf numFmtId="164" fontId="0" fillId="9" borderId="0" xfId="0" applyNumberFormat="1" applyFill="1" applyAlignment="1">
      <alignment horizontal="center"/>
    </xf>
    <xf numFmtId="0" fontId="0" fillId="0" borderId="0" xfId="0" applyAlignment="1"/>
    <xf numFmtId="0" fontId="0" fillId="26" borderId="0" xfId="0" applyFill="1" applyAlignment="1"/>
  </cellXfs>
  <cellStyles count="5">
    <cellStyle name="Calculation" xfId="3" builtinId="22"/>
    <cellStyle name="Comma" xfId="1" builtinId="3"/>
    <cellStyle name="Currency" xfId="2" builtinId="4"/>
    <cellStyle name="Normal" xfId="0" builtinId="0"/>
    <cellStyle name="Percent" xfId="4" builtinId="5"/>
  </cellStyles>
  <dxfs count="29">
    <dxf>
      <alignment horizontal="center"/>
    </dxf>
    <dxf>
      <numFmt numFmtId="166" formatCode="0.0000"/>
      <alignment horizontal="center"/>
    </dxf>
    <dxf>
      <numFmt numFmtId="166" formatCode="0.0000"/>
    </dxf>
    <dxf>
      <alignment horizontal="center"/>
    </dxf>
    <dxf>
      <fill>
        <patternFill patternType="solid">
          <fgColor indexed="64"/>
          <bgColor theme="6" tint="0.79998168889431442"/>
        </patternFill>
      </fill>
    </dxf>
    <dxf>
      <numFmt numFmtId="169" formatCode="0.0"/>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numFmt numFmtId="2" formatCode="0.00"/>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numFmt numFmtId="169" formatCode="0.0"/>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numFmt numFmtId="170" formatCode="0.000"/>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numFmt numFmtId="170" formatCode="0.000"/>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numFmt numFmtId="170" formatCode="0.000"/>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numFmt numFmtId="169" formatCode="0.0"/>
      <fill>
        <patternFill patternType="solid">
          <fgColor indexed="64"/>
          <bgColor theme="6"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2" tint="-9.9978637043366805E-2"/>
        </patternFill>
      </fill>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ill>
        <patternFill patternType="solid">
          <fgColor indexed="64"/>
          <bgColor theme="6" tint="0.79998168889431442"/>
        </patternFill>
      </fill>
    </dxf>
    <dxf>
      <font>
        <b val="0"/>
        <i val="0"/>
        <strike val="0"/>
        <condense val="0"/>
        <extend val="0"/>
        <outline val="0"/>
        <shadow val="0"/>
        <u val="none"/>
        <vertAlign val="baseline"/>
        <sz val="11"/>
        <color rgb="FF000000"/>
        <name val="Aptos Narrow"/>
        <scheme val="none"/>
      </font>
      <fill>
        <patternFill patternType="solid">
          <fgColor indexed="64"/>
          <bgColor theme="2" tint="-9.9978637043366805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2" formatCode="0.00"/>
    </dxf>
    <dxf>
      <numFmt numFmtId="2" formatCode="0.00"/>
    </dxf>
    <dxf>
      <numFmt numFmtId="2" formatCode="0.00"/>
    </dxf>
    <dxf>
      <numFmt numFmtId="2" formatCode="0.00"/>
    </dxf>
    <dxf>
      <numFmt numFmtId="15" formatCode="0.00E+00"/>
    </dxf>
    <dxf>
      <numFmt numFmtId="15" formatCode="0.00E+00"/>
    </dxf>
    <dxf>
      <numFmt numFmtId="170" formatCode="0.000"/>
    </dxf>
    <dxf>
      <numFmt numFmtId="170" formatCode="0.000"/>
    </dxf>
    <dxf>
      <numFmt numFmtId="15" formatCode="0.00E+00"/>
    </dxf>
    <dxf>
      <numFmt numFmtId="15" formatCode="0.00E+00"/>
    </dxf>
    <dxf>
      <numFmt numFmtId="1" formatCode="0"/>
    </dxf>
    <dxf>
      <numFmt numFmtId="2" formatCode="0.00"/>
    </dxf>
    <dxf>
      <numFmt numFmtId="2" formatCode="0.00"/>
    </dxf>
  </dxfs>
  <tableStyles count="0" defaultTableStyle="TableStyleMedium2" defaultPivotStyle="PivotStyleMedium9"/>
  <colors>
    <mruColors>
      <color rgb="FFF9E500"/>
      <color rgb="FFF8D924"/>
      <color rgb="FFE8E8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eetMetadata" Target="metadata.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22/10/relationships/richValueRel" Target="richData/richValueRel.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V-n Diagram Based</a:t>
            </a:r>
            <a:r>
              <a:rPr lang="en-US" baseline="0"/>
              <a:t> on 14-CFR Part 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046156295950795E-2"/>
          <c:y val="0.10411623761080764"/>
          <c:w val="0.86524733135252929"/>
          <c:h val="0.69913775400797418"/>
        </c:manualLayout>
      </c:layout>
      <c:scatterChart>
        <c:scatterStyle val="lineMarker"/>
        <c:varyColors val="0"/>
        <c:ser>
          <c:idx val="0"/>
          <c:order val="0"/>
          <c:tx>
            <c:strRef>
              <c:f>'V-N Diagram'!$P$36</c:f>
              <c:strCache>
                <c:ptCount val="1"/>
                <c:pt idx="0">
                  <c:v>Positive Stall Line</c:v>
                </c:pt>
              </c:strCache>
            </c:strRef>
          </c:tx>
          <c:spPr>
            <a:ln w="25400" cap="rnd">
              <a:solidFill>
                <a:schemeClr val="accent4"/>
              </a:solidFill>
              <a:round/>
            </a:ln>
            <a:effectLst/>
          </c:spPr>
          <c:marker>
            <c:symbol val="none"/>
          </c:marker>
          <c:xVal>
            <c:numRef>
              <c:f>'V-N Diagram'!$O$106:$O$133</c:f>
              <c:numCache>
                <c:formatCode>General</c:formatCode>
                <c:ptCount val="28"/>
                <c:pt idx="0">
                  <c:v>69</c:v>
                </c:pt>
                <c:pt idx="1">
                  <c:v>70</c:v>
                </c:pt>
                <c:pt idx="2">
                  <c:v>71</c:v>
                </c:pt>
                <c:pt idx="3">
                  <c:v>72</c:v>
                </c:pt>
                <c:pt idx="4">
                  <c:v>73</c:v>
                </c:pt>
                <c:pt idx="5">
                  <c:v>74</c:v>
                </c:pt>
                <c:pt idx="6">
                  <c:v>75</c:v>
                </c:pt>
                <c:pt idx="7">
                  <c:v>76</c:v>
                </c:pt>
                <c:pt idx="8">
                  <c:v>77</c:v>
                </c:pt>
                <c:pt idx="9">
                  <c:v>78</c:v>
                </c:pt>
                <c:pt idx="10">
                  <c:v>79</c:v>
                </c:pt>
                <c:pt idx="11">
                  <c:v>80</c:v>
                </c:pt>
                <c:pt idx="12">
                  <c:v>81</c:v>
                </c:pt>
                <c:pt idx="13">
                  <c:v>82</c:v>
                </c:pt>
                <c:pt idx="14">
                  <c:v>83</c:v>
                </c:pt>
                <c:pt idx="15">
                  <c:v>84</c:v>
                </c:pt>
                <c:pt idx="16">
                  <c:v>85</c:v>
                </c:pt>
                <c:pt idx="17">
                  <c:v>86</c:v>
                </c:pt>
                <c:pt idx="18">
                  <c:v>87</c:v>
                </c:pt>
                <c:pt idx="19">
                  <c:v>88</c:v>
                </c:pt>
                <c:pt idx="20">
                  <c:v>89</c:v>
                </c:pt>
                <c:pt idx="21">
                  <c:v>90</c:v>
                </c:pt>
                <c:pt idx="22">
                  <c:v>91</c:v>
                </c:pt>
                <c:pt idx="23">
                  <c:v>92</c:v>
                </c:pt>
                <c:pt idx="24">
                  <c:v>93</c:v>
                </c:pt>
                <c:pt idx="25">
                  <c:v>94</c:v>
                </c:pt>
                <c:pt idx="26">
                  <c:v>95</c:v>
                </c:pt>
                <c:pt idx="27">
                  <c:v>96</c:v>
                </c:pt>
              </c:numCache>
            </c:numRef>
          </c:xVal>
          <c:yVal>
            <c:numRef>
              <c:f>'V-N Diagram'!$P$106:$P$133</c:f>
              <c:numCache>
                <c:formatCode>General</c:formatCode>
                <c:ptCount val="28"/>
                <c:pt idx="0">
                  <c:v>0.90457495533823884</c:v>
                </c:pt>
                <c:pt idx="1">
                  <c:v>0.930984516101107</c:v>
                </c:pt>
                <c:pt idx="2">
                  <c:v>0.95777407054401664</c:v>
                </c:pt>
                <c:pt idx="3">
                  <c:v>0.98494361866696711</c:v>
                </c:pt>
                <c:pt idx="4">
                  <c:v>1.012493160469959</c:v>
                </c:pt>
                <c:pt idx="5">
                  <c:v>1.0404226959529923</c:v>
                </c:pt>
                <c:pt idx="6">
                  <c:v>1.0687322251160669</c:v>
                </c:pt>
                <c:pt idx="7">
                  <c:v>1.0974217479591828</c:v>
                </c:pt>
                <c:pt idx="8">
                  <c:v>1.1264912644823395</c:v>
                </c:pt>
                <c:pt idx="9">
                  <c:v>1.1559407746855379</c:v>
                </c:pt>
                <c:pt idx="10">
                  <c:v>1.1857702785687774</c:v>
                </c:pt>
                <c:pt idx="11">
                  <c:v>1.2159797761320583</c:v>
                </c:pt>
                <c:pt idx="12">
                  <c:v>1.2465692673753803</c:v>
                </c:pt>
                <c:pt idx="13">
                  <c:v>1.277538752298744</c:v>
                </c:pt>
                <c:pt idx="14">
                  <c:v>1.3088882309021483</c:v>
                </c:pt>
                <c:pt idx="15">
                  <c:v>1.3406177031855944</c:v>
                </c:pt>
                <c:pt idx="16">
                  <c:v>1.3727271691490812</c:v>
                </c:pt>
                <c:pt idx="17">
                  <c:v>1.40521662879261</c:v>
                </c:pt>
                <c:pt idx="18">
                  <c:v>1.4380860821161798</c:v>
                </c:pt>
                <c:pt idx="19">
                  <c:v>1.4713355291197905</c:v>
                </c:pt>
                <c:pt idx="20">
                  <c:v>1.5049649698034429</c:v>
                </c:pt>
                <c:pt idx="21">
                  <c:v>1.538974404167136</c:v>
                </c:pt>
                <c:pt idx="22">
                  <c:v>1.5733638322108707</c:v>
                </c:pt>
                <c:pt idx="23">
                  <c:v>1.6081332539346473</c:v>
                </c:pt>
                <c:pt idx="24">
                  <c:v>1.6432826693384646</c:v>
                </c:pt>
                <c:pt idx="25">
                  <c:v>1.6788120784223231</c:v>
                </c:pt>
                <c:pt idx="26">
                  <c:v>1.7147214811862228</c:v>
                </c:pt>
                <c:pt idx="27">
                  <c:v>1.7510108776301641</c:v>
                </c:pt>
              </c:numCache>
            </c:numRef>
          </c:yVal>
          <c:smooth val="0"/>
          <c:extLst>
            <c:ext xmlns:c16="http://schemas.microsoft.com/office/drawing/2014/chart" uri="{C3380CC4-5D6E-409C-BE32-E72D297353CC}">
              <c16:uniqueId val="{00000000-C747-424C-B9C1-A1BFC1C2DBB9}"/>
            </c:ext>
          </c:extLst>
        </c:ser>
        <c:ser>
          <c:idx val="1"/>
          <c:order val="1"/>
          <c:tx>
            <c:strRef>
              <c:f>'V-N Diagram'!$Q$36</c:f>
              <c:strCache>
                <c:ptCount val="1"/>
                <c:pt idx="0">
                  <c:v>Negative Stall Line</c:v>
                </c:pt>
              </c:strCache>
            </c:strRef>
          </c:tx>
          <c:spPr>
            <a:ln w="25400" cap="rnd">
              <a:solidFill>
                <a:schemeClr val="accent4"/>
              </a:solidFill>
              <a:round/>
            </a:ln>
            <a:effectLst/>
          </c:spPr>
          <c:marker>
            <c:symbol val="none"/>
          </c:marker>
          <c:xVal>
            <c:numRef>
              <c:f>'V-N Diagram'!$O$135:$O$147</c:f>
              <c:numCache>
                <c:formatCode>General</c:formatCode>
                <c:ptCount val="13"/>
                <c:pt idx="0">
                  <c:v>98</c:v>
                </c:pt>
                <c:pt idx="1">
                  <c:v>99</c:v>
                </c:pt>
                <c:pt idx="2">
                  <c:v>100</c:v>
                </c:pt>
                <c:pt idx="3">
                  <c:v>101</c:v>
                </c:pt>
                <c:pt idx="4">
                  <c:v>102</c:v>
                </c:pt>
                <c:pt idx="5">
                  <c:v>103</c:v>
                </c:pt>
                <c:pt idx="6">
                  <c:v>104</c:v>
                </c:pt>
                <c:pt idx="7">
                  <c:v>105</c:v>
                </c:pt>
                <c:pt idx="8">
                  <c:v>106</c:v>
                </c:pt>
                <c:pt idx="9">
                  <c:v>107</c:v>
                </c:pt>
                <c:pt idx="10">
                  <c:v>108</c:v>
                </c:pt>
                <c:pt idx="11">
                  <c:v>109</c:v>
                </c:pt>
                <c:pt idx="12">
                  <c:v>110</c:v>
                </c:pt>
              </c:numCache>
            </c:numRef>
          </c:xVal>
          <c:yVal>
            <c:numRef>
              <c:f>'V-N Diagram'!$Q$135:$Q$147</c:f>
              <c:numCache>
                <c:formatCode>General</c:formatCode>
                <c:ptCount val="13"/>
                <c:pt idx="0">
                  <c:v>-0.82074221918940404</c:v>
                </c:pt>
                <c:pt idx="1">
                  <c:v>-0.83757751877086095</c:v>
                </c:pt>
                <c:pt idx="2">
                  <c:v>-0.85458373509933772</c:v>
                </c:pt>
                <c:pt idx="3">
                  <c:v>-0.87176086817483456</c:v>
                </c:pt>
                <c:pt idx="4">
                  <c:v>-0.88910891799735103</c:v>
                </c:pt>
                <c:pt idx="5">
                  <c:v>-0.90662788456688759</c:v>
                </c:pt>
                <c:pt idx="6">
                  <c:v>-0.92431776788344389</c:v>
                </c:pt>
                <c:pt idx="7">
                  <c:v>-0.94217856794701993</c:v>
                </c:pt>
                <c:pt idx="8">
                  <c:v>-0.96021028475761605</c:v>
                </c:pt>
                <c:pt idx="9">
                  <c:v>-0.97841291831523181</c:v>
                </c:pt>
                <c:pt idx="10">
                  <c:v>-0.99678646861986764</c:v>
                </c:pt>
                <c:pt idx="11">
                  <c:v>-1.0153309356715232</c:v>
                </c:pt>
                <c:pt idx="12">
                  <c:v>-1.0340463194701988</c:v>
                </c:pt>
              </c:numCache>
            </c:numRef>
          </c:yVal>
          <c:smooth val="0"/>
          <c:extLst>
            <c:ext xmlns:c16="http://schemas.microsoft.com/office/drawing/2014/chart" uri="{C3380CC4-5D6E-409C-BE32-E72D297353CC}">
              <c16:uniqueId val="{00000001-C747-424C-B9C1-A1BFC1C2DBB9}"/>
            </c:ext>
          </c:extLst>
        </c:ser>
        <c:ser>
          <c:idx val="2"/>
          <c:order val="2"/>
          <c:tx>
            <c:strRef>
              <c:f>'V-N Diagram'!$R$36</c:f>
              <c:strCache>
                <c:ptCount val="1"/>
                <c:pt idx="0">
                  <c:v>ng1</c:v>
                </c:pt>
              </c:strCache>
            </c:strRef>
          </c:tx>
          <c:spPr>
            <a:ln w="25400" cap="rnd">
              <a:solidFill>
                <a:schemeClr val="accent4"/>
              </a:solidFill>
              <a:prstDash val="solid"/>
              <a:round/>
            </a:ln>
            <a:effectLst/>
          </c:spPr>
          <c:marker>
            <c:symbol val="none"/>
          </c:marker>
          <c:xVal>
            <c:numRef>
              <c:f>'V-N Diagram'!$O$201:$O$287</c:f>
              <c:numCache>
                <c:formatCode>General</c:formatCode>
                <c:ptCount val="87"/>
                <c:pt idx="0">
                  <c:v>164</c:v>
                </c:pt>
                <c:pt idx="1">
                  <c:v>165</c:v>
                </c:pt>
                <c:pt idx="2">
                  <c:v>166</c:v>
                </c:pt>
                <c:pt idx="3">
                  <c:v>167</c:v>
                </c:pt>
                <c:pt idx="4">
                  <c:v>168</c:v>
                </c:pt>
                <c:pt idx="5">
                  <c:v>169</c:v>
                </c:pt>
                <c:pt idx="6">
                  <c:v>170</c:v>
                </c:pt>
                <c:pt idx="7">
                  <c:v>171</c:v>
                </c:pt>
                <c:pt idx="8">
                  <c:v>172</c:v>
                </c:pt>
                <c:pt idx="9">
                  <c:v>173</c:v>
                </c:pt>
                <c:pt idx="10">
                  <c:v>174</c:v>
                </c:pt>
                <c:pt idx="11">
                  <c:v>175</c:v>
                </c:pt>
                <c:pt idx="12">
                  <c:v>176</c:v>
                </c:pt>
                <c:pt idx="13">
                  <c:v>177</c:v>
                </c:pt>
                <c:pt idx="14">
                  <c:v>178</c:v>
                </c:pt>
                <c:pt idx="15">
                  <c:v>179</c:v>
                </c:pt>
                <c:pt idx="16">
                  <c:v>180</c:v>
                </c:pt>
                <c:pt idx="17">
                  <c:v>181</c:v>
                </c:pt>
                <c:pt idx="18">
                  <c:v>182</c:v>
                </c:pt>
                <c:pt idx="19">
                  <c:v>183</c:v>
                </c:pt>
                <c:pt idx="20">
                  <c:v>184</c:v>
                </c:pt>
                <c:pt idx="21">
                  <c:v>185</c:v>
                </c:pt>
                <c:pt idx="22">
                  <c:v>186</c:v>
                </c:pt>
                <c:pt idx="23">
                  <c:v>187</c:v>
                </c:pt>
                <c:pt idx="24">
                  <c:v>188</c:v>
                </c:pt>
                <c:pt idx="25">
                  <c:v>189</c:v>
                </c:pt>
                <c:pt idx="26">
                  <c:v>190</c:v>
                </c:pt>
                <c:pt idx="27">
                  <c:v>191</c:v>
                </c:pt>
                <c:pt idx="28">
                  <c:v>192</c:v>
                </c:pt>
                <c:pt idx="29">
                  <c:v>193</c:v>
                </c:pt>
                <c:pt idx="30">
                  <c:v>194</c:v>
                </c:pt>
                <c:pt idx="31">
                  <c:v>195</c:v>
                </c:pt>
                <c:pt idx="32">
                  <c:v>196</c:v>
                </c:pt>
                <c:pt idx="33">
                  <c:v>197</c:v>
                </c:pt>
                <c:pt idx="34">
                  <c:v>198</c:v>
                </c:pt>
                <c:pt idx="35">
                  <c:v>199</c:v>
                </c:pt>
                <c:pt idx="36">
                  <c:v>200</c:v>
                </c:pt>
                <c:pt idx="37">
                  <c:v>201</c:v>
                </c:pt>
                <c:pt idx="38">
                  <c:v>202</c:v>
                </c:pt>
                <c:pt idx="39">
                  <c:v>203</c:v>
                </c:pt>
                <c:pt idx="40">
                  <c:v>204</c:v>
                </c:pt>
                <c:pt idx="41">
                  <c:v>205</c:v>
                </c:pt>
                <c:pt idx="42">
                  <c:v>206</c:v>
                </c:pt>
                <c:pt idx="43">
                  <c:v>207</c:v>
                </c:pt>
                <c:pt idx="44">
                  <c:v>208</c:v>
                </c:pt>
                <c:pt idx="45">
                  <c:v>209</c:v>
                </c:pt>
                <c:pt idx="46">
                  <c:v>210</c:v>
                </c:pt>
                <c:pt idx="47">
                  <c:v>211</c:v>
                </c:pt>
                <c:pt idx="48">
                  <c:v>212</c:v>
                </c:pt>
                <c:pt idx="49">
                  <c:v>213</c:v>
                </c:pt>
                <c:pt idx="50">
                  <c:v>214</c:v>
                </c:pt>
                <c:pt idx="51">
                  <c:v>215</c:v>
                </c:pt>
                <c:pt idx="52">
                  <c:v>216</c:v>
                </c:pt>
                <c:pt idx="53">
                  <c:v>217</c:v>
                </c:pt>
                <c:pt idx="54">
                  <c:v>218</c:v>
                </c:pt>
                <c:pt idx="55">
                  <c:v>219</c:v>
                </c:pt>
                <c:pt idx="56">
                  <c:v>220</c:v>
                </c:pt>
                <c:pt idx="57">
                  <c:v>221</c:v>
                </c:pt>
                <c:pt idx="58">
                  <c:v>222</c:v>
                </c:pt>
                <c:pt idx="59">
                  <c:v>223</c:v>
                </c:pt>
                <c:pt idx="60">
                  <c:v>224</c:v>
                </c:pt>
                <c:pt idx="61">
                  <c:v>225</c:v>
                </c:pt>
                <c:pt idx="62">
                  <c:v>226</c:v>
                </c:pt>
                <c:pt idx="63">
                  <c:v>227</c:v>
                </c:pt>
                <c:pt idx="64">
                  <c:v>228</c:v>
                </c:pt>
                <c:pt idx="65">
                  <c:v>229</c:v>
                </c:pt>
                <c:pt idx="66">
                  <c:v>230</c:v>
                </c:pt>
                <c:pt idx="67">
                  <c:v>231</c:v>
                </c:pt>
                <c:pt idx="68">
                  <c:v>232</c:v>
                </c:pt>
                <c:pt idx="69">
                  <c:v>233</c:v>
                </c:pt>
                <c:pt idx="70">
                  <c:v>234</c:v>
                </c:pt>
                <c:pt idx="71">
                  <c:v>235</c:v>
                </c:pt>
                <c:pt idx="72">
                  <c:v>236</c:v>
                </c:pt>
                <c:pt idx="73">
                  <c:v>237</c:v>
                </c:pt>
                <c:pt idx="74">
                  <c:v>238</c:v>
                </c:pt>
                <c:pt idx="75">
                  <c:v>239</c:v>
                </c:pt>
                <c:pt idx="76">
                  <c:v>240</c:v>
                </c:pt>
                <c:pt idx="77">
                  <c:v>241</c:v>
                </c:pt>
                <c:pt idx="78">
                  <c:v>242</c:v>
                </c:pt>
                <c:pt idx="79">
                  <c:v>243</c:v>
                </c:pt>
                <c:pt idx="80">
                  <c:v>244</c:v>
                </c:pt>
                <c:pt idx="81">
                  <c:v>245</c:v>
                </c:pt>
                <c:pt idx="82">
                  <c:v>246</c:v>
                </c:pt>
                <c:pt idx="83">
                  <c:v>247</c:v>
                </c:pt>
                <c:pt idx="84">
                  <c:v>248</c:v>
                </c:pt>
                <c:pt idx="85">
                  <c:v>249</c:v>
                </c:pt>
                <c:pt idx="86">
                  <c:v>250</c:v>
                </c:pt>
              </c:numCache>
            </c:numRef>
          </c:xVal>
          <c:yVal>
            <c:numRef>
              <c:f>'V-N Diagram'!$R$201:$R$287</c:f>
              <c:numCache>
                <c:formatCode>General</c:formatCode>
                <c:ptCount val="87"/>
                <c:pt idx="0">
                  <c:v>-0.9792736739429635</c:v>
                </c:pt>
                <c:pt idx="1">
                  <c:v>-0.99134241585725036</c:v>
                </c:pt>
                <c:pt idx="2">
                  <c:v>-1.0034111577715366</c:v>
                </c:pt>
                <c:pt idx="3">
                  <c:v>-1.0154798996858228</c:v>
                </c:pt>
                <c:pt idx="4">
                  <c:v>-1.0275486416001089</c:v>
                </c:pt>
                <c:pt idx="5">
                  <c:v>-1.0396173835143956</c:v>
                </c:pt>
                <c:pt idx="6">
                  <c:v>-1.0516861254286822</c:v>
                </c:pt>
                <c:pt idx="7">
                  <c:v>-1.0637548673429684</c:v>
                </c:pt>
                <c:pt idx="8">
                  <c:v>-1.0758236092572546</c:v>
                </c:pt>
                <c:pt idx="9">
                  <c:v>-1.0878923511715408</c:v>
                </c:pt>
                <c:pt idx="10">
                  <c:v>-1.0999610930858275</c:v>
                </c:pt>
                <c:pt idx="11">
                  <c:v>-1.1120298350001137</c:v>
                </c:pt>
                <c:pt idx="12">
                  <c:v>-1.1240985769144003</c:v>
                </c:pt>
                <c:pt idx="13">
                  <c:v>-1.1361673188286865</c:v>
                </c:pt>
                <c:pt idx="14">
                  <c:v>-1.1482360607429727</c:v>
                </c:pt>
                <c:pt idx="15">
                  <c:v>-1.1603048026572593</c:v>
                </c:pt>
                <c:pt idx="16">
                  <c:v>-1.1723735445715455</c:v>
                </c:pt>
                <c:pt idx="17">
                  <c:v>-1.1844422864858322</c:v>
                </c:pt>
                <c:pt idx="18">
                  <c:v>-1.1965110284001184</c:v>
                </c:pt>
                <c:pt idx="19">
                  <c:v>-1.2085797703144046</c:v>
                </c:pt>
                <c:pt idx="20">
                  <c:v>-1.2206485122286908</c:v>
                </c:pt>
                <c:pt idx="21">
                  <c:v>-1.2327172541429774</c:v>
                </c:pt>
                <c:pt idx="22">
                  <c:v>-1.2447859960572636</c:v>
                </c:pt>
                <c:pt idx="23">
                  <c:v>-1.2568547379715502</c:v>
                </c:pt>
                <c:pt idx="24">
                  <c:v>-1.2689234798858364</c:v>
                </c:pt>
                <c:pt idx="25">
                  <c:v>-1.2809922218001226</c:v>
                </c:pt>
                <c:pt idx="26">
                  <c:v>-1.2930609637144093</c:v>
                </c:pt>
                <c:pt idx="27">
                  <c:v>-1.3051297056286955</c:v>
                </c:pt>
                <c:pt idx="28">
                  <c:v>-1.3171984475429817</c:v>
                </c:pt>
                <c:pt idx="29">
                  <c:v>-1.3292671894572683</c:v>
                </c:pt>
                <c:pt idx="30">
                  <c:v>-1.3413359313715545</c:v>
                </c:pt>
                <c:pt idx="31">
                  <c:v>-1.3534046732858411</c:v>
                </c:pt>
                <c:pt idx="32">
                  <c:v>-1.3654734152001273</c:v>
                </c:pt>
                <c:pt idx="33">
                  <c:v>-1.3775421571144135</c:v>
                </c:pt>
                <c:pt idx="34">
                  <c:v>-1.3896108990287002</c:v>
                </c:pt>
                <c:pt idx="35">
                  <c:v>-1.4016796409429864</c:v>
                </c:pt>
                <c:pt idx="36">
                  <c:v>-1.4137483828572726</c:v>
                </c:pt>
                <c:pt idx="37">
                  <c:v>-1.4258171247715592</c:v>
                </c:pt>
                <c:pt idx="38">
                  <c:v>-1.4378858666858454</c:v>
                </c:pt>
                <c:pt idx="39">
                  <c:v>-1.449954608600132</c:v>
                </c:pt>
                <c:pt idx="40">
                  <c:v>-1.4620233505144182</c:v>
                </c:pt>
                <c:pt idx="41">
                  <c:v>-1.4740920924287044</c:v>
                </c:pt>
                <c:pt idx="42">
                  <c:v>-1.4861608343429911</c:v>
                </c:pt>
                <c:pt idx="43">
                  <c:v>-1.4982295762572777</c:v>
                </c:pt>
                <c:pt idx="44">
                  <c:v>-1.5102983181715639</c:v>
                </c:pt>
                <c:pt idx="45">
                  <c:v>-1.5223670600858501</c:v>
                </c:pt>
                <c:pt idx="46">
                  <c:v>-1.5344358020001367</c:v>
                </c:pt>
                <c:pt idx="47">
                  <c:v>-1.5465045439144229</c:v>
                </c:pt>
                <c:pt idx="48">
                  <c:v>-1.5585732858287096</c:v>
                </c:pt>
                <c:pt idx="49">
                  <c:v>-1.5706420277429958</c:v>
                </c:pt>
                <c:pt idx="50">
                  <c:v>-1.582710769657282</c:v>
                </c:pt>
                <c:pt idx="51">
                  <c:v>-1.5947795115715686</c:v>
                </c:pt>
                <c:pt idx="52">
                  <c:v>-1.6068482534858548</c:v>
                </c:pt>
                <c:pt idx="53">
                  <c:v>-1.618916995400141</c:v>
                </c:pt>
                <c:pt idx="54">
                  <c:v>-1.6309857373144276</c:v>
                </c:pt>
                <c:pt idx="55">
                  <c:v>-1.6430544792287138</c:v>
                </c:pt>
                <c:pt idx="56">
                  <c:v>-1.6551232211430005</c:v>
                </c:pt>
                <c:pt idx="57">
                  <c:v>-1.6671919630572867</c:v>
                </c:pt>
                <c:pt idx="58">
                  <c:v>-1.6792607049715729</c:v>
                </c:pt>
                <c:pt idx="59">
                  <c:v>-1.6913294468858595</c:v>
                </c:pt>
                <c:pt idx="60">
                  <c:v>-1.7033981888001457</c:v>
                </c:pt>
                <c:pt idx="61">
                  <c:v>-1.7154669307144319</c:v>
                </c:pt>
                <c:pt idx="62">
                  <c:v>-1.7275356726287185</c:v>
                </c:pt>
                <c:pt idx="63">
                  <c:v>-1.7396044145430047</c:v>
                </c:pt>
                <c:pt idx="64">
                  <c:v>-1.7516731564572914</c:v>
                </c:pt>
                <c:pt idx="65">
                  <c:v>-1.7637418983715776</c:v>
                </c:pt>
                <c:pt idx="66">
                  <c:v>-1.7758106402858638</c:v>
                </c:pt>
                <c:pt idx="67">
                  <c:v>-1.7878793822001504</c:v>
                </c:pt>
                <c:pt idx="68">
                  <c:v>-1.7999481241144366</c:v>
                </c:pt>
                <c:pt idx="69">
                  <c:v>-1.8120168660287228</c:v>
                </c:pt>
                <c:pt idx="70">
                  <c:v>-1.8240856079430094</c:v>
                </c:pt>
                <c:pt idx="71">
                  <c:v>-1.8361543498572961</c:v>
                </c:pt>
                <c:pt idx="72">
                  <c:v>-1.8482230917715818</c:v>
                </c:pt>
                <c:pt idx="73">
                  <c:v>-1.8602918336858685</c:v>
                </c:pt>
                <c:pt idx="74">
                  <c:v>-1.8723605756001547</c:v>
                </c:pt>
                <c:pt idx="75">
                  <c:v>-1.8844293175144413</c:v>
                </c:pt>
                <c:pt idx="76">
                  <c:v>-1.896498059428728</c:v>
                </c:pt>
                <c:pt idx="77">
                  <c:v>-1.9085668013430137</c:v>
                </c:pt>
                <c:pt idx="78">
                  <c:v>-1.9206355432573003</c:v>
                </c:pt>
                <c:pt idx="79">
                  <c:v>-1.9327042851715865</c:v>
                </c:pt>
                <c:pt idx="80">
                  <c:v>-1.9447730270858732</c:v>
                </c:pt>
                <c:pt idx="81">
                  <c:v>-1.9568417690001598</c:v>
                </c:pt>
                <c:pt idx="82">
                  <c:v>-1.9689105109144456</c:v>
                </c:pt>
                <c:pt idx="83">
                  <c:v>-1.9809792528287322</c:v>
                </c:pt>
                <c:pt idx="84">
                  <c:v>-1.993047994743018</c:v>
                </c:pt>
                <c:pt idx="85">
                  <c:v>-2.0051167366573046</c:v>
                </c:pt>
                <c:pt idx="86">
                  <c:v>-2.0171854785715908</c:v>
                </c:pt>
              </c:numCache>
            </c:numRef>
          </c:yVal>
          <c:smooth val="0"/>
          <c:extLst>
            <c:ext xmlns:c16="http://schemas.microsoft.com/office/drawing/2014/chart" uri="{C3380CC4-5D6E-409C-BE32-E72D297353CC}">
              <c16:uniqueId val="{00000002-C747-424C-B9C1-A1BFC1C2DBB9}"/>
            </c:ext>
          </c:extLst>
        </c:ser>
        <c:ser>
          <c:idx val="3"/>
          <c:order val="3"/>
          <c:tx>
            <c:strRef>
              <c:f>'V-N Diagram'!$S$36</c:f>
              <c:strCache>
                <c:ptCount val="1"/>
                <c:pt idx="0">
                  <c:v>ng2</c:v>
                </c:pt>
              </c:strCache>
            </c:strRef>
          </c:tx>
          <c:spPr>
            <a:ln w="12700" cap="rnd">
              <a:solidFill>
                <a:schemeClr val="accent4"/>
              </a:solidFill>
              <a:prstDash val="dash"/>
              <a:round/>
            </a:ln>
            <a:effectLst/>
          </c:spPr>
          <c:marker>
            <c:symbol val="none"/>
          </c:marker>
          <c:xVal>
            <c:numRef>
              <c:f>'V-N Diagram'!$O$37:$O$437</c:f>
              <c:numCache>
                <c:formatCode>General</c:formatCode>
                <c:ptCount val="4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numCache>
            </c:numRef>
          </c:xVal>
          <c:yVal>
            <c:numRef>
              <c:f>'V-N Diagram'!$S$37:$S$437</c:f>
              <c:numCache>
                <c:formatCode>General</c:formatCode>
                <c:ptCount val="401"/>
                <c:pt idx="0">
                  <c:v>1</c:v>
                </c:pt>
                <c:pt idx="1">
                  <c:v>0.99396562904285679</c:v>
                </c:pt>
                <c:pt idx="2">
                  <c:v>0.98793125808571358</c:v>
                </c:pt>
                <c:pt idx="3">
                  <c:v>0.98189688712857048</c:v>
                </c:pt>
                <c:pt idx="4">
                  <c:v>0.97586251617142727</c:v>
                </c:pt>
                <c:pt idx="5">
                  <c:v>0.96982814521428407</c:v>
                </c:pt>
                <c:pt idx="6">
                  <c:v>0.96379377425714097</c:v>
                </c:pt>
                <c:pt idx="7">
                  <c:v>0.95775940329999776</c:v>
                </c:pt>
                <c:pt idx="8">
                  <c:v>0.95172503234285455</c:v>
                </c:pt>
                <c:pt idx="9">
                  <c:v>0.94569066138571134</c:v>
                </c:pt>
                <c:pt idx="10">
                  <c:v>0.93965629042856813</c:v>
                </c:pt>
                <c:pt idx="11">
                  <c:v>0.93362191947142503</c:v>
                </c:pt>
                <c:pt idx="12">
                  <c:v>0.92758754851428182</c:v>
                </c:pt>
                <c:pt idx="13">
                  <c:v>0.92155317755713861</c:v>
                </c:pt>
                <c:pt idx="14">
                  <c:v>0.91551880659999541</c:v>
                </c:pt>
                <c:pt idx="15">
                  <c:v>0.9094844356428522</c:v>
                </c:pt>
                <c:pt idx="16">
                  <c:v>0.9034500646857091</c:v>
                </c:pt>
                <c:pt idx="17">
                  <c:v>0.89741569372856589</c:v>
                </c:pt>
                <c:pt idx="18">
                  <c:v>0.89138132277142268</c:v>
                </c:pt>
                <c:pt idx="19">
                  <c:v>0.88534695181427958</c:v>
                </c:pt>
                <c:pt idx="20">
                  <c:v>0.87931258085713637</c:v>
                </c:pt>
                <c:pt idx="21">
                  <c:v>0.87327820989999316</c:v>
                </c:pt>
                <c:pt idx="22">
                  <c:v>0.86724383894284995</c:v>
                </c:pt>
                <c:pt idx="23">
                  <c:v>0.86120946798570686</c:v>
                </c:pt>
                <c:pt idx="24">
                  <c:v>0.85517509702856365</c:v>
                </c:pt>
                <c:pt idx="25">
                  <c:v>0.84914072607142044</c:v>
                </c:pt>
                <c:pt idx="26">
                  <c:v>0.84310635511427723</c:v>
                </c:pt>
                <c:pt idx="27">
                  <c:v>0.83707198415713413</c:v>
                </c:pt>
                <c:pt idx="28">
                  <c:v>0.83103761319999092</c:v>
                </c:pt>
                <c:pt idx="29">
                  <c:v>0.82500324224284771</c:v>
                </c:pt>
                <c:pt idx="30">
                  <c:v>0.8189688712857045</c:v>
                </c:pt>
                <c:pt idx="31">
                  <c:v>0.8129345003285614</c:v>
                </c:pt>
                <c:pt idx="32">
                  <c:v>0.8069001293714182</c:v>
                </c:pt>
                <c:pt idx="33">
                  <c:v>0.80086575841427499</c:v>
                </c:pt>
                <c:pt idx="34">
                  <c:v>0.79483138745713178</c:v>
                </c:pt>
                <c:pt idx="35">
                  <c:v>0.78879701649998868</c:v>
                </c:pt>
                <c:pt idx="36">
                  <c:v>0.78276264554284536</c:v>
                </c:pt>
                <c:pt idx="37">
                  <c:v>0.77672827458570226</c:v>
                </c:pt>
                <c:pt idx="38">
                  <c:v>0.77069390362855905</c:v>
                </c:pt>
                <c:pt idx="39">
                  <c:v>0.76465953267141584</c:v>
                </c:pt>
                <c:pt idx="40">
                  <c:v>0.75862516171427274</c:v>
                </c:pt>
                <c:pt idx="41">
                  <c:v>0.75259079075712954</c:v>
                </c:pt>
                <c:pt idx="42">
                  <c:v>0.74655641979998633</c:v>
                </c:pt>
                <c:pt idx="43">
                  <c:v>0.74052204884284323</c:v>
                </c:pt>
                <c:pt idx="44">
                  <c:v>0.73448767788569991</c:v>
                </c:pt>
                <c:pt idx="45">
                  <c:v>0.72845330692855681</c:v>
                </c:pt>
                <c:pt idx="46">
                  <c:v>0.72241893597141371</c:v>
                </c:pt>
                <c:pt idx="47">
                  <c:v>0.71638456501427039</c:v>
                </c:pt>
                <c:pt idx="48">
                  <c:v>0.71035019405712729</c:v>
                </c:pt>
                <c:pt idx="49">
                  <c:v>0.70431582309998408</c:v>
                </c:pt>
                <c:pt idx="50">
                  <c:v>0.69828145214284087</c:v>
                </c:pt>
                <c:pt idx="51">
                  <c:v>0.69224708118569778</c:v>
                </c:pt>
                <c:pt idx="52">
                  <c:v>0.68621271022855446</c:v>
                </c:pt>
                <c:pt idx="53">
                  <c:v>0.68017833927141136</c:v>
                </c:pt>
                <c:pt idx="54">
                  <c:v>0.67414396831426815</c:v>
                </c:pt>
                <c:pt idx="55">
                  <c:v>0.66810959735712494</c:v>
                </c:pt>
                <c:pt idx="56">
                  <c:v>0.66207522639998184</c:v>
                </c:pt>
                <c:pt idx="57">
                  <c:v>0.65604085544283852</c:v>
                </c:pt>
                <c:pt idx="58">
                  <c:v>0.65000648448569542</c:v>
                </c:pt>
                <c:pt idx="59">
                  <c:v>0.64397211352855233</c:v>
                </c:pt>
                <c:pt idx="60">
                  <c:v>0.63793774257140901</c:v>
                </c:pt>
                <c:pt idx="61">
                  <c:v>0.63190337161426591</c:v>
                </c:pt>
                <c:pt idx="62">
                  <c:v>0.62586900065712281</c:v>
                </c:pt>
                <c:pt idx="63">
                  <c:v>0.61983462969997949</c:v>
                </c:pt>
                <c:pt idx="64">
                  <c:v>0.61380025874283639</c:v>
                </c:pt>
                <c:pt idx="65">
                  <c:v>0.60776588778569318</c:v>
                </c:pt>
                <c:pt idx="66">
                  <c:v>0.60173151682854997</c:v>
                </c:pt>
                <c:pt idx="67">
                  <c:v>0.59569714587140687</c:v>
                </c:pt>
                <c:pt idx="68">
                  <c:v>0.58966277491426367</c:v>
                </c:pt>
                <c:pt idx="69">
                  <c:v>0.58362840395712046</c:v>
                </c:pt>
                <c:pt idx="70">
                  <c:v>0.57759403299997725</c:v>
                </c:pt>
                <c:pt idx="71">
                  <c:v>0.57155966204283404</c:v>
                </c:pt>
                <c:pt idx="72">
                  <c:v>0.56552529108569083</c:v>
                </c:pt>
                <c:pt idx="73">
                  <c:v>0.55949092012854762</c:v>
                </c:pt>
                <c:pt idx="74">
                  <c:v>0.55345654917140452</c:v>
                </c:pt>
                <c:pt idx="75">
                  <c:v>0.54742217821426131</c:v>
                </c:pt>
                <c:pt idx="76">
                  <c:v>0.5413878072571181</c:v>
                </c:pt>
                <c:pt idx="77">
                  <c:v>0.53535343629997501</c:v>
                </c:pt>
                <c:pt idx="78">
                  <c:v>0.5293190653428318</c:v>
                </c:pt>
                <c:pt idx="79">
                  <c:v>0.52328469438568859</c:v>
                </c:pt>
                <c:pt idx="80">
                  <c:v>0.51725032342854538</c:v>
                </c:pt>
                <c:pt idx="81">
                  <c:v>0.51121595247140217</c:v>
                </c:pt>
                <c:pt idx="82">
                  <c:v>0.50518158151425907</c:v>
                </c:pt>
                <c:pt idx="83">
                  <c:v>0.49914721055711586</c:v>
                </c:pt>
                <c:pt idx="84">
                  <c:v>0.49311283959997276</c:v>
                </c:pt>
                <c:pt idx="85">
                  <c:v>0.48707846864282944</c:v>
                </c:pt>
                <c:pt idx="86">
                  <c:v>0.48104409768568634</c:v>
                </c:pt>
                <c:pt idx="87">
                  <c:v>0.47500972672854314</c:v>
                </c:pt>
                <c:pt idx="88">
                  <c:v>0.46897535577139993</c:v>
                </c:pt>
                <c:pt idx="89">
                  <c:v>0.46294098481425683</c:v>
                </c:pt>
                <c:pt idx="90">
                  <c:v>0.45690661385711362</c:v>
                </c:pt>
                <c:pt idx="91">
                  <c:v>0.45087224289997041</c:v>
                </c:pt>
                <c:pt idx="92">
                  <c:v>0.44483787194282731</c:v>
                </c:pt>
                <c:pt idx="93">
                  <c:v>0.4388035009856841</c:v>
                </c:pt>
                <c:pt idx="94">
                  <c:v>0.43276913002854089</c:v>
                </c:pt>
                <c:pt idx="95">
                  <c:v>0.42673475907139768</c:v>
                </c:pt>
                <c:pt idx="96">
                  <c:v>0.42070038811425459</c:v>
                </c:pt>
                <c:pt idx="97">
                  <c:v>0.41466601715711138</c:v>
                </c:pt>
                <c:pt idx="98">
                  <c:v>0.40863164619996817</c:v>
                </c:pt>
                <c:pt idx="99">
                  <c:v>0.40259727524282496</c:v>
                </c:pt>
                <c:pt idx="100">
                  <c:v>0.39656290428568186</c:v>
                </c:pt>
                <c:pt idx="101">
                  <c:v>0.39052853332853865</c:v>
                </c:pt>
                <c:pt idx="102">
                  <c:v>0.38449416237139544</c:v>
                </c:pt>
                <c:pt idx="103">
                  <c:v>0.37845979141425223</c:v>
                </c:pt>
                <c:pt idx="104">
                  <c:v>0.37242542045710902</c:v>
                </c:pt>
                <c:pt idx="105">
                  <c:v>0.36639104949996582</c:v>
                </c:pt>
                <c:pt idx="106">
                  <c:v>0.36035667854282261</c:v>
                </c:pt>
                <c:pt idx="107">
                  <c:v>0.35432230758567951</c:v>
                </c:pt>
                <c:pt idx="108">
                  <c:v>0.3482879366285363</c:v>
                </c:pt>
                <c:pt idx="109">
                  <c:v>0.34225356567139309</c:v>
                </c:pt>
                <c:pt idx="110">
                  <c:v>0.33621919471424988</c:v>
                </c:pt>
                <c:pt idx="111">
                  <c:v>0.33018482375710678</c:v>
                </c:pt>
                <c:pt idx="112">
                  <c:v>0.32415045279996357</c:v>
                </c:pt>
                <c:pt idx="113">
                  <c:v>0.31811608184282036</c:v>
                </c:pt>
                <c:pt idx="114">
                  <c:v>0.31208171088567715</c:v>
                </c:pt>
                <c:pt idx="115">
                  <c:v>0.30604733992853406</c:v>
                </c:pt>
                <c:pt idx="116">
                  <c:v>0.30001296897139085</c:v>
                </c:pt>
                <c:pt idx="117">
                  <c:v>0.29397859801424764</c:v>
                </c:pt>
                <c:pt idx="118">
                  <c:v>0.28794422705710454</c:v>
                </c:pt>
                <c:pt idx="119">
                  <c:v>0.28190985609996133</c:v>
                </c:pt>
                <c:pt idx="120">
                  <c:v>0.27587548514281801</c:v>
                </c:pt>
                <c:pt idx="121">
                  <c:v>0.26984111418567491</c:v>
                </c:pt>
                <c:pt idx="122">
                  <c:v>0.2638067432285317</c:v>
                </c:pt>
                <c:pt idx="123">
                  <c:v>0.25777237227138861</c:v>
                </c:pt>
                <c:pt idx="124">
                  <c:v>0.25173800131424551</c:v>
                </c:pt>
                <c:pt idx="125">
                  <c:v>0.2457036303571023</c:v>
                </c:pt>
                <c:pt idx="126">
                  <c:v>0.23966925939995898</c:v>
                </c:pt>
                <c:pt idx="127">
                  <c:v>0.23363488844281588</c:v>
                </c:pt>
                <c:pt idx="128">
                  <c:v>0.22760051748567267</c:v>
                </c:pt>
                <c:pt idx="129">
                  <c:v>0.22156614652852957</c:v>
                </c:pt>
                <c:pt idx="130">
                  <c:v>0.21553177557138636</c:v>
                </c:pt>
                <c:pt idx="131">
                  <c:v>0.20949740461424304</c:v>
                </c:pt>
                <c:pt idx="132">
                  <c:v>0.20346303365709995</c:v>
                </c:pt>
                <c:pt idx="133">
                  <c:v>0.19742866269995674</c:v>
                </c:pt>
                <c:pt idx="134">
                  <c:v>0.19139429174281364</c:v>
                </c:pt>
                <c:pt idx="135">
                  <c:v>0.18535992078567043</c:v>
                </c:pt>
                <c:pt idx="136">
                  <c:v>0.17932554982852733</c:v>
                </c:pt>
                <c:pt idx="137">
                  <c:v>0.17329117887138401</c:v>
                </c:pt>
                <c:pt idx="138">
                  <c:v>0.1672568079142408</c:v>
                </c:pt>
                <c:pt idx="139">
                  <c:v>0.16122243695709759</c:v>
                </c:pt>
                <c:pt idx="140">
                  <c:v>0.15518806599995449</c:v>
                </c:pt>
                <c:pt idx="141">
                  <c:v>0.14915369504281129</c:v>
                </c:pt>
                <c:pt idx="142">
                  <c:v>0.14311932408566796</c:v>
                </c:pt>
                <c:pt idx="143">
                  <c:v>0.13708495312852487</c:v>
                </c:pt>
                <c:pt idx="144">
                  <c:v>0.13105058217138166</c:v>
                </c:pt>
                <c:pt idx="145">
                  <c:v>0.12501621121423856</c:v>
                </c:pt>
                <c:pt idx="146">
                  <c:v>0.11898184025709535</c:v>
                </c:pt>
                <c:pt idx="147">
                  <c:v>0.11294746929995225</c:v>
                </c:pt>
                <c:pt idx="148">
                  <c:v>0.10691309834280893</c:v>
                </c:pt>
                <c:pt idx="149">
                  <c:v>0.10087872738566572</c:v>
                </c:pt>
                <c:pt idx="150">
                  <c:v>9.4844356428522625E-2</c:v>
                </c:pt>
                <c:pt idx="151">
                  <c:v>8.8809985471379527E-2</c:v>
                </c:pt>
                <c:pt idx="152">
                  <c:v>8.2775614514236318E-2</c:v>
                </c:pt>
                <c:pt idx="153">
                  <c:v>7.6741243557093219E-2</c:v>
                </c:pt>
                <c:pt idx="154">
                  <c:v>7.0706872599949899E-2</c:v>
                </c:pt>
                <c:pt idx="155">
                  <c:v>6.467250164280669E-2</c:v>
                </c:pt>
                <c:pt idx="156">
                  <c:v>5.8638130685663592E-2</c:v>
                </c:pt>
                <c:pt idx="157">
                  <c:v>5.2603759728520383E-2</c:v>
                </c:pt>
                <c:pt idx="158">
                  <c:v>4.6569388771377285E-2</c:v>
                </c:pt>
                <c:pt idx="159">
                  <c:v>4.0535017814233965E-2</c:v>
                </c:pt>
                <c:pt idx="160">
                  <c:v>3.4500646857090755E-2</c:v>
                </c:pt>
                <c:pt idx="161">
                  <c:v>2.8466275899947657E-2</c:v>
                </c:pt>
                <c:pt idx="162">
                  <c:v>2.2431904942804448E-2</c:v>
                </c:pt>
                <c:pt idx="163">
                  <c:v>1.639753398566135E-2</c:v>
                </c:pt>
                <c:pt idx="164">
                  <c:v>1.0363163028518252E-2</c:v>
                </c:pt>
                <c:pt idx="165">
                  <c:v>4.3287920713748207E-3</c:v>
                </c:pt>
                <c:pt idx="166">
                  <c:v>-1.7055788857682774E-3</c:v>
                </c:pt>
                <c:pt idx="167">
                  <c:v>-7.7399498429113756E-3</c:v>
                </c:pt>
                <c:pt idx="168">
                  <c:v>-1.3774320800054474E-2</c:v>
                </c:pt>
                <c:pt idx="169">
                  <c:v>-1.9808691757197794E-2</c:v>
                </c:pt>
                <c:pt idx="170">
                  <c:v>-2.5843062714341114E-2</c:v>
                </c:pt>
                <c:pt idx="171">
                  <c:v>-3.1877433671484212E-2</c:v>
                </c:pt>
                <c:pt idx="172">
                  <c:v>-3.791180462862731E-2</c:v>
                </c:pt>
                <c:pt idx="173">
                  <c:v>-4.3946175585770408E-2</c:v>
                </c:pt>
                <c:pt idx="174">
                  <c:v>-4.9980546542913729E-2</c:v>
                </c:pt>
                <c:pt idx="175">
                  <c:v>-5.6014917500056827E-2</c:v>
                </c:pt>
                <c:pt idx="176">
                  <c:v>-6.2049288457200147E-2</c:v>
                </c:pt>
                <c:pt idx="177">
                  <c:v>-6.8083659414343245E-2</c:v>
                </c:pt>
                <c:pt idx="178">
                  <c:v>-7.4118030371486343E-2</c:v>
                </c:pt>
                <c:pt idx="179">
                  <c:v>-8.0152401328629663E-2</c:v>
                </c:pt>
                <c:pt idx="180">
                  <c:v>-8.6186772285772761E-2</c:v>
                </c:pt>
                <c:pt idx="181">
                  <c:v>-9.2221143242916082E-2</c:v>
                </c:pt>
                <c:pt idx="182">
                  <c:v>-9.825551420005918E-2</c:v>
                </c:pt>
                <c:pt idx="183">
                  <c:v>-0.10428988515720228</c:v>
                </c:pt>
                <c:pt idx="184">
                  <c:v>-0.11032425611434538</c:v>
                </c:pt>
                <c:pt idx="185">
                  <c:v>-0.1163586270714887</c:v>
                </c:pt>
                <c:pt idx="186">
                  <c:v>-0.12239299802863179</c:v>
                </c:pt>
                <c:pt idx="187">
                  <c:v>-0.12842736898577511</c:v>
                </c:pt>
                <c:pt idx="188">
                  <c:v>-0.13446173994291821</c:v>
                </c:pt>
                <c:pt idx="189">
                  <c:v>-0.14049611090006131</c:v>
                </c:pt>
                <c:pt idx="190">
                  <c:v>-0.14653048185720463</c:v>
                </c:pt>
                <c:pt idx="191">
                  <c:v>-0.15256485281434773</c:v>
                </c:pt>
                <c:pt idx="192">
                  <c:v>-0.15859922377149083</c:v>
                </c:pt>
                <c:pt idx="193">
                  <c:v>-0.16463359472863415</c:v>
                </c:pt>
                <c:pt idx="194">
                  <c:v>-0.17066796568577725</c:v>
                </c:pt>
                <c:pt idx="195">
                  <c:v>-0.17670233664292057</c:v>
                </c:pt>
                <c:pt idx="196">
                  <c:v>-0.18273670760006366</c:v>
                </c:pt>
                <c:pt idx="197">
                  <c:v>-0.18877107855720676</c:v>
                </c:pt>
                <c:pt idx="198">
                  <c:v>-0.19480544951435008</c:v>
                </c:pt>
                <c:pt idx="199">
                  <c:v>-0.20083982047149318</c:v>
                </c:pt>
                <c:pt idx="200">
                  <c:v>-0.20687419142863628</c:v>
                </c:pt>
                <c:pt idx="201">
                  <c:v>-0.2129085623857796</c:v>
                </c:pt>
                <c:pt idx="202">
                  <c:v>-0.2189429333429227</c:v>
                </c:pt>
                <c:pt idx="203">
                  <c:v>-0.22497730430006602</c:v>
                </c:pt>
                <c:pt idx="204">
                  <c:v>-0.23101167525720911</c:v>
                </c:pt>
                <c:pt idx="205">
                  <c:v>-0.23704604621435221</c:v>
                </c:pt>
                <c:pt idx="206">
                  <c:v>-0.24308041717149553</c:v>
                </c:pt>
                <c:pt idx="207">
                  <c:v>-0.24911478812863885</c:v>
                </c:pt>
                <c:pt idx="208">
                  <c:v>-0.25514915908578195</c:v>
                </c:pt>
                <c:pt idx="209">
                  <c:v>-0.26118353004292505</c:v>
                </c:pt>
                <c:pt idx="210">
                  <c:v>-0.26721790100006837</c:v>
                </c:pt>
                <c:pt idx="211">
                  <c:v>-0.27325227195721147</c:v>
                </c:pt>
                <c:pt idx="212">
                  <c:v>-0.27928664291435479</c:v>
                </c:pt>
                <c:pt idx="213">
                  <c:v>-0.28532101387149789</c:v>
                </c:pt>
                <c:pt idx="214">
                  <c:v>-0.29135538482864098</c:v>
                </c:pt>
                <c:pt idx="215">
                  <c:v>-0.2973897557857843</c:v>
                </c:pt>
                <c:pt idx="216">
                  <c:v>-0.3034241267429274</c:v>
                </c:pt>
                <c:pt idx="217">
                  <c:v>-0.3094584977000705</c:v>
                </c:pt>
                <c:pt idx="218">
                  <c:v>-0.31549286865721382</c:v>
                </c:pt>
                <c:pt idx="219">
                  <c:v>-0.32152723961435692</c:v>
                </c:pt>
                <c:pt idx="220">
                  <c:v>-0.32756161057150024</c:v>
                </c:pt>
                <c:pt idx="221">
                  <c:v>-0.33359598152864334</c:v>
                </c:pt>
                <c:pt idx="222">
                  <c:v>-0.33963035248578644</c:v>
                </c:pt>
                <c:pt idx="223">
                  <c:v>-0.34566472344292976</c:v>
                </c:pt>
                <c:pt idx="224">
                  <c:v>-0.35169909440007285</c:v>
                </c:pt>
                <c:pt idx="225">
                  <c:v>-0.35773346535721595</c:v>
                </c:pt>
                <c:pt idx="226">
                  <c:v>-0.36376783631435927</c:v>
                </c:pt>
                <c:pt idx="227">
                  <c:v>-0.36980220727150237</c:v>
                </c:pt>
                <c:pt idx="228">
                  <c:v>-0.37583657822864569</c:v>
                </c:pt>
                <c:pt idx="229">
                  <c:v>-0.38187094918578879</c:v>
                </c:pt>
                <c:pt idx="230">
                  <c:v>-0.38790532014293189</c:v>
                </c:pt>
                <c:pt idx="231">
                  <c:v>-0.39393969110007521</c:v>
                </c:pt>
                <c:pt idx="232">
                  <c:v>-0.3999740620572183</c:v>
                </c:pt>
                <c:pt idx="233">
                  <c:v>-0.4060084330143614</c:v>
                </c:pt>
                <c:pt idx="234">
                  <c:v>-0.41204280397150472</c:v>
                </c:pt>
                <c:pt idx="235">
                  <c:v>-0.41807717492864804</c:v>
                </c:pt>
                <c:pt idx="236">
                  <c:v>-0.42411154588579092</c:v>
                </c:pt>
                <c:pt idx="237">
                  <c:v>-0.43014591684293424</c:v>
                </c:pt>
                <c:pt idx="238">
                  <c:v>-0.43618028780007734</c:v>
                </c:pt>
                <c:pt idx="239">
                  <c:v>-0.44221465875722066</c:v>
                </c:pt>
                <c:pt idx="240">
                  <c:v>-0.44824902971436398</c:v>
                </c:pt>
                <c:pt idx="241">
                  <c:v>-0.45428340067150685</c:v>
                </c:pt>
                <c:pt idx="242">
                  <c:v>-0.46031777162865017</c:v>
                </c:pt>
                <c:pt idx="243">
                  <c:v>-0.46635214258579327</c:v>
                </c:pt>
                <c:pt idx="244">
                  <c:v>-0.47238651354293659</c:v>
                </c:pt>
                <c:pt idx="245">
                  <c:v>-0.47842088450007991</c:v>
                </c:pt>
                <c:pt idx="246">
                  <c:v>-0.48445525545722279</c:v>
                </c:pt>
                <c:pt idx="247">
                  <c:v>-0.49048962641436611</c:v>
                </c:pt>
                <c:pt idx="248">
                  <c:v>-0.49652399737150898</c:v>
                </c:pt>
                <c:pt idx="249">
                  <c:v>-0.50255836832865231</c:v>
                </c:pt>
                <c:pt idx="250">
                  <c:v>-0.5085927392857954</c:v>
                </c:pt>
                <c:pt idx="251">
                  <c:v>-0.51462711024293872</c:v>
                </c:pt>
                <c:pt idx="252">
                  <c:v>-0.52066148120008204</c:v>
                </c:pt>
                <c:pt idx="253">
                  <c:v>-0.52669585215722492</c:v>
                </c:pt>
                <c:pt idx="254">
                  <c:v>-0.53273022311436824</c:v>
                </c:pt>
                <c:pt idx="255">
                  <c:v>-0.53876459407151134</c:v>
                </c:pt>
                <c:pt idx="256">
                  <c:v>-0.54479896502865466</c:v>
                </c:pt>
                <c:pt idx="257">
                  <c:v>-0.55083333598579798</c:v>
                </c:pt>
                <c:pt idx="258">
                  <c:v>-0.55686770694294085</c:v>
                </c:pt>
                <c:pt idx="259">
                  <c:v>-0.56290207790008417</c:v>
                </c:pt>
                <c:pt idx="260">
                  <c:v>-0.56893644885722727</c:v>
                </c:pt>
                <c:pt idx="261">
                  <c:v>-0.57497081981437059</c:v>
                </c:pt>
                <c:pt idx="262">
                  <c:v>-0.58100519077151391</c:v>
                </c:pt>
                <c:pt idx="263">
                  <c:v>-0.58703956172865679</c:v>
                </c:pt>
                <c:pt idx="264">
                  <c:v>-0.59307393268580011</c:v>
                </c:pt>
                <c:pt idx="265">
                  <c:v>-0.59910830364294321</c:v>
                </c:pt>
                <c:pt idx="266">
                  <c:v>-0.60514267460008653</c:v>
                </c:pt>
                <c:pt idx="267">
                  <c:v>-0.6111770455572294</c:v>
                </c:pt>
                <c:pt idx="268">
                  <c:v>-0.61721141651437272</c:v>
                </c:pt>
                <c:pt idx="269">
                  <c:v>-0.62324578747151604</c:v>
                </c:pt>
                <c:pt idx="270">
                  <c:v>-0.62928015842865914</c:v>
                </c:pt>
                <c:pt idx="271">
                  <c:v>-0.63531452938580246</c:v>
                </c:pt>
                <c:pt idx="272">
                  <c:v>-0.64134890034294534</c:v>
                </c:pt>
                <c:pt idx="273">
                  <c:v>-0.64738327130008866</c:v>
                </c:pt>
                <c:pt idx="274">
                  <c:v>-0.65341764225723198</c:v>
                </c:pt>
                <c:pt idx="275">
                  <c:v>-0.65945201321437508</c:v>
                </c:pt>
                <c:pt idx="276">
                  <c:v>-0.6654863841715184</c:v>
                </c:pt>
                <c:pt idx="277">
                  <c:v>-0.6715207551286615</c:v>
                </c:pt>
                <c:pt idx="278">
                  <c:v>-0.67755512608580482</c:v>
                </c:pt>
                <c:pt idx="279">
                  <c:v>-0.68358949704294814</c:v>
                </c:pt>
                <c:pt idx="280">
                  <c:v>-0.68962386800009101</c:v>
                </c:pt>
                <c:pt idx="281">
                  <c:v>-0.69565823895723433</c:v>
                </c:pt>
                <c:pt idx="282">
                  <c:v>-0.70169260991437743</c:v>
                </c:pt>
                <c:pt idx="283">
                  <c:v>-0.70772698087152075</c:v>
                </c:pt>
                <c:pt idx="284">
                  <c:v>-0.71376135182866407</c:v>
                </c:pt>
                <c:pt idx="285">
                  <c:v>-0.71979572278580695</c:v>
                </c:pt>
                <c:pt idx="286">
                  <c:v>-0.72583009374295027</c:v>
                </c:pt>
                <c:pt idx="287">
                  <c:v>-0.73186446470009336</c:v>
                </c:pt>
                <c:pt idx="288">
                  <c:v>-0.73789883565723668</c:v>
                </c:pt>
                <c:pt idx="289">
                  <c:v>-0.74393320661437956</c:v>
                </c:pt>
                <c:pt idx="290">
                  <c:v>-0.74996757757152288</c:v>
                </c:pt>
                <c:pt idx="291">
                  <c:v>-0.7560019485286662</c:v>
                </c:pt>
                <c:pt idx="292">
                  <c:v>-0.7620363194858093</c:v>
                </c:pt>
                <c:pt idx="293">
                  <c:v>-0.76807069044295262</c:v>
                </c:pt>
                <c:pt idx="294">
                  <c:v>-0.7741050614000955</c:v>
                </c:pt>
                <c:pt idx="295">
                  <c:v>-0.78013943235723882</c:v>
                </c:pt>
                <c:pt idx="296">
                  <c:v>-0.78617380331438214</c:v>
                </c:pt>
                <c:pt idx="297">
                  <c:v>-0.79220817427152523</c:v>
                </c:pt>
                <c:pt idx="298">
                  <c:v>-0.79824254522866855</c:v>
                </c:pt>
                <c:pt idx="299">
                  <c:v>-0.80427691618581143</c:v>
                </c:pt>
                <c:pt idx="300">
                  <c:v>-0.81031128714295475</c:v>
                </c:pt>
                <c:pt idx="301">
                  <c:v>-0.81634565810009807</c:v>
                </c:pt>
                <c:pt idx="302">
                  <c:v>-0.82238002905724095</c:v>
                </c:pt>
                <c:pt idx="303">
                  <c:v>-0.82841440001438427</c:v>
                </c:pt>
                <c:pt idx="304">
                  <c:v>-0.83444877097152736</c:v>
                </c:pt>
                <c:pt idx="305">
                  <c:v>-0.84048314192867069</c:v>
                </c:pt>
                <c:pt idx="306">
                  <c:v>-0.84651751288581356</c:v>
                </c:pt>
                <c:pt idx="307">
                  <c:v>-0.85255188384295688</c:v>
                </c:pt>
                <c:pt idx="308">
                  <c:v>-0.8585862548001002</c:v>
                </c:pt>
                <c:pt idx="309">
                  <c:v>-0.8646206257572433</c:v>
                </c:pt>
                <c:pt idx="310">
                  <c:v>-0.87065499671438662</c:v>
                </c:pt>
                <c:pt idx="311">
                  <c:v>-0.8766893676715295</c:v>
                </c:pt>
                <c:pt idx="312">
                  <c:v>-0.88272373862867282</c:v>
                </c:pt>
                <c:pt idx="313">
                  <c:v>-0.88875810958581614</c:v>
                </c:pt>
                <c:pt idx="314">
                  <c:v>-0.89479248054295923</c:v>
                </c:pt>
                <c:pt idx="315">
                  <c:v>-0.90082685150010255</c:v>
                </c:pt>
                <c:pt idx="316">
                  <c:v>-0.90686122245724543</c:v>
                </c:pt>
                <c:pt idx="317">
                  <c:v>-0.91289559341438875</c:v>
                </c:pt>
                <c:pt idx="318">
                  <c:v>-0.91892996437153207</c:v>
                </c:pt>
                <c:pt idx="319">
                  <c:v>-0.92496433532867517</c:v>
                </c:pt>
                <c:pt idx="320">
                  <c:v>-0.93099870628581849</c:v>
                </c:pt>
                <c:pt idx="321">
                  <c:v>-0.93703307724296137</c:v>
                </c:pt>
                <c:pt idx="322">
                  <c:v>-0.94306744820010469</c:v>
                </c:pt>
                <c:pt idx="323">
                  <c:v>-0.94910181915724801</c:v>
                </c:pt>
                <c:pt idx="324">
                  <c:v>-0.9551361901143911</c:v>
                </c:pt>
                <c:pt idx="325">
                  <c:v>-0.96117056107153442</c:v>
                </c:pt>
                <c:pt idx="326">
                  <c:v>-0.9672049320286773</c:v>
                </c:pt>
                <c:pt idx="327">
                  <c:v>-0.97323930298582062</c:v>
                </c:pt>
                <c:pt idx="328">
                  <c:v>-0.9792736739429635</c:v>
                </c:pt>
                <c:pt idx="329">
                  <c:v>-0.98530804490010704</c:v>
                </c:pt>
                <c:pt idx="330">
                  <c:v>-0.99134241585725036</c:v>
                </c:pt>
                <c:pt idx="331">
                  <c:v>-0.99737678681439323</c:v>
                </c:pt>
                <c:pt idx="332">
                  <c:v>-1.0034111577715366</c:v>
                </c:pt>
                <c:pt idx="333">
                  <c:v>-1.0094455287286794</c:v>
                </c:pt>
                <c:pt idx="334">
                  <c:v>-1.0154798996858228</c:v>
                </c:pt>
                <c:pt idx="335">
                  <c:v>-1.0215142706429661</c:v>
                </c:pt>
                <c:pt idx="336">
                  <c:v>-1.0275486416001089</c:v>
                </c:pt>
                <c:pt idx="337">
                  <c:v>-1.0335830125572523</c:v>
                </c:pt>
                <c:pt idx="338">
                  <c:v>-1.0396173835143956</c:v>
                </c:pt>
                <c:pt idx="339">
                  <c:v>-1.0456517544715389</c:v>
                </c:pt>
                <c:pt idx="340">
                  <c:v>-1.0516861254286822</c:v>
                </c:pt>
                <c:pt idx="341">
                  <c:v>-1.0577204963858251</c:v>
                </c:pt>
                <c:pt idx="342">
                  <c:v>-1.0637548673429684</c:v>
                </c:pt>
                <c:pt idx="343">
                  <c:v>-1.0697892383001113</c:v>
                </c:pt>
                <c:pt idx="344">
                  <c:v>-1.0758236092572546</c:v>
                </c:pt>
                <c:pt idx="345">
                  <c:v>-1.0818579802143975</c:v>
                </c:pt>
                <c:pt idx="346">
                  <c:v>-1.0878923511715408</c:v>
                </c:pt>
                <c:pt idx="347">
                  <c:v>-1.0939267221286841</c:v>
                </c:pt>
                <c:pt idx="348">
                  <c:v>-1.0999610930858275</c:v>
                </c:pt>
                <c:pt idx="349">
                  <c:v>-1.1059954640429708</c:v>
                </c:pt>
                <c:pt idx="350">
                  <c:v>-1.1120298350001137</c:v>
                </c:pt>
                <c:pt idx="351">
                  <c:v>-1.118064205957257</c:v>
                </c:pt>
                <c:pt idx="352">
                  <c:v>-1.1240985769144003</c:v>
                </c:pt>
                <c:pt idx="353">
                  <c:v>-1.1301329478715432</c:v>
                </c:pt>
                <c:pt idx="354">
                  <c:v>-1.1361673188286865</c:v>
                </c:pt>
                <c:pt idx="355">
                  <c:v>-1.1422016897858294</c:v>
                </c:pt>
                <c:pt idx="356">
                  <c:v>-1.1482360607429727</c:v>
                </c:pt>
                <c:pt idx="357">
                  <c:v>-1.154270431700116</c:v>
                </c:pt>
                <c:pt idx="358">
                  <c:v>-1.1603048026572593</c:v>
                </c:pt>
                <c:pt idx="359">
                  <c:v>-1.1663391736144026</c:v>
                </c:pt>
                <c:pt idx="360">
                  <c:v>-1.1723735445715455</c:v>
                </c:pt>
                <c:pt idx="361">
                  <c:v>-1.1784079155286888</c:v>
                </c:pt>
                <c:pt idx="362">
                  <c:v>-1.1844422864858322</c:v>
                </c:pt>
                <c:pt idx="363">
                  <c:v>-1.190476657442975</c:v>
                </c:pt>
                <c:pt idx="364">
                  <c:v>-1.1965110284001184</c:v>
                </c:pt>
                <c:pt idx="365">
                  <c:v>-1.2025453993572612</c:v>
                </c:pt>
                <c:pt idx="366">
                  <c:v>-1.2085797703144046</c:v>
                </c:pt>
                <c:pt idx="367">
                  <c:v>-1.2146141412715474</c:v>
                </c:pt>
                <c:pt idx="368">
                  <c:v>-1.2206485122286908</c:v>
                </c:pt>
                <c:pt idx="369">
                  <c:v>-1.2266828831858341</c:v>
                </c:pt>
                <c:pt idx="370">
                  <c:v>-1.2327172541429774</c:v>
                </c:pt>
                <c:pt idx="371">
                  <c:v>-1.2387516251001207</c:v>
                </c:pt>
                <c:pt idx="372">
                  <c:v>-1.2447859960572636</c:v>
                </c:pt>
                <c:pt idx="373">
                  <c:v>-1.2508203670144069</c:v>
                </c:pt>
                <c:pt idx="374">
                  <c:v>-1.2568547379715502</c:v>
                </c:pt>
                <c:pt idx="375">
                  <c:v>-1.2628891089286931</c:v>
                </c:pt>
                <c:pt idx="376">
                  <c:v>-1.2689234798858364</c:v>
                </c:pt>
                <c:pt idx="377">
                  <c:v>-1.2749578508429793</c:v>
                </c:pt>
                <c:pt idx="378">
                  <c:v>-1.2809922218001226</c:v>
                </c:pt>
                <c:pt idx="379">
                  <c:v>-1.2870265927572659</c:v>
                </c:pt>
                <c:pt idx="380">
                  <c:v>-1.2930609637144093</c:v>
                </c:pt>
                <c:pt idx="381">
                  <c:v>-1.2990953346715526</c:v>
                </c:pt>
                <c:pt idx="382">
                  <c:v>-1.3051297056286955</c:v>
                </c:pt>
                <c:pt idx="383">
                  <c:v>-1.3111640765858388</c:v>
                </c:pt>
                <c:pt idx="384">
                  <c:v>-1.3171984475429817</c:v>
                </c:pt>
                <c:pt idx="385">
                  <c:v>-1.323232818500125</c:v>
                </c:pt>
                <c:pt idx="386">
                  <c:v>-1.3292671894572683</c:v>
                </c:pt>
                <c:pt idx="387">
                  <c:v>-1.3353015604144112</c:v>
                </c:pt>
                <c:pt idx="388">
                  <c:v>-1.3413359313715545</c:v>
                </c:pt>
                <c:pt idx="389">
                  <c:v>-1.3473703023286974</c:v>
                </c:pt>
                <c:pt idx="390">
                  <c:v>-1.3534046732858411</c:v>
                </c:pt>
                <c:pt idx="391">
                  <c:v>-1.3594390442429845</c:v>
                </c:pt>
                <c:pt idx="392">
                  <c:v>-1.3654734152001273</c:v>
                </c:pt>
                <c:pt idx="393">
                  <c:v>-1.3715077861572706</c:v>
                </c:pt>
                <c:pt idx="394">
                  <c:v>-1.3775421571144135</c:v>
                </c:pt>
                <c:pt idx="395">
                  <c:v>-1.3835765280715568</c:v>
                </c:pt>
                <c:pt idx="396">
                  <c:v>-1.3896108990287002</c:v>
                </c:pt>
                <c:pt idx="397">
                  <c:v>-1.395645269985843</c:v>
                </c:pt>
                <c:pt idx="398">
                  <c:v>-1.4016796409429864</c:v>
                </c:pt>
                <c:pt idx="399">
                  <c:v>-1.4077140119001292</c:v>
                </c:pt>
                <c:pt idx="400">
                  <c:v>-1.4137483828572726</c:v>
                </c:pt>
              </c:numCache>
            </c:numRef>
          </c:yVal>
          <c:smooth val="0"/>
          <c:extLst>
            <c:ext xmlns:c16="http://schemas.microsoft.com/office/drawing/2014/chart" uri="{C3380CC4-5D6E-409C-BE32-E72D297353CC}">
              <c16:uniqueId val="{00000003-C747-424C-B9C1-A1BFC1C2DBB9}"/>
            </c:ext>
          </c:extLst>
        </c:ser>
        <c:ser>
          <c:idx val="4"/>
          <c:order val="4"/>
          <c:tx>
            <c:strRef>
              <c:f>'V-N Diagram'!$T$36</c:f>
              <c:strCache>
                <c:ptCount val="1"/>
                <c:pt idx="0">
                  <c:v>ng3</c:v>
                </c:pt>
              </c:strCache>
            </c:strRef>
          </c:tx>
          <c:spPr>
            <a:ln w="12700" cap="rnd">
              <a:solidFill>
                <a:schemeClr val="accent5"/>
              </a:solidFill>
              <a:prstDash val="dash"/>
              <a:round/>
            </a:ln>
            <a:effectLst/>
          </c:spPr>
          <c:marker>
            <c:symbol val="none"/>
          </c:marker>
          <c:xVal>
            <c:numRef>
              <c:f>'V-N Diagram'!$O$37:$O$437</c:f>
              <c:numCache>
                <c:formatCode>General</c:formatCode>
                <c:ptCount val="4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numCache>
            </c:numRef>
          </c:xVal>
          <c:yVal>
            <c:numRef>
              <c:f>'V-N Diagram'!$T$37:$T$437</c:f>
              <c:numCache>
                <c:formatCode>General</c:formatCode>
                <c:ptCount val="401"/>
                <c:pt idx="0">
                  <c:v>1</c:v>
                </c:pt>
                <c:pt idx="1">
                  <c:v>1.0060343709571431</c:v>
                </c:pt>
                <c:pt idx="2">
                  <c:v>1.0120687419142864</c:v>
                </c:pt>
                <c:pt idx="3">
                  <c:v>1.0181031128714295</c:v>
                </c:pt>
                <c:pt idx="4">
                  <c:v>1.0241374838285728</c:v>
                </c:pt>
                <c:pt idx="5">
                  <c:v>1.0301718547857159</c:v>
                </c:pt>
                <c:pt idx="6">
                  <c:v>1.036206225742859</c:v>
                </c:pt>
                <c:pt idx="7">
                  <c:v>1.0422405967000024</c:v>
                </c:pt>
                <c:pt idx="8">
                  <c:v>1.0482749676571455</c:v>
                </c:pt>
                <c:pt idx="9">
                  <c:v>1.0543093386142885</c:v>
                </c:pt>
                <c:pt idx="10">
                  <c:v>1.0603437095714319</c:v>
                </c:pt>
                <c:pt idx="11">
                  <c:v>1.066378080528575</c:v>
                </c:pt>
                <c:pt idx="12">
                  <c:v>1.0724124514857181</c:v>
                </c:pt>
                <c:pt idx="13">
                  <c:v>1.0784468224428614</c:v>
                </c:pt>
                <c:pt idx="14">
                  <c:v>1.0844811934000045</c:v>
                </c:pt>
                <c:pt idx="15">
                  <c:v>1.0905155643571478</c:v>
                </c:pt>
                <c:pt idx="16">
                  <c:v>1.0965499353142909</c:v>
                </c:pt>
                <c:pt idx="17">
                  <c:v>1.102584306271434</c:v>
                </c:pt>
                <c:pt idx="18">
                  <c:v>1.1086186772285773</c:v>
                </c:pt>
                <c:pt idx="19">
                  <c:v>1.1146530481857204</c:v>
                </c:pt>
                <c:pt idx="20">
                  <c:v>1.1206874191428637</c:v>
                </c:pt>
                <c:pt idx="21">
                  <c:v>1.1267217901000068</c:v>
                </c:pt>
                <c:pt idx="22">
                  <c:v>1.1327561610571499</c:v>
                </c:pt>
                <c:pt idx="23">
                  <c:v>1.1387905320142933</c:v>
                </c:pt>
                <c:pt idx="24">
                  <c:v>1.1448249029714364</c:v>
                </c:pt>
                <c:pt idx="25">
                  <c:v>1.1508592739285795</c:v>
                </c:pt>
                <c:pt idx="26">
                  <c:v>1.1568936448857228</c:v>
                </c:pt>
                <c:pt idx="27">
                  <c:v>1.1629280158428659</c:v>
                </c:pt>
                <c:pt idx="28">
                  <c:v>1.1689623868000092</c:v>
                </c:pt>
                <c:pt idx="29">
                  <c:v>1.1749967577571523</c:v>
                </c:pt>
                <c:pt idx="30">
                  <c:v>1.1810311287142956</c:v>
                </c:pt>
                <c:pt idx="31">
                  <c:v>1.1870654996714387</c:v>
                </c:pt>
                <c:pt idx="32">
                  <c:v>1.1930998706285818</c:v>
                </c:pt>
                <c:pt idx="33">
                  <c:v>1.1991342415857251</c:v>
                </c:pt>
                <c:pt idx="34">
                  <c:v>1.2051686125428682</c:v>
                </c:pt>
                <c:pt idx="35">
                  <c:v>1.2112029835000113</c:v>
                </c:pt>
                <c:pt idx="36">
                  <c:v>1.2172373544571546</c:v>
                </c:pt>
                <c:pt idx="37">
                  <c:v>1.2232717254142977</c:v>
                </c:pt>
                <c:pt idx="38">
                  <c:v>1.2293060963714408</c:v>
                </c:pt>
                <c:pt idx="39">
                  <c:v>1.2353404673285842</c:v>
                </c:pt>
                <c:pt idx="40">
                  <c:v>1.2413748382857273</c:v>
                </c:pt>
                <c:pt idx="41">
                  <c:v>1.2474092092428704</c:v>
                </c:pt>
                <c:pt idx="42">
                  <c:v>1.2534435802000137</c:v>
                </c:pt>
                <c:pt idx="43">
                  <c:v>1.2594779511571568</c:v>
                </c:pt>
                <c:pt idx="44">
                  <c:v>1.2655123221143001</c:v>
                </c:pt>
                <c:pt idx="45">
                  <c:v>1.2715466930714432</c:v>
                </c:pt>
                <c:pt idx="46">
                  <c:v>1.2775810640285863</c:v>
                </c:pt>
                <c:pt idx="47">
                  <c:v>1.2836154349857296</c:v>
                </c:pt>
                <c:pt idx="48">
                  <c:v>1.2896498059428727</c:v>
                </c:pt>
                <c:pt idx="49">
                  <c:v>1.295684176900016</c:v>
                </c:pt>
                <c:pt idx="50">
                  <c:v>1.3017185478571591</c:v>
                </c:pt>
                <c:pt idx="51">
                  <c:v>1.3077529188143022</c:v>
                </c:pt>
                <c:pt idx="52">
                  <c:v>1.3137872897714455</c:v>
                </c:pt>
                <c:pt idx="53">
                  <c:v>1.3198216607285886</c:v>
                </c:pt>
                <c:pt idx="54">
                  <c:v>1.3258560316857317</c:v>
                </c:pt>
                <c:pt idx="55">
                  <c:v>1.3318904026428751</c:v>
                </c:pt>
                <c:pt idx="56">
                  <c:v>1.3379247736000182</c:v>
                </c:pt>
                <c:pt idx="57">
                  <c:v>1.3439591445571615</c:v>
                </c:pt>
                <c:pt idx="58">
                  <c:v>1.3499935155143046</c:v>
                </c:pt>
                <c:pt idx="59">
                  <c:v>1.3560278864714477</c:v>
                </c:pt>
                <c:pt idx="60">
                  <c:v>1.362062257428591</c:v>
                </c:pt>
                <c:pt idx="61">
                  <c:v>1.3680966283857341</c:v>
                </c:pt>
                <c:pt idx="62">
                  <c:v>1.3741309993428772</c:v>
                </c:pt>
                <c:pt idx="63">
                  <c:v>1.3801653703000205</c:v>
                </c:pt>
                <c:pt idx="64">
                  <c:v>1.3861997412571636</c:v>
                </c:pt>
                <c:pt idx="65">
                  <c:v>1.3922341122143069</c:v>
                </c:pt>
                <c:pt idx="66">
                  <c:v>1.39826848317145</c:v>
                </c:pt>
                <c:pt idx="67">
                  <c:v>1.4043028541285931</c:v>
                </c:pt>
                <c:pt idx="68">
                  <c:v>1.4103372250857364</c:v>
                </c:pt>
                <c:pt idx="69">
                  <c:v>1.4163715960428795</c:v>
                </c:pt>
                <c:pt idx="70">
                  <c:v>1.4224059670000226</c:v>
                </c:pt>
                <c:pt idx="71">
                  <c:v>1.428440337957166</c:v>
                </c:pt>
                <c:pt idx="72">
                  <c:v>1.4344747089143093</c:v>
                </c:pt>
                <c:pt idx="73">
                  <c:v>1.4405090798714524</c:v>
                </c:pt>
                <c:pt idx="74">
                  <c:v>1.4465434508285955</c:v>
                </c:pt>
                <c:pt idx="75">
                  <c:v>1.4525778217857388</c:v>
                </c:pt>
                <c:pt idx="76">
                  <c:v>1.4586121927428819</c:v>
                </c:pt>
                <c:pt idx="77">
                  <c:v>1.464646563700025</c:v>
                </c:pt>
                <c:pt idx="78">
                  <c:v>1.4706809346571683</c:v>
                </c:pt>
                <c:pt idx="79">
                  <c:v>1.4767153056143114</c:v>
                </c:pt>
                <c:pt idx="80">
                  <c:v>1.4827496765714545</c:v>
                </c:pt>
                <c:pt idx="81">
                  <c:v>1.4887840475285978</c:v>
                </c:pt>
                <c:pt idx="82">
                  <c:v>1.4948184184857409</c:v>
                </c:pt>
                <c:pt idx="83">
                  <c:v>1.500852789442884</c:v>
                </c:pt>
                <c:pt idx="84">
                  <c:v>1.5068871604000273</c:v>
                </c:pt>
                <c:pt idx="85">
                  <c:v>1.5129215313571707</c:v>
                </c:pt>
                <c:pt idx="86">
                  <c:v>1.5189559023143135</c:v>
                </c:pt>
                <c:pt idx="87">
                  <c:v>1.5249902732714569</c:v>
                </c:pt>
                <c:pt idx="88">
                  <c:v>1.5310246442286002</c:v>
                </c:pt>
                <c:pt idx="89">
                  <c:v>1.5370590151857431</c:v>
                </c:pt>
                <c:pt idx="90">
                  <c:v>1.5430933861428864</c:v>
                </c:pt>
                <c:pt idx="91">
                  <c:v>1.5491277571000297</c:v>
                </c:pt>
                <c:pt idx="92">
                  <c:v>1.5551621280571726</c:v>
                </c:pt>
                <c:pt idx="93">
                  <c:v>1.5611964990143159</c:v>
                </c:pt>
                <c:pt idx="94">
                  <c:v>1.5672308699714592</c:v>
                </c:pt>
                <c:pt idx="95">
                  <c:v>1.5732652409286023</c:v>
                </c:pt>
                <c:pt idx="96">
                  <c:v>1.5792996118857454</c:v>
                </c:pt>
                <c:pt idx="97">
                  <c:v>1.5853339828428887</c:v>
                </c:pt>
                <c:pt idx="98">
                  <c:v>1.5913683538000318</c:v>
                </c:pt>
                <c:pt idx="99">
                  <c:v>1.5974027247571749</c:v>
                </c:pt>
                <c:pt idx="100">
                  <c:v>1.6034370957143183</c:v>
                </c:pt>
                <c:pt idx="101">
                  <c:v>1.6094714666714613</c:v>
                </c:pt>
                <c:pt idx="102">
                  <c:v>1.6155058376286044</c:v>
                </c:pt>
                <c:pt idx="103">
                  <c:v>1.6215402085857478</c:v>
                </c:pt>
                <c:pt idx="104">
                  <c:v>1.6275745795428911</c:v>
                </c:pt>
                <c:pt idx="105">
                  <c:v>1.6336089505000342</c:v>
                </c:pt>
                <c:pt idx="106">
                  <c:v>1.6396433214571773</c:v>
                </c:pt>
                <c:pt idx="107">
                  <c:v>1.6456776924143206</c:v>
                </c:pt>
                <c:pt idx="108">
                  <c:v>1.6517120633714637</c:v>
                </c:pt>
                <c:pt idx="109">
                  <c:v>1.6577464343286068</c:v>
                </c:pt>
                <c:pt idx="110">
                  <c:v>1.6637808052857501</c:v>
                </c:pt>
                <c:pt idx="111">
                  <c:v>1.6698151762428932</c:v>
                </c:pt>
                <c:pt idx="112">
                  <c:v>1.6758495472000363</c:v>
                </c:pt>
                <c:pt idx="113">
                  <c:v>1.6818839181571796</c:v>
                </c:pt>
                <c:pt idx="114">
                  <c:v>1.687918289114323</c:v>
                </c:pt>
                <c:pt idx="115">
                  <c:v>1.6939526600714658</c:v>
                </c:pt>
                <c:pt idx="116">
                  <c:v>1.6999870310286092</c:v>
                </c:pt>
                <c:pt idx="117">
                  <c:v>1.7060214019857525</c:v>
                </c:pt>
                <c:pt idx="118">
                  <c:v>1.7120557729428953</c:v>
                </c:pt>
                <c:pt idx="119">
                  <c:v>1.7180901439000387</c:v>
                </c:pt>
                <c:pt idx="120">
                  <c:v>1.724124514857182</c:v>
                </c:pt>
                <c:pt idx="121">
                  <c:v>1.7301588858143251</c:v>
                </c:pt>
                <c:pt idx="122">
                  <c:v>1.7361932567714682</c:v>
                </c:pt>
                <c:pt idx="123">
                  <c:v>1.7422276277286115</c:v>
                </c:pt>
                <c:pt idx="124">
                  <c:v>1.7482619986857544</c:v>
                </c:pt>
                <c:pt idx="125">
                  <c:v>1.7542963696428977</c:v>
                </c:pt>
                <c:pt idx="126">
                  <c:v>1.760330740600041</c:v>
                </c:pt>
                <c:pt idx="127">
                  <c:v>1.7663651115571841</c:v>
                </c:pt>
                <c:pt idx="128">
                  <c:v>1.7723994825143272</c:v>
                </c:pt>
                <c:pt idx="129">
                  <c:v>1.7784338534714705</c:v>
                </c:pt>
                <c:pt idx="130">
                  <c:v>1.7844682244286136</c:v>
                </c:pt>
                <c:pt idx="131">
                  <c:v>1.790502595385757</c:v>
                </c:pt>
                <c:pt idx="132">
                  <c:v>1.7965369663429001</c:v>
                </c:pt>
                <c:pt idx="133">
                  <c:v>1.8025713373000434</c:v>
                </c:pt>
                <c:pt idx="134">
                  <c:v>1.8086057082571863</c:v>
                </c:pt>
                <c:pt idx="135">
                  <c:v>1.8146400792143296</c:v>
                </c:pt>
                <c:pt idx="136">
                  <c:v>1.8206744501714727</c:v>
                </c:pt>
                <c:pt idx="137">
                  <c:v>1.826708821128616</c:v>
                </c:pt>
                <c:pt idx="138">
                  <c:v>1.8327431920857591</c:v>
                </c:pt>
                <c:pt idx="139">
                  <c:v>1.8387775630429024</c:v>
                </c:pt>
                <c:pt idx="140">
                  <c:v>1.8448119340000455</c:v>
                </c:pt>
                <c:pt idx="141">
                  <c:v>1.8508463049571886</c:v>
                </c:pt>
                <c:pt idx="142">
                  <c:v>1.8568806759143319</c:v>
                </c:pt>
                <c:pt idx="143">
                  <c:v>1.8629150468714752</c:v>
                </c:pt>
                <c:pt idx="144">
                  <c:v>1.8689494178286183</c:v>
                </c:pt>
                <c:pt idx="145">
                  <c:v>1.8749837887857614</c:v>
                </c:pt>
                <c:pt idx="146">
                  <c:v>1.8810181597429048</c:v>
                </c:pt>
                <c:pt idx="147">
                  <c:v>1.8870525307000476</c:v>
                </c:pt>
                <c:pt idx="148">
                  <c:v>1.893086901657191</c:v>
                </c:pt>
                <c:pt idx="149">
                  <c:v>1.8991212726143343</c:v>
                </c:pt>
                <c:pt idx="150">
                  <c:v>1.9051556435714774</c:v>
                </c:pt>
                <c:pt idx="151">
                  <c:v>1.9111900145286205</c:v>
                </c:pt>
                <c:pt idx="152">
                  <c:v>1.9172243854857638</c:v>
                </c:pt>
                <c:pt idx="153">
                  <c:v>1.9232587564429067</c:v>
                </c:pt>
                <c:pt idx="154">
                  <c:v>1.92929312740005</c:v>
                </c:pt>
                <c:pt idx="155">
                  <c:v>1.9353274983571933</c:v>
                </c:pt>
                <c:pt idx="156">
                  <c:v>1.9413618693143364</c:v>
                </c:pt>
                <c:pt idx="157">
                  <c:v>1.9473962402714795</c:v>
                </c:pt>
                <c:pt idx="158">
                  <c:v>1.9534306112286228</c:v>
                </c:pt>
                <c:pt idx="159">
                  <c:v>1.9594649821857661</c:v>
                </c:pt>
                <c:pt idx="160">
                  <c:v>1.9654993531429092</c:v>
                </c:pt>
                <c:pt idx="161">
                  <c:v>1.9715337241000523</c:v>
                </c:pt>
                <c:pt idx="162">
                  <c:v>1.9775680950571957</c:v>
                </c:pt>
                <c:pt idx="163">
                  <c:v>1.9836024660143385</c:v>
                </c:pt>
                <c:pt idx="164">
                  <c:v>1.9896368369714819</c:v>
                </c:pt>
                <c:pt idx="165">
                  <c:v>1.9956712079286252</c:v>
                </c:pt>
                <c:pt idx="166">
                  <c:v>2.0017055788857681</c:v>
                </c:pt>
                <c:pt idx="167">
                  <c:v>2.0077399498429114</c:v>
                </c:pt>
                <c:pt idx="168">
                  <c:v>2.0137743208000547</c:v>
                </c:pt>
                <c:pt idx="169">
                  <c:v>2.0198086917571976</c:v>
                </c:pt>
                <c:pt idx="170">
                  <c:v>2.0258430627143413</c:v>
                </c:pt>
                <c:pt idx="171">
                  <c:v>2.0318774336714842</c:v>
                </c:pt>
                <c:pt idx="172">
                  <c:v>2.0379118046286271</c:v>
                </c:pt>
                <c:pt idx="173">
                  <c:v>2.0439461755857704</c:v>
                </c:pt>
                <c:pt idx="174">
                  <c:v>2.0499805465429137</c:v>
                </c:pt>
                <c:pt idx="175">
                  <c:v>2.0560149175000566</c:v>
                </c:pt>
                <c:pt idx="176">
                  <c:v>2.0620492884572004</c:v>
                </c:pt>
                <c:pt idx="177">
                  <c:v>2.0680836594143432</c:v>
                </c:pt>
                <c:pt idx="178">
                  <c:v>2.0741180303714861</c:v>
                </c:pt>
                <c:pt idx="179">
                  <c:v>2.0801524013286299</c:v>
                </c:pt>
                <c:pt idx="180">
                  <c:v>2.0861867722857728</c:v>
                </c:pt>
                <c:pt idx="181">
                  <c:v>2.0922211432429161</c:v>
                </c:pt>
                <c:pt idx="182">
                  <c:v>2.0982555142000594</c:v>
                </c:pt>
                <c:pt idx="183">
                  <c:v>2.1042898851572023</c:v>
                </c:pt>
                <c:pt idx="184">
                  <c:v>2.1103242561143452</c:v>
                </c:pt>
                <c:pt idx="185">
                  <c:v>2.1163586270714889</c:v>
                </c:pt>
                <c:pt idx="186">
                  <c:v>2.1223929980286318</c:v>
                </c:pt>
                <c:pt idx="187">
                  <c:v>2.1284273689857751</c:v>
                </c:pt>
                <c:pt idx="188">
                  <c:v>2.1344617399429184</c:v>
                </c:pt>
                <c:pt idx="189">
                  <c:v>2.1404961109000613</c:v>
                </c:pt>
                <c:pt idx="190">
                  <c:v>2.1465304818572046</c:v>
                </c:pt>
                <c:pt idx="191">
                  <c:v>2.152564852814348</c:v>
                </c:pt>
                <c:pt idx="192">
                  <c:v>2.1585992237714908</c:v>
                </c:pt>
                <c:pt idx="193">
                  <c:v>2.1646335947286341</c:v>
                </c:pt>
                <c:pt idx="194">
                  <c:v>2.1706679656857775</c:v>
                </c:pt>
                <c:pt idx="195">
                  <c:v>2.1767023366429203</c:v>
                </c:pt>
                <c:pt idx="196">
                  <c:v>2.1827367076000637</c:v>
                </c:pt>
                <c:pt idx="197">
                  <c:v>2.188771078557207</c:v>
                </c:pt>
                <c:pt idx="198">
                  <c:v>2.1948054495143499</c:v>
                </c:pt>
                <c:pt idx="199">
                  <c:v>2.2008398204714932</c:v>
                </c:pt>
                <c:pt idx="200">
                  <c:v>2.2068741914286365</c:v>
                </c:pt>
                <c:pt idx="201">
                  <c:v>2.2129085623857794</c:v>
                </c:pt>
                <c:pt idx="202">
                  <c:v>2.2189429333429227</c:v>
                </c:pt>
                <c:pt idx="203">
                  <c:v>2.224977304300066</c:v>
                </c:pt>
                <c:pt idx="204">
                  <c:v>2.2310116752572089</c:v>
                </c:pt>
                <c:pt idx="205">
                  <c:v>2.2370460462143522</c:v>
                </c:pt>
                <c:pt idx="206">
                  <c:v>2.2430804171714955</c:v>
                </c:pt>
                <c:pt idx="207">
                  <c:v>2.2491147881286389</c:v>
                </c:pt>
                <c:pt idx="208">
                  <c:v>2.2551491590857822</c:v>
                </c:pt>
                <c:pt idx="209">
                  <c:v>2.261183530042925</c:v>
                </c:pt>
                <c:pt idx="210">
                  <c:v>2.2672179010000684</c:v>
                </c:pt>
                <c:pt idx="211">
                  <c:v>2.2732522719572117</c:v>
                </c:pt>
                <c:pt idx="212">
                  <c:v>2.2792866429143546</c:v>
                </c:pt>
                <c:pt idx="213">
                  <c:v>2.2853210138714979</c:v>
                </c:pt>
                <c:pt idx="214">
                  <c:v>2.2913553848286412</c:v>
                </c:pt>
                <c:pt idx="215">
                  <c:v>2.2973897557857841</c:v>
                </c:pt>
                <c:pt idx="216">
                  <c:v>2.3034241267429274</c:v>
                </c:pt>
                <c:pt idx="217">
                  <c:v>2.3094584977000707</c:v>
                </c:pt>
                <c:pt idx="218">
                  <c:v>2.3154928686572136</c:v>
                </c:pt>
                <c:pt idx="219">
                  <c:v>2.3215272396143569</c:v>
                </c:pt>
                <c:pt idx="220">
                  <c:v>2.3275616105715002</c:v>
                </c:pt>
                <c:pt idx="221">
                  <c:v>2.3335959815286431</c:v>
                </c:pt>
                <c:pt idx="222">
                  <c:v>2.3396303524857864</c:v>
                </c:pt>
                <c:pt idx="223">
                  <c:v>2.3456647234429298</c:v>
                </c:pt>
                <c:pt idx="224">
                  <c:v>2.3516990944000726</c:v>
                </c:pt>
                <c:pt idx="225">
                  <c:v>2.357733465357216</c:v>
                </c:pt>
                <c:pt idx="226">
                  <c:v>2.3637678363143593</c:v>
                </c:pt>
                <c:pt idx="227">
                  <c:v>2.3698022072715021</c:v>
                </c:pt>
                <c:pt idx="228">
                  <c:v>2.3758365782286459</c:v>
                </c:pt>
                <c:pt idx="229">
                  <c:v>2.3818709491857888</c:v>
                </c:pt>
                <c:pt idx="230">
                  <c:v>2.3879053201429317</c:v>
                </c:pt>
                <c:pt idx="231">
                  <c:v>2.3939396911000754</c:v>
                </c:pt>
                <c:pt idx="232">
                  <c:v>2.3999740620572183</c:v>
                </c:pt>
                <c:pt idx="233">
                  <c:v>2.4060084330143612</c:v>
                </c:pt>
                <c:pt idx="234">
                  <c:v>2.4120428039715049</c:v>
                </c:pt>
                <c:pt idx="235">
                  <c:v>2.4180771749286478</c:v>
                </c:pt>
                <c:pt idx="236">
                  <c:v>2.4241115458857907</c:v>
                </c:pt>
                <c:pt idx="237">
                  <c:v>2.4301459168429345</c:v>
                </c:pt>
                <c:pt idx="238">
                  <c:v>2.4361802878000773</c:v>
                </c:pt>
                <c:pt idx="239">
                  <c:v>2.4422146587572207</c:v>
                </c:pt>
                <c:pt idx="240">
                  <c:v>2.448249029714364</c:v>
                </c:pt>
                <c:pt idx="241">
                  <c:v>2.4542834006715069</c:v>
                </c:pt>
                <c:pt idx="242">
                  <c:v>2.4603177716286502</c:v>
                </c:pt>
                <c:pt idx="243">
                  <c:v>2.4663521425857935</c:v>
                </c:pt>
                <c:pt idx="244">
                  <c:v>2.4723865135429364</c:v>
                </c:pt>
                <c:pt idx="245">
                  <c:v>2.4784208845000801</c:v>
                </c:pt>
                <c:pt idx="246">
                  <c:v>2.484455255457223</c:v>
                </c:pt>
                <c:pt idx="247">
                  <c:v>2.4904896264143659</c:v>
                </c:pt>
                <c:pt idx="248">
                  <c:v>2.4965239973715088</c:v>
                </c:pt>
                <c:pt idx="249">
                  <c:v>2.5025583683286525</c:v>
                </c:pt>
                <c:pt idx="250">
                  <c:v>2.5085927392857954</c:v>
                </c:pt>
                <c:pt idx="251">
                  <c:v>2.5146271102429387</c:v>
                </c:pt>
                <c:pt idx="252">
                  <c:v>2.520661481200082</c:v>
                </c:pt>
                <c:pt idx="253">
                  <c:v>2.5266958521572249</c:v>
                </c:pt>
                <c:pt idx="254">
                  <c:v>2.5327302231143682</c:v>
                </c:pt>
                <c:pt idx="255">
                  <c:v>2.5387645940715116</c:v>
                </c:pt>
                <c:pt idx="256">
                  <c:v>2.5447989650286544</c:v>
                </c:pt>
                <c:pt idx="257">
                  <c:v>2.5508333359857982</c:v>
                </c:pt>
                <c:pt idx="258">
                  <c:v>2.5568677069429411</c:v>
                </c:pt>
                <c:pt idx="259">
                  <c:v>2.562902077900084</c:v>
                </c:pt>
                <c:pt idx="260">
                  <c:v>2.5689364488572273</c:v>
                </c:pt>
                <c:pt idx="261">
                  <c:v>2.5749708198143706</c:v>
                </c:pt>
                <c:pt idx="262">
                  <c:v>2.5810051907715139</c:v>
                </c:pt>
                <c:pt idx="263">
                  <c:v>2.5870395617286568</c:v>
                </c:pt>
                <c:pt idx="264">
                  <c:v>2.5930739326858001</c:v>
                </c:pt>
                <c:pt idx="265">
                  <c:v>2.599108303642943</c:v>
                </c:pt>
                <c:pt idx="266">
                  <c:v>2.6051426746000867</c:v>
                </c:pt>
                <c:pt idx="267">
                  <c:v>2.6111770455572296</c:v>
                </c:pt>
                <c:pt idx="268">
                  <c:v>2.6172114165143725</c:v>
                </c:pt>
                <c:pt idx="269">
                  <c:v>2.6232457874715163</c:v>
                </c:pt>
                <c:pt idx="270">
                  <c:v>2.6292801584286591</c:v>
                </c:pt>
                <c:pt idx="271">
                  <c:v>2.6353145293858025</c:v>
                </c:pt>
                <c:pt idx="272">
                  <c:v>2.6413489003429453</c:v>
                </c:pt>
                <c:pt idx="273">
                  <c:v>2.6473832713000887</c:v>
                </c:pt>
                <c:pt idx="274">
                  <c:v>2.653417642257232</c:v>
                </c:pt>
                <c:pt idx="275">
                  <c:v>2.6594520132143753</c:v>
                </c:pt>
                <c:pt idx="276">
                  <c:v>2.6654863841715182</c:v>
                </c:pt>
                <c:pt idx="277">
                  <c:v>2.6715207551286615</c:v>
                </c:pt>
                <c:pt idx="278">
                  <c:v>2.6775551260858048</c:v>
                </c:pt>
                <c:pt idx="279">
                  <c:v>2.6835894970429481</c:v>
                </c:pt>
                <c:pt idx="280">
                  <c:v>2.689623868000091</c:v>
                </c:pt>
                <c:pt idx="281">
                  <c:v>2.6956582389572343</c:v>
                </c:pt>
                <c:pt idx="282">
                  <c:v>2.7016926099143772</c:v>
                </c:pt>
                <c:pt idx="283">
                  <c:v>2.707726980871521</c:v>
                </c:pt>
                <c:pt idx="284">
                  <c:v>2.7137613518286638</c:v>
                </c:pt>
                <c:pt idx="285">
                  <c:v>2.7197957227858067</c:v>
                </c:pt>
                <c:pt idx="286">
                  <c:v>2.7258300937429505</c:v>
                </c:pt>
                <c:pt idx="287">
                  <c:v>2.7318644647000934</c:v>
                </c:pt>
                <c:pt idx="288">
                  <c:v>2.7378988356572367</c:v>
                </c:pt>
                <c:pt idx="289">
                  <c:v>2.7439332066143796</c:v>
                </c:pt>
                <c:pt idx="290">
                  <c:v>2.7499675775715229</c:v>
                </c:pt>
                <c:pt idx="291">
                  <c:v>2.7560019485286662</c:v>
                </c:pt>
                <c:pt idx="292">
                  <c:v>2.7620363194858095</c:v>
                </c:pt>
                <c:pt idx="293">
                  <c:v>2.7680706904429524</c:v>
                </c:pt>
                <c:pt idx="294">
                  <c:v>2.7741050614000953</c:v>
                </c:pt>
                <c:pt idx="295">
                  <c:v>2.780139432357239</c:v>
                </c:pt>
                <c:pt idx="296">
                  <c:v>2.7861738033143819</c:v>
                </c:pt>
                <c:pt idx="297">
                  <c:v>2.7922081742715252</c:v>
                </c:pt>
                <c:pt idx="298">
                  <c:v>2.7982425452286686</c:v>
                </c:pt>
                <c:pt idx="299">
                  <c:v>2.8042769161858114</c:v>
                </c:pt>
                <c:pt idx="300">
                  <c:v>2.8103112871429548</c:v>
                </c:pt>
                <c:pt idx="301">
                  <c:v>2.8163456581000981</c:v>
                </c:pt>
                <c:pt idx="302">
                  <c:v>2.8223800290572409</c:v>
                </c:pt>
                <c:pt idx="303">
                  <c:v>2.8284144000143843</c:v>
                </c:pt>
                <c:pt idx="304">
                  <c:v>2.8344487709715276</c:v>
                </c:pt>
                <c:pt idx="305">
                  <c:v>2.8404831419286705</c:v>
                </c:pt>
                <c:pt idx="306">
                  <c:v>2.8465175128858133</c:v>
                </c:pt>
                <c:pt idx="307">
                  <c:v>2.8525518838429571</c:v>
                </c:pt>
                <c:pt idx="308">
                  <c:v>2.8585862548001</c:v>
                </c:pt>
                <c:pt idx="309">
                  <c:v>2.8646206257572433</c:v>
                </c:pt>
                <c:pt idx="310">
                  <c:v>2.8706549967143866</c:v>
                </c:pt>
                <c:pt idx="311">
                  <c:v>2.8766893676715295</c:v>
                </c:pt>
                <c:pt idx="312">
                  <c:v>2.8827237386286728</c:v>
                </c:pt>
                <c:pt idx="313">
                  <c:v>2.8887581095858161</c:v>
                </c:pt>
                <c:pt idx="314">
                  <c:v>2.894792480542959</c:v>
                </c:pt>
                <c:pt idx="315">
                  <c:v>2.9008268515001028</c:v>
                </c:pt>
                <c:pt idx="316">
                  <c:v>2.9068612224572457</c:v>
                </c:pt>
                <c:pt idx="317">
                  <c:v>2.9128955934143885</c:v>
                </c:pt>
                <c:pt idx="318">
                  <c:v>2.9189299643715323</c:v>
                </c:pt>
                <c:pt idx="319">
                  <c:v>2.9249643353286752</c:v>
                </c:pt>
                <c:pt idx="320">
                  <c:v>2.9309987062858185</c:v>
                </c:pt>
                <c:pt idx="321">
                  <c:v>2.9370330772429614</c:v>
                </c:pt>
                <c:pt idx="322">
                  <c:v>2.9430674482001047</c:v>
                </c:pt>
                <c:pt idx="323">
                  <c:v>2.949101819157248</c:v>
                </c:pt>
                <c:pt idx="324">
                  <c:v>2.9551361901143913</c:v>
                </c:pt>
                <c:pt idx="325">
                  <c:v>2.9611705610715342</c:v>
                </c:pt>
                <c:pt idx="326">
                  <c:v>2.9672049320286771</c:v>
                </c:pt>
                <c:pt idx="327">
                  <c:v>2.9732393029858208</c:v>
                </c:pt>
                <c:pt idx="328">
                  <c:v>2.9792736739429637</c:v>
                </c:pt>
                <c:pt idx="329">
                  <c:v>2.985308044900107</c:v>
                </c:pt>
                <c:pt idx="330">
                  <c:v>2.9913424158572504</c:v>
                </c:pt>
                <c:pt idx="331">
                  <c:v>2.9973767868143932</c:v>
                </c:pt>
                <c:pt idx="332">
                  <c:v>3.0034111577715366</c:v>
                </c:pt>
                <c:pt idx="333">
                  <c:v>3.0094455287286794</c:v>
                </c:pt>
                <c:pt idx="334">
                  <c:v>3.0154798996858228</c:v>
                </c:pt>
                <c:pt idx="335">
                  <c:v>3.0215142706429661</c:v>
                </c:pt>
                <c:pt idx="336">
                  <c:v>3.0275486416001089</c:v>
                </c:pt>
                <c:pt idx="337">
                  <c:v>3.0335830125572523</c:v>
                </c:pt>
                <c:pt idx="338">
                  <c:v>3.0396173835143956</c:v>
                </c:pt>
                <c:pt idx="339">
                  <c:v>3.0456517544715389</c:v>
                </c:pt>
                <c:pt idx="340">
                  <c:v>3.0516861254286822</c:v>
                </c:pt>
                <c:pt idx="341">
                  <c:v>3.0577204963858251</c:v>
                </c:pt>
                <c:pt idx="342">
                  <c:v>3.0637548673429684</c:v>
                </c:pt>
                <c:pt idx="343">
                  <c:v>3.0697892383001113</c:v>
                </c:pt>
                <c:pt idx="344">
                  <c:v>3.0758236092572546</c:v>
                </c:pt>
                <c:pt idx="345">
                  <c:v>3.0818579802143975</c:v>
                </c:pt>
                <c:pt idx="346">
                  <c:v>3.0878923511715408</c:v>
                </c:pt>
                <c:pt idx="347">
                  <c:v>3.0939267221286841</c:v>
                </c:pt>
                <c:pt idx="348">
                  <c:v>3.0999610930858275</c:v>
                </c:pt>
                <c:pt idx="349">
                  <c:v>3.1059954640429708</c:v>
                </c:pt>
                <c:pt idx="350">
                  <c:v>3.1120298350001137</c:v>
                </c:pt>
                <c:pt idx="351">
                  <c:v>3.118064205957257</c:v>
                </c:pt>
                <c:pt idx="352">
                  <c:v>3.1240985769144003</c:v>
                </c:pt>
                <c:pt idx="353">
                  <c:v>3.1301329478715432</c:v>
                </c:pt>
                <c:pt idx="354">
                  <c:v>3.1361673188286865</c:v>
                </c:pt>
                <c:pt idx="355">
                  <c:v>3.1422016897858294</c:v>
                </c:pt>
                <c:pt idx="356">
                  <c:v>3.1482360607429727</c:v>
                </c:pt>
                <c:pt idx="357">
                  <c:v>3.154270431700116</c:v>
                </c:pt>
                <c:pt idx="358">
                  <c:v>3.1603048026572593</c:v>
                </c:pt>
                <c:pt idx="359">
                  <c:v>3.1663391736144026</c:v>
                </c:pt>
                <c:pt idx="360">
                  <c:v>3.1723735445715455</c:v>
                </c:pt>
                <c:pt idx="361">
                  <c:v>3.1784079155286888</c:v>
                </c:pt>
                <c:pt idx="362">
                  <c:v>3.1844422864858322</c:v>
                </c:pt>
                <c:pt idx="363">
                  <c:v>3.190476657442975</c:v>
                </c:pt>
                <c:pt idx="364">
                  <c:v>3.1965110284001184</c:v>
                </c:pt>
                <c:pt idx="365">
                  <c:v>3.2025453993572612</c:v>
                </c:pt>
                <c:pt idx="366">
                  <c:v>3.2085797703144046</c:v>
                </c:pt>
                <c:pt idx="367">
                  <c:v>3.2146141412715474</c:v>
                </c:pt>
                <c:pt idx="368">
                  <c:v>3.2206485122286908</c:v>
                </c:pt>
                <c:pt idx="369">
                  <c:v>3.2266828831858341</c:v>
                </c:pt>
                <c:pt idx="370">
                  <c:v>3.2327172541429774</c:v>
                </c:pt>
                <c:pt idx="371">
                  <c:v>3.2387516251001207</c:v>
                </c:pt>
                <c:pt idx="372">
                  <c:v>3.2447859960572636</c:v>
                </c:pt>
                <c:pt idx="373">
                  <c:v>3.2508203670144069</c:v>
                </c:pt>
                <c:pt idx="374">
                  <c:v>3.2568547379715502</c:v>
                </c:pt>
                <c:pt idx="375">
                  <c:v>3.2628891089286931</c:v>
                </c:pt>
                <c:pt idx="376">
                  <c:v>3.2689234798858364</c:v>
                </c:pt>
                <c:pt idx="377">
                  <c:v>3.2749578508429793</c:v>
                </c:pt>
                <c:pt idx="378">
                  <c:v>3.2809922218001226</c:v>
                </c:pt>
                <c:pt idx="379">
                  <c:v>3.2870265927572659</c:v>
                </c:pt>
                <c:pt idx="380">
                  <c:v>3.2930609637144093</c:v>
                </c:pt>
                <c:pt idx="381">
                  <c:v>3.2990953346715526</c:v>
                </c:pt>
                <c:pt idx="382">
                  <c:v>3.3051297056286955</c:v>
                </c:pt>
                <c:pt idx="383">
                  <c:v>3.3111640765858388</c:v>
                </c:pt>
                <c:pt idx="384">
                  <c:v>3.3171984475429817</c:v>
                </c:pt>
                <c:pt idx="385">
                  <c:v>3.323232818500125</c:v>
                </c:pt>
                <c:pt idx="386">
                  <c:v>3.3292671894572683</c:v>
                </c:pt>
                <c:pt idx="387">
                  <c:v>3.3353015604144112</c:v>
                </c:pt>
                <c:pt idx="388">
                  <c:v>3.3413359313715545</c:v>
                </c:pt>
                <c:pt idx="389">
                  <c:v>3.3473703023286974</c:v>
                </c:pt>
                <c:pt idx="390">
                  <c:v>3.3534046732858411</c:v>
                </c:pt>
                <c:pt idx="391">
                  <c:v>3.3594390442429845</c:v>
                </c:pt>
                <c:pt idx="392">
                  <c:v>3.3654734152001273</c:v>
                </c:pt>
                <c:pt idx="393">
                  <c:v>3.3715077861572706</c:v>
                </c:pt>
                <c:pt idx="394">
                  <c:v>3.3775421571144135</c:v>
                </c:pt>
                <c:pt idx="395">
                  <c:v>3.3835765280715568</c:v>
                </c:pt>
                <c:pt idx="396">
                  <c:v>3.3896108990287002</c:v>
                </c:pt>
                <c:pt idx="397">
                  <c:v>3.395645269985843</c:v>
                </c:pt>
                <c:pt idx="398">
                  <c:v>3.4016796409429864</c:v>
                </c:pt>
                <c:pt idx="399">
                  <c:v>3.4077140119001292</c:v>
                </c:pt>
                <c:pt idx="400">
                  <c:v>3.4137483828572726</c:v>
                </c:pt>
              </c:numCache>
            </c:numRef>
          </c:yVal>
          <c:smooth val="0"/>
          <c:extLst>
            <c:ext xmlns:c16="http://schemas.microsoft.com/office/drawing/2014/chart" uri="{C3380CC4-5D6E-409C-BE32-E72D297353CC}">
              <c16:uniqueId val="{00000004-C747-424C-B9C1-A1BFC1C2DBB9}"/>
            </c:ext>
          </c:extLst>
        </c:ser>
        <c:ser>
          <c:idx val="5"/>
          <c:order val="5"/>
          <c:tx>
            <c:strRef>
              <c:f>'V-N Diagram'!$U$36</c:f>
              <c:strCache>
                <c:ptCount val="1"/>
                <c:pt idx="0">
                  <c:v>ng4</c:v>
                </c:pt>
              </c:strCache>
            </c:strRef>
          </c:tx>
          <c:spPr>
            <a:ln w="25400" cap="rnd">
              <a:solidFill>
                <a:schemeClr val="accent4"/>
              </a:solidFill>
              <a:prstDash val="solid"/>
              <a:round/>
            </a:ln>
            <a:effectLst/>
          </c:spPr>
          <c:marker>
            <c:symbol val="none"/>
          </c:marker>
          <c:xVal>
            <c:numRef>
              <c:f>'V-N Diagram'!$O$187:$O$287</c:f>
              <c:numCache>
                <c:formatCode>General</c:formatCode>
                <c:ptCount val="101"/>
                <c:pt idx="0">
                  <c:v>150</c:v>
                </c:pt>
                <c:pt idx="1">
                  <c:v>151</c:v>
                </c:pt>
                <c:pt idx="2">
                  <c:v>152</c:v>
                </c:pt>
                <c:pt idx="3">
                  <c:v>153</c:v>
                </c:pt>
                <c:pt idx="4">
                  <c:v>154</c:v>
                </c:pt>
                <c:pt idx="5">
                  <c:v>155</c:v>
                </c:pt>
                <c:pt idx="6">
                  <c:v>156</c:v>
                </c:pt>
                <c:pt idx="7">
                  <c:v>157</c:v>
                </c:pt>
                <c:pt idx="8">
                  <c:v>158</c:v>
                </c:pt>
                <c:pt idx="9">
                  <c:v>159</c:v>
                </c:pt>
                <c:pt idx="10">
                  <c:v>160</c:v>
                </c:pt>
                <c:pt idx="11">
                  <c:v>161</c:v>
                </c:pt>
                <c:pt idx="12">
                  <c:v>162</c:v>
                </c:pt>
                <c:pt idx="13">
                  <c:v>163</c:v>
                </c:pt>
                <c:pt idx="14">
                  <c:v>164</c:v>
                </c:pt>
                <c:pt idx="15">
                  <c:v>165</c:v>
                </c:pt>
                <c:pt idx="16">
                  <c:v>166</c:v>
                </c:pt>
                <c:pt idx="17">
                  <c:v>167</c:v>
                </c:pt>
                <c:pt idx="18">
                  <c:v>168</c:v>
                </c:pt>
                <c:pt idx="19">
                  <c:v>169</c:v>
                </c:pt>
                <c:pt idx="20">
                  <c:v>170</c:v>
                </c:pt>
                <c:pt idx="21">
                  <c:v>171</c:v>
                </c:pt>
                <c:pt idx="22">
                  <c:v>172</c:v>
                </c:pt>
                <c:pt idx="23">
                  <c:v>173</c:v>
                </c:pt>
                <c:pt idx="24">
                  <c:v>174</c:v>
                </c:pt>
                <c:pt idx="25">
                  <c:v>175</c:v>
                </c:pt>
                <c:pt idx="26">
                  <c:v>176</c:v>
                </c:pt>
                <c:pt idx="27">
                  <c:v>177</c:v>
                </c:pt>
                <c:pt idx="28">
                  <c:v>178</c:v>
                </c:pt>
                <c:pt idx="29">
                  <c:v>179</c:v>
                </c:pt>
                <c:pt idx="30">
                  <c:v>180</c:v>
                </c:pt>
                <c:pt idx="31">
                  <c:v>181</c:v>
                </c:pt>
                <c:pt idx="32">
                  <c:v>182</c:v>
                </c:pt>
                <c:pt idx="33">
                  <c:v>183</c:v>
                </c:pt>
                <c:pt idx="34">
                  <c:v>184</c:v>
                </c:pt>
                <c:pt idx="35">
                  <c:v>185</c:v>
                </c:pt>
                <c:pt idx="36">
                  <c:v>186</c:v>
                </c:pt>
                <c:pt idx="37">
                  <c:v>187</c:v>
                </c:pt>
                <c:pt idx="38">
                  <c:v>188</c:v>
                </c:pt>
                <c:pt idx="39">
                  <c:v>189</c:v>
                </c:pt>
                <c:pt idx="40">
                  <c:v>190</c:v>
                </c:pt>
                <c:pt idx="41">
                  <c:v>191</c:v>
                </c:pt>
                <c:pt idx="42">
                  <c:v>192</c:v>
                </c:pt>
                <c:pt idx="43">
                  <c:v>193</c:v>
                </c:pt>
                <c:pt idx="44">
                  <c:v>194</c:v>
                </c:pt>
                <c:pt idx="45">
                  <c:v>195</c:v>
                </c:pt>
                <c:pt idx="46">
                  <c:v>196</c:v>
                </c:pt>
                <c:pt idx="47">
                  <c:v>197</c:v>
                </c:pt>
                <c:pt idx="48">
                  <c:v>198</c:v>
                </c:pt>
                <c:pt idx="49">
                  <c:v>199</c:v>
                </c:pt>
                <c:pt idx="50">
                  <c:v>200</c:v>
                </c:pt>
                <c:pt idx="51">
                  <c:v>201</c:v>
                </c:pt>
                <c:pt idx="52">
                  <c:v>202</c:v>
                </c:pt>
                <c:pt idx="53">
                  <c:v>203</c:v>
                </c:pt>
                <c:pt idx="54">
                  <c:v>204</c:v>
                </c:pt>
                <c:pt idx="55">
                  <c:v>205</c:v>
                </c:pt>
                <c:pt idx="56">
                  <c:v>206</c:v>
                </c:pt>
                <c:pt idx="57">
                  <c:v>207</c:v>
                </c:pt>
                <c:pt idx="58">
                  <c:v>208</c:v>
                </c:pt>
                <c:pt idx="59">
                  <c:v>209</c:v>
                </c:pt>
                <c:pt idx="60">
                  <c:v>210</c:v>
                </c:pt>
                <c:pt idx="61">
                  <c:v>211</c:v>
                </c:pt>
                <c:pt idx="62">
                  <c:v>212</c:v>
                </c:pt>
                <c:pt idx="63">
                  <c:v>213</c:v>
                </c:pt>
                <c:pt idx="64">
                  <c:v>214</c:v>
                </c:pt>
                <c:pt idx="65">
                  <c:v>215</c:v>
                </c:pt>
                <c:pt idx="66">
                  <c:v>216</c:v>
                </c:pt>
                <c:pt idx="67">
                  <c:v>217</c:v>
                </c:pt>
                <c:pt idx="68">
                  <c:v>218</c:v>
                </c:pt>
                <c:pt idx="69">
                  <c:v>219</c:v>
                </c:pt>
                <c:pt idx="70">
                  <c:v>220</c:v>
                </c:pt>
                <c:pt idx="71">
                  <c:v>221</c:v>
                </c:pt>
                <c:pt idx="72">
                  <c:v>222</c:v>
                </c:pt>
                <c:pt idx="73">
                  <c:v>223</c:v>
                </c:pt>
                <c:pt idx="74">
                  <c:v>224</c:v>
                </c:pt>
                <c:pt idx="75">
                  <c:v>225</c:v>
                </c:pt>
                <c:pt idx="76">
                  <c:v>226</c:v>
                </c:pt>
                <c:pt idx="77">
                  <c:v>227</c:v>
                </c:pt>
                <c:pt idx="78">
                  <c:v>228</c:v>
                </c:pt>
                <c:pt idx="79">
                  <c:v>229</c:v>
                </c:pt>
                <c:pt idx="80">
                  <c:v>230</c:v>
                </c:pt>
                <c:pt idx="81">
                  <c:v>231</c:v>
                </c:pt>
                <c:pt idx="82">
                  <c:v>232</c:v>
                </c:pt>
                <c:pt idx="83">
                  <c:v>233</c:v>
                </c:pt>
                <c:pt idx="84">
                  <c:v>234</c:v>
                </c:pt>
                <c:pt idx="85">
                  <c:v>235</c:v>
                </c:pt>
                <c:pt idx="86">
                  <c:v>236</c:v>
                </c:pt>
                <c:pt idx="87">
                  <c:v>237</c:v>
                </c:pt>
                <c:pt idx="88">
                  <c:v>238</c:v>
                </c:pt>
                <c:pt idx="89">
                  <c:v>239</c:v>
                </c:pt>
                <c:pt idx="90">
                  <c:v>240</c:v>
                </c:pt>
                <c:pt idx="91">
                  <c:v>241</c:v>
                </c:pt>
                <c:pt idx="92">
                  <c:v>242</c:v>
                </c:pt>
                <c:pt idx="93">
                  <c:v>243</c:v>
                </c:pt>
                <c:pt idx="94">
                  <c:v>244</c:v>
                </c:pt>
                <c:pt idx="95">
                  <c:v>245</c:v>
                </c:pt>
                <c:pt idx="96">
                  <c:v>246</c:v>
                </c:pt>
                <c:pt idx="97">
                  <c:v>247</c:v>
                </c:pt>
                <c:pt idx="98">
                  <c:v>248</c:v>
                </c:pt>
                <c:pt idx="99">
                  <c:v>249</c:v>
                </c:pt>
                <c:pt idx="100">
                  <c:v>250</c:v>
                </c:pt>
              </c:numCache>
            </c:numRef>
          </c:xVal>
          <c:yVal>
            <c:numRef>
              <c:f>'V-N Diagram'!$U$187:$U$287</c:f>
              <c:numCache>
                <c:formatCode>General</c:formatCode>
                <c:ptCount val="101"/>
                <c:pt idx="0">
                  <c:v>2.8103112871429548</c:v>
                </c:pt>
                <c:pt idx="1">
                  <c:v>2.8223800290572409</c:v>
                </c:pt>
                <c:pt idx="2">
                  <c:v>2.8344487709715276</c:v>
                </c:pt>
                <c:pt idx="3">
                  <c:v>2.8465175128858133</c:v>
                </c:pt>
                <c:pt idx="4">
                  <c:v>2.8585862548001</c:v>
                </c:pt>
                <c:pt idx="5">
                  <c:v>2.8706549967143866</c:v>
                </c:pt>
                <c:pt idx="6">
                  <c:v>2.8827237386286728</c:v>
                </c:pt>
                <c:pt idx="7">
                  <c:v>2.894792480542959</c:v>
                </c:pt>
                <c:pt idx="8">
                  <c:v>2.9068612224572457</c:v>
                </c:pt>
                <c:pt idx="9">
                  <c:v>2.9189299643715323</c:v>
                </c:pt>
                <c:pt idx="10">
                  <c:v>2.9309987062858185</c:v>
                </c:pt>
                <c:pt idx="11">
                  <c:v>2.9430674482001047</c:v>
                </c:pt>
                <c:pt idx="12">
                  <c:v>2.9551361901143913</c:v>
                </c:pt>
                <c:pt idx="13">
                  <c:v>2.9672049320286771</c:v>
                </c:pt>
                <c:pt idx="14">
                  <c:v>2.9792736739429637</c:v>
                </c:pt>
                <c:pt idx="15">
                  <c:v>2.9913424158572504</c:v>
                </c:pt>
                <c:pt idx="16">
                  <c:v>3.0034111577715366</c:v>
                </c:pt>
                <c:pt idx="17">
                  <c:v>3.0154798996858228</c:v>
                </c:pt>
                <c:pt idx="18">
                  <c:v>3.0275486416001089</c:v>
                </c:pt>
                <c:pt idx="19">
                  <c:v>3.0396173835143956</c:v>
                </c:pt>
                <c:pt idx="20">
                  <c:v>3.0516861254286822</c:v>
                </c:pt>
                <c:pt idx="21">
                  <c:v>3.0637548673429684</c:v>
                </c:pt>
                <c:pt idx="22">
                  <c:v>3.0758236092572546</c:v>
                </c:pt>
                <c:pt idx="23">
                  <c:v>3.0878923511715408</c:v>
                </c:pt>
                <c:pt idx="24">
                  <c:v>3.0999610930858275</c:v>
                </c:pt>
                <c:pt idx="25">
                  <c:v>3.1120298350001137</c:v>
                </c:pt>
                <c:pt idx="26">
                  <c:v>3.1240985769144003</c:v>
                </c:pt>
                <c:pt idx="27">
                  <c:v>3.1361673188286865</c:v>
                </c:pt>
                <c:pt idx="28">
                  <c:v>3.1482360607429727</c:v>
                </c:pt>
                <c:pt idx="29">
                  <c:v>3.1603048026572593</c:v>
                </c:pt>
                <c:pt idx="30">
                  <c:v>3.1723735445715455</c:v>
                </c:pt>
                <c:pt idx="31">
                  <c:v>3.1844422864858322</c:v>
                </c:pt>
                <c:pt idx="32">
                  <c:v>3.1965110284001184</c:v>
                </c:pt>
                <c:pt idx="33">
                  <c:v>3.2085797703144046</c:v>
                </c:pt>
                <c:pt idx="34">
                  <c:v>3.2206485122286908</c:v>
                </c:pt>
                <c:pt idx="35">
                  <c:v>3.2327172541429774</c:v>
                </c:pt>
                <c:pt idx="36">
                  <c:v>3.2447859960572636</c:v>
                </c:pt>
                <c:pt idx="37">
                  <c:v>3.2568547379715502</c:v>
                </c:pt>
                <c:pt idx="38">
                  <c:v>3.2689234798858364</c:v>
                </c:pt>
                <c:pt idx="39">
                  <c:v>3.2809922218001226</c:v>
                </c:pt>
                <c:pt idx="40">
                  <c:v>3.2930609637144093</c:v>
                </c:pt>
                <c:pt idx="41">
                  <c:v>3.3051297056286955</c:v>
                </c:pt>
                <c:pt idx="42">
                  <c:v>3.3171984475429817</c:v>
                </c:pt>
                <c:pt idx="43">
                  <c:v>3.3292671894572683</c:v>
                </c:pt>
                <c:pt idx="44">
                  <c:v>3.3413359313715545</c:v>
                </c:pt>
                <c:pt idx="45">
                  <c:v>3.3534046732858411</c:v>
                </c:pt>
                <c:pt idx="46">
                  <c:v>3.3654734152001273</c:v>
                </c:pt>
                <c:pt idx="47">
                  <c:v>3.3775421571144135</c:v>
                </c:pt>
                <c:pt idx="48">
                  <c:v>3.3896108990287002</c:v>
                </c:pt>
                <c:pt idx="49">
                  <c:v>3.4016796409429864</c:v>
                </c:pt>
                <c:pt idx="50">
                  <c:v>3.4137483828572726</c:v>
                </c:pt>
                <c:pt idx="51">
                  <c:v>3.4258171247715592</c:v>
                </c:pt>
                <c:pt idx="52">
                  <c:v>3.4378858666858454</c:v>
                </c:pt>
                <c:pt idx="53">
                  <c:v>3.449954608600132</c:v>
                </c:pt>
                <c:pt idx="54">
                  <c:v>3.4620233505144182</c:v>
                </c:pt>
                <c:pt idx="55">
                  <c:v>3.4740920924287044</c:v>
                </c:pt>
                <c:pt idx="56">
                  <c:v>3.4861608343429911</c:v>
                </c:pt>
                <c:pt idx="57">
                  <c:v>3.4982295762572777</c:v>
                </c:pt>
                <c:pt idx="58">
                  <c:v>3.5102983181715639</c:v>
                </c:pt>
                <c:pt idx="59">
                  <c:v>3.5223670600858501</c:v>
                </c:pt>
                <c:pt idx="60">
                  <c:v>3.5344358020001367</c:v>
                </c:pt>
                <c:pt idx="61">
                  <c:v>3.5465045439144229</c:v>
                </c:pt>
                <c:pt idx="62">
                  <c:v>3.5585732858287096</c:v>
                </c:pt>
                <c:pt idx="63">
                  <c:v>3.5706420277429958</c:v>
                </c:pt>
                <c:pt idx="64">
                  <c:v>3.582710769657282</c:v>
                </c:pt>
                <c:pt idx="65">
                  <c:v>3.5947795115715686</c:v>
                </c:pt>
                <c:pt idx="66">
                  <c:v>3.6068482534858548</c:v>
                </c:pt>
                <c:pt idx="67">
                  <c:v>3.618916995400141</c:v>
                </c:pt>
                <c:pt idx="68">
                  <c:v>3.6309857373144276</c:v>
                </c:pt>
                <c:pt idx="69">
                  <c:v>3.6430544792287138</c:v>
                </c:pt>
                <c:pt idx="70">
                  <c:v>3.6551232211430005</c:v>
                </c:pt>
                <c:pt idx="71">
                  <c:v>3.6671919630572867</c:v>
                </c:pt>
                <c:pt idx="72">
                  <c:v>3.6792607049715729</c:v>
                </c:pt>
                <c:pt idx="73">
                  <c:v>3.6913294468858595</c:v>
                </c:pt>
                <c:pt idx="74">
                  <c:v>3.7033981888001457</c:v>
                </c:pt>
                <c:pt idx="75">
                  <c:v>3.7154669307144319</c:v>
                </c:pt>
                <c:pt idx="76">
                  <c:v>3.7275356726287185</c:v>
                </c:pt>
                <c:pt idx="77">
                  <c:v>3.7396044145430047</c:v>
                </c:pt>
                <c:pt idx="78">
                  <c:v>3.7516731564572914</c:v>
                </c:pt>
                <c:pt idx="79">
                  <c:v>3.7637418983715776</c:v>
                </c:pt>
                <c:pt idx="80">
                  <c:v>3.7758106402858638</c:v>
                </c:pt>
                <c:pt idx="81">
                  <c:v>3.7878793822001504</c:v>
                </c:pt>
                <c:pt idx="82">
                  <c:v>3.7999481241144366</c:v>
                </c:pt>
                <c:pt idx="83">
                  <c:v>3.8120168660287228</c:v>
                </c:pt>
                <c:pt idx="84">
                  <c:v>3.8240856079430094</c:v>
                </c:pt>
                <c:pt idx="85">
                  <c:v>3.8361543498572961</c:v>
                </c:pt>
                <c:pt idx="86">
                  <c:v>3.8482230917715818</c:v>
                </c:pt>
                <c:pt idx="87">
                  <c:v>3.8602918336858685</c:v>
                </c:pt>
                <c:pt idx="88">
                  <c:v>3.8723605756001547</c:v>
                </c:pt>
                <c:pt idx="89">
                  <c:v>3.8844293175144413</c:v>
                </c:pt>
                <c:pt idx="90">
                  <c:v>3.896498059428728</c:v>
                </c:pt>
                <c:pt idx="91">
                  <c:v>3.9085668013430137</c:v>
                </c:pt>
                <c:pt idx="92">
                  <c:v>3.9206355432573003</c:v>
                </c:pt>
                <c:pt idx="93">
                  <c:v>3.9327042851715865</c:v>
                </c:pt>
                <c:pt idx="94">
                  <c:v>3.9447730270858732</c:v>
                </c:pt>
                <c:pt idx="95">
                  <c:v>3.9568417690001598</c:v>
                </c:pt>
                <c:pt idx="96">
                  <c:v>3.9689105109144456</c:v>
                </c:pt>
                <c:pt idx="97">
                  <c:v>3.9809792528287322</c:v>
                </c:pt>
                <c:pt idx="98">
                  <c:v>3.993047994743018</c:v>
                </c:pt>
                <c:pt idx="99">
                  <c:v>4.0051167366573051</c:v>
                </c:pt>
                <c:pt idx="100">
                  <c:v>4.0171854785715908</c:v>
                </c:pt>
              </c:numCache>
            </c:numRef>
          </c:yVal>
          <c:smooth val="0"/>
          <c:extLst>
            <c:ext xmlns:c16="http://schemas.microsoft.com/office/drawing/2014/chart" uri="{C3380CC4-5D6E-409C-BE32-E72D297353CC}">
              <c16:uniqueId val="{00000005-C747-424C-B9C1-A1BFC1C2DBB9}"/>
            </c:ext>
          </c:extLst>
        </c:ser>
        <c:ser>
          <c:idx val="6"/>
          <c:order val="6"/>
          <c:tx>
            <c:strRef>
              <c:f>'V-N Diagram'!$N$36</c:f>
              <c:strCache>
                <c:ptCount val="1"/>
                <c:pt idx="0">
                  <c:v>VS+</c:v>
                </c:pt>
              </c:strCache>
            </c:strRef>
          </c:tx>
          <c:spPr>
            <a:ln w="25400" cap="rnd">
              <a:solidFill>
                <a:schemeClr val="accent4"/>
              </a:solidFill>
              <a:round/>
            </a:ln>
            <a:effectLst/>
          </c:spPr>
          <c:marker>
            <c:symbol val="none"/>
          </c:marker>
          <c:dPt>
            <c:idx val="78"/>
            <c:marker>
              <c:symbol val="circle"/>
              <c:size val="7"/>
              <c:spPr>
                <a:solidFill>
                  <a:schemeClr val="accent4"/>
                </a:solidFill>
                <a:ln w="9525">
                  <a:solidFill>
                    <a:schemeClr val="accent4"/>
                  </a:solidFill>
                </a:ln>
                <a:effectLst/>
              </c:spPr>
            </c:marker>
            <c:bubble3D val="0"/>
            <c:extLst>
              <c:ext xmlns:c16="http://schemas.microsoft.com/office/drawing/2014/chart" uri="{C3380CC4-5D6E-409C-BE32-E72D297353CC}">
                <c16:uniqueId val="{0000000E-9D75-4697-B1A9-32EB87BEDE6E}"/>
              </c:ext>
            </c:extLst>
          </c:dPt>
          <c:xVal>
            <c:numRef>
              <c:f>'V-N Diagram'!$N$187:$N$266</c:f>
              <c:numCache>
                <c:formatCode>0.00</c:formatCode>
                <c:ptCount val="80"/>
                <c:pt idx="0">
                  <c:v>91.394094063596299</c:v>
                </c:pt>
                <c:pt idx="1">
                  <c:v>91.394094063596299</c:v>
                </c:pt>
                <c:pt idx="2">
                  <c:v>91.394094063596299</c:v>
                </c:pt>
                <c:pt idx="3">
                  <c:v>91.394094063596299</c:v>
                </c:pt>
                <c:pt idx="4">
                  <c:v>91.394094063596299</c:v>
                </c:pt>
                <c:pt idx="5">
                  <c:v>91.394094063596299</c:v>
                </c:pt>
                <c:pt idx="6">
                  <c:v>91.394094063596299</c:v>
                </c:pt>
                <c:pt idx="7">
                  <c:v>91.394094063596299</c:v>
                </c:pt>
                <c:pt idx="8">
                  <c:v>91.394094063596299</c:v>
                </c:pt>
                <c:pt idx="9">
                  <c:v>91.394094063596299</c:v>
                </c:pt>
                <c:pt idx="10">
                  <c:v>91.394094063596299</c:v>
                </c:pt>
                <c:pt idx="11">
                  <c:v>91.394094063596299</c:v>
                </c:pt>
                <c:pt idx="12">
                  <c:v>91.394094063596299</c:v>
                </c:pt>
                <c:pt idx="13">
                  <c:v>91.394094063596299</c:v>
                </c:pt>
                <c:pt idx="14">
                  <c:v>91.394094063596299</c:v>
                </c:pt>
                <c:pt idx="15">
                  <c:v>91.394094063596299</c:v>
                </c:pt>
                <c:pt idx="16">
                  <c:v>91.394094063596299</c:v>
                </c:pt>
                <c:pt idx="17">
                  <c:v>91.394094063596299</c:v>
                </c:pt>
                <c:pt idx="18">
                  <c:v>91.394094063596299</c:v>
                </c:pt>
                <c:pt idx="19">
                  <c:v>91.394094063596299</c:v>
                </c:pt>
                <c:pt idx="20">
                  <c:v>91.394094063596299</c:v>
                </c:pt>
                <c:pt idx="21">
                  <c:v>91.394094063596299</c:v>
                </c:pt>
                <c:pt idx="22">
                  <c:v>91.394094063596299</c:v>
                </c:pt>
                <c:pt idx="23">
                  <c:v>91.394094063596299</c:v>
                </c:pt>
                <c:pt idx="24">
                  <c:v>91.394094063596299</c:v>
                </c:pt>
                <c:pt idx="25">
                  <c:v>91.394094063596299</c:v>
                </c:pt>
                <c:pt idx="26">
                  <c:v>91.394094063596299</c:v>
                </c:pt>
                <c:pt idx="27">
                  <c:v>91.394094063596299</c:v>
                </c:pt>
                <c:pt idx="28">
                  <c:v>91.394094063596299</c:v>
                </c:pt>
                <c:pt idx="29">
                  <c:v>91.394094063596299</c:v>
                </c:pt>
                <c:pt idx="30">
                  <c:v>91.394094063596299</c:v>
                </c:pt>
                <c:pt idx="31">
                  <c:v>91.394094063596299</c:v>
                </c:pt>
                <c:pt idx="32">
                  <c:v>91.394094063596299</c:v>
                </c:pt>
                <c:pt idx="33">
                  <c:v>91.394094063596299</c:v>
                </c:pt>
                <c:pt idx="34">
                  <c:v>91.394094063596299</c:v>
                </c:pt>
                <c:pt idx="35">
                  <c:v>91.394094063596299</c:v>
                </c:pt>
                <c:pt idx="36">
                  <c:v>91.394094063596299</c:v>
                </c:pt>
                <c:pt idx="37">
                  <c:v>91.394094063596299</c:v>
                </c:pt>
                <c:pt idx="38">
                  <c:v>91.394094063596299</c:v>
                </c:pt>
                <c:pt idx="39">
                  <c:v>91.394094063596299</c:v>
                </c:pt>
                <c:pt idx="40">
                  <c:v>91.394094063596299</c:v>
                </c:pt>
                <c:pt idx="41">
                  <c:v>91.394094063596299</c:v>
                </c:pt>
                <c:pt idx="42">
                  <c:v>91.394094063596299</c:v>
                </c:pt>
                <c:pt idx="43">
                  <c:v>91.394094063596299</c:v>
                </c:pt>
                <c:pt idx="44">
                  <c:v>91.394094063596299</c:v>
                </c:pt>
                <c:pt idx="45">
                  <c:v>91.394094063596299</c:v>
                </c:pt>
                <c:pt idx="46">
                  <c:v>91.394094063596299</c:v>
                </c:pt>
                <c:pt idx="47">
                  <c:v>91.394094063596299</c:v>
                </c:pt>
                <c:pt idx="48">
                  <c:v>91.394094063596299</c:v>
                </c:pt>
                <c:pt idx="49">
                  <c:v>91.394094063596299</c:v>
                </c:pt>
                <c:pt idx="50">
                  <c:v>91.394094063596299</c:v>
                </c:pt>
                <c:pt idx="51">
                  <c:v>91.394094063596299</c:v>
                </c:pt>
                <c:pt idx="52">
                  <c:v>91.394094063596299</c:v>
                </c:pt>
                <c:pt idx="53">
                  <c:v>91.394094063596299</c:v>
                </c:pt>
                <c:pt idx="54">
                  <c:v>91.394094063596299</c:v>
                </c:pt>
                <c:pt idx="55">
                  <c:v>91.394094063596299</c:v>
                </c:pt>
                <c:pt idx="56">
                  <c:v>91.394094063596299</c:v>
                </c:pt>
                <c:pt idx="57">
                  <c:v>91.394094063596299</c:v>
                </c:pt>
                <c:pt idx="58">
                  <c:v>91.394094063596299</c:v>
                </c:pt>
                <c:pt idx="59">
                  <c:v>91.394094063596299</c:v>
                </c:pt>
                <c:pt idx="60">
                  <c:v>91.394094063596299</c:v>
                </c:pt>
                <c:pt idx="61">
                  <c:v>91.394094063596299</c:v>
                </c:pt>
                <c:pt idx="62">
                  <c:v>91.394094063596299</c:v>
                </c:pt>
                <c:pt idx="63">
                  <c:v>91.394094063596299</c:v>
                </c:pt>
                <c:pt idx="64">
                  <c:v>91.394094063596299</c:v>
                </c:pt>
                <c:pt idx="65">
                  <c:v>91.394094063596299</c:v>
                </c:pt>
                <c:pt idx="66">
                  <c:v>91.394094063596299</c:v>
                </c:pt>
                <c:pt idx="67">
                  <c:v>91.394094063596299</c:v>
                </c:pt>
                <c:pt idx="68">
                  <c:v>91.394094063596299</c:v>
                </c:pt>
                <c:pt idx="69">
                  <c:v>91.394094063596299</c:v>
                </c:pt>
                <c:pt idx="70">
                  <c:v>91.394094063596299</c:v>
                </c:pt>
                <c:pt idx="71">
                  <c:v>91.394094063596299</c:v>
                </c:pt>
                <c:pt idx="72">
                  <c:v>91.394094063596299</c:v>
                </c:pt>
                <c:pt idx="73">
                  <c:v>91.394094063596299</c:v>
                </c:pt>
                <c:pt idx="74">
                  <c:v>91.394094063596299</c:v>
                </c:pt>
                <c:pt idx="75">
                  <c:v>91.394094063596299</c:v>
                </c:pt>
                <c:pt idx="76">
                  <c:v>91.394094063596299</c:v>
                </c:pt>
                <c:pt idx="77">
                  <c:v>91.394094063596299</c:v>
                </c:pt>
                <c:pt idx="78">
                  <c:v>91.394094063596299</c:v>
                </c:pt>
                <c:pt idx="79">
                  <c:v>91.394094063596299</c:v>
                </c:pt>
              </c:numCache>
            </c:numRef>
          </c:xVal>
          <c:yVal>
            <c:numRef>
              <c:f>'V-N Diagram'!$V$187:$V$266</c:f>
              <c:numCache>
                <c:formatCode>General</c:formatCode>
                <c:ptCount val="80"/>
                <c:pt idx="0">
                  <c:v>0</c:v>
                </c:pt>
                <c:pt idx="1">
                  <c:v>0.02</c:v>
                </c:pt>
                <c:pt idx="2">
                  <c:v>0.04</c:v>
                </c:pt>
                <c:pt idx="3">
                  <c:v>6.0000000000000102E-2</c:v>
                </c:pt>
                <c:pt idx="4">
                  <c:v>8.0000000000000099E-2</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pt idx="51">
                  <c:v>1.02</c:v>
                </c:pt>
                <c:pt idx="52">
                  <c:v>1.04</c:v>
                </c:pt>
                <c:pt idx="53">
                  <c:v>1.06</c:v>
                </c:pt>
                <c:pt idx="54">
                  <c:v>1.08</c:v>
                </c:pt>
                <c:pt idx="55">
                  <c:v>1.1000000000000001</c:v>
                </c:pt>
                <c:pt idx="56">
                  <c:v>1.1200000000000001</c:v>
                </c:pt>
                <c:pt idx="57">
                  <c:v>1.1399999999999999</c:v>
                </c:pt>
                <c:pt idx="58">
                  <c:v>1.1599999999999999</c:v>
                </c:pt>
                <c:pt idx="59">
                  <c:v>1.18</c:v>
                </c:pt>
                <c:pt idx="60">
                  <c:v>1.2</c:v>
                </c:pt>
                <c:pt idx="61">
                  <c:v>1.22</c:v>
                </c:pt>
                <c:pt idx="62">
                  <c:v>1.24</c:v>
                </c:pt>
                <c:pt idx="63">
                  <c:v>1.26</c:v>
                </c:pt>
                <c:pt idx="64">
                  <c:v>1.28</c:v>
                </c:pt>
                <c:pt idx="65">
                  <c:v>1.3</c:v>
                </c:pt>
                <c:pt idx="66">
                  <c:v>1.32</c:v>
                </c:pt>
                <c:pt idx="67">
                  <c:v>1.34</c:v>
                </c:pt>
                <c:pt idx="68">
                  <c:v>1.36</c:v>
                </c:pt>
                <c:pt idx="69">
                  <c:v>1.38</c:v>
                </c:pt>
                <c:pt idx="70">
                  <c:v>1.4</c:v>
                </c:pt>
                <c:pt idx="71">
                  <c:v>1.42</c:v>
                </c:pt>
                <c:pt idx="72">
                  <c:v>1.44</c:v>
                </c:pt>
                <c:pt idx="73">
                  <c:v>1.46</c:v>
                </c:pt>
                <c:pt idx="74">
                  <c:v>1.48</c:v>
                </c:pt>
                <c:pt idx="75">
                  <c:v>1.5</c:v>
                </c:pt>
                <c:pt idx="76">
                  <c:v>1.52</c:v>
                </c:pt>
                <c:pt idx="77">
                  <c:v>1.54</c:v>
                </c:pt>
                <c:pt idx="78">
                  <c:v>1.56</c:v>
                </c:pt>
                <c:pt idx="79">
                  <c:v>1.58</c:v>
                </c:pt>
              </c:numCache>
            </c:numRef>
          </c:yVal>
          <c:smooth val="0"/>
          <c:extLst>
            <c:ext xmlns:c16="http://schemas.microsoft.com/office/drawing/2014/chart" uri="{C3380CC4-5D6E-409C-BE32-E72D297353CC}">
              <c16:uniqueId val="{00000000-2575-4B4C-B923-E421E3722DF0}"/>
            </c:ext>
          </c:extLst>
        </c:ser>
        <c:ser>
          <c:idx val="7"/>
          <c:order val="7"/>
          <c:tx>
            <c:strRef>
              <c:f>'V-N Diagram'!$M$36</c:f>
              <c:strCache>
                <c:ptCount val="1"/>
                <c:pt idx="0">
                  <c:v>VS-</c:v>
                </c:pt>
              </c:strCache>
            </c:strRef>
          </c:tx>
          <c:spPr>
            <a:ln w="25400" cap="rnd">
              <a:solidFill>
                <a:schemeClr val="accent4"/>
              </a:solidFill>
              <a:round/>
            </a:ln>
            <a:effectLst/>
          </c:spPr>
          <c:marker>
            <c:symbol val="none"/>
          </c:marker>
          <c:dPt>
            <c:idx val="0"/>
            <c:marker>
              <c:symbol val="circle"/>
              <c:size val="7"/>
              <c:spPr>
                <a:solidFill>
                  <a:schemeClr val="accent4"/>
                </a:solidFill>
                <a:ln w="9525">
                  <a:solidFill>
                    <a:schemeClr val="accent4"/>
                  </a:solidFill>
                </a:ln>
                <a:effectLst/>
              </c:spPr>
            </c:marker>
            <c:bubble3D val="0"/>
            <c:extLst>
              <c:ext xmlns:c16="http://schemas.microsoft.com/office/drawing/2014/chart" uri="{C3380CC4-5D6E-409C-BE32-E72D297353CC}">
                <c16:uniqueId val="{00000011-9D75-4697-B1A9-32EB87BEDE6E}"/>
              </c:ext>
            </c:extLst>
          </c:dPt>
          <c:xVal>
            <c:numRef>
              <c:f>'V-N Diagram'!$M$139:$M$187</c:f>
              <c:numCache>
                <c:formatCode>General</c:formatCode>
                <c:ptCount val="49"/>
                <c:pt idx="0">
                  <c:v>108.13895043686934</c:v>
                </c:pt>
                <c:pt idx="1">
                  <c:v>108.13895043686934</c:v>
                </c:pt>
                <c:pt idx="2">
                  <c:v>108.13895043686934</c:v>
                </c:pt>
                <c:pt idx="3">
                  <c:v>108.13895043686934</c:v>
                </c:pt>
                <c:pt idx="4">
                  <c:v>108.13895043686934</c:v>
                </c:pt>
                <c:pt idx="5">
                  <c:v>108.13895043686934</c:v>
                </c:pt>
                <c:pt idx="6">
                  <c:v>108.13895043686934</c:v>
                </c:pt>
                <c:pt idx="7">
                  <c:v>108.13895043686934</c:v>
                </c:pt>
                <c:pt idx="8">
                  <c:v>108.13895043686934</c:v>
                </c:pt>
                <c:pt idx="9">
                  <c:v>108.13895043686934</c:v>
                </c:pt>
                <c:pt idx="10">
                  <c:v>108.13895043686934</c:v>
                </c:pt>
                <c:pt idx="11">
                  <c:v>108.13895043686934</c:v>
                </c:pt>
                <c:pt idx="12">
                  <c:v>108.13895043686934</c:v>
                </c:pt>
                <c:pt idx="13">
                  <c:v>108.13895043686934</c:v>
                </c:pt>
                <c:pt idx="14">
                  <c:v>108.13895043686934</c:v>
                </c:pt>
                <c:pt idx="15">
                  <c:v>108.13895043686934</c:v>
                </c:pt>
                <c:pt idx="16">
                  <c:v>108.13895043686934</c:v>
                </c:pt>
                <c:pt idx="17">
                  <c:v>108.13895043686934</c:v>
                </c:pt>
                <c:pt idx="18">
                  <c:v>108.13895043686934</c:v>
                </c:pt>
                <c:pt idx="19">
                  <c:v>108.13895043686934</c:v>
                </c:pt>
                <c:pt idx="20">
                  <c:v>108.13895043686934</c:v>
                </c:pt>
                <c:pt idx="21">
                  <c:v>108.13895043686934</c:v>
                </c:pt>
                <c:pt idx="22">
                  <c:v>108.13895043686934</c:v>
                </c:pt>
                <c:pt idx="23">
                  <c:v>108.13895043686934</c:v>
                </c:pt>
                <c:pt idx="24">
                  <c:v>108.13895043686934</c:v>
                </c:pt>
                <c:pt idx="25">
                  <c:v>108.13895043686934</c:v>
                </c:pt>
                <c:pt idx="26">
                  <c:v>108.13895043686934</c:v>
                </c:pt>
                <c:pt idx="27">
                  <c:v>108.13895043686934</c:v>
                </c:pt>
                <c:pt idx="28">
                  <c:v>108.13895043686934</c:v>
                </c:pt>
                <c:pt idx="29">
                  <c:v>108.13895043686934</c:v>
                </c:pt>
                <c:pt idx="30">
                  <c:v>108.13895043686934</c:v>
                </c:pt>
                <c:pt idx="31">
                  <c:v>108.13895043686934</c:v>
                </c:pt>
                <c:pt idx="32">
                  <c:v>108.13895043686934</c:v>
                </c:pt>
                <c:pt idx="33">
                  <c:v>108.13895043686934</c:v>
                </c:pt>
                <c:pt idx="34">
                  <c:v>108.13895043686934</c:v>
                </c:pt>
                <c:pt idx="35">
                  <c:v>108.13895043686934</c:v>
                </c:pt>
                <c:pt idx="36">
                  <c:v>108.13895043686934</c:v>
                </c:pt>
                <c:pt idx="37">
                  <c:v>108.13895043686934</c:v>
                </c:pt>
                <c:pt idx="38">
                  <c:v>108.13895043686934</c:v>
                </c:pt>
                <c:pt idx="39">
                  <c:v>108.13895043686934</c:v>
                </c:pt>
                <c:pt idx="40">
                  <c:v>108.13895043686934</c:v>
                </c:pt>
                <c:pt idx="41">
                  <c:v>108.13895043686934</c:v>
                </c:pt>
                <c:pt idx="42">
                  <c:v>108.13895043686934</c:v>
                </c:pt>
                <c:pt idx="43">
                  <c:v>108.13895043686934</c:v>
                </c:pt>
                <c:pt idx="44">
                  <c:v>108.13895043686934</c:v>
                </c:pt>
                <c:pt idx="45">
                  <c:v>108.13895043686934</c:v>
                </c:pt>
                <c:pt idx="46">
                  <c:v>108.13895043686934</c:v>
                </c:pt>
                <c:pt idx="47">
                  <c:v>108.13895043686934</c:v>
                </c:pt>
                <c:pt idx="48">
                  <c:v>108.13895043686934</c:v>
                </c:pt>
              </c:numCache>
            </c:numRef>
          </c:xVal>
          <c:yVal>
            <c:numRef>
              <c:f>'V-N Diagram'!$V$139:$V$187</c:f>
              <c:numCache>
                <c:formatCode>General</c:formatCode>
                <c:ptCount val="49"/>
                <c:pt idx="0">
                  <c:v>-0.96</c:v>
                </c:pt>
                <c:pt idx="1">
                  <c:v>-0.94</c:v>
                </c:pt>
                <c:pt idx="2">
                  <c:v>-0.92</c:v>
                </c:pt>
                <c:pt idx="3">
                  <c:v>-0.9</c:v>
                </c:pt>
                <c:pt idx="4">
                  <c:v>-0.88</c:v>
                </c:pt>
                <c:pt idx="5">
                  <c:v>-0.86</c:v>
                </c:pt>
                <c:pt idx="6">
                  <c:v>-0.84</c:v>
                </c:pt>
                <c:pt idx="7">
                  <c:v>-0.82</c:v>
                </c:pt>
                <c:pt idx="8">
                  <c:v>-0.8</c:v>
                </c:pt>
                <c:pt idx="9">
                  <c:v>-0.78</c:v>
                </c:pt>
                <c:pt idx="10">
                  <c:v>-0.76</c:v>
                </c:pt>
                <c:pt idx="11">
                  <c:v>-0.74</c:v>
                </c:pt>
                <c:pt idx="12">
                  <c:v>-0.72</c:v>
                </c:pt>
                <c:pt idx="13">
                  <c:v>-0.7</c:v>
                </c:pt>
                <c:pt idx="14">
                  <c:v>-0.68</c:v>
                </c:pt>
                <c:pt idx="15">
                  <c:v>-0.66</c:v>
                </c:pt>
                <c:pt idx="16">
                  <c:v>-0.64</c:v>
                </c:pt>
                <c:pt idx="17">
                  <c:v>-0.62</c:v>
                </c:pt>
                <c:pt idx="18">
                  <c:v>-0.6</c:v>
                </c:pt>
                <c:pt idx="19">
                  <c:v>-0.57999999999999996</c:v>
                </c:pt>
                <c:pt idx="20">
                  <c:v>-0.56000000000000005</c:v>
                </c:pt>
                <c:pt idx="21">
                  <c:v>-0.54</c:v>
                </c:pt>
                <c:pt idx="22">
                  <c:v>-0.52</c:v>
                </c:pt>
                <c:pt idx="23">
                  <c:v>-0.5</c:v>
                </c:pt>
                <c:pt idx="24">
                  <c:v>-0.48</c:v>
                </c:pt>
                <c:pt idx="25">
                  <c:v>-0.46</c:v>
                </c:pt>
                <c:pt idx="26">
                  <c:v>-0.44</c:v>
                </c:pt>
                <c:pt idx="27">
                  <c:v>-0.42</c:v>
                </c:pt>
                <c:pt idx="28">
                  <c:v>-0.4</c:v>
                </c:pt>
                <c:pt idx="29">
                  <c:v>-0.38</c:v>
                </c:pt>
                <c:pt idx="30">
                  <c:v>-0.36</c:v>
                </c:pt>
                <c:pt idx="31">
                  <c:v>-0.34</c:v>
                </c:pt>
                <c:pt idx="32">
                  <c:v>-0.32</c:v>
                </c:pt>
                <c:pt idx="33">
                  <c:v>-0.3</c:v>
                </c:pt>
                <c:pt idx="34">
                  <c:v>-0.28000000000000003</c:v>
                </c:pt>
                <c:pt idx="35">
                  <c:v>-0.26</c:v>
                </c:pt>
                <c:pt idx="36">
                  <c:v>-0.24</c:v>
                </c:pt>
                <c:pt idx="37">
                  <c:v>-0.22</c:v>
                </c:pt>
                <c:pt idx="38">
                  <c:v>-0.2</c:v>
                </c:pt>
                <c:pt idx="39">
                  <c:v>-0.18</c:v>
                </c:pt>
                <c:pt idx="40">
                  <c:v>-0.16</c:v>
                </c:pt>
                <c:pt idx="41">
                  <c:v>-0.14000000000000001</c:v>
                </c:pt>
                <c:pt idx="42">
                  <c:v>-0.12</c:v>
                </c:pt>
                <c:pt idx="43">
                  <c:v>-0.1</c:v>
                </c:pt>
                <c:pt idx="44">
                  <c:v>-8.0000000000000099E-2</c:v>
                </c:pt>
                <c:pt idx="45">
                  <c:v>-6.0000000000000102E-2</c:v>
                </c:pt>
                <c:pt idx="46">
                  <c:v>-0.04</c:v>
                </c:pt>
                <c:pt idx="47">
                  <c:v>-0.02</c:v>
                </c:pt>
                <c:pt idx="48">
                  <c:v>0</c:v>
                </c:pt>
              </c:numCache>
            </c:numRef>
          </c:yVal>
          <c:smooth val="0"/>
          <c:extLst>
            <c:ext xmlns:c16="http://schemas.microsoft.com/office/drawing/2014/chart" uri="{C3380CC4-5D6E-409C-BE32-E72D297353CC}">
              <c16:uniqueId val="{00000001-2575-4B4C-B923-E421E3722DF0}"/>
            </c:ext>
          </c:extLst>
        </c:ser>
        <c:ser>
          <c:idx val="10"/>
          <c:order val="10"/>
          <c:tx>
            <c:strRef>
              <c:f>'V-N Diagram'!$K$36</c:f>
              <c:strCache>
                <c:ptCount val="1"/>
                <c:pt idx="0">
                  <c:v>Vd</c:v>
                </c:pt>
              </c:strCache>
            </c:strRef>
          </c:tx>
          <c:spPr>
            <a:ln w="25400" cap="rnd">
              <a:solidFill>
                <a:schemeClr val="accent4"/>
              </a:solidFill>
              <a:round/>
            </a:ln>
            <a:effectLst/>
          </c:spPr>
          <c:marker>
            <c:symbol val="none"/>
          </c:marker>
          <c:xVal>
            <c:numRef>
              <c:f>'V-N Diagram'!$K$109:$K$365</c:f>
              <c:numCache>
                <c:formatCode>General</c:formatCode>
                <c:ptCount val="257"/>
                <c:pt idx="0">
                  <c:v>378</c:v>
                </c:pt>
                <c:pt idx="1">
                  <c:v>378</c:v>
                </c:pt>
                <c:pt idx="2">
                  <c:v>378</c:v>
                </c:pt>
                <c:pt idx="3">
                  <c:v>378</c:v>
                </c:pt>
                <c:pt idx="4">
                  <c:v>378</c:v>
                </c:pt>
                <c:pt idx="5">
                  <c:v>378</c:v>
                </c:pt>
                <c:pt idx="6">
                  <c:v>378</c:v>
                </c:pt>
                <c:pt idx="7">
                  <c:v>378</c:v>
                </c:pt>
                <c:pt idx="8">
                  <c:v>378</c:v>
                </c:pt>
                <c:pt idx="9">
                  <c:v>378</c:v>
                </c:pt>
                <c:pt idx="10">
                  <c:v>378</c:v>
                </c:pt>
                <c:pt idx="11">
                  <c:v>378</c:v>
                </c:pt>
                <c:pt idx="12">
                  <c:v>378</c:v>
                </c:pt>
                <c:pt idx="13">
                  <c:v>378</c:v>
                </c:pt>
                <c:pt idx="14">
                  <c:v>378</c:v>
                </c:pt>
                <c:pt idx="15">
                  <c:v>378</c:v>
                </c:pt>
                <c:pt idx="16">
                  <c:v>378</c:v>
                </c:pt>
                <c:pt idx="17">
                  <c:v>378</c:v>
                </c:pt>
                <c:pt idx="18">
                  <c:v>378</c:v>
                </c:pt>
                <c:pt idx="19">
                  <c:v>378</c:v>
                </c:pt>
                <c:pt idx="20">
                  <c:v>378</c:v>
                </c:pt>
                <c:pt idx="21">
                  <c:v>378</c:v>
                </c:pt>
                <c:pt idx="22">
                  <c:v>378</c:v>
                </c:pt>
                <c:pt idx="23">
                  <c:v>378</c:v>
                </c:pt>
                <c:pt idx="24">
                  <c:v>378</c:v>
                </c:pt>
                <c:pt idx="25">
                  <c:v>378</c:v>
                </c:pt>
                <c:pt idx="26">
                  <c:v>378</c:v>
                </c:pt>
                <c:pt idx="27">
                  <c:v>378</c:v>
                </c:pt>
                <c:pt idx="28">
                  <c:v>378</c:v>
                </c:pt>
                <c:pt idx="29">
                  <c:v>378</c:v>
                </c:pt>
                <c:pt idx="30">
                  <c:v>378</c:v>
                </c:pt>
                <c:pt idx="31">
                  <c:v>378</c:v>
                </c:pt>
                <c:pt idx="32">
                  <c:v>378</c:v>
                </c:pt>
                <c:pt idx="33">
                  <c:v>378</c:v>
                </c:pt>
                <c:pt idx="34">
                  <c:v>378</c:v>
                </c:pt>
                <c:pt idx="35">
                  <c:v>378</c:v>
                </c:pt>
                <c:pt idx="36">
                  <c:v>378</c:v>
                </c:pt>
                <c:pt idx="37">
                  <c:v>378</c:v>
                </c:pt>
                <c:pt idx="38">
                  <c:v>378</c:v>
                </c:pt>
                <c:pt idx="39">
                  <c:v>378</c:v>
                </c:pt>
                <c:pt idx="40">
                  <c:v>378</c:v>
                </c:pt>
                <c:pt idx="41">
                  <c:v>378</c:v>
                </c:pt>
                <c:pt idx="42">
                  <c:v>378</c:v>
                </c:pt>
                <c:pt idx="43">
                  <c:v>378</c:v>
                </c:pt>
                <c:pt idx="44">
                  <c:v>378</c:v>
                </c:pt>
                <c:pt idx="45">
                  <c:v>378</c:v>
                </c:pt>
                <c:pt idx="46">
                  <c:v>378</c:v>
                </c:pt>
                <c:pt idx="47">
                  <c:v>378</c:v>
                </c:pt>
                <c:pt idx="48">
                  <c:v>378</c:v>
                </c:pt>
                <c:pt idx="49">
                  <c:v>378</c:v>
                </c:pt>
                <c:pt idx="50">
                  <c:v>378</c:v>
                </c:pt>
                <c:pt idx="51">
                  <c:v>378</c:v>
                </c:pt>
                <c:pt idx="52">
                  <c:v>378</c:v>
                </c:pt>
                <c:pt idx="53">
                  <c:v>378</c:v>
                </c:pt>
                <c:pt idx="54">
                  <c:v>378</c:v>
                </c:pt>
                <c:pt idx="55">
                  <c:v>378</c:v>
                </c:pt>
                <c:pt idx="56">
                  <c:v>378</c:v>
                </c:pt>
                <c:pt idx="57">
                  <c:v>378</c:v>
                </c:pt>
                <c:pt idx="58">
                  <c:v>378</c:v>
                </c:pt>
                <c:pt idx="59">
                  <c:v>378</c:v>
                </c:pt>
                <c:pt idx="60">
                  <c:v>378</c:v>
                </c:pt>
                <c:pt idx="61">
                  <c:v>378</c:v>
                </c:pt>
                <c:pt idx="62">
                  <c:v>378</c:v>
                </c:pt>
                <c:pt idx="63">
                  <c:v>378</c:v>
                </c:pt>
                <c:pt idx="64">
                  <c:v>378</c:v>
                </c:pt>
                <c:pt idx="65">
                  <c:v>378</c:v>
                </c:pt>
                <c:pt idx="66">
                  <c:v>378</c:v>
                </c:pt>
                <c:pt idx="67">
                  <c:v>378</c:v>
                </c:pt>
                <c:pt idx="68">
                  <c:v>378</c:v>
                </c:pt>
                <c:pt idx="69">
                  <c:v>378</c:v>
                </c:pt>
                <c:pt idx="70">
                  <c:v>378</c:v>
                </c:pt>
                <c:pt idx="71">
                  <c:v>378</c:v>
                </c:pt>
                <c:pt idx="72">
                  <c:v>378</c:v>
                </c:pt>
                <c:pt idx="73">
                  <c:v>378</c:v>
                </c:pt>
                <c:pt idx="74">
                  <c:v>378</c:v>
                </c:pt>
                <c:pt idx="75">
                  <c:v>378</c:v>
                </c:pt>
                <c:pt idx="76">
                  <c:v>378</c:v>
                </c:pt>
                <c:pt idx="77">
                  <c:v>378</c:v>
                </c:pt>
                <c:pt idx="78">
                  <c:v>378</c:v>
                </c:pt>
                <c:pt idx="79">
                  <c:v>378</c:v>
                </c:pt>
                <c:pt idx="80">
                  <c:v>378</c:v>
                </c:pt>
                <c:pt idx="81">
                  <c:v>378</c:v>
                </c:pt>
                <c:pt idx="82">
                  <c:v>378</c:v>
                </c:pt>
                <c:pt idx="83">
                  <c:v>378</c:v>
                </c:pt>
                <c:pt idx="84">
                  <c:v>378</c:v>
                </c:pt>
                <c:pt idx="85">
                  <c:v>378</c:v>
                </c:pt>
                <c:pt idx="86">
                  <c:v>378</c:v>
                </c:pt>
                <c:pt idx="87">
                  <c:v>378</c:v>
                </c:pt>
                <c:pt idx="88">
                  <c:v>378</c:v>
                </c:pt>
                <c:pt idx="89">
                  <c:v>378</c:v>
                </c:pt>
                <c:pt idx="90">
                  <c:v>378</c:v>
                </c:pt>
                <c:pt idx="91">
                  <c:v>378</c:v>
                </c:pt>
                <c:pt idx="92">
                  <c:v>378</c:v>
                </c:pt>
                <c:pt idx="93">
                  <c:v>378</c:v>
                </c:pt>
                <c:pt idx="94">
                  <c:v>378</c:v>
                </c:pt>
                <c:pt idx="95">
                  <c:v>378</c:v>
                </c:pt>
                <c:pt idx="96">
                  <c:v>378</c:v>
                </c:pt>
                <c:pt idx="97">
                  <c:v>378</c:v>
                </c:pt>
                <c:pt idx="98">
                  <c:v>378</c:v>
                </c:pt>
                <c:pt idx="99">
                  <c:v>378</c:v>
                </c:pt>
                <c:pt idx="100">
                  <c:v>378</c:v>
                </c:pt>
                <c:pt idx="101">
                  <c:v>378</c:v>
                </c:pt>
                <c:pt idx="102">
                  <c:v>378</c:v>
                </c:pt>
                <c:pt idx="103">
                  <c:v>378</c:v>
                </c:pt>
                <c:pt idx="104">
                  <c:v>378</c:v>
                </c:pt>
                <c:pt idx="105">
                  <c:v>378</c:v>
                </c:pt>
                <c:pt idx="106">
                  <c:v>378</c:v>
                </c:pt>
                <c:pt idx="107">
                  <c:v>378</c:v>
                </c:pt>
                <c:pt idx="108">
                  <c:v>378</c:v>
                </c:pt>
                <c:pt idx="109">
                  <c:v>378</c:v>
                </c:pt>
                <c:pt idx="110">
                  <c:v>378</c:v>
                </c:pt>
                <c:pt idx="111">
                  <c:v>378</c:v>
                </c:pt>
                <c:pt idx="112">
                  <c:v>378</c:v>
                </c:pt>
                <c:pt idx="113">
                  <c:v>378</c:v>
                </c:pt>
                <c:pt idx="114">
                  <c:v>378</c:v>
                </c:pt>
                <c:pt idx="115">
                  <c:v>378</c:v>
                </c:pt>
                <c:pt idx="116">
                  <c:v>378</c:v>
                </c:pt>
                <c:pt idx="117">
                  <c:v>378</c:v>
                </c:pt>
                <c:pt idx="118">
                  <c:v>378</c:v>
                </c:pt>
                <c:pt idx="119">
                  <c:v>378</c:v>
                </c:pt>
                <c:pt idx="120">
                  <c:v>378</c:v>
                </c:pt>
                <c:pt idx="121">
                  <c:v>378</c:v>
                </c:pt>
                <c:pt idx="122">
                  <c:v>378</c:v>
                </c:pt>
                <c:pt idx="123">
                  <c:v>378</c:v>
                </c:pt>
                <c:pt idx="124">
                  <c:v>378</c:v>
                </c:pt>
                <c:pt idx="125">
                  <c:v>378</c:v>
                </c:pt>
                <c:pt idx="126">
                  <c:v>378</c:v>
                </c:pt>
                <c:pt idx="127">
                  <c:v>378</c:v>
                </c:pt>
                <c:pt idx="128">
                  <c:v>378</c:v>
                </c:pt>
                <c:pt idx="129">
                  <c:v>378</c:v>
                </c:pt>
                <c:pt idx="130">
                  <c:v>378</c:v>
                </c:pt>
                <c:pt idx="131">
                  <c:v>378</c:v>
                </c:pt>
                <c:pt idx="132">
                  <c:v>378</c:v>
                </c:pt>
                <c:pt idx="133">
                  <c:v>378</c:v>
                </c:pt>
                <c:pt idx="134">
                  <c:v>378</c:v>
                </c:pt>
                <c:pt idx="135">
                  <c:v>378</c:v>
                </c:pt>
                <c:pt idx="136">
                  <c:v>378</c:v>
                </c:pt>
                <c:pt idx="137">
                  <c:v>378</c:v>
                </c:pt>
                <c:pt idx="138">
                  <c:v>378</c:v>
                </c:pt>
                <c:pt idx="139">
                  <c:v>378</c:v>
                </c:pt>
                <c:pt idx="140">
                  <c:v>378</c:v>
                </c:pt>
                <c:pt idx="141">
                  <c:v>378</c:v>
                </c:pt>
                <c:pt idx="142">
                  <c:v>378</c:v>
                </c:pt>
                <c:pt idx="143">
                  <c:v>378</c:v>
                </c:pt>
                <c:pt idx="144">
                  <c:v>378</c:v>
                </c:pt>
                <c:pt idx="145">
                  <c:v>378</c:v>
                </c:pt>
                <c:pt idx="146">
                  <c:v>378</c:v>
                </c:pt>
                <c:pt idx="147">
                  <c:v>378</c:v>
                </c:pt>
                <c:pt idx="148">
                  <c:v>378</c:v>
                </c:pt>
                <c:pt idx="149">
                  <c:v>378</c:v>
                </c:pt>
                <c:pt idx="150">
                  <c:v>378</c:v>
                </c:pt>
                <c:pt idx="151">
                  <c:v>378</c:v>
                </c:pt>
                <c:pt idx="152">
                  <c:v>378</c:v>
                </c:pt>
                <c:pt idx="153">
                  <c:v>378</c:v>
                </c:pt>
                <c:pt idx="154">
                  <c:v>378</c:v>
                </c:pt>
                <c:pt idx="155">
                  <c:v>378</c:v>
                </c:pt>
                <c:pt idx="156">
                  <c:v>378</c:v>
                </c:pt>
                <c:pt idx="157">
                  <c:v>378</c:v>
                </c:pt>
                <c:pt idx="158">
                  <c:v>378</c:v>
                </c:pt>
                <c:pt idx="159">
                  <c:v>378</c:v>
                </c:pt>
                <c:pt idx="160">
                  <c:v>378</c:v>
                </c:pt>
                <c:pt idx="161">
                  <c:v>378</c:v>
                </c:pt>
                <c:pt idx="162">
                  <c:v>378</c:v>
                </c:pt>
                <c:pt idx="163">
                  <c:v>378</c:v>
                </c:pt>
                <c:pt idx="164">
                  <c:v>378</c:v>
                </c:pt>
                <c:pt idx="165">
                  <c:v>378</c:v>
                </c:pt>
                <c:pt idx="166">
                  <c:v>378</c:v>
                </c:pt>
                <c:pt idx="167">
                  <c:v>378</c:v>
                </c:pt>
                <c:pt idx="168">
                  <c:v>378</c:v>
                </c:pt>
                <c:pt idx="169">
                  <c:v>378</c:v>
                </c:pt>
                <c:pt idx="170">
                  <c:v>378</c:v>
                </c:pt>
                <c:pt idx="171">
                  <c:v>378</c:v>
                </c:pt>
                <c:pt idx="172">
                  <c:v>378</c:v>
                </c:pt>
                <c:pt idx="173">
                  <c:v>378</c:v>
                </c:pt>
                <c:pt idx="174">
                  <c:v>378</c:v>
                </c:pt>
                <c:pt idx="175">
                  <c:v>378</c:v>
                </c:pt>
                <c:pt idx="176">
                  <c:v>378</c:v>
                </c:pt>
                <c:pt idx="177">
                  <c:v>378</c:v>
                </c:pt>
                <c:pt idx="178">
                  <c:v>378</c:v>
                </c:pt>
                <c:pt idx="179">
                  <c:v>378</c:v>
                </c:pt>
                <c:pt idx="180">
                  <c:v>378</c:v>
                </c:pt>
                <c:pt idx="181">
                  <c:v>378</c:v>
                </c:pt>
                <c:pt idx="182">
                  <c:v>378</c:v>
                </c:pt>
                <c:pt idx="183">
                  <c:v>378</c:v>
                </c:pt>
                <c:pt idx="184">
                  <c:v>378</c:v>
                </c:pt>
                <c:pt idx="185">
                  <c:v>378</c:v>
                </c:pt>
                <c:pt idx="186">
                  <c:v>378</c:v>
                </c:pt>
                <c:pt idx="187">
                  <c:v>378</c:v>
                </c:pt>
                <c:pt idx="188">
                  <c:v>378</c:v>
                </c:pt>
                <c:pt idx="189">
                  <c:v>378</c:v>
                </c:pt>
                <c:pt idx="190">
                  <c:v>378</c:v>
                </c:pt>
                <c:pt idx="191">
                  <c:v>378</c:v>
                </c:pt>
                <c:pt idx="192">
                  <c:v>378</c:v>
                </c:pt>
                <c:pt idx="193">
                  <c:v>378</c:v>
                </c:pt>
                <c:pt idx="194">
                  <c:v>378</c:v>
                </c:pt>
                <c:pt idx="195">
                  <c:v>378</c:v>
                </c:pt>
                <c:pt idx="196">
                  <c:v>378</c:v>
                </c:pt>
                <c:pt idx="197">
                  <c:v>378</c:v>
                </c:pt>
                <c:pt idx="198">
                  <c:v>378</c:v>
                </c:pt>
                <c:pt idx="199">
                  <c:v>378</c:v>
                </c:pt>
                <c:pt idx="200">
                  <c:v>378</c:v>
                </c:pt>
                <c:pt idx="201">
                  <c:v>378</c:v>
                </c:pt>
                <c:pt idx="202">
                  <c:v>378</c:v>
                </c:pt>
                <c:pt idx="203">
                  <c:v>378</c:v>
                </c:pt>
                <c:pt idx="204">
                  <c:v>378</c:v>
                </c:pt>
                <c:pt idx="205">
                  <c:v>378</c:v>
                </c:pt>
                <c:pt idx="206">
                  <c:v>378</c:v>
                </c:pt>
                <c:pt idx="207">
                  <c:v>378</c:v>
                </c:pt>
                <c:pt idx="208">
                  <c:v>378</c:v>
                </c:pt>
                <c:pt idx="209">
                  <c:v>378</c:v>
                </c:pt>
                <c:pt idx="210">
                  <c:v>378</c:v>
                </c:pt>
                <c:pt idx="211">
                  <c:v>378</c:v>
                </c:pt>
                <c:pt idx="212">
                  <c:v>378</c:v>
                </c:pt>
                <c:pt idx="213">
                  <c:v>378</c:v>
                </c:pt>
                <c:pt idx="214">
                  <c:v>378</c:v>
                </c:pt>
                <c:pt idx="215">
                  <c:v>378</c:v>
                </c:pt>
                <c:pt idx="216">
                  <c:v>378</c:v>
                </c:pt>
                <c:pt idx="217">
                  <c:v>378</c:v>
                </c:pt>
                <c:pt idx="218">
                  <c:v>378</c:v>
                </c:pt>
                <c:pt idx="219">
                  <c:v>378</c:v>
                </c:pt>
                <c:pt idx="220">
                  <c:v>378</c:v>
                </c:pt>
                <c:pt idx="221">
                  <c:v>378</c:v>
                </c:pt>
                <c:pt idx="222">
                  <c:v>378</c:v>
                </c:pt>
                <c:pt idx="223">
                  <c:v>378</c:v>
                </c:pt>
                <c:pt idx="224">
                  <c:v>378</c:v>
                </c:pt>
                <c:pt idx="225">
                  <c:v>378</c:v>
                </c:pt>
                <c:pt idx="226">
                  <c:v>378</c:v>
                </c:pt>
                <c:pt idx="227">
                  <c:v>378</c:v>
                </c:pt>
                <c:pt idx="228">
                  <c:v>378</c:v>
                </c:pt>
                <c:pt idx="229">
                  <c:v>378</c:v>
                </c:pt>
                <c:pt idx="230">
                  <c:v>378</c:v>
                </c:pt>
                <c:pt idx="231">
                  <c:v>378</c:v>
                </c:pt>
                <c:pt idx="232">
                  <c:v>378</c:v>
                </c:pt>
                <c:pt idx="233">
                  <c:v>378</c:v>
                </c:pt>
                <c:pt idx="234">
                  <c:v>378</c:v>
                </c:pt>
                <c:pt idx="235">
                  <c:v>378</c:v>
                </c:pt>
                <c:pt idx="236">
                  <c:v>378</c:v>
                </c:pt>
                <c:pt idx="237">
                  <c:v>378</c:v>
                </c:pt>
                <c:pt idx="238">
                  <c:v>378</c:v>
                </c:pt>
                <c:pt idx="239">
                  <c:v>378</c:v>
                </c:pt>
                <c:pt idx="240">
                  <c:v>378</c:v>
                </c:pt>
                <c:pt idx="241">
                  <c:v>378</c:v>
                </c:pt>
                <c:pt idx="242">
                  <c:v>378</c:v>
                </c:pt>
                <c:pt idx="243">
                  <c:v>378</c:v>
                </c:pt>
                <c:pt idx="244">
                  <c:v>378</c:v>
                </c:pt>
                <c:pt idx="245">
                  <c:v>378</c:v>
                </c:pt>
                <c:pt idx="246">
                  <c:v>378</c:v>
                </c:pt>
                <c:pt idx="247">
                  <c:v>378</c:v>
                </c:pt>
                <c:pt idx="248">
                  <c:v>378</c:v>
                </c:pt>
                <c:pt idx="249">
                  <c:v>378</c:v>
                </c:pt>
                <c:pt idx="250">
                  <c:v>378</c:v>
                </c:pt>
                <c:pt idx="251">
                  <c:v>378</c:v>
                </c:pt>
                <c:pt idx="252">
                  <c:v>378</c:v>
                </c:pt>
                <c:pt idx="253">
                  <c:v>378</c:v>
                </c:pt>
                <c:pt idx="254">
                  <c:v>378</c:v>
                </c:pt>
                <c:pt idx="255">
                  <c:v>378</c:v>
                </c:pt>
                <c:pt idx="256">
                  <c:v>378</c:v>
                </c:pt>
              </c:numCache>
            </c:numRef>
          </c:xVal>
          <c:yVal>
            <c:numRef>
              <c:f>'V-N Diagram'!$V$109:$V$365</c:f>
              <c:numCache>
                <c:formatCode>General</c:formatCode>
                <c:ptCount val="257"/>
                <c:pt idx="0">
                  <c:v>-1.56</c:v>
                </c:pt>
                <c:pt idx="1">
                  <c:v>-1.54</c:v>
                </c:pt>
                <c:pt idx="2">
                  <c:v>-1.52</c:v>
                </c:pt>
                <c:pt idx="3">
                  <c:v>-1.5</c:v>
                </c:pt>
                <c:pt idx="4">
                  <c:v>-1.48</c:v>
                </c:pt>
                <c:pt idx="5">
                  <c:v>-1.46</c:v>
                </c:pt>
                <c:pt idx="6">
                  <c:v>-1.44</c:v>
                </c:pt>
                <c:pt idx="7">
                  <c:v>-1.42</c:v>
                </c:pt>
                <c:pt idx="8">
                  <c:v>-1.4</c:v>
                </c:pt>
                <c:pt idx="9">
                  <c:v>-1.38</c:v>
                </c:pt>
                <c:pt idx="10">
                  <c:v>-1.36</c:v>
                </c:pt>
                <c:pt idx="11">
                  <c:v>-1.34</c:v>
                </c:pt>
                <c:pt idx="12">
                  <c:v>-1.32</c:v>
                </c:pt>
                <c:pt idx="13">
                  <c:v>-1.3</c:v>
                </c:pt>
                <c:pt idx="14">
                  <c:v>-1.28</c:v>
                </c:pt>
                <c:pt idx="15">
                  <c:v>-1.26</c:v>
                </c:pt>
                <c:pt idx="16">
                  <c:v>-1.24</c:v>
                </c:pt>
                <c:pt idx="17">
                  <c:v>-1.22</c:v>
                </c:pt>
                <c:pt idx="18">
                  <c:v>-1.2</c:v>
                </c:pt>
                <c:pt idx="19">
                  <c:v>-1.18</c:v>
                </c:pt>
                <c:pt idx="20">
                  <c:v>-1.1599999999999999</c:v>
                </c:pt>
                <c:pt idx="21">
                  <c:v>-1.1399999999999999</c:v>
                </c:pt>
                <c:pt idx="22">
                  <c:v>-1.1200000000000001</c:v>
                </c:pt>
                <c:pt idx="23">
                  <c:v>-1.1000000000000001</c:v>
                </c:pt>
                <c:pt idx="24">
                  <c:v>-1.08</c:v>
                </c:pt>
                <c:pt idx="25">
                  <c:v>-1.06</c:v>
                </c:pt>
                <c:pt idx="26">
                  <c:v>-1.04</c:v>
                </c:pt>
                <c:pt idx="27">
                  <c:v>-1.02</c:v>
                </c:pt>
                <c:pt idx="28">
                  <c:v>-1</c:v>
                </c:pt>
                <c:pt idx="29">
                  <c:v>-0.98</c:v>
                </c:pt>
                <c:pt idx="30">
                  <c:v>-0.96</c:v>
                </c:pt>
                <c:pt idx="31">
                  <c:v>-0.94</c:v>
                </c:pt>
                <c:pt idx="32">
                  <c:v>-0.92</c:v>
                </c:pt>
                <c:pt idx="33">
                  <c:v>-0.9</c:v>
                </c:pt>
                <c:pt idx="34">
                  <c:v>-0.88</c:v>
                </c:pt>
                <c:pt idx="35">
                  <c:v>-0.86</c:v>
                </c:pt>
                <c:pt idx="36">
                  <c:v>-0.84</c:v>
                </c:pt>
                <c:pt idx="37">
                  <c:v>-0.82</c:v>
                </c:pt>
                <c:pt idx="38">
                  <c:v>-0.8</c:v>
                </c:pt>
                <c:pt idx="39">
                  <c:v>-0.78</c:v>
                </c:pt>
                <c:pt idx="40">
                  <c:v>-0.76</c:v>
                </c:pt>
                <c:pt idx="41">
                  <c:v>-0.74</c:v>
                </c:pt>
                <c:pt idx="42">
                  <c:v>-0.72</c:v>
                </c:pt>
                <c:pt idx="43">
                  <c:v>-0.7</c:v>
                </c:pt>
                <c:pt idx="44">
                  <c:v>-0.68</c:v>
                </c:pt>
                <c:pt idx="45">
                  <c:v>-0.66</c:v>
                </c:pt>
                <c:pt idx="46">
                  <c:v>-0.64</c:v>
                </c:pt>
                <c:pt idx="47">
                  <c:v>-0.62</c:v>
                </c:pt>
                <c:pt idx="48">
                  <c:v>-0.6</c:v>
                </c:pt>
                <c:pt idx="49">
                  <c:v>-0.57999999999999996</c:v>
                </c:pt>
                <c:pt idx="50">
                  <c:v>-0.56000000000000005</c:v>
                </c:pt>
                <c:pt idx="51">
                  <c:v>-0.54</c:v>
                </c:pt>
                <c:pt idx="52">
                  <c:v>-0.52</c:v>
                </c:pt>
                <c:pt idx="53">
                  <c:v>-0.5</c:v>
                </c:pt>
                <c:pt idx="54">
                  <c:v>-0.48</c:v>
                </c:pt>
                <c:pt idx="55">
                  <c:v>-0.46</c:v>
                </c:pt>
                <c:pt idx="56">
                  <c:v>-0.44</c:v>
                </c:pt>
                <c:pt idx="57">
                  <c:v>-0.42</c:v>
                </c:pt>
                <c:pt idx="58">
                  <c:v>-0.4</c:v>
                </c:pt>
                <c:pt idx="59">
                  <c:v>-0.38</c:v>
                </c:pt>
                <c:pt idx="60">
                  <c:v>-0.36</c:v>
                </c:pt>
                <c:pt idx="61">
                  <c:v>-0.34</c:v>
                </c:pt>
                <c:pt idx="62">
                  <c:v>-0.32</c:v>
                </c:pt>
                <c:pt idx="63">
                  <c:v>-0.3</c:v>
                </c:pt>
                <c:pt idx="64">
                  <c:v>-0.28000000000000003</c:v>
                </c:pt>
                <c:pt idx="65">
                  <c:v>-0.26</c:v>
                </c:pt>
                <c:pt idx="66">
                  <c:v>-0.24</c:v>
                </c:pt>
                <c:pt idx="67">
                  <c:v>-0.22</c:v>
                </c:pt>
                <c:pt idx="68">
                  <c:v>-0.2</c:v>
                </c:pt>
                <c:pt idx="69">
                  <c:v>-0.18</c:v>
                </c:pt>
                <c:pt idx="70">
                  <c:v>-0.16</c:v>
                </c:pt>
                <c:pt idx="71">
                  <c:v>-0.14000000000000001</c:v>
                </c:pt>
                <c:pt idx="72">
                  <c:v>-0.12</c:v>
                </c:pt>
                <c:pt idx="73">
                  <c:v>-0.1</c:v>
                </c:pt>
                <c:pt idx="74">
                  <c:v>-8.0000000000000099E-2</c:v>
                </c:pt>
                <c:pt idx="75">
                  <c:v>-6.0000000000000102E-2</c:v>
                </c:pt>
                <c:pt idx="76">
                  <c:v>-0.04</c:v>
                </c:pt>
                <c:pt idx="77">
                  <c:v>-0.02</c:v>
                </c:pt>
                <c:pt idx="78">
                  <c:v>0</c:v>
                </c:pt>
                <c:pt idx="79">
                  <c:v>0.02</c:v>
                </c:pt>
                <c:pt idx="80">
                  <c:v>0.04</c:v>
                </c:pt>
                <c:pt idx="81">
                  <c:v>6.0000000000000102E-2</c:v>
                </c:pt>
                <c:pt idx="82">
                  <c:v>8.0000000000000099E-2</c:v>
                </c:pt>
                <c:pt idx="83">
                  <c:v>0.1</c:v>
                </c:pt>
                <c:pt idx="84">
                  <c:v>0.12</c:v>
                </c:pt>
                <c:pt idx="85">
                  <c:v>0.14000000000000001</c:v>
                </c:pt>
                <c:pt idx="86">
                  <c:v>0.16</c:v>
                </c:pt>
                <c:pt idx="87">
                  <c:v>0.18</c:v>
                </c:pt>
                <c:pt idx="88">
                  <c:v>0.2</c:v>
                </c:pt>
                <c:pt idx="89">
                  <c:v>0.22</c:v>
                </c:pt>
                <c:pt idx="90">
                  <c:v>0.24</c:v>
                </c:pt>
                <c:pt idx="91">
                  <c:v>0.26</c:v>
                </c:pt>
                <c:pt idx="92">
                  <c:v>0.28000000000000003</c:v>
                </c:pt>
                <c:pt idx="93">
                  <c:v>0.3</c:v>
                </c:pt>
                <c:pt idx="94">
                  <c:v>0.32</c:v>
                </c:pt>
                <c:pt idx="95">
                  <c:v>0.34</c:v>
                </c:pt>
                <c:pt idx="96">
                  <c:v>0.36</c:v>
                </c:pt>
                <c:pt idx="97">
                  <c:v>0.38</c:v>
                </c:pt>
                <c:pt idx="98">
                  <c:v>0.4</c:v>
                </c:pt>
                <c:pt idx="99">
                  <c:v>0.42</c:v>
                </c:pt>
                <c:pt idx="100">
                  <c:v>0.44</c:v>
                </c:pt>
                <c:pt idx="101">
                  <c:v>0.46</c:v>
                </c:pt>
                <c:pt idx="102">
                  <c:v>0.48</c:v>
                </c:pt>
                <c:pt idx="103">
                  <c:v>0.5</c:v>
                </c:pt>
                <c:pt idx="104">
                  <c:v>0.52</c:v>
                </c:pt>
                <c:pt idx="105">
                  <c:v>0.54</c:v>
                </c:pt>
                <c:pt idx="106">
                  <c:v>0.56000000000000005</c:v>
                </c:pt>
                <c:pt idx="107">
                  <c:v>0.57999999999999996</c:v>
                </c:pt>
                <c:pt idx="108">
                  <c:v>0.6</c:v>
                </c:pt>
                <c:pt idx="109">
                  <c:v>0.62</c:v>
                </c:pt>
                <c:pt idx="110">
                  <c:v>0.64</c:v>
                </c:pt>
                <c:pt idx="111">
                  <c:v>0.66</c:v>
                </c:pt>
                <c:pt idx="112">
                  <c:v>0.68</c:v>
                </c:pt>
                <c:pt idx="113">
                  <c:v>0.7</c:v>
                </c:pt>
                <c:pt idx="114">
                  <c:v>0.72</c:v>
                </c:pt>
                <c:pt idx="115">
                  <c:v>0.74</c:v>
                </c:pt>
                <c:pt idx="116">
                  <c:v>0.76</c:v>
                </c:pt>
                <c:pt idx="117">
                  <c:v>0.78</c:v>
                </c:pt>
                <c:pt idx="118">
                  <c:v>0.8</c:v>
                </c:pt>
                <c:pt idx="119">
                  <c:v>0.82</c:v>
                </c:pt>
                <c:pt idx="120">
                  <c:v>0.84</c:v>
                </c:pt>
                <c:pt idx="121">
                  <c:v>0.86</c:v>
                </c:pt>
                <c:pt idx="122">
                  <c:v>0.88</c:v>
                </c:pt>
                <c:pt idx="123">
                  <c:v>0.9</c:v>
                </c:pt>
                <c:pt idx="124">
                  <c:v>0.92</c:v>
                </c:pt>
                <c:pt idx="125">
                  <c:v>0.94</c:v>
                </c:pt>
                <c:pt idx="126">
                  <c:v>0.96</c:v>
                </c:pt>
                <c:pt idx="127">
                  <c:v>0.98</c:v>
                </c:pt>
                <c:pt idx="128">
                  <c:v>1</c:v>
                </c:pt>
                <c:pt idx="129">
                  <c:v>1.02</c:v>
                </c:pt>
                <c:pt idx="130">
                  <c:v>1.04</c:v>
                </c:pt>
                <c:pt idx="131">
                  <c:v>1.06</c:v>
                </c:pt>
                <c:pt idx="132">
                  <c:v>1.08</c:v>
                </c:pt>
                <c:pt idx="133">
                  <c:v>1.1000000000000001</c:v>
                </c:pt>
                <c:pt idx="134">
                  <c:v>1.1200000000000001</c:v>
                </c:pt>
                <c:pt idx="135">
                  <c:v>1.1399999999999999</c:v>
                </c:pt>
                <c:pt idx="136">
                  <c:v>1.1599999999999999</c:v>
                </c:pt>
                <c:pt idx="137">
                  <c:v>1.18</c:v>
                </c:pt>
                <c:pt idx="138">
                  <c:v>1.2</c:v>
                </c:pt>
                <c:pt idx="139">
                  <c:v>1.22</c:v>
                </c:pt>
                <c:pt idx="140">
                  <c:v>1.24</c:v>
                </c:pt>
                <c:pt idx="141">
                  <c:v>1.26</c:v>
                </c:pt>
                <c:pt idx="142">
                  <c:v>1.28</c:v>
                </c:pt>
                <c:pt idx="143">
                  <c:v>1.3</c:v>
                </c:pt>
                <c:pt idx="144">
                  <c:v>1.32</c:v>
                </c:pt>
                <c:pt idx="145">
                  <c:v>1.34</c:v>
                </c:pt>
                <c:pt idx="146">
                  <c:v>1.36</c:v>
                </c:pt>
                <c:pt idx="147">
                  <c:v>1.38</c:v>
                </c:pt>
                <c:pt idx="148">
                  <c:v>1.4</c:v>
                </c:pt>
                <c:pt idx="149">
                  <c:v>1.42</c:v>
                </c:pt>
                <c:pt idx="150">
                  <c:v>1.44</c:v>
                </c:pt>
                <c:pt idx="151">
                  <c:v>1.46</c:v>
                </c:pt>
                <c:pt idx="152">
                  <c:v>1.48</c:v>
                </c:pt>
                <c:pt idx="153">
                  <c:v>1.5</c:v>
                </c:pt>
                <c:pt idx="154">
                  <c:v>1.52</c:v>
                </c:pt>
                <c:pt idx="155">
                  <c:v>1.54</c:v>
                </c:pt>
                <c:pt idx="156">
                  <c:v>1.56</c:v>
                </c:pt>
                <c:pt idx="157">
                  <c:v>1.58</c:v>
                </c:pt>
                <c:pt idx="158">
                  <c:v>1.6</c:v>
                </c:pt>
                <c:pt idx="159">
                  <c:v>1.62</c:v>
                </c:pt>
                <c:pt idx="160">
                  <c:v>1.64</c:v>
                </c:pt>
                <c:pt idx="161">
                  <c:v>1.66</c:v>
                </c:pt>
                <c:pt idx="162">
                  <c:v>1.68</c:v>
                </c:pt>
                <c:pt idx="163">
                  <c:v>1.7</c:v>
                </c:pt>
                <c:pt idx="164">
                  <c:v>1.72</c:v>
                </c:pt>
                <c:pt idx="165">
                  <c:v>1.74</c:v>
                </c:pt>
                <c:pt idx="166">
                  <c:v>1.76</c:v>
                </c:pt>
                <c:pt idx="167">
                  <c:v>1.78</c:v>
                </c:pt>
                <c:pt idx="168">
                  <c:v>1.8</c:v>
                </c:pt>
                <c:pt idx="169">
                  <c:v>1.82</c:v>
                </c:pt>
                <c:pt idx="170">
                  <c:v>1.84</c:v>
                </c:pt>
                <c:pt idx="171">
                  <c:v>1.86</c:v>
                </c:pt>
                <c:pt idx="172">
                  <c:v>1.88</c:v>
                </c:pt>
                <c:pt idx="173">
                  <c:v>1.9</c:v>
                </c:pt>
                <c:pt idx="174">
                  <c:v>1.92</c:v>
                </c:pt>
                <c:pt idx="175">
                  <c:v>1.94</c:v>
                </c:pt>
                <c:pt idx="176">
                  <c:v>1.96</c:v>
                </c:pt>
                <c:pt idx="177">
                  <c:v>1.98</c:v>
                </c:pt>
                <c:pt idx="178">
                  <c:v>2</c:v>
                </c:pt>
                <c:pt idx="179">
                  <c:v>2.02</c:v>
                </c:pt>
                <c:pt idx="180">
                  <c:v>2.04</c:v>
                </c:pt>
                <c:pt idx="181">
                  <c:v>2.06</c:v>
                </c:pt>
                <c:pt idx="182">
                  <c:v>2.08</c:v>
                </c:pt>
                <c:pt idx="183">
                  <c:v>2.1</c:v>
                </c:pt>
                <c:pt idx="184">
                  <c:v>2.12</c:v>
                </c:pt>
                <c:pt idx="185">
                  <c:v>2.14</c:v>
                </c:pt>
                <c:pt idx="186">
                  <c:v>2.16</c:v>
                </c:pt>
                <c:pt idx="187">
                  <c:v>2.1800000000000099</c:v>
                </c:pt>
                <c:pt idx="188">
                  <c:v>2.2000000000000002</c:v>
                </c:pt>
                <c:pt idx="189">
                  <c:v>2.2200000000000002</c:v>
                </c:pt>
                <c:pt idx="190">
                  <c:v>2.2400000000000002</c:v>
                </c:pt>
                <c:pt idx="191">
                  <c:v>2.26000000000001</c:v>
                </c:pt>
                <c:pt idx="192">
                  <c:v>2.2799999999999998</c:v>
                </c:pt>
                <c:pt idx="193">
                  <c:v>2.2999999999999998</c:v>
                </c:pt>
                <c:pt idx="194">
                  <c:v>2.3199999999999998</c:v>
                </c:pt>
                <c:pt idx="195">
                  <c:v>2.3400000000000101</c:v>
                </c:pt>
                <c:pt idx="196">
                  <c:v>2.36</c:v>
                </c:pt>
                <c:pt idx="197">
                  <c:v>2.38</c:v>
                </c:pt>
                <c:pt idx="198">
                  <c:v>2.4</c:v>
                </c:pt>
                <c:pt idx="199">
                  <c:v>2.4200000000000101</c:v>
                </c:pt>
                <c:pt idx="200">
                  <c:v>2.44</c:v>
                </c:pt>
                <c:pt idx="201">
                  <c:v>2.46</c:v>
                </c:pt>
                <c:pt idx="202">
                  <c:v>2.48</c:v>
                </c:pt>
                <c:pt idx="203">
                  <c:v>2.5000000000000102</c:v>
                </c:pt>
                <c:pt idx="204">
                  <c:v>2.52</c:v>
                </c:pt>
                <c:pt idx="205">
                  <c:v>2.54</c:v>
                </c:pt>
                <c:pt idx="206">
                  <c:v>2.56</c:v>
                </c:pt>
                <c:pt idx="207">
                  <c:v>2.5800000000000098</c:v>
                </c:pt>
                <c:pt idx="208">
                  <c:v>2.6</c:v>
                </c:pt>
                <c:pt idx="209">
                  <c:v>2.62</c:v>
                </c:pt>
                <c:pt idx="210">
                  <c:v>2.6400000000000099</c:v>
                </c:pt>
                <c:pt idx="211">
                  <c:v>2.6600000000000099</c:v>
                </c:pt>
                <c:pt idx="212">
                  <c:v>2.6800000000000099</c:v>
                </c:pt>
                <c:pt idx="213">
                  <c:v>2.7</c:v>
                </c:pt>
                <c:pt idx="214">
                  <c:v>2.72000000000001</c:v>
                </c:pt>
                <c:pt idx="215">
                  <c:v>2.74000000000001</c:v>
                </c:pt>
                <c:pt idx="216">
                  <c:v>2.76000000000001</c:v>
                </c:pt>
                <c:pt idx="217">
                  <c:v>2.78</c:v>
                </c:pt>
                <c:pt idx="218">
                  <c:v>2.80000000000001</c:v>
                </c:pt>
                <c:pt idx="219">
                  <c:v>2.8200000000000101</c:v>
                </c:pt>
                <c:pt idx="220">
                  <c:v>2.8400000000000101</c:v>
                </c:pt>
                <c:pt idx="221">
                  <c:v>2.86</c:v>
                </c:pt>
                <c:pt idx="222">
                  <c:v>2.8800000000000101</c:v>
                </c:pt>
                <c:pt idx="223">
                  <c:v>2.9000000000000101</c:v>
                </c:pt>
                <c:pt idx="224">
                  <c:v>2.9200000000000101</c:v>
                </c:pt>
                <c:pt idx="225">
                  <c:v>2.94</c:v>
                </c:pt>
                <c:pt idx="226">
                  <c:v>2.9600000000000102</c:v>
                </c:pt>
                <c:pt idx="227">
                  <c:v>2.9800000000000102</c:v>
                </c:pt>
                <c:pt idx="228">
                  <c:v>3.0000000000000102</c:v>
                </c:pt>
                <c:pt idx="229">
                  <c:v>3.02</c:v>
                </c:pt>
                <c:pt idx="230">
                  <c:v>3.0400000000000098</c:v>
                </c:pt>
                <c:pt idx="231">
                  <c:v>3.0600000000000098</c:v>
                </c:pt>
                <c:pt idx="232">
                  <c:v>3.0800000000000098</c:v>
                </c:pt>
                <c:pt idx="233">
                  <c:v>3.1</c:v>
                </c:pt>
                <c:pt idx="234">
                  <c:v>3.1200000000000099</c:v>
                </c:pt>
                <c:pt idx="235">
                  <c:v>3.1400000000000099</c:v>
                </c:pt>
                <c:pt idx="236">
                  <c:v>3.1600000000000099</c:v>
                </c:pt>
                <c:pt idx="237">
                  <c:v>3.1800000000000099</c:v>
                </c:pt>
                <c:pt idx="238">
                  <c:v>3.2000000000000099</c:v>
                </c:pt>
                <c:pt idx="239">
                  <c:v>3.22000000000001</c:v>
                </c:pt>
                <c:pt idx="240">
                  <c:v>3.24000000000001</c:v>
                </c:pt>
                <c:pt idx="241">
                  <c:v>3.26000000000001</c:v>
                </c:pt>
                <c:pt idx="242">
                  <c:v>3.28000000000001</c:v>
                </c:pt>
                <c:pt idx="243">
                  <c:v>3.30000000000001</c:v>
                </c:pt>
                <c:pt idx="244">
                  <c:v>3.3200000000000101</c:v>
                </c:pt>
                <c:pt idx="245">
                  <c:v>3.3400000000000101</c:v>
                </c:pt>
                <c:pt idx="246">
                  <c:v>3.3600000000000101</c:v>
                </c:pt>
                <c:pt idx="247">
                  <c:v>3.3800000000000101</c:v>
                </c:pt>
                <c:pt idx="248">
                  <c:v>3.4000000000000101</c:v>
                </c:pt>
                <c:pt idx="249">
                  <c:v>3.4200000000000101</c:v>
                </c:pt>
                <c:pt idx="250">
                  <c:v>3.4400000000000102</c:v>
                </c:pt>
                <c:pt idx="251">
                  <c:v>3.4600000000000102</c:v>
                </c:pt>
                <c:pt idx="252">
                  <c:v>3.4800000000000102</c:v>
                </c:pt>
                <c:pt idx="253">
                  <c:v>3.5000000000000102</c:v>
                </c:pt>
                <c:pt idx="254">
                  <c:v>3.5200000000000098</c:v>
                </c:pt>
                <c:pt idx="255">
                  <c:v>3.5400000000000098</c:v>
                </c:pt>
                <c:pt idx="256">
                  <c:v>3.5600000000000098</c:v>
                </c:pt>
              </c:numCache>
            </c:numRef>
          </c:yVal>
          <c:smooth val="0"/>
          <c:extLst>
            <c:ext xmlns:c16="http://schemas.microsoft.com/office/drawing/2014/chart" uri="{C3380CC4-5D6E-409C-BE32-E72D297353CC}">
              <c16:uniqueId val="{00000002-FEB8-44EC-AC39-20F9C55AFBB7}"/>
            </c:ext>
          </c:extLst>
        </c:ser>
        <c:ser>
          <c:idx val="12"/>
          <c:order val="12"/>
          <c:tx>
            <c:strRef>
              <c:f>'V-N Diagram'!$W$36</c:f>
              <c:strCache>
                <c:ptCount val="1"/>
                <c:pt idx="0">
                  <c:v>n1</c:v>
                </c:pt>
              </c:strCache>
            </c:strRef>
          </c:tx>
          <c:spPr>
            <a:ln w="25400" cap="rnd">
              <a:solidFill>
                <a:schemeClr val="accent4"/>
              </a:solidFill>
              <a:round/>
            </a:ln>
            <a:effectLst/>
          </c:spPr>
          <c:marker>
            <c:symbol val="none"/>
          </c:marker>
          <c:dPt>
            <c:idx val="1"/>
            <c:marker>
              <c:symbol val="circle"/>
              <c:size val="7"/>
              <c:spPr>
                <a:solidFill>
                  <a:schemeClr val="accent1">
                    <a:lumMod val="80000"/>
                    <a:lumOff val="20000"/>
                  </a:schemeClr>
                </a:solidFill>
                <a:ln w="9525">
                  <a:solidFill>
                    <a:schemeClr val="accent1">
                      <a:lumMod val="80000"/>
                      <a:lumOff val="20000"/>
                    </a:schemeClr>
                  </a:solidFill>
                </a:ln>
                <a:effectLst/>
              </c:spPr>
            </c:marker>
            <c:bubble3D val="0"/>
            <c:extLst>
              <c:ext xmlns:c16="http://schemas.microsoft.com/office/drawing/2014/chart" uri="{C3380CC4-5D6E-409C-BE32-E72D297353CC}">
                <c16:uniqueId val="{00000008-9D75-4697-B1A9-32EB87BEDE6E}"/>
              </c:ext>
            </c:extLst>
          </c:dPt>
          <c:dPt>
            <c:idx val="54"/>
            <c:marker>
              <c:symbol val="circle"/>
              <c:size val="7"/>
              <c:spPr>
                <a:solidFill>
                  <a:schemeClr val="accent1">
                    <a:lumMod val="80000"/>
                    <a:lumOff val="20000"/>
                  </a:schemeClr>
                </a:solidFill>
                <a:ln w="9525">
                  <a:solidFill>
                    <a:schemeClr val="accent1">
                      <a:lumMod val="80000"/>
                      <a:lumOff val="20000"/>
                    </a:schemeClr>
                  </a:solidFill>
                </a:ln>
                <a:effectLst/>
              </c:spPr>
            </c:marker>
            <c:bubble3D val="0"/>
            <c:extLst>
              <c:ext xmlns:c16="http://schemas.microsoft.com/office/drawing/2014/chart" uri="{C3380CC4-5D6E-409C-BE32-E72D297353CC}">
                <c16:uniqueId val="{0000000A-9D75-4697-B1A9-32EB87BEDE6E}"/>
              </c:ext>
            </c:extLst>
          </c:dPt>
          <c:xVal>
            <c:numRef>
              <c:f>'V-N Diagram'!$O$133:$O$187</c:f>
              <c:numCache>
                <c:formatCode>General</c:formatCode>
                <c:ptCount val="55"/>
                <c:pt idx="0">
                  <c:v>96</c:v>
                </c:pt>
                <c:pt idx="1">
                  <c:v>97</c:v>
                </c:pt>
                <c:pt idx="2">
                  <c:v>98</c:v>
                </c:pt>
                <c:pt idx="3">
                  <c:v>99</c:v>
                </c:pt>
                <c:pt idx="4">
                  <c:v>100</c:v>
                </c:pt>
                <c:pt idx="5">
                  <c:v>101</c:v>
                </c:pt>
                <c:pt idx="6">
                  <c:v>102</c:v>
                </c:pt>
                <c:pt idx="7">
                  <c:v>103</c:v>
                </c:pt>
                <c:pt idx="8">
                  <c:v>104</c:v>
                </c:pt>
                <c:pt idx="9">
                  <c:v>105</c:v>
                </c:pt>
                <c:pt idx="10">
                  <c:v>106</c:v>
                </c:pt>
                <c:pt idx="11">
                  <c:v>107</c:v>
                </c:pt>
                <c:pt idx="12">
                  <c:v>108</c:v>
                </c:pt>
                <c:pt idx="13">
                  <c:v>109</c:v>
                </c:pt>
                <c:pt idx="14">
                  <c:v>110</c:v>
                </c:pt>
                <c:pt idx="15">
                  <c:v>111</c:v>
                </c:pt>
                <c:pt idx="16">
                  <c:v>112</c:v>
                </c:pt>
                <c:pt idx="17">
                  <c:v>113</c:v>
                </c:pt>
                <c:pt idx="18">
                  <c:v>114</c:v>
                </c:pt>
                <c:pt idx="19">
                  <c:v>115</c:v>
                </c:pt>
                <c:pt idx="20">
                  <c:v>116</c:v>
                </c:pt>
                <c:pt idx="21">
                  <c:v>117</c:v>
                </c:pt>
                <c:pt idx="22">
                  <c:v>118</c:v>
                </c:pt>
                <c:pt idx="23">
                  <c:v>119</c:v>
                </c:pt>
                <c:pt idx="24">
                  <c:v>120</c:v>
                </c:pt>
                <c:pt idx="25">
                  <c:v>121</c:v>
                </c:pt>
                <c:pt idx="26">
                  <c:v>122</c:v>
                </c:pt>
                <c:pt idx="27">
                  <c:v>123</c:v>
                </c:pt>
                <c:pt idx="28">
                  <c:v>124</c:v>
                </c:pt>
                <c:pt idx="29">
                  <c:v>125</c:v>
                </c:pt>
                <c:pt idx="30">
                  <c:v>126</c:v>
                </c:pt>
                <c:pt idx="31">
                  <c:v>127</c:v>
                </c:pt>
                <c:pt idx="32">
                  <c:v>128</c:v>
                </c:pt>
                <c:pt idx="33">
                  <c:v>129</c:v>
                </c:pt>
                <c:pt idx="34">
                  <c:v>130</c:v>
                </c:pt>
                <c:pt idx="35">
                  <c:v>131</c:v>
                </c:pt>
                <c:pt idx="36">
                  <c:v>132</c:v>
                </c:pt>
                <c:pt idx="37">
                  <c:v>133</c:v>
                </c:pt>
                <c:pt idx="38">
                  <c:v>134</c:v>
                </c:pt>
                <c:pt idx="39">
                  <c:v>135</c:v>
                </c:pt>
                <c:pt idx="40">
                  <c:v>136</c:v>
                </c:pt>
                <c:pt idx="41">
                  <c:v>137</c:v>
                </c:pt>
                <c:pt idx="42">
                  <c:v>138</c:v>
                </c:pt>
                <c:pt idx="43">
                  <c:v>139</c:v>
                </c:pt>
                <c:pt idx="44">
                  <c:v>140</c:v>
                </c:pt>
                <c:pt idx="45">
                  <c:v>141</c:v>
                </c:pt>
                <c:pt idx="46">
                  <c:v>142</c:v>
                </c:pt>
                <c:pt idx="47">
                  <c:v>143</c:v>
                </c:pt>
                <c:pt idx="48">
                  <c:v>144</c:v>
                </c:pt>
                <c:pt idx="49">
                  <c:v>145</c:v>
                </c:pt>
                <c:pt idx="50">
                  <c:v>146</c:v>
                </c:pt>
                <c:pt idx="51">
                  <c:v>147</c:v>
                </c:pt>
                <c:pt idx="52">
                  <c:v>148</c:v>
                </c:pt>
                <c:pt idx="53">
                  <c:v>149</c:v>
                </c:pt>
                <c:pt idx="54">
                  <c:v>150</c:v>
                </c:pt>
              </c:numCache>
            </c:numRef>
          </c:xVal>
          <c:yVal>
            <c:numRef>
              <c:f>'V-N Diagram'!$W$133:$W$187</c:f>
              <c:numCache>
                <c:formatCode>0.00</c:formatCode>
                <c:ptCount val="55"/>
                <c:pt idx="0">
                  <c:v>2.9311688311688311</c:v>
                </c:pt>
                <c:pt idx="1">
                  <c:v>2.9311688311688311</c:v>
                </c:pt>
                <c:pt idx="2">
                  <c:v>2.9311688311688311</c:v>
                </c:pt>
                <c:pt idx="3">
                  <c:v>2.9311688311688311</c:v>
                </c:pt>
                <c:pt idx="4">
                  <c:v>2.9311688311688311</c:v>
                </c:pt>
                <c:pt idx="5">
                  <c:v>2.9311688311688311</c:v>
                </c:pt>
                <c:pt idx="6">
                  <c:v>2.9311688311688311</c:v>
                </c:pt>
                <c:pt idx="7">
                  <c:v>2.9311688311688311</c:v>
                </c:pt>
                <c:pt idx="8">
                  <c:v>2.9311688311688311</c:v>
                </c:pt>
                <c:pt idx="9">
                  <c:v>2.9311688311688311</c:v>
                </c:pt>
                <c:pt idx="10">
                  <c:v>2.9311688311688311</c:v>
                </c:pt>
                <c:pt idx="11">
                  <c:v>2.9311688311688311</c:v>
                </c:pt>
                <c:pt idx="12">
                  <c:v>2.9311688311688311</c:v>
                </c:pt>
                <c:pt idx="13">
                  <c:v>2.9311688311688311</c:v>
                </c:pt>
                <c:pt idx="14">
                  <c:v>2.9311688311688311</c:v>
                </c:pt>
                <c:pt idx="15">
                  <c:v>2.9311688311688311</c:v>
                </c:pt>
                <c:pt idx="16">
                  <c:v>2.9311688311688311</c:v>
                </c:pt>
                <c:pt idx="17">
                  <c:v>2.9311688311688311</c:v>
                </c:pt>
                <c:pt idx="18">
                  <c:v>2.9311688311688311</c:v>
                </c:pt>
                <c:pt idx="19">
                  <c:v>2.9311688311688311</c:v>
                </c:pt>
                <c:pt idx="20">
                  <c:v>2.9311688311688311</c:v>
                </c:pt>
                <c:pt idx="21">
                  <c:v>2.9311688311688311</c:v>
                </c:pt>
                <c:pt idx="22">
                  <c:v>2.9311688311688311</c:v>
                </c:pt>
                <c:pt idx="23">
                  <c:v>2.9311688311688311</c:v>
                </c:pt>
                <c:pt idx="24">
                  <c:v>2.9311688311688311</c:v>
                </c:pt>
                <c:pt idx="25">
                  <c:v>2.9311688311688311</c:v>
                </c:pt>
                <c:pt idx="26">
                  <c:v>2.9311688311688311</c:v>
                </c:pt>
                <c:pt idx="27">
                  <c:v>2.9311688311688311</c:v>
                </c:pt>
                <c:pt idx="28">
                  <c:v>2.9311688311688311</c:v>
                </c:pt>
                <c:pt idx="29">
                  <c:v>2.9311688311688311</c:v>
                </c:pt>
                <c:pt idx="30">
                  <c:v>2.9311688311688311</c:v>
                </c:pt>
                <c:pt idx="31">
                  <c:v>2.9311688311688311</c:v>
                </c:pt>
                <c:pt idx="32">
                  <c:v>2.9311688311688311</c:v>
                </c:pt>
                <c:pt idx="33">
                  <c:v>2.9311688311688311</c:v>
                </c:pt>
                <c:pt idx="34">
                  <c:v>2.9311688311688311</c:v>
                </c:pt>
                <c:pt idx="35">
                  <c:v>2.9311688311688311</c:v>
                </c:pt>
                <c:pt idx="36">
                  <c:v>2.9311688311688311</c:v>
                </c:pt>
                <c:pt idx="37">
                  <c:v>2.9311688311688311</c:v>
                </c:pt>
                <c:pt idx="38">
                  <c:v>2.9311688311688311</c:v>
                </c:pt>
                <c:pt idx="39">
                  <c:v>2.9311688311688311</c:v>
                </c:pt>
                <c:pt idx="40">
                  <c:v>2.9311688311688311</c:v>
                </c:pt>
                <c:pt idx="41">
                  <c:v>2.9311688311688311</c:v>
                </c:pt>
                <c:pt idx="42">
                  <c:v>2.9311688311688311</c:v>
                </c:pt>
                <c:pt idx="43">
                  <c:v>2.9311688311688311</c:v>
                </c:pt>
                <c:pt idx="44">
                  <c:v>2.9311688311688311</c:v>
                </c:pt>
                <c:pt idx="45">
                  <c:v>2.9311688311688311</c:v>
                </c:pt>
                <c:pt idx="46">
                  <c:v>2.9311688311688311</c:v>
                </c:pt>
                <c:pt idx="47">
                  <c:v>2.9311688311688311</c:v>
                </c:pt>
                <c:pt idx="48">
                  <c:v>2.9311688311688311</c:v>
                </c:pt>
                <c:pt idx="49">
                  <c:v>2.9311688311688311</c:v>
                </c:pt>
                <c:pt idx="50">
                  <c:v>2.9311688311688311</c:v>
                </c:pt>
                <c:pt idx="51">
                  <c:v>2.9311688311688311</c:v>
                </c:pt>
                <c:pt idx="52">
                  <c:v>2.9311688311688311</c:v>
                </c:pt>
                <c:pt idx="53">
                  <c:v>2.9311688311688311</c:v>
                </c:pt>
                <c:pt idx="54">
                  <c:v>2.9311688311688311</c:v>
                </c:pt>
              </c:numCache>
            </c:numRef>
          </c:yVal>
          <c:smooth val="0"/>
          <c:extLst>
            <c:ext xmlns:c16="http://schemas.microsoft.com/office/drawing/2014/chart" uri="{C3380CC4-5D6E-409C-BE32-E72D297353CC}">
              <c16:uniqueId val="{00000006-FEB8-44EC-AC39-20F9C55AFBB7}"/>
            </c:ext>
          </c:extLst>
        </c:ser>
        <c:ser>
          <c:idx val="13"/>
          <c:order val="13"/>
          <c:tx>
            <c:strRef>
              <c:f>'V-N Diagram'!$X$36</c:f>
              <c:strCache>
                <c:ptCount val="1"/>
                <c:pt idx="0">
                  <c:v>n2</c:v>
                </c:pt>
              </c:strCache>
            </c:strRef>
          </c:tx>
          <c:spPr>
            <a:ln w="25400" cap="rnd">
              <a:solidFill>
                <a:schemeClr val="accent4"/>
              </a:solidFill>
              <a:round/>
            </a:ln>
            <a:effectLst/>
          </c:spPr>
          <c:marker>
            <c:symbol val="none"/>
          </c:marker>
          <c:dPt>
            <c:idx val="0"/>
            <c:marker>
              <c:symbol val="circle"/>
              <c:size val="7"/>
              <c:spPr>
                <a:solidFill>
                  <a:schemeClr val="accent4"/>
                </a:solidFill>
                <a:ln w="9525">
                  <a:solidFill>
                    <a:schemeClr val="accent4"/>
                  </a:solidFill>
                </a:ln>
                <a:effectLst/>
              </c:spPr>
            </c:marker>
            <c:bubble3D val="0"/>
            <c:extLst>
              <c:ext xmlns:c16="http://schemas.microsoft.com/office/drawing/2014/chart" uri="{C3380CC4-5D6E-409C-BE32-E72D297353CC}">
                <c16:uniqueId val="{0000000F-9D75-4697-B1A9-32EB87BEDE6E}"/>
              </c:ext>
            </c:extLst>
          </c:dPt>
          <c:dPt>
            <c:idx val="54"/>
            <c:marker>
              <c:symbol val="circle"/>
              <c:size val="7"/>
              <c:spPr>
                <a:solidFill>
                  <a:schemeClr val="accent4"/>
                </a:solidFill>
                <a:ln w="9525">
                  <a:solidFill>
                    <a:schemeClr val="accent4"/>
                  </a:solidFill>
                </a:ln>
                <a:effectLst/>
              </c:spPr>
            </c:marker>
            <c:bubble3D val="0"/>
            <c:extLst>
              <c:ext xmlns:c16="http://schemas.microsoft.com/office/drawing/2014/chart" uri="{C3380CC4-5D6E-409C-BE32-E72D297353CC}">
                <c16:uniqueId val="{00000010-9D75-4697-B1A9-32EB87BEDE6E}"/>
              </c:ext>
            </c:extLst>
          </c:dPt>
          <c:xVal>
            <c:numRef>
              <c:f>'V-N Diagram'!$O$147:$O$201</c:f>
              <c:numCache>
                <c:formatCode>General</c:formatCode>
                <c:ptCount val="55"/>
                <c:pt idx="0">
                  <c:v>110</c:v>
                </c:pt>
                <c:pt idx="1">
                  <c:v>111</c:v>
                </c:pt>
                <c:pt idx="2">
                  <c:v>112</c:v>
                </c:pt>
                <c:pt idx="3">
                  <c:v>113</c:v>
                </c:pt>
                <c:pt idx="4">
                  <c:v>114</c:v>
                </c:pt>
                <c:pt idx="5">
                  <c:v>115</c:v>
                </c:pt>
                <c:pt idx="6">
                  <c:v>116</c:v>
                </c:pt>
                <c:pt idx="7">
                  <c:v>117</c:v>
                </c:pt>
                <c:pt idx="8">
                  <c:v>118</c:v>
                </c:pt>
                <c:pt idx="9">
                  <c:v>119</c:v>
                </c:pt>
                <c:pt idx="10">
                  <c:v>120</c:v>
                </c:pt>
                <c:pt idx="11">
                  <c:v>121</c:v>
                </c:pt>
                <c:pt idx="12">
                  <c:v>122</c:v>
                </c:pt>
                <c:pt idx="13">
                  <c:v>123</c:v>
                </c:pt>
                <c:pt idx="14">
                  <c:v>124</c:v>
                </c:pt>
                <c:pt idx="15">
                  <c:v>125</c:v>
                </c:pt>
                <c:pt idx="16">
                  <c:v>126</c:v>
                </c:pt>
                <c:pt idx="17">
                  <c:v>127</c:v>
                </c:pt>
                <c:pt idx="18">
                  <c:v>128</c:v>
                </c:pt>
                <c:pt idx="19">
                  <c:v>129</c:v>
                </c:pt>
                <c:pt idx="20">
                  <c:v>130</c:v>
                </c:pt>
                <c:pt idx="21">
                  <c:v>131</c:v>
                </c:pt>
                <c:pt idx="22">
                  <c:v>132</c:v>
                </c:pt>
                <c:pt idx="23">
                  <c:v>133</c:v>
                </c:pt>
                <c:pt idx="24">
                  <c:v>134</c:v>
                </c:pt>
                <c:pt idx="25">
                  <c:v>135</c:v>
                </c:pt>
                <c:pt idx="26">
                  <c:v>136</c:v>
                </c:pt>
                <c:pt idx="27">
                  <c:v>137</c:v>
                </c:pt>
                <c:pt idx="28">
                  <c:v>138</c:v>
                </c:pt>
                <c:pt idx="29">
                  <c:v>139</c:v>
                </c:pt>
                <c:pt idx="30">
                  <c:v>140</c:v>
                </c:pt>
                <c:pt idx="31">
                  <c:v>141</c:v>
                </c:pt>
                <c:pt idx="32">
                  <c:v>142</c:v>
                </c:pt>
                <c:pt idx="33">
                  <c:v>143</c:v>
                </c:pt>
                <c:pt idx="34">
                  <c:v>144</c:v>
                </c:pt>
                <c:pt idx="35">
                  <c:v>145</c:v>
                </c:pt>
                <c:pt idx="36">
                  <c:v>146</c:v>
                </c:pt>
                <c:pt idx="37">
                  <c:v>147</c:v>
                </c:pt>
                <c:pt idx="38">
                  <c:v>148</c:v>
                </c:pt>
                <c:pt idx="39">
                  <c:v>149</c:v>
                </c:pt>
                <c:pt idx="40">
                  <c:v>150</c:v>
                </c:pt>
                <c:pt idx="41">
                  <c:v>151</c:v>
                </c:pt>
                <c:pt idx="42">
                  <c:v>152</c:v>
                </c:pt>
                <c:pt idx="43">
                  <c:v>153</c:v>
                </c:pt>
                <c:pt idx="44">
                  <c:v>154</c:v>
                </c:pt>
                <c:pt idx="45">
                  <c:v>155</c:v>
                </c:pt>
                <c:pt idx="46">
                  <c:v>156</c:v>
                </c:pt>
                <c:pt idx="47">
                  <c:v>157</c:v>
                </c:pt>
                <c:pt idx="48">
                  <c:v>158</c:v>
                </c:pt>
                <c:pt idx="49">
                  <c:v>159</c:v>
                </c:pt>
                <c:pt idx="50">
                  <c:v>160</c:v>
                </c:pt>
                <c:pt idx="51">
                  <c:v>161</c:v>
                </c:pt>
                <c:pt idx="52">
                  <c:v>162</c:v>
                </c:pt>
                <c:pt idx="53">
                  <c:v>163</c:v>
                </c:pt>
                <c:pt idx="54">
                  <c:v>164</c:v>
                </c:pt>
              </c:numCache>
            </c:numRef>
          </c:xVal>
          <c:yVal>
            <c:numRef>
              <c:f>'V-N Diagram'!$X$147:$X$201</c:f>
              <c:numCache>
                <c:formatCode>0.00</c:formatCode>
                <c:ptCount val="55"/>
                <c:pt idx="0">
                  <c:v>-1.1724675324675324</c:v>
                </c:pt>
                <c:pt idx="1">
                  <c:v>-1.1724675324675324</c:v>
                </c:pt>
                <c:pt idx="2">
                  <c:v>-1.1724675324675324</c:v>
                </c:pt>
                <c:pt idx="3">
                  <c:v>-1.1724675324675324</c:v>
                </c:pt>
                <c:pt idx="4">
                  <c:v>-1.1724675324675324</c:v>
                </c:pt>
                <c:pt idx="5">
                  <c:v>-1.1724675324675324</c:v>
                </c:pt>
                <c:pt idx="6">
                  <c:v>-1.1724675324675324</c:v>
                </c:pt>
                <c:pt idx="7">
                  <c:v>-1.1724675324675324</c:v>
                </c:pt>
                <c:pt idx="8">
                  <c:v>-1.1724675324675324</c:v>
                </c:pt>
                <c:pt idx="9">
                  <c:v>-1.1724675324675324</c:v>
                </c:pt>
                <c:pt idx="10">
                  <c:v>-1.1724675324675324</c:v>
                </c:pt>
                <c:pt idx="11">
                  <c:v>-1.1724675324675324</c:v>
                </c:pt>
                <c:pt idx="12">
                  <c:v>-1.1724675324675324</c:v>
                </c:pt>
                <c:pt idx="13">
                  <c:v>-1.1724675324675324</c:v>
                </c:pt>
                <c:pt idx="14">
                  <c:v>-1.1724675324675324</c:v>
                </c:pt>
                <c:pt idx="15">
                  <c:v>-1.1724675324675324</c:v>
                </c:pt>
                <c:pt idx="16">
                  <c:v>-1.1724675324675324</c:v>
                </c:pt>
                <c:pt idx="17">
                  <c:v>-1.1724675324675324</c:v>
                </c:pt>
                <c:pt idx="18">
                  <c:v>-1.1724675324675324</c:v>
                </c:pt>
                <c:pt idx="19">
                  <c:v>-1.1724675324675324</c:v>
                </c:pt>
                <c:pt idx="20">
                  <c:v>-1.1724675324675324</c:v>
                </c:pt>
                <c:pt idx="21">
                  <c:v>-1.1724675324675324</c:v>
                </c:pt>
                <c:pt idx="22">
                  <c:v>-1.1724675324675324</c:v>
                </c:pt>
                <c:pt idx="23">
                  <c:v>-1.1724675324675324</c:v>
                </c:pt>
                <c:pt idx="24">
                  <c:v>-1.1724675324675324</c:v>
                </c:pt>
                <c:pt idx="25">
                  <c:v>-1.1724675324675324</c:v>
                </c:pt>
                <c:pt idx="26">
                  <c:v>-1.1724675324675324</c:v>
                </c:pt>
                <c:pt idx="27">
                  <c:v>-1.1724675324675324</c:v>
                </c:pt>
                <c:pt idx="28">
                  <c:v>-1.1724675324675324</c:v>
                </c:pt>
                <c:pt idx="29">
                  <c:v>-1.1724675324675324</c:v>
                </c:pt>
                <c:pt idx="30">
                  <c:v>-1.1724675324675324</c:v>
                </c:pt>
                <c:pt idx="31">
                  <c:v>-1.1724675324675324</c:v>
                </c:pt>
                <c:pt idx="32">
                  <c:v>-1.1724675324675324</c:v>
                </c:pt>
                <c:pt idx="33">
                  <c:v>-1.1724675324675324</c:v>
                </c:pt>
                <c:pt idx="34">
                  <c:v>-1.1724675324675324</c:v>
                </c:pt>
                <c:pt idx="35">
                  <c:v>-1.1724675324675324</c:v>
                </c:pt>
                <c:pt idx="36">
                  <c:v>-1.1724675324675324</c:v>
                </c:pt>
                <c:pt idx="37">
                  <c:v>-1.1724675324675324</c:v>
                </c:pt>
                <c:pt idx="38">
                  <c:v>-1.1724675324675324</c:v>
                </c:pt>
                <c:pt idx="39">
                  <c:v>-1.1724675324675324</c:v>
                </c:pt>
                <c:pt idx="40">
                  <c:v>-1.1724675324675324</c:v>
                </c:pt>
                <c:pt idx="41">
                  <c:v>-1.1724675324675324</c:v>
                </c:pt>
                <c:pt idx="42">
                  <c:v>-1.1724675324675324</c:v>
                </c:pt>
                <c:pt idx="43">
                  <c:v>-1.1724675324675324</c:v>
                </c:pt>
                <c:pt idx="44">
                  <c:v>-1.1724675324675324</c:v>
                </c:pt>
                <c:pt idx="45">
                  <c:v>-1.1724675324675324</c:v>
                </c:pt>
                <c:pt idx="46">
                  <c:v>-1.1724675324675324</c:v>
                </c:pt>
                <c:pt idx="47">
                  <c:v>-1.1724675324675324</c:v>
                </c:pt>
                <c:pt idx="48">
                  <c:v>-1.1724675324675324</c:v>
                </c:pt>
                <c:pt idx="49">
                  <c:v>-1.1724675324675324</c:v>
                </c:pt>
                <c:pt idx="50">
                  <c:v>-1.1724675324675324</c:v>
                </c:pt>
                <c:pt idx="51">
                  <c:v>-1.1724675324675324</c:v>
                </c:pt>
                <c:pt idx="52">
                  <c:v>-1.1724675324675324</c:v>
                </c:pt>
                <c:pt idx="53">
                  <c:v>-1.1724675324675324</c:v>
                </c:pt>
                <c:pt idx="54">
                  <c:v>-1.1724675324675324</c:v>
                </c:pt>
              </c:numCache>
            </c:numRef>
          </c:yVal>
          <c:smooth val="0"/>
          <c:extLst>
            <c:ext xmlns:c16="http://schemas.microsoft.com/office/drawing/2014/chart" uri="{C3380CC4-5D6E-409C-BE32-E72D297353CC}">
              <c16:uniqueId val="{00000007-FEB8-44EC-AC39-20F9C55AFBB7}"/>
            </c:ext>
          </c:extLst>
        </c:ser>
        <c:ser>
          <c:idx val="14"/>
          <c:order val="14"/>
          <c:tx>
            <c:v>intersect line 1</c:v>
          </c:tx>
          <c:spPr>
            <a:ln w="19050" cap="rnd">
              <a:solidFill>
                <a:schemeClr val="accent3">
                  <a:lumMod val="80000"/>
                  <a:lumOff val="20000"/>
                </a:schemeClr>
              </a:solidFill>
              <a:round/>
            </a:ln>
            <a:effectLst/>
          </c:spPr>
          <c:marker>
            <c:symbol val="circle"/>
            <c:size val="7"/>
            <c:spPr>
              <a:solidFill>
                <a:schemeClr val="accent4"/>
              </a:solidFill>
              <a:ln w="9525">
                <a:solidFill>
                  <a:schemeClr val="accent4"/>
                </a:solidFill>
              </a:ln>
              <a:effectLst/>
            </c:spPr>
          </c:marker>
          <c:dPt>
            <c:idx val="1"/>
            <c:marker>
              <c:symbol val="circle"/>
              <c:size val="7"/>
              <c:spPr>
                <a:solidFill>
                  <a:schemeClr val="accent4"/>
                </a:solidFill>
                <a:ln w="9525">
                  <a:solidFill>
                    <a:schemeClr val="accent4"/>
                  </a:solidFill>
                </a:ln>
                <a:effectLst/>
              </c:spPr>
            </c:marker>
            <c:bubble3D val="0"/>
            <c:spPr>
              <a:ln w="25400" cap="rnd">
                <a:solidFill>
                  <a:schemeClr val="accent4"/>
                </a:solidFill>
                <a:round/>
              </a:ln>
              <a:effectLst/>
            </c:spPr>
            <c:extLst>
              <c:ext xmlns:c16="http://schemas.microsoft.com/office/drawing/2014/chart" uri="{C3380CC4-5D6E-409C-BE32-E72D297353CC}">
                <c16:uniqueId val="{00000006-9D75-4697-B1A9-32EB87BEDE6E}"/>
              </c:ext>
            </c:extLst>
          </c:dPt>
          <c:xVal>
            <c:numRef>
              <c:f>'V-N Diagram'!$AA$37:$AA$38</c:f>
              <c:numCache>
                <c:formatCode>General</c:formatCode>
                <c:ptCount val="2"/>
                <c:pt idx="0">
                  <c:v>378</c:v>
                </c:pt>
                <c:pt idx="1">
                  <c:v>250</c:v>
                </c:pt>
              </c:numCache>
            </c:numRef>
          </c:xVal>
          <c:yVal>
            <c:numRef>
              <c:f>'V-N Diagram'!$AB$37:$AB$38</c:f>
              <c:numCache>
                <c:formatCode>General</c:formatCode>
                <c:ptCount val="2"/>
                <c:pt idx="0">
                  <c:v>-1.5489635911283322</c:v>
                </c:pt>
                <c:pt idx="1">
                  <c:v>-2.3716449618099626</c:v>
                </c:pt>
              </c:numCache>
            </c:numRef>
          </c:yVal>
          <c:smooth val="0"/>
          <c:extLst>
            <c:ext xmlns:c16="http://schemas.microsoft.com/office/drawing/2014/chart" uri="{C3380CC4-5D6E-409C-BE32-E72D297353CC}">
              <c16:uniqueId val="{00000000-9D75-4697-B1A9-32EB87BEDE6E}"/>
            </c:ext>
          </c:extLst>
        </c:ser>
        <c:ser>
          <c:idx val="15"/>
          <c:order val="15"/>
          <c:tx>
            <c:v>intersect line 2</c:v>
          </c:tx>
          <c:spPr>
            <a:ln w="19050" cap="rnd">
              <a:solidFill>
                <a:schemeClr val="accent4">
                  <a:lumMod val="80000"/>
                  <a:lumOff val="20000"/>
                </a:schemeClr>
              </a:solidFill>
              <a:round/>
            </a:ln>
            <a:effectLst/>
          </c:spPr>
          <c:marker>
            <c:symbol val="circle"/>
            <c:size val="7"/>
            <c:spPr>
              <a:solidFill>
                <a:schemeClr val="accent4"/>
              </a:solidFill>
              <a:ln w="9525">
                <a:solidFill>
                  <a:schemeClr val="accent4"/>
                </a:solidFill>
              </a:ln>
              <a:effectLst/>
            </c:spPr>
          </c:marker>
          <c:dPt>
            <c:idx val="1"/>
            <c:marker>
              <c:symbol val="circle"/>
              <c:size val="7"/>
              <c:spPr>
                <a:solidFill>
                  <a:schemeClr val="accent4"/>
                </a:solidFill>
                <a:ln w="9525">
                  <a:solidFill>
                    <a:schemeClr val="accent4"/>
                  </a:solidFill>
                </a:ln>
                <a:effectLst/>
              </c:spPr>
            </c:marker>
            <c:bubble3D val="0"/>
            <c:spPr>
              <a:ln w="25400" cap="rnd">
                <a:solidFill>
                  <a:schemeClr val="accent4"/>
                </a:solidFill>
                <a:round/>
              </a:ln>
              <a:effectLst/>
            </c:spPr>
            <c:extLst>
              <c:ext xmlns:c16="http://schemas.microsoft.com/office/drawing/2014/chart" uri="{C3380CC4-5D6E-409C-BE32-E72D297353CC}">
                <c16:uniqueId val="{00000007-9D75-4697-B1A9-32EB87BEDE6E}"/>
              </c:ext>
            </c:extLst>
          </c:dPt>
          <c:xVal>
            <c:numRef>
              <c:f>'V-N Diagram'!$AC$37:$AC$38</c:f>
              <c:numCache>
                <c:formatCode>General</c:formatCode>
                <c:ptCount val="2"/>
                <c:pt idx="0">
                  <c:v>378</c:v>
                </c:pt>
                <c:pt idx="1">
                  <c:v>250</c:v>
                </c:pt>
              </c:numCache>
            </c:numRef>
          </c:xVal>
          <c:yVal>
            <c:numRef>
              <c:f>'V-N Diagram'!$AD$37:$AD$38</c:f>
              <c:numCache>
                <c:formatCode>General</c:formatCode>
                <c:ptCount val="2"/>
                <c:pt idx="0">
                  <c:v>3.5489635911283322</c:v>
                </c:pt>
                <c:pt idx="1">
                  <c:v>4.3716449618099631</c:v>
                </c:pt>
              </c:numCache>
            </c:numRef>
          </c:yVal>
          <c:smooth val="0"/>
          <c:extLst>
            <c:ext xmlns:c16="http://schemas.microsoft.com/office/drawing/2014/chart" uri="{C3380CC4-5D6E-409C-BE32-E72D297353CC}">
              <c16:uniqueId val="{00000001-9D75-4697-B1A9-32EB87BEDE6E}"/>
            </c:ext>
          </c:extLst>
        </c:ser>
        <c:ser>
          <c:idx val="16"/>
          <c:order val="16"/>
          <c:tx>
            <c:v>zero line</c:v>
          </c:tx>
          <c:spPr>
            <a:ln w="25400" cap="rnd">
              <a:solidFill>
                <a:schemeClr val="accent4">
                  <a:alpha val="83000"/>
                </a:schemeClr>
              </a:solidFill>
              <a:round/>
            </a:ln>
            <a:effectLst/>
          </c:spPr>
          <c:marker>
            <c:symbol val="circle"/>
            <c:size val="7"/>
            <c:spPr>
              <a:solidFill>
                <a:schemeClr val="accent4"/>
              </a:solidFill>
              <a:ln w="9525">
                <a:solidFill>
                  <a:schemeClr val="accent4"/>
                </a:solidFill>
              </a:ln>
              <a:effectLst/>
            </c:spPr>
          </c:marker>
          <c:xVal>
            <c:numRef>
              <c:f>'V-N Diagram'!$AA$40:$AA$41</c:f>
              <c:numCache>
                <c:formatCode>General</c:formatCode>
                <c:ptCount val="2"/>
                <c:pt idx="0" formatCode="0.00">
                  <c:v>91.394094063596299</c:v>
                </c:pt>
                <c:pt idx="1">
                  <c:v>108.13895043686934</c:v>
                </c:pt>
              </c:numCache>
            </c:numRef>
          </c:xVal>
          <c:yVal>
            <c:numRef>
              <c:f>'V-N Diagram'!$AB$40:$AB$41</c:f>
              <c:numCache>
                <c:formatCode>General</c:formatCode>
                <c:ptCount val="2"/>
                <c:pt idx="0">
                  <c:v>0</c:v>
                </c:pt>
                <c:pt idx="1">
                  <c:v>0</c:v>
                </c:pt>
              </c:numCache>
            </c:numRef>
          </c:yVal>
          <c:smooth val="0"/>
          <c:extLst>
            <c:ext xmlns:c16="http://schemas.microsoft.com/office/drawing/2014/chart" uri="{C3380CC4-5D6E-409C-BE32-E72D297353CC}">
              <c16:uniqueId val="{00000002-9D75-4697-B1A9-32EB87BEDE6E}"/>
            </c:ext>
          </c:extLst>
        </c:ser>
        <c:ser>
          <c:idx val="17"/>
          <c:order val="17"/>
          <c:tx>
            <c:strRef>
              <c:f>'V-N Diagram'!$Y$36</c:f>
              <c:strCache>
                <c:ptCount val="1"/>
                <c:pt idx="0">
                  <c:v>ng1</c:v>
                </c:pt>
              </c:strCache>
            </c:strRef>
          </c:tx>
          <c:spPr>
            <a:ln w="12700" cap="rnd">
              <a:solidFill>
                <a:schemeClr val="accent3">
                  <a:alpha val="90000"/>
                </a:schemeClr>
              </a:solidFill>
              <a:prstDash val="dash"/>
              <a:round/>
            </a:ln>
            <a:effectLst/>
          </c:spPr>
          <c:marker>
            <c:symbol val="none"/>
          </c:marker>
          <c:xVal>
            <c:numRef>
              <c:f>'V-N Diagram'!$O$37:$O$437</c:f>
              <c:numCache>
                <c:formatCode>General</c:formatCode>
                <c:ptCount val="4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numCache>
            </c:numRef>
          </c:xVal>
          <c:yVal>
            <c:numRef>
              <c:f>'V-N Diagram'!$Y$37:$Y$437</c:f>
              <c:numCache>
                <c:formatCode>General</c:formatCode>
                <c:ptCount val="401"/>
                <c:pt idx="0">
                  <c:v>1</c:v>
                </c:pt>
                <c:pt idx="1">
                  <c:v>0.98793125808571358</c:v>
                </c:pt>
                <c:pt idx="2">
                  <c:v>0.97586251617142727</c:v>
                </c:pt>
                <c:pt idx="3">
                  <c:v>0.96379377425714097</c:v>
                </c:pt>
                <c:pt idx="4">
                  <c:v>0.95172503234285455</c:v>
                </c:pt>
                <c:pt idx="5">
                  <c:v>0.93965629042856813</c:v>
                </c:pt>
                <c:pt idx="6">
                  <c:v>0.92758754851428182</c:v>
                </c:pt>
                <c:pt idx="7">
                  <c:v>0.91551880659999541</c:v>
                </c:pt>
                <c:pt idx="8">
                  <c:v>0.9034500646857091</c:v>
                </c:pt>
                <c:pt idx="9">
                  <c:v>0.89138132277142268</c:v>
                </c:pt>
                <c:pt idx="10">
                  <c:v>0.87931258085713637</c:v>
                </c:pt>
                <c:pt idx="11">
                  <c:v>0.86724383894284995</c:v>
                </c:pt>
                <c:pt idx="12">
                  <c:v>0.85517509702856365</c:v>
                </c:pt>
                <c:pt idx="13">
                  <c:v>0.84310635511427723</c:v>
                </c:pt>
                <c:pt idx="14">
                  <c:v>0.83103761319999092</c:v>
                </c:pt>
                <c:pt idx="15">
                  <c:v>0.8189688712857045</c:v>
                </c:pt>
                <c:pt idx="16">
                  <c:v>0.8069001293714182</c:v>
                </c:pt>
                <c:pt idx="17">
                  <c:v>0.79483138745713178</c:v>
                </c:pt>
                <c:pt idx="18">
                  <c:v>0.78276264554284536</c:v>
                </c:pt>
                <c:pt idx="19">
                  <c:v>0.77069390362855905</c:v>
                </c:pt>
                <c:pt idx="20">
                  <c:v>0.75862516171427274</c:v>
                </c:pt>
                <c:pt idx="21">
                  <c:v>0.74655641979998633</c:v>
                </c:pt>
                <c:pt idx="22">
                  <c:v>0.73448767788569991</c:v>
                </c:pt>
                <c:pt idx="23">
                  <c:v>0.72241893597141371</c:v>
                </c:pt>
                <c:pt idx="24">
                  <c:v>0.71035019405712729</c:v>
                </c:pt>
                <c:pt idx="25">
                  <c:v>0.69828145214284087</c:v>
                </c:pt>
                <c:pt idx="26">
                  <c:v>0.68621271022855446</c:v>
                </c:pt>
                <c:pt idx="27">
                  <c:v>0.67414396831426815</c:v>
                </c:pt>
                <c:pt idx="28">
                  <c:v>0.66207522639998184</c:v>
                </c:pt>
                <c:pt idx="29">
                  <c:v>0.65000648448569542</c:v>
                </c:pt>
                <c:pt idx="30">
                  <c:v>0.63793774257140901</c:v>
                </c:pt>
                <c:pt idx="31">
                  <c:v>0.62586900065712281</c:v>
                </c:pt>
                <c:pt idx="32">
                  <c:v>0.61380025874283639</c:v>
                </c:pt>
                <c:pt idx="33">
                  <c:v>0.60173151682854997</c:v>
                </c:pt>
                <c:pt idx="34">
                  <c:v>0.58966277491426367</c:v>
                </c:pt>
                <c:pt idx="35">
                  <c:v>0.57759403299997725</c:v>
                </c:pt>
                <c:pt idx="36">
                  <c:v>0.56552529108569083</c:v>
                </c:pt>
                <c:pt idx="37">
                  <c:v>0.55345654917140452</c:v>
                </c:pt>
                <c:pt idx="38">
                  <c:v>0.5413878072571181</c:v>
                </c:pt>
                <c:pt idx="39">
                  <c:v>0.5293190653428318</c:v>
                </c:pt>
                <c:pt idx="40">
                  <c:v>0.51725032342854538</c:v>
                </c:pt>
                <c:pt idx="41">
                  <c:v>0.50518158151425907</c:v>
                </c:pt>
                <c:pt idx="42">
                  <c:v>0.49311283959997276</c:v>
                </c:pt>
                <c:pt idx="43">
                  <c:v>0.48104409768568634</c:v>
                </c:pt>
                <c:pt idx="44">
                  <c:v>0.46897535577139993</c:v>
                </c:pt>
                <c:pt idx="45">
                  <c:v>0.45690661385711362</c:v>
                </c:pt>
                <c:pt idx="46">
                  <c:v>0.44483787194282731</c:v>
                </c:pt>
                <c:pt idx="47">
                  <c:v>0.43276913002854089</c:v>
                </c:pt>
                <c:pt idx="48">
                  <c:v>0.42070038811425459</c:v>
                </c:pt>
                <c:pt idx="49">
                  <c:v>0.40863164619996817</c:v>
                </c:pt>
                <c:pt idx="50">
                  <c:v>0.39656290428568186</c:v>
                </c:pt>
                <c:pt idx="51">
                  <c:v>0.38449416237139544</c:v>
                </c:pt>
                <c:pt idx="52">
                  <c:v>0.37242542045710902</c:v>
                </c:pt>
                <c:pt idx="53">
                  <c:v>0.36035667854282261</c:v>
                </c:pt>
                <c:pt idx="54">
                  <c:v>0.3482879366285363</c:v>
                </c:pt>
                <c:pt idx="55">
                  <c:v>0.33621919471424988</c:v>
                </c:pt>
                <c:pt idx="56">
                  <c:v>0.32415045279996357</c:v>
                </c:pt>
                <c:pt idx="57">
                  <c:v>0.31208171088567715</c:v>
                </c:pt>
                <c:pt idx="58">
                  <c:v>0.30001296897139085</c:v>
                </c:pt>
                <c:pt idx="59">
                  <c:v>0.28794422705710454</c:v>
                </c:pt>
                <c:pt idx="60">
                  <c:v>0.27587548514281801</c:v>
                </c:pt>
                <c:pt idx="61">
                  <c:v>0.2638067432285317</c:v>
                </c:pt>
                <c:pt idx="62">
                  <c:v>0.25173800131424551</c:v>
                </c:pt>
                <c:pt idx="63">
                  <c:v>0.23966925939995898</c:v>
                </c:pt>
                <c:pt idx="64">
                  <c:v>0.22760051748567267</c:v>
                </c:pt>
                <c:pt idx="65">
                  <c:v>0.21553177557138636</c:v>
                </c:pt>
                <c:pt idx="66">
                  <c:v>0.20346303365709995</c:v>
                </c:pt>
                <c:pt idx="67">
                  <c:v>0.19139429174281364</c:v>
                </c:pt>
                <c:pt idx="68">
                  <c:v>0.17932554982852733</c:v>
                </c:pt>
                <c:pt idx="69">
                  <c:v>0.1672568079142408</c:v>
                </c:pt>
                <c:pt idx="70">
                  <c:v>0.15518806599995449</c:v>
                </c:pt>
                <c:pt idx="71">
                  <c:v>0.14311932408566796</c:v>
                </c:pt>
                <c:pt idx="72">
                  <c:v>0.13105058217138166</c:v>
                </c:pt>
                <c:pt idx="73">
                  <c:v>0.11898184025709535</c:v>
                </c:pt>
                <c:pt idx="74">
                  <c:v>0.10691309834280893</c:v>
                </c:pt>
                <c:pt idx="75">
                  <c:v>9.4844356428522625E-2</c:v>
                </c:pt>
                <c:pt idx="76">
                  <c:v>8.2775614514236318E-2</c:v>
                </c:pt>
                <c:pt idx="77">
                  <c:v>7.0706872599949899E-2</c:v>
                </c:pt>
                <c:pt idx="78">
                  <c:v>5.8638130685663592E-2</c:v>
                </c:pt>
                <c:pt idx="79">
                  <c:v>4.6569388771377285E-2</c:v>
                </c:pt>
                <c:pt idx="80">
                  <c:v>3.4500646857090755E-2</c:v>
                </c:pt>
                <c:pt idx="81">
                  <c:v>2.2431904942804448E-2</c:v>
                </c:pt>
                <c:pt idx="82">
                  <c:v>1.0363163028518252E-2</c:v>
                </c:pt>
                <c:pt idx="83">
                  <c:v>-1.7055788857682774E-3</c:v>
                </c:pt>
                <c:pt idx="84">
                  <c:v>-1.3774320800054474E-2</c:v>
                </c:pt>
                <c:pt idx="85">
                  <c:v>-2.5843062714341114E-2</c:v>
                </c:pt>
                <c:pt idx="86">
                  <c:v>-3.791180462862731E-2</c:v>
                </c:pt>
                <c:pt idx="87">
                  <c:v>-4.9980546542913729E-2</c:v>
                </c:pt>
                <c:pt idx="88">
                  <c:v>-6.2049288457200147E-2</c:v>
                </c:pt>
                <c:pt idx="89">
                  <c:v>-7.4118030371486343E-2</c:v>
                </c:pt>
                <c:pt idx="90">
                  <c:v>-8.6186772285772761E-2</c:v>
                </c:pt>
                <c:pt idx="91">
                  <c:v>-9.825551420005918E-2</c:v>
                </c:pt>
                <c:pt idx="92">
                  <c:v>-0.11032425611434538</c:v>
                </c:pt>
                <c:pt idx="93">
                  <c:v>-0.12239299802863179</c:v>
                </c:pt>
                <c:pt idx="94">
                  <c:v>-0.13446173994291821</c:v>
                </c:pt>
                <c:pt idx="95">
                  <c:v>-0.14653048185720463</c:v>
                </c:pt>
                <c:pt idx="96">
                  <c:v>-0.15859922377149083</c:v>
                </c:pt>
                <c:pt idx="97">
                  <c:v>-0.17066796568577725</c:v>
                </c:pt>
                <c:pt idx="98">
                  <c:v>-0.18273670760006366</c:v>
                </c:pt>
                <c:pt idx="99">
                  <c:v>-0.19480544951435008</c:v>
                </c:pt>
                <c:pt idx="100">
                  <c:v>-0.20687419142863628</c:v>
                </c:pt>
                <c:pt idx="101">
                  <c:v>-0.2189429333429227</c:v>
                </c:pt>
                <c:pt idx="102">
                  <c:v>-0.23101167525720911</c:v>
                </c:pt>
                <c:pt idx="103">
                  <c:v>-0.24308041717149553</c:v>
                </c:pt>
                <c:pt idx="104">
                  <c:v>-0.25514915908578195</c:v>
                </c:pt>
                <c:pt idx="105">
                  <c:v>-0.26721790100006837</c:v>
                </c:pt>
                <c:pt idx="106">
                  <c:v>-0.27928664291435479</c:v>
                </c:pt>
                <c:pt idx="107">
                  <c:v>-0.29135538482864098</c:v>
                </c:pt>
                <c:pt idx="108">
                  <c:v>-0.3034241267429274</c:v>
                </c:pt>
                <c:pt idx="109">
                  <c:v>-0.31549286865721382</c:v>
                </c:pt>
                <c:pt idx="110">
                  <c:v>-0.32756161057150024</c:v>
                </c:pt>
                <c:pt idx="111">
                  <c:v>-0.33963035248578644</c:v>
                </c:pt>
                <c:pt idx="112">
                  <c:v>-0.35169909440007285</c:v>
                </c:pt>
                <c:pt idx="113">
                  <c:v>-0.36376783631435927</c:v>
                </c:pt>
                <c:pt idx="114">
                  <c:v>-0.37583657822864569</c:v>
                </c:pt>
                <c:pt idx="115">
                  <c:v>-0.38790532014293189</c:v>
                </c:pt>
                <c:pt idx="116">
                  <c:v>-0.3999740620572183</c:v>
                </c:pt>
                <c:pt idx="117">
                  <c:v>-0.41204280397150472</c:v>
                </c:pt>
                <c:pt idx="118">
                  <c:v>-0.42411154588579092</c:v>
                </c:pt>
                <c:pt idx="119">
                  <c:v>-0.43618028780007734</c:v>
                </c:pt>
                <c:pt idx="120">
                  <c:v>-0.44824902971436398</c:v>
                </c:pt>
                <c:pt idx="121">
                  <c:v>-0.46031777162865017</c:v>
                </c:pt>
                <c:pt idx="122">
                  <c:v>-0.47238651354293659</c:v>
                </c:pt>
                <c:pt idx="123">
                  <c:v>-0.48445525545722279</c:v>
                </c:pt>
                <c:pt idx="124">
                  <c:v>-0.49652399737150898</c:v>
                </c:pt>
                <c:pt idx="125">
                  <c:v>-0.5085927392857954</c:v>
                </c:pt>
                <c:pt idx="126">
                  <c:v>-0.52066148120008204</c:v>
                </c:pt>
                <c:pt idx="127">
                  <c:v>-0.53273022311436824</c:v>
                </c:pt>
                <c:pt idx="128">
                  <c:v>-0.54479896502865466</c:v>
                </c:pt>
                <c:pt idx="129">
                  <c:v>-0.55686770694294085</c:v>
                </c:pt>
                <c:pt idx="130">
                  <c:v>-0.56893644885722727</c:v>
                </c:pt>
                <c:pt idx="131">
                  <c:v>-0.58100519077151391</c:v>
                </c:pt>
                <c:pt idx="132">
                  <c:v>-0.59307393268580011</c:v>
                </c:pt>
                <c:pt idx="133">
                  <c:v>-0.60514267460008653</c:v>
                </c:pt>
                <c:pt idx="134">
                  <c:v>-0.61721141651437272</c:v>
                </c:pt>
                <c:pt idx="135">
                  <c:v>-0.62928015842865914</c:v>
                </c:pt>
                <c:pt idx="136">
                  <c:v>-0.64134890034294534</c:v>
                </c:pt>
                <c:pt idx="137">
                  <c:v>-0.65341764225723198</c:v>
                </c:pt>
                <c:pt idx="138">
                  <c:v>-0.6654863841715184</c:v>
                </c:pt>
                <c:pt idx="139">
                  <c:v>-0.67755512608580482</c:v>
                </c:pt>
                <c:pt idx="140">
                  <c:v>-0.68962386800009101</c:v>
                </c:pt>
                <c:pt idx="141">
                  <c:v>-0.70169260991437743</c:v>
                </c:pt>
                <c:pt idx="142">
                  <c:v>-0.71376135182866407</c:v>
                </c:pt>
                <c:pt idx="143">
                  <c:v>-0.72583009374295027</c:v>
                </c:pt>
                <c:pt idx="144">
                  <c:v>-0.73789883565723668</c:v>
                </c:pt>
                <c:pt idx="145">
                  <c:v>-0.74996757757152288</c:v>
                </c:pt>
                <c:pt idx="146">
                  <c:v>-0.7620363194858093</c:v>
                </c:pt>
                <c:pt idx="147">
                  <c:v>-0.7741050614000955</c:v>
                </c:pt>
                <c:pt idx="148">
                  <c:v>-0.78617380331438214</c:v>
                </c:pt>
                <c:pt idx="149">
                  <c:v>-0.79824254522866855</c:v>
                </c:pt>
                <c:pt idx="150">
                  <c:v>-0.81031128714295475</c:v>
                </c:pt>
                <c:pt idx="151">
                  <c:v>-0.82238002905724095</c:v>
                </c:pt>
                <c:pt idx="152">
                  <c:v>-0.83444877097152736</c:v>
                </c:pt>
                <c:pt idx="153">
                  <c:v>-0.84651751288581356</c:v>
                </c:pt>
                <c:pt idx="154">
                  <c:v>-0.8585862548001002</c:v>
                </c:pt>
                <c:pt idx="155">
                  <c:v>-0.87065499671438662</c:v>
                </c:pt>
                <c:pt idx="156">
                  <c:v>-0.88272373862867282</c:v>
                </c:pt>
                <c:pt idx="157">
                  <c:v>-0.89479248054295923</c:v>
                </c:pt>
                <c:pt idx="158">
                  <c:v>-0.90686122245724543</c:v>
                </c:pt>
                <c:pt idx="159">
                  <c:v>-0.91892996437153207</c:v>
                </c:pt>
                <c:pt idx="160">
                  <c:v>-0.93099870628581849</c:v>
                </c:pt>
                <c:pt idx="161">
                  <c:v>-0.94306744820010469</c:v>
                </c:pt>
                <c:pt idx="162">
                  <c:v>-0.9551361901143911</c:v>
                </c:pt>
                <c:pt idx="163">
                  <c:v>-0.9672049320286773</c:v>
                </c:pt>
                <c:pt idx="164">
                  <c:v>-0.9792736739429635</c:v>
                </c:pt>
                <c:pt idx="165">
                  <c:v>-0.99134241585725036</c:v>
                </c:pt>
                <c:pt idx="166">
                  <c:v>-1.0034111577715366</c:v>
                </c:pt>
                <c:pt idx="167">
                  <c:v>-1.0154798996858228</c:v>
                </c:pt>
                <c:pt idx="168">
                  <c:v>-1.0275486416001089</c:v>
                </c:pt>
                <c:pt idx="169">
                  <c:v>-1.0396173835143956</c:v>
                </c:pt>
                <c:pt idx="170">
                  <c:v>-1.0516861254286822</c:v>
                </c:pt>
                <c:pt idx="171">
                  <c:v>-1.0637548673429684</c:v>
                </c:pt>
                <c:pt idx="172">
                  <c:v>-1.0758236092572546</c:v>
                </c:pt>
                <c:pt idx="173">
                  <c:v>-1.0878923511715408</c:v>
                </c:pt>
                <c:pt idx="174">
                  <c:v>-1.0999610930858275</c:v>
                </c:pt>
                <c:pt idx="175">
                  <c:v>-1.1120298350001137</c:v>
                </c:pt>
                <c:pt idx="176">
                  <c:v>-1.1240985769144003</c:v>
                </c:pt>
                <c:pt idx="177">
                  <c:v>-1.1361673188286865</c:v>
                </c:pt>
                <c:pt idx="178">
                  <c:v>-1.1482360607429727</c:v>
                </c:pt>
                <c:pt idx="179">
                  <c:v>-1.1603048026572593</c:v>
                </c:pt>
                <c:pt idx="180">
                  <c:v>-1.1723735445715455</c:v>
                </c:pt>
                <c:pt idx="181">
                  <c:v>-1.1844422864858322</c:v>
                </c:pt>
                <c:pt idx="182">
                  <c:v>-1.1965110284001184</c:v>
                </c:pt>
                <c:pt idx="183">
                  <c:v>-1.2085797703144046</c:v>
                </c:pt>
                <c:pt idx="184">
                  <c:v>-1.2206485122286908</c:v>
                </c:pt>
                <c:pt idx="185">
                  <c:v>-1.2327172541429774</c:v>
                </c:pt>
                <c:pt idx="186">
                  <c:v>-1.2447859960572636</c:v>
                </c:pt>
                <c:pt idx="187">
                  <c:v>-1.2568547379715502</c:v>
                </c:pt>
                <c:pt idx="188">
                  <c:v>-1.2689234798858364</c:v>
                </c:pt>
                <c:pt idx="189">
                  <c:v>-1.2809922218001226</c:v>
                </c:pt>
                <c:pt idx="190">
                  <c:v>-1.2930609637144093</c:v>
                </c:pt>
                <c:pt idx="191">
                  <c:v>-1.3051297056286955</c:v>
                </c:pt>
                <c:pt idx="192">
                  <c:v>-1.3171984475429817</c:v>
                </c:pt>
                <c:pt idx="193">
                  <c:v>-1.3292671894572683</c:v>
                </c:pt>
                <c:pt idx="194">
                  <c:v>-1.3413359313715545</c:v>
                </c:pt>
                <c:pt idx="195">
                  <c:v>-1.3534046732858411</c:v>
                </c:pt>
                <c:pt idx="196">
                  <c:v>-1.3654734152001273</c:v>
                </c:pt>
                <c:pt idx="197">
                  <c:v>-1.3775421571144135</c:v>
                </c:pt>
                <c:pt idx="198">
                  <c:v>-1.3896108990287002</c:v>
                </c:pt>
                <c:pt idx="199">
                  <c:v>-1.4016796409429864</c:v>
                </c:pt>
                <c:pt idx="200">
                  <c:v>-1.4137483828572726</c:v>
                </c:pt>
                <c:pt idx="201">
                  <c:v>-1.4258171247715592</c:v>
                </c:pt>
                <c:pt idx="202">
                  <c:v>-1.4378858666858454</c:v>
                </c:pt>
                <c:pt idx="203">
                  <c:v>-1.449954608600132</c:v>
                </c:pt>
                <c:pt idx="204">
                  <c:v>-1.4620233505144182</c:v>
                </c:pt>
                <c:pt idx="205">
                  <c:v>-1.4740920924287044</c:v>
                </c:pt>
                <c:pt idx="206">
                  <c:v>-1.4861608343429911</c:v>
                </c:pt>
                <c:pt idx="207">
                  <c:v>-1.4982295762572777</c:v>
                </c:pt>
                <c:pt idx="208">
                  <c:v>-1.5102983181715639</c:v>
                </c:pt>
                <c:pt idx="209">
                  <c:v>-1.5223670600858501</c:v>
                </c:pt>
                <c:pt idx="210">
                  <c:v>-1.5344358020001367</c:v>
                </c:pt>
                <c:pt idx="211">
                  <c:v>-1.5465045439144229</c:v>
                </c:pt>
                <c:pt idx="212">
                  <c:v>-1.5585732858287096</c:v>
                </c:pt>
                <c:pt idx="213">
                  <c:v>-1.5706420277429958</c:v>
                </c:pt>
                <c:pt idx="214">
                  <c:v>-1.582710769657282</c:v>
                </c:pt>
                <c:pt idx="215">
                  <c:v>-1.5947795115715686</c:v>
                </c:pt>
                <c:pt idx="216">
                  <c:v>-1.6068482534858548</c:v>
                </c:pt>
                <c:pt idx="217">
                  <c:v>-1.618916995400141</c:v>
                </c:pt>
                <c:pt idx="218">
                  <c:v>-1.6309857373144276</c:v>
                </c:pt>
                <c:pt idx="219">
                  <c:v>-1.6430544792287138</c:v>
                </c:pt>
                <c:pt idx="220">
                  <c:v>-1.6551232211430005</c:v>
                </c:pt>
                <c:pt idx="221">
                  <c:v>-1.6671919630572867</c:v>
                </c:pt>
                <c:pt idx="222">
                  <c:v>-1.6792607049715729</c:v>
                </c:pt>
                <c:pt idx="223">
                  <c:v>-1.6913294468858595</c:v>
                </c:pt>
                <c:pt idx="224">
                  <c:v>-1.7033981888001457</c:v>
                </c:pt>
                <c:pt idx="225">
                  <c:v>-1.7154669307144319</c:v>
                </c:pt>
                <c:pt idx="226">
                  <c:v>-1.7275356726287185</c:v>
                </c:pt>
                <c:pt idx="227">
                  <c:v>-1.7396044145430047</c:v>
                </c:pt>
                <c:pt idx="228">
                  <c:v>-1.7516731564572914</c:v>
                </c:pt>
                <c:pt idx="229">
                  <c:v>-1.7637418983715776</c:v>
                </c:pt>
                <c:pt idx="230">
                  <c:v>-1.7758106402858638</c:v>
                </c:pt>
                <c:pt idx="231">
                  <c:v>-1.7878793822001504</c:v>
                </c:pt>
                <c:pt idx="232">
                  <c:v>-1.7999481241144366</c:v>
                </c:pt>
                <c:pt idx="233">
                  <c:v>-1.8120168660287228</c:v>
                </c:pt>
                <c:pt idx="234">
                  <c:v>-1.8240856079430094</c:v>
                </c:pt>
                <c:pt idx="235">
                  <c:v>-1.8361543498572961</c:v>
                </c:pt>
                <c:pt idx="236">
                  <c:v>-1.8482230917715818</c:v>
                </c:pt>
                <c:pt idx="237">
                  <c:v>-1.8602918336858685</c:v>
                </c:pt>
                <c:pt idx="238">
                  <c:v>-1.8723605756001547</c:v>
                </c:pt>
                <c:pt idx="239">
                  <c:v>-1.8844293175144413</c:v>
                </c:pt>
                <c:pt idx="240">
                  <c:v>-1.896498059428728</c:v>
                </c:pt>
                <c:pt idx="241">
                  <c:v>-1.9085668013430137</c:v>
                </c:pt>
                <c:pt idx="242">
                  <c:v>-1.9206355432573003</c:v>
                </c:pt>
                <c:pt idx="243">
                  <c:v>-1.9327042851715865</c:v>
                </c:pt>
                <c:pt idx="244">
                  <c:v>-1.9447730270858732</c:v>
                </c:pt>
                <c:pt idx="245">
                  <c:v>-1.9568417690001598</c:v>
                </c:pt>
                <c:pt idx="246">
                  <c:v>-1.9689105109144456</c:v>
                </c:pt>
                <c:pt idx="247">
                  <c:v>-1.9809792528287322</c:v>
                </c:pt>
                <c:pt idx="248">
                  <c:v>-1.993047994743018</c:v>
                </c:pt>
                <c:pt idx="249">
                  <c:v>-2.0051167366573046</c:v>
                </c:pt>
                <c:pt idx="250">
                  <c:v>-2.0171854785715908</c:v>
                </c:pt>
                <c:pt idx="251">
                  <c:v>-2.0292542204858774</c:v>
                </c:pt>
                <c:pt idx="252">
                  <c:v>-2.0413229624001641</c:v>
                </c:pt>
                <c:pt idx="253">
                  <c:v>-2.0533917043144498</c:v>
                </c:pt>
                <c:pt idx="254">
                  <c:v>-2.0654604462287365</c:v>
                </c:pt>
                <c:pt idx="255">
                  <c:v>-2.0775291881430227</c:v>
                </c:pt>
                <c:pt idx="256">
                  <c:v>-2.0895979300573093</c:v>
                </c:pt>
                <c:pt idx="257">
                  <c:v>-2.101666671971596</c:v>
                </c:pt>
                <c:pt idx="258">
                  <c:v>-2.1137354138858817</c:v>
                </c:pt>
                <c:pt idx="259">
                  <c:v>-2.1258041558001683</c:v>
                </c:pt>
                <c:pt idx="260">
                  <c:v>-2.1378728977144545</c:v>
                </c:pt>
                <c:pt idx="261">
                  <c:v>-2.1499416396287412</c:v>
                </c:pt>
                <c:pt idx="262">
                  <c:v>-2.1620103815430278</c:v>
                </c:pt>
                <c:pt idx="263">
                  <c:v>-2.1740791234573136</c:v>
                </c:pt>
                <c:pt idx="264">
                  <c:v>-2.1861478653716002</c:v>
                </c:pt>
                <c:pt idx="265">
                  <c:v>-2.1982166072858864</c:v>
                </c:pt>
                <c:pt idx="266">
                  <c:v>-2.2102853492001731</c:v>
                </c:pt>
                <c:pt idx="267">
                  <c:v>-2.2223540911144588</c:v>
                </c:pt>
                <c:pt idx="268">
                  <c:v>-2.2344228330287454</c:v>
                </c:pt>
                <c:pt idx="269">
                  <c:v>-2.2464915749430321</c:v>
                </c:pt>
                <c:pt idx="270">
                  <c:v>-2.2585603168573183</c:v>
                </c:pt>
                <c:pt idx="271">
                  <c:v>-2.2706290587716049</c:v>
                </c:pt>
                <c:pt idx="272">
                  <c:v>-2.2826978006858907</c:v>
                </c:pt>
                <c:pt idx="273">
                  <c:v>-2.2947665426001773</c:v>
                </c:pt>
                <c:pt idx="274">
                  <c:v>-2.306835284514464</c:v>
                </c:pt>
                <c:pt idx="275">
                  <c:v>-2.3189040264287502</c:v>
                </c:pt>
                <c:pt idx="276">
                  <c:v>-2.3309727683430368</c:v>
                </c:pt>
                <c:pt idx="277">
                  <c:v>-2.343041510257323</c:v>
                </c:pt>
                <c:pt idx="278">
                  <c:v>-2.3551102521716096</c:v>
                </c:pt>
                <c:pt idx="279">
                  <c:v>-2.3671789940858963</c:v>
                </c:pt>
                <c:pt idx="280">
                  <c:v>-2.379247736000182</c:v>
                </c:pt>
                <c:pt idx="281">
                  <c:v>-2.3913164779144687</c:v>
                </c:pt>
                <c:pt idx="282">
                  <c:v>-2.4033852198287549</c:v>
                </c:pt>
                <c:pt idx="283">
                  <c:v>-2.4154539617430415</c:v>
                </c:pt>
                <c:pt idx="284">
                  <c:v>-2.4275227036573281</c:v>
                </c:pt>
                <c:pt idx="285">
                  <c:v>-2.4395914455716139</c:v>
                </c:pt>
                <c:pt idx="286">
                  <c:v>-2.4516601874859005</c:v>
                </c:pt>
                <c:pt idx="287">
                  <c:v>-2.4637289294001867</c:v>
                </c:pt>
                <c:pt idx="288">
                  <c:v>-2.4757976713144734</c:v>
                </c:pt>
                <c:pt idx="289">
                  <c:v>-2.4878664132287591</c:v>
                </c:pt>
                <c:pt idx="290">
                  <c:v>-2.4999351551430458</c:v>
                </c:pt>
                <c:pt idx="291">
                  <c:v>-2.5120038970573324</c:v>
                </c:pt>
                <c:pt idx="292">
                  <c:v>-2.5240726389716186</c:v>
                </c:pt>
                <c:pt idx="293">
                  <c:v>-2.5361413808859052</c:v>
                </c:pt>
                <c:pt idx="294">
                  <c:v>-2.548210122800191</c:v>
                </c:pt>
                <c:pt idx="295">
                  <c:v>-2.5602788647144776</c:v>
                </c:pt>
                <c:pt idx="296">
                  <c:v>-2.5723476066287643</c:v>
                </c:pt>
                <c:pt idx="297">
                  <c:v>-2.5844163485430505</c:v>
                </c:pt>
                <c:pt idx="298">
                  <c:v>-2.5964850904573371</c:v>
                </c:pt>
                <c:pt idx="299">
                  <c:v>-2.6085538323716229</c:v>
                </c:pt>
                <c:pt idx="300">
                  <c:v>-2.6206225742859095</c:v>
                </c:pt>
                <c:pt idx="301">
                  <c:v>-2.6326913162001961</c:v>
                </c:pt>
                <c:pt idx="302">
                  <c:v>-2.6447600581144819</c:v>
                </c:pt>
                <c:pt idx="303">
                  <c:v>-2.6568288000287685</c:v>
                </c:pt>
                <c:pt idx="304">
                  <c:v>-2.6688975419430547</c:v>
                </c:pt>
                <c:pt idx="305">
                  <c:v>-2.6809662838573414</c:v>
                </c:pt>
                <c:pt idx="306">
                  <c:v>-2.6930350257716271</c:v>
                </c:pt>
                <c:pt idx="307">
                  <c:v>-2.7051037676859138</c:v>
                </c:pt>
                <c:pt idx="308">
                  <c:v>-2.7171725096002004</c:v>
                </c:pt>
                <c:pt idx="309">
                  <c:v>-2.7292412515144866</c:v>
                </c:pt>
                <c:pt idx="310">
                  <c:v>-2.7413099934287732</c:v>
                </c:pt>
                <c:pt idx="311">
                  <c:v>-2.753378735343059</c:v>
                </c:pt>
                <c:pt idx="312">
                  <c:v>-2.7654474772573456</c:v>
                </c:pt>
                <c:pt idx="313">
                  <c:v>-2.7775162191716323</c:v>
                </c:pt>
                <c:pt idx="314">
                  <c:v>-2.7895849610859185</c:v>
                </c:pt>
                <c:pt idx="315">
                  <c:v>-2.8016537030002051</c:v>
                </c:pt>
                <c:pt idx="316">
                  <c:v>-2.8137224449144909</c:v>
                </c:pt>
                <c:pt idx="317">
                  <c:v>-2.8257911868287775</c:v>
                </c:pt>
                <c:pt idx="318">
                  <c:v>-2.8378599287430641</c:v>
                </c:pt>
                <c:pt idx="319">
                  <c:v>-2.8499286706573503</c:v>
                </c:pt>
                <c:pt idx="320">
                  <c:v>-2.861997412571637</c:v>
                </c:pt>
                <c:pt idx="321">
                  <c:v>-2.8740661544859227</c:v>
                </c:pt>
                <c:pt idx="322">
                  <c:v>-2.8861348964002094</c:v>
                </c:pt>
                <c:pt idx="323">
                  <c:v>-2.898203638314496</c:v>
                </c:pt>
                <c:pt idx="324">
                  <c:v>-2.9102723802287822</c:v>
                </c:pt>
                <c:pt idx="325">
                  <c:v>-2.9223411221430688</c:v>
                </c:pt>
                <c:pt idx="326">
                  <c:v>-2.9344098640573546</c:v>
                </c:pt>
                <c:pt idx="327">
                  <c:v>-2.9464786059716412</c:v>
                </c:pt>
                <c:pt idx="328">
                  <c:v>-2.958547347885927</c:v>
                </c:pt>
                <c:pt idx="329">
                  <c:v>-2.9706160898002141</c:v>
                </c:pt>
                <c:pt idx="330">
                  <c:v>-2.9826848317145007</c:v>
                </c:pt>
                <c:pt idx="331">
                  <c:v>-2.9947535736287865</c:v>
                </c:pt>
                <c:pt idx="332">
                  <c:v>-3.0068223155430731</c:v>
                </c:pt>
                <c:pt idx="333">
                  <c:v>-3.0188910574573589</c:v>
                </c:pt>
                <c:pt idx="334">
                  <c:v>-3.0309597993716455</c:v>
                </c:pt>
                <c:pt idx="335">
                  <c:v>-3.0430285412859321</c:v>
                </c:pt>
                <c:pt idx="336">
                  <c:v>-3.0550972832002179</c:v>
                </c:pt>
                <c:pt idx="337">
                  <c:v>-3.0671660251145045</c:v>
                </c:pt>
                <c:pt idx="338">
                  <c:v>-3.0792347670287912</c:v>
                </c:pt>
                <c:pt idx="339">
                  <c:v>-3.0913035089430778</c:v>
                </c:pt>
                <c:pt idx="340">
                  <c:v>-3.1033722508573645</c:v>
                </c:pt>
                <c:pt idx="341">
                  <c:v>-3.1154409927716502</c:v>
                </c:pt>
                <c:pt idx="342">
                  <c:v>-3.1275097346859368</c:v>
                </c:pt>
                <c:pt idx="343">
                  <c:v>-3.1395784766002226</c:v>
                </c:pt>
                <c:pt idx="344">
                  <c:v>-3.1516472185145092</c:v>
                </c:pt>
                <c:pt idx="345">
                  <c:v>-3.163715960428795</c:v>
                </c:pt>
                <c:pt idx="346">
                  <c:v>-3.1757847023430816</c:v>
                </c:pt>
                <c:pt idx="347">
                  <c:v>-3.1878534442573683</c:v>
                </c:pt>
                <c:pt idx="348">
                  <c:v>-3.1999221861716549</c:v>
                </c:pt>
                <c:pt idx="349">
                  <c:v>-3.2119909280859416</c:v>
                </c:pt>
                <c:pt idx="350">
                  <c:v>-3.2240596700002273</c:v>
                </c:pt>
                <c:pt idx="351">
                  <c:v>-3.2361284119145139</c:v>
                </c:pt>
                <c:pt idx="352">
                  <c:v>-3.2481971538288006</c:v>
                </c:pt>
                <c:pt idx="353">
                  <c:v>-3.2602658957430863</c:v>
                </c:pt>
                <c:pt idx="354">
                  <c:v>-3.272334637657373</c:v>
                </c:pt>
                <c:pt idx="355">
                  <c:v>-3.2844033795716587</c:v>
                </c:pt>
                <c:pt idx="356">
                  <c:v>-3.2964721214859454</c:v>
                </c:pt>
                <c:pt idx="357">
                  <c:v>-3.308540863400232</c:v>
                </c:pt>
                <c:pt idx="358">
                  <c:v>-3.3206096053145187</c:v>
                </c:pt>
                <c:pt idx="359">
                  <c:v>-3.3326783472288053</c:v>
                </c:pt>
                <c:pt idx="360">
                  <c:v>-3.344747089143091</c:v>
                </c:pt>
                <c:pt idx="361">
                  <c:v>-3.3568158310573777</c:v>
                </c:pt>
                <c:pt idx="362">
                  <c:v>-3.3688845729716643</c:v>
                </c:pt>
                <c:pt idx="363">
                  <c:v>-3.3809533148859501</c:v>
                </c:pt>
                <c:pt idx="364">
                  <c:v>-3.3930220568002367</c:v>
                </c:pt>
                <c:pt idx="365">
                  <c:v>-3.4050907987145225</c:v>
                </c:pt>
                <c:pt idx="366">
                  <c:v>-3.4171595406288091</c:v>
                </c:pt>
                <c:pt idx="367">
                  <c:v>-3.4292282825430949</c:v>
                </c:pt>
                <c:pt idx="368">
                  <c:v>-3.4412970244573815</c:v>
                </c:pt>
                <c:pt idx="369">
                  <c:v>-3.4533657663716681</c:v>
                </c:pt>
                <c:pt idx="370">
                  <c:v>-3.4654345082859548</c:v>
                </c:pt>
                <c:pt idx="371">
                  <c:v>-3.4775032502002414</c:v>
                </c:pt>
                <c:pt idx="372">
                  <c:v>-3.4895719921145272</c:v>
                </c:pt>
                <c:pt idx="373">
                  <c:v>-3.5016407340288138</c:v>
                </c:pt>
                <c:pt idx="374">
                  <c:v>-3.5137094759431005</c:v>
                </c:pt>
                <c:pt idx="375">
                  <c:v>-3.5257782178573862</c:v>
                </c:pt>
                <c:pt idx="376">
                  <c:v>-3.5378469597716729</c:v>
                </c:pt>
                <c:pt idx="377">
                  <c:v>-3.5499157016859586</c:v>
                </c:pt>
                <c:pt idx="378">
                  <c:v>-3.5619844436002452</c:v>
                </c:pt>
                <c:pt idx="379">
                  <c:v>-3.5740531855145319</c:v>
                </c:pt>
                <c:pt idx="380">
                  <c:v>-3.5861219274288185</c:v>
                </c:pt>
                <c:pt idx="381">
                  <c:v>-3.5981906693431052</c:v>
                </c:pt>
                <c:pt idx="382">
                  <c:v>-3.6102594112573909</c:v>
                </c:pt>
                <c:pt idx="383">
                  <c:v>-3.6223281531716776</c:v>
                </c:pt>
                <c:pt idx="384">
                  <c:v>-3.6343968950859633</c:v>
                </c:pt>
                <c:pt idx="385">
                  <c:v>-3.6464656370002499</c:v>
                </c:pt>
                <c:pt idx="386">
                  <c:v>-3.6585343789145366</c:v>
                </c:pt>
                <c:pt idx="387">
                  <c:v>-3.6706031208288223</c:v>
                </c:pt>
                <c:pt idx="388">
                  <c:v>-3.682671862743109</c:v>
                </c:pt>
                <c:pt idx="389">
                  <c:v>-3.6947406046573947</c:v>
                </c:pt>
                <c:pt idx="390">
                  <c:v>-3.7068093465716823</c:v>
                </c:pt>
                <c:pt idx="391">
                  <c:v>-3.7188780884859689</c:v>
                </c:pt>
                <c:pt idx="392">
                  <c:v>-3.7309468304002547</c:v>
                </c:pt>
                <c:pt idx="393">
                  <c:v>-3.7430155723145413</c:v>
                </c:pt>
                <c:pt idx="394">
                  <c:v>-3.755084314228827</c:v>
                </c:pt>
                <c:pt idx="395">
                  <c:v>-3.7671530561431137</c:v>
                </c:pt>
                <c:pt idx="396">
                  <c:v>-3.7792217980574003</c:v>
                </c:pt>
                <c:pt idx="397">
                  <c:v>-3.7912905399716861</c:v>
                </c:pt>
                <c:pt idx="398">
                  <c:v>-3.8033592818859727</c:v>
                </c:pt>
                <c:pt idx="399">
                  <c:v>-3.8154280238002585</c:v>
                </c:pt>
                <c:pt idx="400">
                  <c:v>-3.8274967657145451</c:v>
                </c:pt>
              </c:numCache>
            </c:numRef>
          </c:yVal>
          <c:smooth val="0"/>
          <c:extLst>
            <c:ext xmlns:c16="http://schemas.microsoft.com/office/drawing/2014/chart" uri="{C3380CC4-5D6E-409C-BE32-E72D297353CC}">
              <c16:uniqueId val="{00000003-9D75-4697-B1A9-32EB87BEDE6E}"/>
            </c:ext>
          </c:extLst>
        </c:ser>
        <c:ser>
          <c:idx val="18"/>
          <c:order val="18"/>
          <c:tx>
            <c:strRef>
              <c:f>'V-N Diagram'!$Z$36</c:f>
              <c:strCache>
                <c:ptCount val="1"/>
                <c:pt idx="0">
                  <c:v>ng4</c:v>
                </c:pt>
              </c:strCache>
            </c:strRef>
          </c:tx>
          <c:spPr>
            <a:ln w="12700" cap="rnd">
              <a:solidFill>
                <a:schemeClr val="accent1">
                  <a:lumMod val="80000"/>
                </a:schemeClr>
              </a:solidFill>
              <a:prstDash val="dash"/>
              <a:round/>
            </a:ln>
            <a:effectLst/>
          </c:spPr>
          <c:marker>
            <c:symbol val="none"/>
          </c:marker>
          <c:xVal>
            <c:numRef>
              <c:f>'V-N Diagram'!$O$37:$O$437</c:f>
              <c:numCache>
                <c:formatCode>General</c:formatCode>
                <c:ptCount val="4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numCache>
            </c:numRef>
          </c:xVal>
          <c:yVal>
            <c:numRef>
              <c:f>'V-N Diagram'!$Z$37:$Z$437</c:f>
              <c:numCache>
                <c:formatCode>General</c:formatCode>
                <c:ptCount val="401"/>
                <c:pt idx="0">
                  <c:v>1</c:v>
                </c:pt>
                <c:pt idx="1">
                  <c:v>1.0120687419142864</c:v>
                </c:pt>
                <c:pt idx="2">
                  <c:v>1.0241374838285728</c:v>
                </c:pt>
                <c:pt idx="3">
                  <c:v>1.036206225742859</c:v>
                </c:pt>
                <c:pt idx="4">
                  <c:v>1.0482749676571455</c:v>
                </c:pt>
                <c:pt idx="5">
                  <c:v>1.0603437095714319</c:v>
                </c:pt>
                <c:pt idx="6">
                  <c:v>1.0724124514857181</c:v>
                </c:pt>
                <c:pt idx="7">
                  <c:v>1.0844811934000045</c:v>
                </c:pt>
                <c:pt idx="8">
                  <c:v>1.0965499353142909</c:v>
                </c:pt>
                <c:pt idx="9">
                  <c:v>1.1086186772285773</c:v>
                </c:pt>
                <c:pt idx="10">
                  <c:v>1.1206874191428637</c:v>
                </c:pt>
                <c:pt idx="11">
                  <c:v>1.1327561610571499</c:v>
                </c:pt>
                <c:pt idx="12">
                  <c:v>1.1448249029714364</c:v>
                </c:pt>
                <c:pt idx="13">
                  <c:v>1.1568936448857228</c:v>
                </c:pt>
                <c:pt idx="14">
                  <c:v>1.1689623868000092</c:v>
                </c:pt>
                <c:pt idx="15">
                  <c:v>1.1810311287142956</c:v>
                </c:pt>
                <c:pt idx="16">
                  <c:v>1.1930998706285818</c:v>
                </c:pt>
                <c:pt idx="17">
                  <c:v>1.2051686125428682</c:v>
                </c:pt>
                <c:pt idx="18">
                  <c:v>1.2172373544571546</c:v>
                </c:pt>
                <c:pt idx="19">
                  <c:v>1.2293060963714408</c:v>
                </c:pt>
                <c:pt idx="20">
                  <c:v>1.2413748382857273</c:v>
                </c:pt>
                <c:pt idx="21">
                  <c:v>1.2534435802000137</c:v>
                </c:pt>
                <c:pt idx="22">
                  <c:v>1.2655123221143001</c:v>
                </c:pt>
                <c:pt idx="23">
                  <c:v>1.2775810640285863</c:v>
                </c:pt>
                <c:pt idx="24">
                  <c:v>1.2896498059428727</c:v>
                </c:pt>
                <c:pt idx="25">
                  <c:v>1.3017185478571591</c:v>
                </c:pt>
                <c:pt idx="26">
                  <c:v>1.3137872897714455</c:v>
                </c:pt>
                <c:pt idx="27">
                  <c:v>1.3258560316857317</c:v>
                </c:pt>
                <c:pt idx="28">
                  <c:v>1.3379247736000182</c:v>
                </c:pt>
                <c:pt idx="29">
                  <c:v>1.3499935155143046</c:v>
                </c:pt>
                <c:pt idx="30">
                  <c:v>1.362062257428591</c:v>
                </c:pt>
                <c:pt idx="31">
                  <c:v>1.3741309993428772</c:v>
                </c:pt>
                <c:pt idx="32">
                  <c:v>1.3861997412571636</c:v>
                </c:pt>
                <c:pt idx="33">
                  <c:v>1.39826848317145</c:v>
                </c:pt>
                <c:pt idx="34">
                  <c:v>1.4103372250857364</c:v>
                </c:pt>
                <c:pt idx="35">
                  <c:v>1.4224059670000226</c:v>
                </c:pt>
                <c:pt idx="36">
                  <c:v>1.4344747089143093</c:v>
                </c:pt>
                <c:pt idx="37">
                  <c:v>1.4465434508285955</c:v>
                </c:pt>
                <c:pt idx="38">
                  <c:v>1.4586121927428819</c:v>
                </c:pt>
                <c:pt idx="39">
                  <c:v>1.4706809346571683</c:v>
                </c:pt>
                <c:pt idx="40">
                  <c:v>1.4827496765714545</c:v>
                </c:pt>
                <c:pt idx="41">
                  <c:v>1.4948184184857409</c:v>
                </c:pt>
                <c:pt idx="42">
                  <c:v>1.5068871604000273</c:v>
                </c:pt>
                <c:pt idx="43">
                  <c:v>1.5189559023143135</c:v>
                </c:pt>
                <c:pt idx="44">
                  <c:v>1.5310246442286002</c:v>
                </c:pt>
                <c:pt idx="45">
                  <c:v>1.5430933861428864</c:v>
                </c:pt>
                <c:pt idx="46">
                  <c:v>1.5551621280571726</c:v>
                </c:pt>
                <c:pt idx="47">
                  <c:v>1.5672308699714592</c:v>
                </c:pt>
                <c:pt idx="48">
                  <c:v>1.5792996118857454</c:v>
                </c:pt>
                <c:pt idx="49">
                  <c:v>1.5913683538000318</c:v>
                </c:pt>
                <c:pt idx="50">
                  <c:v>1.6034370957143183</c:v>
                </c:pt>
                <c:pt idx="51">
                  <c:v>1.6155058376286044</c:v>
                </c:pt>
                <c:pt idx="52">
                  <c:v>1.6275745795428911</c:v>
                </c:pt>
                <c:pt idx="53">
                  <c:v>1.6396433214571773</c:v>
                </c:pt>
                <c:pt idx="54">
                  <c:v>1.6517120633714637</c:v>
                </c:pt>
                <c:pt idx="55">
                  <c:v>1.6637808052857501</c:v>
                </c:pt>
                <c:pt idx="56">
                  <c:v>1.6758495472000363</c:v>
                </c:pt>
                <c:pt idx="57">
                  <c:v>1.687918289114323</c:v>
                </c:pt>
                <c:pt idx="58">
                  <c:v>1.6999870310286092</c:v>
                </c:pt>
                <c:pt idx="59">
                  <c:v>1.7120557729428953</c:v>
                </c:pt>
                <c:pt idx="60">
                  <c:v>1.724124514857182</c:v>
                </c:pt>
                <c:pt idx="61">
                  <c:v>1.7361932567714682</c:v>
                </c:pt>
                <c:pt idx="62">
                  <c:v>1.7482619986857544</c:v>
                </c:pt>
                <c:pt idx="63">
                  <c:v>1.760330740600041</c:v>
                </c:pt>
                <c:pt idx="64">
                  <c:v>1.7723994825143272</c:v>
                </c:pt>
                <c:pt idx="65">
                  <c:v>1.7844682244286136</c:v>
                </c:pt>
                <c:pt idx="66">
                  <c:v>1.7965369663429001</c:v>
                </c:pt>
                <c:pt idx="67">
                  <c:v>1.8086057082571863</c:v>
                </c:pt>
                <c:pt idx="68">
                  <c:v>1.8206744501714727</c:v>
                </c:pt>
                <c:pt idx="69">
                  <c:v>1.8327431920857591</c:v>
                </c:pt>
                <c:pt idx="70">
                  <c:v>1.8448119340000455</c:v>
                </c:pt>
                <c:pt idx="71">
                  <c:v>1.8568806759143319</c:v>
                </c:pt>
                <c:pt idx="72">
                  <c:v>1.8689494178286183</c:v>
                </c:pt>
                <c:pt idx="73">
                  <c:v>1.8810181597429048</c:v>
                </c:pt>
                <c:pt idx="74">
                  <c:v>1.893086901657191</c:v>
                </c:pt>
                <c:pt idx="75">
                  <c:v>1.9051556435714774</c:v>
                </c:pt>
                <c:pt idx="76">
                  <c:v>1.9172243854857638</c:v>
                </c:pt>
                <c:pt idx="77">
                  <c:v>1.92929312740005</c:v>
                </c:pt>
                <c:pt idx="78">
                  <c:v>1.9413618693143364</c:v>
                </c:pt>
                <c:pt idx="79">
                  <c:v>1.9534306112286228</c:v>
                </c:pt>
                <c:pt idx="80">
                  <c:v>1.9654993531429092</c:v>
                </c:pt>
                <c:pt idx="81">
                  <c:v>1.9775680950571957</c:v>
                </c:pt>
                <c:pt idx="82">
                  <c:v>1.9896368369714819</c:v>
                </c:pt>
                <c:pt idx="83">
                  <c:v>2.0017055788857681</c:v>
                </c:pt>
                <c:pt idx="84">
                  <c:v>2.0137743208000547</c:v>
                </c:pt>
                <c:pt idx="85">
                  <c:v>2.0258430627143413</c:v>
                </c:pt>
                <c:pt idx="86">
                  <c:v>2.0379118046286271</c:v>
                </c:pt>
                <c:pt idx="87">
                  <c:v>2.0499805465429137</c:v>
                </c:pt>
                <c:pt idx="88">
                  <c:v>2.0620492884572004</c:v>
                </c:pt>
                <c:pt idx="89">
                  <c:v>2.0741180303714861</c:v>
                </c:pt>
                <c:pt idx="90">
                  <c:v>2.0861867722857728</c:v>
                </c:pt>
                <c:pt idx="91">
                  <c:v>2.0982555142000594</c:v>
                </c:pt>
                <c:pt idx="92">
                  <c:v>2.1103242561143452</c:v>
                </c:pt>
                <c:pt idx="93">
                  <c:v>2.1223929980286318</c:v>
                </c:pt>
                <c:pt idx="94">
                  <c:v>2.1344617399429184</c:v>
                </c:pt>
                <c:pt idx="95">
                  <c:v>2.1465304818572046</c:v>
                </c:pt>
                <c:pt idx="96">
                  <c:v>2.1585992237714908</c:v>
                </c:pt>
                <c:pt idx="97">
                  <c:v>2.1706679656857775</c:v>
                </c:pt>
                <c:pt idx="98">
                  <c:v>2.1827367076000637</c:v>
                </c:pt>
                <c:pt idx="99">
                  <c:v>2.1948054495143499</c:v>
                </c:pt>
                <c:pt idx="100">
                  <c:v>2.2068741914286365</c:v>
                </c:pt>
                <c:pt idx="101">
                  <c:v>2.2189429333429227</c:v>
                </c:pt>
                <c:pt idx="102">
                  <c:v>2.2310116752572089</c:v>
                </c:pt>
                <c:pt idx="103">
                  <c:v>2.2430804171714955</c:v>
                </c:pt>
                <c:pt idx="104">
                  <c:v>2.2551491590857822</c:v>
                </c:pt>
                <c:pt idx="105">
                  <c:v>2.2672179010000684</c:v>
                </c:pt>
                <c:pt idx="106">
                  <c:v>2.2792866429143546</c:v>
                </c:pt>
                <c:pt idx="107">
                  <c:v>2.2913553848286412</c:v>
                </c:pt>
                <c:pt idx="108">
                  <c:v>2.3034241267429274</c:v>
                </c:pt>
                <c:pt idx="109">
                  <c:v>2.3154928686572136</c:v>
                </c:pt>
                <c:pt idx="110">
                  <c:v>2.3275616105715002</c:v>
                </c:pt>
                <c:pt idx="111">
                  <c:v>2.3396303524857864</c:v>
                </c:pt>
                <c:pt idx="112">
                  <c:v>2.3516990944000726</c:v>
                </c:pt>
                <c:pt idx="113">
                  <c:v>2.3637678363143593</c:v>
                </c:pt>
                <c:pt idx="114">
                  <c:v>2.3758365782286459</c:v>
                </c:pt>
                <c:pt idx="115">
                  <c:v>2.3879053201429317</c:v>
                </c:pt>
                <c:pt idx="116">
                  <c:v>2.3999740620572183</c:v>
                </c:pt>
                <c:pt idx="117">
                  <c:v>2.4120428039715049</c:v>
                </c:pt>
                <c:pt idx="118">
                  <c:v>2.4241115458857907</c:v>
                </c:pt>
                <c:pt idx="119">
                  <c:v>2.4361802878000773</c:v>
                </c:pt>
                <c:pt idx="120">
                  <c:v>2.448249029714364</c:v>
                </c:pt>
                <c:pt idx="121">
                  <c:v>2.4603177716286502</c:v>
                </c:pt>
                <c:pt idx="122">
                  <c:v>2.4723865135429364</c:v>
                </c:pt>
                <c:pt idx="123">
                  <c:v>2.484455255457223</c:v>
                </c:pt>
                <c:pt idx="124">
                  <c:v>2.4965239973715088</c:v>
                </c:pt>
                <c:pt idx="125">
                  <c:v>2.5085927392857954</c:v>
                </c:pt>
                <c:pt idx="126">
                  <c:v>2.520661481200082</c:v>
                </c:pt>
                <c:pt idx="127">
                  <c:v>2.5327302231143682</c:v>
                </c:pt>
                <c:pt idx="128">
                  <c:v>2.5447989650286544</c:v>
                </c:pt>
                <c:pt idx="129">
                  <c:v>2.5568677069429411</c:v>
                </c:pt>
                <c:pt idx="130">
                  <c:v>2.5689364488572273</c:v>
                </c:pt>
                <c:pt idx="131">
                  <c:v>2.5810051907715139</c:v>
                </c:pt>
                <c:pt idx="132">
                  <c:v>2.5930739326858001</c:v>
                </c:pt>
                <c:pt idx="133">
                  <c:v>2.6051426746000867</c:v>
                </c:pt>
                <c:pt idx="134">
                  <c:v>2.6172114165143725</c:v>
                </c:pt>
                <c:pt idx="135">
                  <c:v>2.6292801584286591</c:v>
                </c:pt>
                <c:pt idx="136">
                  <c:v>2.6413489003429453</c:v>
                </c:pt>
                <c:pt idx="137">
                  <c:v>2.653417642257232</c:v>
                </c:pt>
                <c:pt idx="138">
                  <c:v>2.6654863841715182</c:v>
                </c:pt>
                <c:pt idx="139">
                  <c:v>2.6775551260858048</c:v>
                </c:pt>
                <c:pt idx="140">
                  <c:v>2.689623868000091</c:v>
                </c:pt>
                <c:pt idx="141">
                  <c:v>2.7016926099143772</c:v>
                </c:pt>
                <c:pt idx="142">
                  <c:v>2.7137613518286638</c:v>
                </c:pt>
                <c:pt idx="143">
                  <c:v>2.7258300937429505</c:v>
                </c:pt>
                <c:pt idx="144">
                  <c:v>2.7378988356572367</c:v>
                </c:pt>
                <c:pt idx="145">
                  <c:v>2.7499675775715229</c:v>
                </c:pt>
                <c:pt idx="146">
                  <c:v>2.7620363194858095</c:v>
                </c:pt>
                <c:pt idx="147">
                  <c:v>2.7741050614000953</c:v>
                </c:pt>
                <c:pt idx="148">
                  <c:v>2.7861738033143819</c:v>
                </c:pt>
                <c:pt idx="149">
                  <c:v>2.7982425452286686</c:v>
                </c:pt>
                <c:pt idx="150">
                  <c:v>2.8103112871429548</c:v>
                </c:pt>
                <c:pt idx="151">
                  <c:v>2.8223800290572409</c:v>
                </c:pt>
                <c:pt idx="152">
                  <c:v>2.8344487709715276</c:v>
                </c:pt>
                <c:pt idx="153">
                  <c:v>2.8465175128858133</c:v>
                </c:pt>
                <c:pt idx="154">
                  <c:v>2.8585862548001</c:v>
                </c:pt>
                <c:pt idx="155">
                  <c:v>2.8706549967143866</c:v>
                </c:pt>
                <c:pt idx="156">
                  <c:v>2.8827237386286728</c:v>
                </c:pt>
                <c:pt idx="157">
                  <c:v>2.894792480542959</c:v>
                </c:pt>
                <c:pt idx="158">
                  <c:v>2.9068612224572457</c:v>
                </c:pt>
                <c:pt idx="159">
                  <c:v>2.9189299643715323</c:v>
                </c:pt>
                <c:pt idx="160">
                  <c:v>2.9309987062858185</c:v>
                </c:pt>
                <c:pt idx="161">
                  <c:v>2.9430674482001047</c:v>
                </c:pt>
                <c:pt idx="162">
                  <c:v>2.9551361901143913</c:v>
                </c:pt>
                <c:pt idx="163">
                  <c:v>2.9672049320286771</c:v>
                </c:pt>
                <c:pt idx="164">
                  <c:v>2.9792736739429637</c:v>
                </c:pt>
                <c:pt idx="165">
                  <c:v>2.9913424158572504</c:v>
                </c:pt>
                <c:pt idx="166">
                  <c:v>3.0034111577715366</c:v>
                </c:pt>
                <c:pt idx="167">
                  <c:v>3.0154798996858228</c:v>
                </c:pt>
                <c:pt idx="168">
                  <c:v>3.0275486416001089</c:v>
                </c:pt>
                <c:pt idx="169">
                  <c:v>3.0396173835143956</c:v>
                </c:pt>
                <c:pt idx="170">
                  <c:v>3.0516861254286822</c:v>
                </c:pt>
                <c:pt idx="171">
                  <c:v>3.0637548673429684</c:v>
                </c:pt>
                <c:pt idx="172">
                  <c:v>3.0758236092572546</c:v>
                </c:pt>
                <c:pt idx="173">
                  <c:v>3.0878923511715408</c:v>
                </c:pt>
                <c:pt idx="174">
                  <c:v>3.0999610930858275</c:v>
                </c:pt>
                <c:pt idx="175">
                  <c:v>3.1120298350001137</c:v>
                </c:pt>
                <c:pt idx="176">
                  <c:v>3.1240985769144003</c:v>
                </c:pt>
                <c:pt idx="177">
                  <c:v>3.1361673188286865</c:v>
                </c:pt>
                <c:pt idx="178">
                  <c:v>3.1482360607429727</c:v>
                </c:pt>
                <c:pt idx="179">
                  <c:v>3.1603048026572593</c:v>
                </c:pt>
                <c:pt idx="180">
                  <c:v>3.1723735445715455</c:v>
                </c:pt>
                <c:pt idx="181">
                  <c:v>3.1844422864858322</c:v>
                </c:pt>
                <c:pt idx="182">
                  <c:v>3.1965110284001184</c:v>
                </c:pt>
                <c:pt idx="183">
                  <c:v>3.2085797703144046</c:v>
                </c:pt>
                <c:pt idx="184">
                  <c:v>3.2206485122286908</c:v>
                </c:pt>
                <c:pt idx="185">
                  <c:v>3.2327172541429774</c:v>
                </c:pt>
                <c:pt idx="186">
                  <c:v>3.2447859960572636</c:v>
                </c:pt>
                <c:pt idx="187">
                  <c:v>3.2568547379715502</c:v>
                </c:pt>
                <c:pt idx="188">
                  <c:v>3.2689234798858364</c:v>
                </c:pt>
                <c:pt idx="189">
                  <c:v>3.2809922218001226</c:v>
                </c:pt>
                <c:pt idx="190">
                  <c:v>3.2930609637144093</c:v>
                </c:pt>
                <c:pt idx="191">
                  <c:v>3.3051297056286955</c:v>
                </c:pt>
                <c:pt idx="192">
                  <c:v>3.3171984475429817</c:v>
                </c:pt>
                <c:pt idx="193">
                  <c:v>3.3292671894572683</c:v>
                </c:pt>
                <c:pt idx="194">
                  <c:v>3.3413359313715545</c:v>
                </c:pt>
                <c:pt idx="195">
                  <c:v>3.3534046732858411</c:v>
                </c:pt>
                <c:pt idx="196">
                  <c:v>3.3654734152001273</c:v>
                </c:pt>
                <c:pt idx="197">
                  <c:v>3.3775421571144135</c:v>
                </c:pt>
                <c:pt idx="198">
                  <c:v>3.3896108990287002</c:v>
                </c:pt>
                <c:pt idx="199">
                  <c:v>3.4016796409429864</c:v>
                </c:pt>
                <c:pt idx="200">
                  <c:v>3.4137483828572726</c:v>
                </c:pt>
                <c:pt idx="201">
                  <c:v>3.4258171247715592</c:v>
                </c:pt>
                <c:pt idx="202">
                  <c:v>3.4378858666858454</c:v>
                </c:pt>
                <c:pt idx="203">
                  <c:v>3.449954608600132</c:v>
                </c:pt>
                <c:pt idx="204">
                  <c:v>3.4620233505144182</c:v>
                </c:pt>
                <c:pt idx="205">
                  <c:v>3.4740920924287044</c:v>
                </c:pt>
                <c:pt idx="206">
                  <c:v>3.4861608343429911</c:v>
                </c:pt>
                <c:pt idx="207">
                  <c:v>3.4982295762572777</c:v>
                </c:pt>
                <c:pt idx="208">
                  <c:v>3.5102983181715639</c:v>
                </c:pt>
                <c:pt idx="209">
                  <c:v>3.5223670600858501</c:v>
                </c:pt>
                <c:pt idx="210">
                  <c:v>3.5344358020001367</c:v>
                </c:pt>
                <c:pt idx="211">
                  <c:v>3.5465045439144229</c:v>
                </c:pt>
                <c:pt idx="212">
                  <c:v>3.5585732858287096</c:v>
                </c:pt>
                <c:pt idx="213">
                  <c:v>3.5706420277429958</c:v>
                </c:pt>
                <c:pt idx="214">
                  <c:v>3.582710769657282</c:v>
                </c:pt>
                <c:pt idx="215">
                  <c:v>3.5947795115715686</c:v>
                </c:pt>
                <c:pt idx="216">
                  <c:v>3.6068482534858548</c:v>
                </c:pt>
                <c:pt idx="217">
                  <c:v>3.618916995400141</c:v>
                </c:pt>
                <c:pt idx="218">
                  <c:v>3.6309857373144276</c:v>
                </c:pt>
                <c:pt idx="219">
                  <c:v>3.6430544792287138</c:v>
                </c:pt>
                <c:pt idx="220">
                  <c:v>3.6551232211430005</c:v>
                </c:pt>
                <c:pt idx="221">
                  <c:v>3.6671919630572867</c:v>
                </c:pt>
                <c:pt idx="222">
                  <c:v>3.6792607049715729</c:v>
                </c:pt>
                <c:pt idx="223">
                  <c:v>3.6913294468858595</c:v>
                </c:pt>
                <c:pt idx="224">
                  <c:v>3.7033981888001457</c:v>
                </c:pt>
                <c:pt idx="225">
                  <c:v>3.7154669307144319</c:v>
                </c:pt>
                <c:pt idx="226">
                  <c:v>3.7275356726287185</c:v>
                </c:pt>
                <c:pt idx="227">
                  <c:v>3.7396044145430047</c:v>
                </c:pt>
                <c:pt idx="228">
                  <c:v>3.7516731564572914</c:v>
                </c:pt>
                <c:pt idx="229">
                  <c:v>3.7637418983715776</c:v>
                </c:pt>
                <c:pt idx="230">
                  <c:v>3.7758106402858638</c:v>
                </c:pt>
                <c:pt idx="231">
                  <c:v>3.7878793822001504</c:v>
                </c:pt>
                <c:pt idx="232">
                  <c:v>3.7999481241144366</c:v>
                </c:pt>
                <c:pt idx="233">
                  <c:v>3.8120168660287228</c:v>
                </c:pt>
                <c:pt idx="234">
                  <c:v>3.8240856079430094</c:v>
                </c:pt>
                <c:pt idx="235">
                  <c:v>3.8361543498572961</c:v>
                </c:pt>
                <c:pt idx="236">
                  <c:v>3.8482230917715818</c:v>
                </c:pt>
                <c:pt idx="237">
                  <c:v>3.8602918336858685</c:v>
                </c:pt>
                <c:pt idx="238">
                  <c:v>3.8723605756001547</c:v>
                </c:pt>
                <c:pt idx="239">
                  <c:v>3.8844293175144413</c:v>
                </c:pt>
                <c:pt idx="240">
                  <c:v>3.896498059428728</c:v>
                </c:pt>
                <c:pt idx="241">
                  <c:v>3.9085668013430137</c:v>
                </c:pt>
                <c:pt idx="242">
                  <c:v>3.9206355432573003</c:v>
                </c:pt>
                <c:pt idx="243">
                  <c:v>3.9327042851715865</c:v>
                </c:pt>
                <c:pt idx="244">
                  <c:v>3.9447730270858732</c:v>
                </c:pt>
                <c:pt idx="245">
                  <c:v>3.9568417690001598</c:v>
                </c:pt>
                <c:pt idx="246">
                  <c:v>3.9689105109144456</c:v>
                </c:pt>
                <c:pt idx="247">
                  <c:v>3.9809792528287322</c:v>
                </c:pt>
                <c:pt idx="248">
                  <c:v>3.993047994743018</c:v>
                </c:pt>
                <c:pt idx="249">
                  <c:v>4.0051167366573051</c:v>
                </c:pt>
                <c:pt idx="250">
                  <c:v>4.0171854785715908</c:v>
                </c:pt>
                <c:pt idx="251">
                  <c:v>4.0292542204858774</c:v>
                </c:pt>
                <c:pt idx="252">
                  <c:v>4.0413229624001641</c:v>
                </c:pt>
                <c:pt idx="253">
                  <c:v>4.0533917043144498</c:v>
                </c:pt>
                <c:pt idx="254">
                  <c:v>4.0654604462287365</c:v>
                </c:pt>
                <c:pt idx="255">
                  <c:v>4.0775291881430231</c:v>
                </c:pt>
                <c:pt idx="256">
                  <c:v>4.0895979300573089</c:v>
                </c:pt>
                <c:pt idx="257">
                  <c:v>4.1016666719715964</c:v>
                </c:pt>
                <c:pt idx="258">
                  <c:v>4.1137354138858822</c:v>
                </c:pt>
                <c:pt idx="259">
                  <c:v>4.1258041558001679</c:v>
                </c:pt>
                <c:pt idx="260">
                  <c:v>4.1378728977144545</c:v>
                </c:pt>
                <c:pt idx="261">
                  <c:v>4.1499416396287412</c:v>
                </c:pt>
                <c:pt idx="262">
                  <c:v>4.1620103815430278</c:v>
                </c:pt>
                <c:pt idx="263">
                  <c:v>4.1740791234573136</c:v>
                </c:pt>
                <c:pt idx="264">
                  <c:v>4.1861478653716002</c:v>
                </c:pt>
                <c:pt idx="265">
                  <c:v>4.198216607285886</c:v>
                </c:pt>
                <c:pt idx="266">
                  <c:v>4.2102853492001735</c:v>
                </c:pt>
                <c:pt idx="267">
                  <c:v>4.2223540911144593</c:v>
                </c:pt>
                <c:pt idx="268">
                  <c:v>4.234422833028745</c:v>
                </c:pt>
                <c:pt idx="269">
                  <c:v>4.2464915749430325</c:v>
                </c:pt>
                <c:pt idx="270">
                  <c:v>4.2585603168573183</c:v>
                </c:pt>
                <c:pt idx="271">
                  <c:v>4.2706290587716049</c:v>
                </c:pt>
                <c:pt idx="272">
                  <c:v>4.2826978006858907</c:v>
                </c:pt>
                <c:pt idx="273">
                  <c:v>4.2947665426001773</c:v>
                </c:pt>
                <c:pt idx="274">
                  <c:v>4.306835284514464</c:v>
                </c:pt>
                <c:pt idx="275">
                  <c:v>4.3189040264287506</c:v>
                </c:pt>
                <c:pt idx="276">
                  <c:v>4.3309727683430363</c:v>
                </c:pt>
                <c:pt idx="277">
                  <c:v>4.343041510257323</c:v>
                </c:pt>
                <c:pt idx="278">
                  <c:v>4.3551102521716096</c:v>
                </c:pt>
                <c:pt idx="279">
                  <c:v>4.3671789940858963</c:v>
                </c:pt>
                <c:pt idx="280">
                  <c:v>4.379247736000182</c:v>
                </c:pt>
                <c:pt idx="281">
                  <c:v>4.3913164779144687</c:v>
                </c:pt>
                <c:pt idx="282">
                  <c:v>4.4033852198287544</c:v>
                </c:pt>
                <c:pt idx="283">
                  <c:v>4.4154539617430419</c:v>
                </c:pt>
                <c:pt idx="284">
                  <c:v>4.4275227036573277</c:v>
                </c:pt>
                <c:pt idx="285">
                  <c:v>4.4395914455716134</c:v>
                </c:pt>
                <c:pt idx="286">
                  <c:v>4.451660187485901</c:v>
                </c:pt>
                <c:pt idx="287">
                  <c:v>4.4637289294001867</c:v>
                </c:pt>
                <c:pt idx="288">
                  <c:v>4.4757976713144734</c:v>
                </c:pt>
                <c:pt idx="289">
                  <c:v>4.4878664132287591</c:v>
                </c:pt>
                <c:pt idx="290">
                  <c:v>4.4999351551430458</c:v>
                </c:pt>
                <c:pt idx="291">
                  <c:v>4.5120038970573324</c:v>
                </c:pt>
                <c:pt idx="292">
                  <c:v>4.524072638971619</c:v>
                </c:pt>
                <c:pt idx="293">
                  <c:v>4.5361413808859048</c:v>
                </c:pt>
                <c:pt idx="294">
                  <c:v>4.5482101228001905</c:v>
                </c:pt>
                <c:pt idx="295">
                  <c:v>4.5602788647144781</c:v>
                </c:pt>
                <c:pt idx="296">
                  <c:v>4.5723476066287638</c:v>
                </c:pt>
                <c:pt idx="297">
                  <c:v>4.5844163485430505</c:v>
                </c:pt>
                <c:pt idx="298">
                  <c:v>4.5964850904573371</c:v>
                </c:pt>
                <c:pt idx="299">
                  <c:v>4.6085538323716229</c:v>
                </c:pt>
                <c:pt idx="300">
                  <c:v>4.6206225742859095</c:v>
                </c:pt>
                <c:pt idx="301">
                  <c:v>4.6326913162001961</c:v>
                </c:pt>
                <c:pt idx="302">
                  <c:v>4.6447600581144819</c:v>
                </c:pt>
                <c:pt idx="303">
                  <c:v>4.6568288000287685</c:v>
                </c:pt>
                <c:pt idx="304">
                  <c:v>4.6688975419430552</c:v>
                </c:pt>
                <c:pt idx="305">
                  <c:v>4.6809662838573409</c:v>
                </c:pt>
                <c:pt idx="306">
                  <c:v>4.6930350257716267</c:v>
                </c:pt>
                <c:pt idx="307">
                  <c:v>4.7051037676859142</c:v>
                </c:pt>
                <c:pt idx="308">
                  <c:v>4.7171725096002</c:v>
                </c:pt>
                <c:pt idx="309">
                  <c:v>4.7292412515144866</c:v>
                </c:pt>
                <c:pt idx="310">
                  <c:v>4.7413099934287732</c:v>
                </c:pt>
                <c:pt idx="311">
                  <c:v>4.753378735343059</c:v>
                </c:pt>
                <c:pt idx="312">
                  <c:v>4.7654474772573456</c:v>
                </c:pt>
                <c:pt idx="313">
                  <c:v>4.7775162191716323</c:v>
                </c:pt>
                <c:pt idx="314">
                  <c:v>4.789584961085918</c:v>
                </c:pt>
                <c:pt idx="315">
                  <c:v>4.8016537030002056</c:v>
                </c:pt>
                <c:pt idx="316">
                  <c:v>4.8137224449144913</c:v>
                </c:pt>
                <c:pt idx="317">
                  <c:v>4.8257911868287771</c:v>
                </c:pt>
                <c:pt idx="318">
                  <c:v>4.8378599287430646</c:v>
                </c:pt>
                <c:pt idx="319">
                  <c:v>4.8499286706573503</c:v>
                </c:pt>
                <c:pt idx="320">
                  <c:v>4.861997412571637</c:v>
                </c:pt>
                <c:pt idx="321">
                  <c:v>4.8740661544859227</c:v>
                </c:pt>
                <c:pt idx="322">
                  <c:v>4.8861348964002094</c:v>
                </c:pt>
                <c:pt idx="323">
                  <c:v>4.898203638314496</c:v>
                </c:pt>
                <c:pt idx="324">
                  <c:v>4.9102723802287827</c:v>
                </c:pt>
                <c:pt idx="325">
                  <c:v>4.9223411221430684</c:v>
                </c:pt>
                <c:pt idx="326">
                  <c:v>4.9344098640573542</c:v>
                </c:pt>
                <c:pt idx="327">
                  <c:v>4.9464786059716417</c:v>
                </c:pt>
                <c:pt idx="328">
                  <c:v>4.9585473478859274</c:v>
                </c:pt>
                <c:pt idx="329">
                  <c:v>4.9706160898002141</c:v>
                </c:pt>
                <c:pt idx="330">
                  <c:v>4.9826848317145007</c:v>
                </c:pt>
                <c:pt idx="331">
                  <c:v>4.9947535736287865</c:v>
                </c:pt>
                <c:pt idx="332">
                  <c:v>5.0068223155430731</c:v>
                </c:pt>
                <c:pt idx="333">
                  <c:v>5.0188910574573589</c:v>
                </c:pt>
                <c:pt idx="334">
                  <c:v>5.0309597993716455</c:v>
                </c:pt>
                <c:pt idx="335">
                  <c:v>5.0430285412859321</c:v>
                </c:pt>
                <c:pt idx="336">
                  <c:v>5.0550972832002179</c:v>
                </c:pt>
                <c:pt idx="337">
                  <c:v>5.0671660251145045</c:v>
                </c:pt>
                <c:pt idx="338">
                  <c:v>5.0792347670287912</c:v>
                </c:pt>
                <c:pt idx="339">
                  <c:v>5.0913035089430778</c:v>
                </c:pt>
                <c:pt idx="340">
                  <c:v>5.1033722508573645</c:v>
                </c:pt>
                <c:pt idx="341">
                  <c:v>5.1154409927716502</c:v>
                </c:pt>
                <c:pt idx="342">
                  <c:v>5.1275097346859368</c:v>
                </c:pt>
                <c:pt idx="343">
                  <c:v>5.1395784766002226</c:v>
                </c:pt>
                <c:pt idx="344">
                  <c:v>5.1516472185145092</c:v>
                </c:pt>
                <c:pt idx="345">
                  <c:v>5.163715960428795</c:v>
                </c:pt>
                <c:pt idx="346">
                  <c:v>5.1757847023430816</c:v>
                </c:pt>
                <c:pt idx="347">
                  <c:v>5.1878534442573683</c:v>
                </c:pt>
                <c:pt idx="348">
                  <c:v>5.1999221861716549</c:v>
                </c:pt>
                <c:pt idx="349">
                  <c:v>5.2119909280859416</c:v>
                </c:pt>
                <c:pt idx="350">
                  <c:v>5.2240596700002273</c:v>
                </c:pt>
                <c:pt idx="351">
                  <c:v>5.2361284119145139</c:v>
                </c:pt>
                <c:pt idx="352">
                  <c:v>5.2481971538288006</c:v>
                </c:pt>
                <c:pt idx="353">
                  <c:v>5.2602658957430863</c:v>
                </c:pt>
                <c:pt idx="354">
                  <c:v>5.272334637657373</c:v>
                </c:pt>
                <c:pt idx="355">
                  <c:v>5.2844033795716587</c:v>
                </c:pt>
                <c:pt idx="356">
                  <c:v>5.2964721214859454</c:v>
                </c:pt>
                <c:pt idx="357">
                  <c:v>5.308540863400232</c:v>
                </c:pt>
                <c:pt idx="358">
                  <c:v>5.3206096053145187</c:v>
                </c:pt>
                <c:pt idx="359">
                  <c:v>5.3326783472288053</c:v>
                </c:pt>
                <c:pt idx="360">
                  <c:v>5.344747089143091</c:v>
                </c:pt>
                <c:pt idx="361">
                  <c:v>5.3568158310573777</c:v>
                </c:pt>
                <c:pt idx="362">
                  <c:v>5.3688845729716643</c:v>
                </c:pt>
                <c:pt idx="363">
                  <c:v>5.3809533148859501</c:v>
                </c:pt>
                <c:pt idx="364">
                  <c:v>5.3930220568002367</c:v>
                </c:pt>
                <c:pt idx="365">
                  <c:v>5.4050907987145225</c:v>
                </c:pt>
                <c:pt idx="366">
                  <c:v>5.4171595406288091</c:v>
                </c:pt>
                <c:pt idx="367">
                  <c:v>5.4292282825430949</c:v>
                </c:pt>
                <c:pt idx="368">
                  <c:v>5.4412970244573815</c:v>
                </c:pt>
                <c:pt idx="369">
                  <c:v>5.4533657663716681</c:v>
                </c:pt>
                <c:pt idx="370">
                  <c:v>5.4654345082859548</c:v>
                </c:pt>
                <c:pt idx="371">
                  <c:v>5.4775032502002414</c:v>
                </c:pt>
                <c:pt idx="372">
                  <c:v>5.4895719921145272</c:v>
                </c:pt>
                <c:pt idx="373">
                  <c:v>5.5016407340288138</c:v>
                </c:pt>
                <c:pt idx="374">
                  <c:v>5.5137094759431005</c:v>
                </c:pt>
                <c:pt idx="375">
                  <c:v>5.5257782178573862</c:v>
                </c:pt>
                <c:pt idx="376">
                  <c:v>5.5378469597716729</c:v>
                </c:pt>
                <c:pt idx="377">
                  <c:v>5.5499157016859586</c:v>
                </c:pt>
                <c:pt idx="378">
                  <c:v>5.5619844436002452</c:v>
                </c:pt>
                <c:pt idx="379">
                  <c:v>5.5740531855145319</c:v>
                </c:pt>
                <c:pt idx="380">
                  <c:v>5.5861219274288185</c:v>
                </c:pt>
                <c:pt idx="381">
                  <c:v>5.5981906693431052</c:v>
                </c:pt>
                <c:pt idx="382">
                  <c:v>5.6102594112573909</c:v>
                </c:pt>
                <c:pt idx="383">
                  <c:v>5.6223281531716776</c:v>
                </c:pt>
                <c:pt idx="384">
                  <c:v>5.6343968950859633</c:v>
                </c:pt>
                <c:pt idx="385">
                  <c:v>5.6464656370002499</c:v>
                </c:pt>
                <c:pt idx="386">
                  <c:v>5.6585343789145366</c:v>
                </c:pt>
                <c:pt idx="387">
                  <c:v>5.6706031208288223</c:v>
                </c:pt>
                <c:pt idx="388">
                  <c:v>5.682671862743109</c:v>
                </c:pt>
                <c:pt idx="389">
                  <c:v>5.6947406046573947</c:v>
                </c:pt>
                <c:pt idx="390">
                  <c:v>5.7068093465716823</c:v>
                </c:pt>
                <c:pt idx="391">
                  <c:v>5.7188780884859689</c:v>
                </c:pt>
                <c:pt idx="392">
                  <c:v>5.7309468304002547</c:v>
                </c:pt>
                <c:pt idx="393">
                  <c:v>5.7430155723145413</c:v>
                </c:pt>
                <c:pt idx="394">
                  <c:v>5.755084314228827</c:v>
                </c:pt>
                <c:pt idx="395">
                  <c:v>5.7671530561431137</c:v>
                </c:pt>
                <c:pt idx="396">
                  <c:v>5.7792217980574003</c:v>
                </c:pt>
                <c:pt idx="397">
                  <c:v>5.7912905399716861</c:v>
                </c:pt>
                <c:pt idx="398">
                  <c:v>5.8033592818859727</c:v>
                </c:pt>
                <c:pt idx="399">
                  <c:v>5.8154280238002585</c:v>
                </c:pt>
                <c:pt idx="400">
                  <c:v>5.8274967657145451</c:v>
                </c:pt>
              </c:numCache>
            </c:numRef>
          </c:yVal>
          <c:smooth val="0"/>
          <c:extLst>
            <c:ext xmlns:c16="http://schemas.microsoft.com/office/drawing/2014/chart" uri="{C3380CC4-5D6E-409C-BE32-E72D297353CC}">
              <c16:uniqueId val="{00000004-9D75-4697-B1A9-32EB87BEDE6E}"/>
            </c:ext>
          </c:extLst>
        </c:ser>
        <c:dLbls>
          <c:showLegendKey val="0"/>
          <c:showVal val="0"/>
          <c:showCatName val="0"/>
          <c:showSerName val="0"/>
          <c:showPercent val="0"/>
          <c:showBubbleSize val="0"/>
        </c:dLbls>
        <c:axId val="1389311536"/>
        <c:axId val="1389312016"/>
        <c:extLst>
          <c:ext xmlns:c15="http://schemas.microsoft.com/office/drawing/2012/chart" uri="{02D57815-91ED-43cb-92C2-25804820EDAC}">
            <c15:filteredScatterSeries>
              <c15:ser>
                <c:idx val="8"/>
                <c:order val="8"/>
                <c:tx>
                  <c:strRef>
                    <c:extLst>
                      <c:ext uri="{02D57815-91ED-43cb-92C2-25804820EDAC}">
                        <c15:formulaRef>
                          <c15:sqref>'V-N Diagram'!$I$36</c15:sqref>
                        </c15:formulaRef>
                      </c:ext>
                    </c:extLst>
                    <c:strCache>
                      <c:ptCount val="1"/>
                      <c:pt idx="0">
                        <c:v>Vg</c:v>
                      </c:pt>
                    </c:strCache>
                  </c:strRef>
                </c:tx>
                <c:spPr>
                  <a:ln w="19050" cap="rnd">
                    <a:noFill/>
                    <a:round/>
                  </a:ln>
                  <a:effectLst/>
                </c:spPr>
                <c:marker>
                  <c:symbol val="none"/>
                </c:marker>
                <c:dPt>
                  <c:idx val="370"/>
                  <c:marker>
                    <c:symbol val="none"/>
                  </c:marker>
                  <c:bubble3D val="0"/>
                  <c:extLst>
                    <c:ext xmlns:c16="http://schemas.microsoft.com/office/drawing/2014/chart" uri="{C3380CC4-5D6E-409C-BE32-E72D297353CC}">
                      <c16:uniqueId val="{0000000A-38BE-4993-B6D8-ABE8414A1223}"/>
                    </c:ext>
                  </c:extLst>
                </c:dPt>
                <c:xVal>
                  <c:numRef>
                    <c:extLst>
                      <c:ext uri="{02D57815-91ED-43cb-92C2-25804820EDAC}">
                        <c15:formulaRef>
                          <c15:sqref>'V-N Diagram'!$I$37:$I$437</c15:sqref>
                        </c15:formulaRef>
                      </c:ext>
                    </c:extLst>
                    <c:numCache>
                      <c:formatCode>General</c:formatCode>
                      <c:ptCount val="401"/>
                      <c:pt idx="0">
                        <c:v>197.721490063907</c:v>
                      </c:pt>
                      <c:pt idx="1">
                        <c:v>197.721490063907</c:v>
                      </c:pt>
                      <c:pt idx="2">
                        <c:v>197.721490063907</c:v>
                      </c:pt>
                      <c:pt idx="3">
                        <c:v>197.721490063907</c:v>
                      </c:pt>
                      <c:pt idx="4">
                        <c:v>197.721490063907</c:v>
                      </c:pt>
                      <c:pt idx="5">
                        <c:v>197.721490063907</c:v>
                      </c:pt>
                      <c:pt idx="6">
                        <c:v>197.721490063907</c:v>
                      </c:pt>
                      <c:pt idx="7">
                        <c:v>197.721490063907</c:v>
                      </c:pt>
                      <c:pt idx="8">
                        <c:v>197.721490063907</c:v>
                      </c:pt>
                      <c:pt idx="9">
                        <c:v>197.721490063907</c:v>
                      </c:pt>
                      <c:pt idx="10">
                        <c:v>197.721490063907</c:v>
                      </c:pt>
                      <c:pt idx="11">
                        <c:v>197.721490063907</c:v>
                      </c:pt>
                      <c:pt idx="12">
                        <c:v>197.721490063907</c:v>
                      </c:pt>
                      <c:pt idx="13">
                        <c:v>197.721490063907</c:v>
                      </c:pt>
                      <c:pt idx="14">
                        <c:v>197.721490063907</c:v>
                      </c:pt>
                      <c:pt idx="15">
                        <c:v>197.721490063907</c:v>
                      </c:pt>
                      <c:pt idx="16">
                        <c:v>197.721490063907</c:v>
                      </c:pt>
                      <c:pt idx="17">
                        <c:v>197.721490063907</c:v>
                      </c:pt>
                      <c:pt idx="18">
                        <c:v>197.721490063907</c:v>
                      </c:pt>
                      <c:pt idx="19">
                        <c:v>197.721490063907</c:v>
                      </c:pt>
                      <c:pt idx="20">
                        <c:v>197.721490063907</c:v>
                      </c:pt>
                      <c:pt idx="21">
                        <c:v>197.721490063907</c:v>
                      </c:pt>
                      <c:pt idx="22">
                        <c:v>197.721490063907</c:v>
                      </c:pt>
                      <c:pt idx="23">
                        <c:v>197.721490063907</c:v>
                      </c:pt>
                      <c:pt idx="24">
                        <c:v>197.721490063907</c:v>
                      </c:pt>
                      <c:pt idx="25">
                        <c:v>197.721490063907</c:v>
                      </c:pt>
                      <c:pt idx="26">
                        <c:v>197.721490063907</c:v>
                      </c:pt>
                      <c:pt idx="27">
                        <c:v>197.721490063907</c:v>
                      </c:pt>
                      <c:pt idx="28">
                        <c:v>197.721490063907</c:v>
                      </c:pt>
                      <c:pt idx="29">
                        <c:v>197.721490063907</c:v>
                      </c:pt>
                      <c:pt idx="30">
                        <c:v>197.721490063907</c:v>
                      </c:pt>
                      <c:pt idx="31">
                        <c:v>197.721490063907</c:v>
                      </c:pt>
                      <c:pt idx="32">
                        <c:v>197.721490063907</c:v>
                      </c:pt>
                      <c:pt idx="33">
                        <c:v>197.721490063907</c:v>
                      </c:pt>
                      <c:pt idx="34">
                        <c:v>197.721490063907</c:v>
                      </c:pt>
                      <c:pt idx="35">
                        <c:v>197.721490063907</c:v>
                      </c:pt>
                      <c:pt idx="36">
                        <c:v>197.721490063907</c:v>
                      </c:pt>
                      <c:pt idx="37">
                        <c:v>197.721490063907</c:v>
                      </c:pt>
                      <c:pt idx="38">
                        <c:v>197.721490063907</c:v>
                      </c:pt>
                      <c:pt idx="39">
                        <c:v>197.721490063907</c:v>
                      </c:pt>
                      <c:pt idx="40">
                        <c:v>197.721490063907</c:v>
                      </c:pt>
                      <c:pt idx="41">
                        <c:v>197.721490063907</c:v>
                      </c:pt>
                      <c:pt idx="42">
                        <c:v>197.721490063907</c:v>
                      </c:pt>
                      <c:pt idx="43">
                        <c:v>197.721490063907</c:v>
                      </c:pt>
                      <c:pt idx="44">
                        <c:v>197.721490063907</c:v>
                      </c:pt>
                      <c:pt idx="45">
                        <c:v>197.721490063907</c:v>
                      </c:pt>
                      <c:pt idx="46">
                        <c:v>197.721490063907</c:v>
                      </c:pt>
                      <c:pt idx="47">
                        <c:v>197.721490063907</c:v>
                      </c:pt>
                      <c:pt idx="48">
                        <c:v>197.721490063907</c:v>
                      </c:pt>
                      <c:pt idx="49">
                        <c:v>197.721490063907</c:v>
                      </c:pt>
                      <c:pt idx="50">
                        <c:v>197.721490063907</c:v>
                      </c:pt>
                      <c:pt idx="51">
                        <c:v>197.721490063907</c:v>
                      </c:pt>
                      <c:pt idx="52">
                        <c:v>197.721490063907</c:v>
                      </c:pt>
                      <c:pt idx="53">
                        <c:v>197.721490063907</c:v>
                      </c:pt>
                      <c:pt idx="54">
                        <c:v>197.721490063907</c:v>
                      </c:pt>
                      <c:pt idx="55">
                        <c:v>197.721490063907</c:v>
                      </c:pt>
                      <c:pt idx="56">
                        <c:v>197.721490063907</c:v>
                      </c:pt>
                      <c:pt idx="57">
                        <c:v>197.721490063907</c:v>
                      </c:pt>
                      <c:pt idx="58">
                        <c:v>197.721490063907</c:v>
                      </c:pt>
                      <c:pt idx="59">
                        <c:v>197.721490063907</c:v>
                      </c:pt>
                      <c:pt idx="60">
                        <c:v>197.721490063907</c:v>
                      </c:pt>
                      <c:pt idx="61">
                        <c:v>197.721490063907</c:v>
                      </c:pt>
                      <c:pt idx="62">
                        <c:v>197.721490063907</c:v>
                      </c:pt>
                      <c:pt idx="63">
                        <c:v>197.721490063907</c:v>
                      </c:pt>
                      <c:pt idx="64">
                        <c:v>197.721490063907</c:v>
                      </c:pt>
                      <c:pt idx="65">
                        <c:v>197.721490063907</c:v>
                      </c:pt>
                      <c:pt idx="66">
                        <c:v>197.721490063907</c:v>
                      </c:pt>
                      <c:pt idx="67">
                        <c:v>197.721490063907</c:v>
                      </c:pt>
                      <c:pt idx="68">
                        <c:v>197.721490063907</c:v>
                      </c:pt>
                      <c:pt idx="69">
                        <c:v>197.721490063907</c:v>
                      </c:pt>
                      <c:pt idx="70">
                        <c:v>197.721490063907</c:v>
                      </c:pt>
                      <c:pt idx="71">
                        <c:v>197.721490063907</c:v>
                      </c:pt>
                      <c:pt idx="72">
                        <c:v>197.721490063907</c:v>
                      </c:pt>
                      <c:pt idx="73">
                        <c:v>197.721490063907</c:v>
                      </c:pt>
                      <c:pt idx="74">
                        <c:v>197.721490063907</c:v>
                      </c:pt>
                      <c:pt idx="75">
                        <c:v>197.721490063907</c:v>
                      </c:pt>
                      <c:pt idx="76">
                        <c:v>197.721490063907</c:v>
                      </c:pt>
                      <c:pt idx="77">
                        <c:v>197.721490063907</c:v>
                      </c:pt>
                      <c:pt idx="78">
                        <c:v>197.721490063907</c:v>
                      </c:pt>
                      <c:pt idx="79">
                        <c:v>197.721490063907</c:v>
                      </c:pt>
                      <c:pt idx="80">
                        <c:v>197.721490063907</c:v>
                      </c:pt>
                      <c:pt idx="81">
                        <c:v>197.721490063907</c:v>
                      </c:pt>
                      <c:pt idx="82">
                        <c:v>197.721490063907</c:v>
                      </c:pt>
                      <c:pt idx="83">
                        <c:v>197.721490063907</c:v>
                      </c:pt>
                      <c:pt idx="84">
                        <c:v>197.721490063907</c:v>
                      </c:pt>
                      <c:pt idx="85">
                        <c:v>197.721490063907</c:v>
                      </c:pt>
                      <c:pt idx="86">
                        <c:v>197.721490063907</c:v>
                      </c:pt>
                      <c:pt idx="87">
                        <c:v>197.721490063907</c:v>
                      </c:pt>
                      <c:pt idx="88">
                        <c:v>197.721490063907</c:v>
                      </c:pt>
                      <c:pt idx="89">
                        <c:v>197.721490063907</c:v>
                      </c:pt>
                      <c:pt idx="90">
                        <c:v>197.721490063907</c:v>
                      </c:pt>
                      <c:pt idx="91">
                        <c:v>197.721490063907</c:v>
                      </c:pt>
                      <c:pt idx="92">
                        <c:v>197.721490063907</c:v>
                      </c:pt>
                      <c:pt idx="93">
                        <c:v>197.721490063907</c:v>
                      </c:pt>
                      <c:pt idx="94">
                        <c:v>197.721490063907</c:v>
                      </c:pt>
                      <c:pt idx="95">
                        <c:v>197.721490063907</c:v>
                      </c:pt>
                      <c:pt idx="96">
                        <c:v>197.721490063907</c:v>
                      </c:pt>
                      <c:pt idx="97">
                        <c:v>197.721490063907</c:v>
                      </c:pt>
                      <c:pt idx="98">
                        <c:v>197.721490063907</c:v>
                      </c:pt>
                      <c:pt idx="99">
                        <c:v>197.721490063907</c:v>
                      </c:pt>
                      <c:pt idx="100">
                        <c:v>197.721490063907</c:v>
                      </c:pt>
                      <c:pt idx="101">
                        <c:v>197.721490063907</c:v>
                      </c:pt>
                      <c:pt idx="102">
                        <c:v>197.721490063907</c:v>
                      </c:pt>
                      <c:pt idx="103">
                        <c:v>197.721490063907</c:v>
                      </c:pt>
                      <c:pt idx="104">
                        <c:v>197.721490063907</c:v>
                      </c:pt>
                      <c:pt idx="105">
                        <c:v>197.721490063907</c:v>
                      </c:pt>
                      <c:pt idx="106">
                        <c:v>197.721490063907</c:v>
                      </c:pt>
                      <c:pt idx="107">
                        <c:v>197.721490063907</c:v>
                      </c:pt>
                      <c:pt idx="108">
                        <c:v>197.721490063907</c:v>
                      </c:pt>
                      <c:pt idx="109">
                        <c:v>197.721490063907</c:v>
                      </c:pt>
                      <c:pt idx="110">
                        <c:v>197.721490063907</c:v>
                      </c:pt>
                      <c:pt idx="111">
                        <c:v>197.721490063907</c:v>
                      </c:pt>
                      <c:pt idx="112">
                        <c:v>197.721490063907</c:v>
                      </c:pt>
                      <c:pt idx="113">
                        <c:v>197.721490063907</c:v>
                      </c:pt>
                      <c:pt idx="114">
                        <c:v>197.721490063907</c:v>
                      </c:pt>
                      <c:pt idx="115">
                        <c:v>197.721490063907</c:v>
                      </c:pt>
                      <c:pt idx="116">
                        <c:v>197.721490063907</c:v>
                      </c:pt>
                      <c:pt idx="117">
                        <c:v>197.721490063907</c:v>
                      </c:pt>
                      <c:pt idx="118">
                        <c:v>197.721490063907</c:v>
                      </c:pt>
                      <c:pt idx="119">
                        <c:v>197.721490063907</c:v>
                      </c:pt>
                      <c:pt idx="120">
                        <c:v>197.721490063907</c:v>
                      </c:pt>
                      <c:pt idx="121">
                        <c:v>197.721490063907</c:v>
                      </c:pt>
                      <c:pt idx="122">
                        <c:v>197.721490063907</c:v>
                      </c:pt>
                      <c:pt idx="123">
                        <c:v>197.721490063907</c:v>
                      </c:pt>
                      <c:pt idx="124">
                        <c:v>197.721490063907</c:v>
                      </c:pt>
                      <c:pt idx="125">
                        <c:v>197.721490063907</c:v>
                      </c:pt>
                      <c:pt idx="126">
                        <c:v>197.721490063907</c:v>
                      </c:pt>
                      <c:pt idx="127">
                        <c:v>197.721490063907</c:v>
                      </c:pt>
                      <c:pt idx="128">
                        <c:v>197.721490063907</c:v>
                      </c:pt>
                      <c:pt idx="129">
                        <c:v>197.721490063907</c:v>
                      </c:pt>
                      <c:pt idx="130">
                        <c:v>197.721490063907</c:v>
                      </c:pt>
                      <c:pt idx="131">
                        <c:v>197.721490063907</c:v>
                      </c:pt>
                      <c:pt idx="132">
                        <c:v>197.721490063907</c:v>
                      </c:pt>
                      <c:pt idx="133">
                        <c:v>197.721490063907</c:v>
                      </c:pt>
                      <c:pt idx="134">
                        <c:v>197.721490063907</c:v>
                      </c:pt>
                      <c:pt idx="135">
                        <c:v>197.721490063907</c:v>
                      </c:pt>
                      <c:pt idx="136">
                        <c:v>197.721490063907</c:v>
                      </c:pt>
                      <c:pt idx="137">
                        <c:v>197.721490063907</c:v>
                      </c:pt>
                      <c:pt idx="138">
                        <c:v>197.721490063907</c:v>
                      </c:pt>
                      <c:pt idx="139">
                        <c:v>197.721490063907</c:v>
                      </c:pt>
                      <c:pt idx="140">
                        <c:v>197.721490063907</c:v>
                      </c:pt>
                      <c:pt idx="141">
                        <c:v>197.721490063907</c:v>
                      </c:pt>
                      <c:pt idx="142">
                        <c:v>197.721490063907</c:v>
                      </c:pt>
                      <c:pt idx="143">
                        <c:v>197.721490063907</c:v>
                      </c:pt>
                      <c:pt idx="144">
                        <c:v>197.721490063907</c:v>
                      </c:pt>
                      <c:pt idx="145">
                        <c:v>197.721490063907</c:v>
                      </c:pt>
                      <c:pt idx="146">
                        <c:v>197.721490063907</c:v>
                      </c:pt>
                      <c:pt idx="147">
                        <c:v>197.721490063907</c:v>
                      </c:pt>
                      <c:pt idx="148">
                        <c:v>197.721490063907</c:v>
                      </c:pt>
                      <c:pt idx="149">
                        <c:v>197.721490063907</c:v>
                      </c:pt>
                      <c:pt idx="150">
                        <c:v>197.721490063907</c:v>
                      </c:pt>
                      <c:pt idx="151">
                        <c:v>197.721490063907</c:v>
                      </c:pt>
                      <c:pt idx="152">
                        <c:v>197.721490063907</c:v>
                      </c:pt>
                      <c:pt idx="153">
                        <c:v>197.721490063907</c:v>
                      </c:pt>
                      <c:pt idx="154">
                        <c:v>197.721490063907</c:v>
                      </c:pt>
                      <c:pt idx="155">
                        <c:v>197.721490063907</c:v>
                      </c:pt>
                      <c:pt idx="156">
                        <c:v>197.721490063907</c:v>
                      </c:pt>
                      <c:pt idx="157">
                        <c:v>197.721490063907</c:v>
                      </c:pt>
                      <c:pt idx="158">
                        <c:v>197.721490063907</c:v>
                      </c:pt>
                      <c:pt idx="159">
                        <c:v>197.721490063907</c:v>
                      </c:pt>
                      <c:pt idx="160">
                        <c:v>197.721490063907</c:v>
                      </c:pt>
                      <c:pt idx="161">
                        <c:v>197.721490063907</c:v>
                      </c:pt>
                      <c:pt idx="162">
                        <c:v>197.721490063907</c:v>
                      </c:pt>
                      <c:pt idx="163">
                        <c:v>197.721490063907</c:v>
                      </c:pt>
                      <c:pt idx="164">
                        <c:v>197.721490063907</c:v>
                      </c:pt>
                      <c:pt idx="165">
                        <c:v>197.721490063907</c:v>
                      </c:pt>
                      <c:pt idx="166">
                        <c:v>197.721490063907</c:v>
                      </c:pt>
                      <c:pt idx="167">
                        <c:v>197.721490063907</c:v>
                      </c:pt>
                      <c:pt idx="168">
                        <c:v>197.721490063907</c:v>
                      </c:pt>
                      <c:pt idx="169">
                        <c:v>197.721490063907</c:v>
                      </c:pt>
                      <c:pt idx="170">
                        <c:v>197.721490063907</c:v>
                      </c:pt>
                      <c:pt idx="171">
                        <c:v>197.721490063907</c:v>
                      </c:pt>
                      <c:pt idx="172">
                        <c:v>197.721490063907</c:v>
                      </c:pt>
                      <c:pt idx="173">
                        <c:v>197.721490063907</c:v>
                      </c:pt>
                      <c:pt idx="174">
                        <c:v>197.721490063907</c:v>
                      </c:pt>
                      <c:pt idx="175">
                        <c:v>197.721490063907</c:v>
                      </c:pt>
                      <c:pt idx="176">
                        <c:v>197.721490063907</c:v>
                      </c:pt>
                      <c:pt idx="177">
                        <c:v>197.721490063907</c:v>
                      </c:pt>
                      <c:pt idx="178">
                        <c:v>197.721490063907</c:v>
                      </c:pt>
                      <c:pt idx="179">
                        <c:v>197.721490063907</c:v>
                      </c:pt>
                      <c:pt idx="180">
                        <c:v>197.721490063907</c:v>
                      </c:pt>
                      <c:pt idx="181">
                        <c:v>197.721490063907</c:v>
                      </c:pt>
                      <c:pt idx="182">
                        <c:v>197.721490063907</c:v>
                      </c:pt>
                      <c:pt idx="183">
                        <c:v>197.721490063907</c:v>
                      </c:pt>
                      <c:pt idx="184">
                        <c:v>197.721490063907</c:v>
                      </c:pt>
                      <c:pt idx="185">
                        <c:v>197.721490063907</c:v>
                      </c:pt>
                      <c:pt idx="186">
                        <c:v>197.721490063907</c:v>
                      </c:pt>
                      <c:pt idx="187">
                        <c:v>197.721490063907</c:v>
                      </c:pt>
                      <c:pt idx="188">
                        <c:v>197.721490063907</c:v>
                      </c:pt>
                      <c:pt idx="189">
                        <c:v>197.721490063907</c:v>
                      </c:pt>
                      <c:pt idx="190">
                        <c:v>197.721490063907</c:v>
                      </c:pt>
                      <c:pt idx="191">
                        <c:v>197.721490063907</c:v>
                      </c:pt>
                      <c:pt idx="192">
                        <c:v>197.721490063907</c:v>
                      </c:pt>
                      <c:pt idx="193">
                        <c:v>197.721490063907</c:v>
                      </c:pt>
                      <c:pt idx="194">
                        <c:v>197.721490063907</c:v>
                      </c:pt>
                      <c:pt idx="195">
                        <c:v>197.721490063907</c:v>
                      </c:pt>
                      <c:pt idx="196">
                        <c:v>197.721490063907</c:v>
                      </c:pt>
                      <c:pt idx="197">
                        <c:v>197.721490063907</c:v>
                      </c:pt>
                      <c:pt idx="198">
                        <c:v>197.721490063907</c:v>
                      </c:pt>
                      <c:pt idx="199">
                        <c:v>197.721490063907</c:v>
                      </c:pt>
                      <c:pt idx="200">
                        <c:v>197.721490063907</c:v>
                      </c:pt>
                      <c:pt idx="201">
                        <c:v>197.721490063907</c:v>
                      </c:pt>
                      <c:pt idx="202">
                        <c:v>197.721490063907</c:v>
                      </c:pt>
                      <c:pt idx="203">
                        <c:v>197.721490063907</c:v>
                      </c:pt>
                      <c:pt idx="204">
                        <c:v>197.721490063907</c:v>
                      </c:pt>
                      <c:pt idx="205">
                        <c:v>197.721490063907</c:v>
                      </c:pt>
                      <c:pt idx="206">
                        <c:v>197.721490063907</c:v>
                      </c:pt>
                      <c:pt idx="207">
                        <c:v>197.721490063907</c:v>
                      </c:pt>
                      <c:pt idx="208">
                        <c:v>197.721490063907</c:v>
                      </c:pt>
                      <c:pt idx="209">
                        <c:v>197.721490063907</c:v>
                      </c:pt>
                      <c:pt idx="210">
                        <c:v>197.721490063907</c:v>
                      </c:pt>
                      <c:pt idx="211">
                        <c:v>197.721490063907</c:v>
                      </c:pt>
                      <c:pt idx="212">
                        <c:v>197.721490063907</c:v>
                      </c:pt>
                      <c:pt idx="213">
                        <c:v>197.721490063907</c:v>
                      </c:pt>
                      <c:pt idx="214">
                        <c:v>197.721490063907</c:v>
                      </c:pt>
                      <c:pt idx="215">
                        <c:v>197.721490063907</c:v>
                      </c:pt>
                      <c:pt idx="216">
                        <c:v>197.721490063907</c:v>
                      </c:pt>
                      <c:pt idx="217">
                        <c:v>197.721490063907</c:v>
                      </c:pt>
                      <c:pt idx="218">
                        <c:v>197.721490063907</c:v>
                      </c:pt>
                      <c:pt idx="219">
                        <c:v>197.721490063907</c:v>
                      </c:pt>
                      <c:pt idx="220">
                        <c:v>197.721490063907</c:v>
                      </c:pt>
                      <c:pt idx="221">
                        <c:v>197.721490063907</c:v>
                      </c:pt>
                      <c:pt idx="222">
                        <c:v>197.721490063907</c:v>
                      </c:pt>
                      <c:pt idx="223">
                        <c:v>197.721490063907</c:v>
                      </c:pt>
                      <c:pt idx="224">
                        <c:v>197.721490063907</c:v>
                      </c:pt>
                      <c:pt idx="225">
                        <c:v>197.721490063907</c:v>
                      </c:pt>
                      <c:pt idx="226">
                        <c:v>197.721490063907</c:v>
                      </c:pt>
                      <c:pt idx="227">
                        <c:v>197.721490063907</c:v>
                      </c:pt>
                      <c:pt idx="228">
                        <c:v>197.721490063907</c:v>
                      </c:pt>
                      <c:pt idx="229">
                        <c:v>197.721490063907</c:v>
                      </c:pt>
                      <c:pt idx="230">
                        <c:v>197.721490063907</c:v>
                      </c:pt>
                      <c:pt idx="231">
                        <c:v>197.721490063907</c:v>
                      </c:pt>
                      <c:pt idx="232">
                        <c:v>197.721490063907</c:v>
                      </c:pt>
                      <c:pt idx="233">
                        <c:v>197.721490063907</c:v>
                      </c:pt>
                      <c:pt idx="234">
                        <c:v>197.721490063907</c:v>
                      </c:pt>
                      <c:pt idx="235">
                        <c:v>197.721490063907</c:v>
                      </c:pt>
                      <c:pt idx="236">
                        <c:v>197.721490063907</c:v>
                      </c:pt>
                      <c:pt idx="237">
                        <c:v>197.721490063907</c:v>
                      </c:pt>
                      <c:pt idx="238">
                        <c:v>197.721490063907</c:v>
                      </c:pt>
                      <c:pt idx="239">
                        <c:v>197.721490063907</c:v>
                      </c:pt>
                      <c:pt idx="240">
                        <c:v>197.721490063907</c:v>
                      </c:pt>
                      <c:pt idx="241">
                        <c:v>197.721490063907</c:v>
                      </c:pt>
                      <c:pt idx="242">
                        <c:v>197.721490063907</c:v>
                      </c:pt>
                      <c:pt idx="243">
                        <c:v>197.721490063907</c:v>
                      </c:pt>
                      <c:pt idx="244">
                        <c:v>197.721490063907</c:v>
                      </c:pt>
                      <c:pt idx="245">
                        <c:v>197.721490063907</c:v>
                      </c:pt>
                      <c:pt idx="246">
                        <c:v>197.721490063907</c:v>
                      </c:pt>
                      <c:pt idx="247">
                        <c:v>197.721490063907</c:v>
                      </c:pt>
                      <c:pt idx="248">
                        <c:v>197.721490063907</c:v>
                      </c:pt>
                      <c:pt idx="249">
                        <c:v>197.721490063907</c:v>
                      </c:pt>
                      <c:pt idx="250">
                        <c:v>197.721490063907</c:v>
                      </c:pt>
                      <c:pt idx="251">
                        <c:v>197.721490063907</c:v>
                      </c:pt>
                      <c:pt idx="252">
                        <c:v>197.721490063907</c:v>
                      </c:pt>
                      <c:pt idx="253">
                        <c:v>197.721490063907</c:v>
                      </c:pt>
                      <c:pt idx="254">
                        <c:v>197.721490063907</c:v>
                      </c:pt>
                      <c:pt idx="255">
                        <c:v>197.721490063907</c:v>
                      </c:pt>
                      <c:pt idx="256">
                        <c:v>197.721490063907</c:v>
                      </c:pt>
                      <c:pt idx="257">
                        <c:v>197.721490063907</c:v>
                      </c:pt>
                      <c:pt idx="258">
                        <c:v>197.721490063907</c:v>
                      </c:pt>
                      <c:pt idx="259">
                        <c:v>197.721490063907</c:v>
                      </c:pt>
                      <c:pt idx="260">
                        <c:v>197.721490063907</c:v>
                      </c:pt>
                      <c:pt idx="261">
                        <c:v>197.721490063907</c:v>
                      </c:pt>
                      <c:pt idx="262">
                        <c:v>197.721490063907</c:v>
                      </c:pt>
                      <c:pt idx="263">
                        <c:v>197.721490063907</c:v>
                      </c:pt>
                      <c:pt idx="264">
                        <c:v>197.721490063907</c:v>
                      </c:pt>
                      <c:pt idx="265">
                        <c:v>197.721490063907</c:v>
                      </c:pt>
                      <c:pt idx="266">
                        <c:v>197.721490063907</c:v>
                      </c:pt>
                      <c:pt idx="267">
                        <c:v>197.721490063907</c:v>
                      </c:pt>
                      <c:pt idx="268">
                        <c:v>197.721490063907</c:v>
                      </c:pt>
                      <c:pt idx="269">
                        <c:v>197.721490063907</c:v>
                      </c:pt>
                      <c:pt idx="270">
                        <c:v>197.721490063907</c:v>
                      </c:pt>
                      <c:pt idx="271">
                        <c:v>197.721490063907</c:v>
                      </c:pt>
                      <c:pt idx="272">
                        <c:v>197.721490063907</c:v>
                      </c:pt>
                      <c:pt idx="273">
                        <c:v>197.721490063907</c:v>
                      </c:pt>
                      <c:pt idx="274">
                        <c:v>197.721490063907</c:v>
                      </c:pt>
                      <c:pt idx="275">
                        <c:v>197.721490063907</c:v>
                      </c:pt>
                      <c:pt idx="276">
                        <c:v>197.721490063907</c:v>
                      </c:pt>
                      <c:pt idx="277">
                        <c:v>197.721490063907</c:v>
                      </c:pt>
                      <c:pt idx="278">
                        <c:v>197.721490063907</c:v>
                      </c:pt>
                      <c:pt idx="279">
                        <c:v>197.721490063907</c:v>
                      </c:pt>
                      <c:pt idx="280">
                        <c:v>197.721490063907</c:v>
                      </c:pt>
                      <c:pt idx="281">
                        <c:v>197.721490063907</c:v>
                      </c:pt>
                      <c:pt idx="282">
                        <c:v>197.721490063907</c:v>
                      </c:pt>
                      <c:pt idx="283">
                        <c:v>197.721490063907</c:v>
                      </c:pt>
                      <c:pt idx="284">
                        <c:v>197.721490063907</c:v>
                      </c:pt>
                      <c:pt idx="285">
                        <c:v>197.721490063907</c:v>
                      </c:pt>
                      <c:pt idx="286">
                        <c:v>197.721490063907</c:v>
                      </c:pt>
                      <c:pt idx="287">
                        <c:v>197.721490063907</c:v>
                      </c:pt>
                      <c:pt idx="288">
                        <c:v>197.721490063907</c:v>
                      </c:pt>
                      <c:pt idx="289">
                        <c:v>197.721490063907</c:v>
                      </c:pt>
                      <c:pt idx="290">
                        <c:v>197.721490063907</c:v>
                      </c:pt>
                      <c:pt idx="291">
                        <c:v>197.721490063907</c:v>
                      </c:pt>
                      <c:pt idx="292">
                        <c:v>197.721490063907</c:v>
                      </c:pt>
                      <c:pt idx="293">
                        <c:v>197.721490063907</c:v>
                      </c:pt>
                      <c:pt idx="294">
                        <c:v>197.721490063907</c:v>
                      </c:pt>
                      <c:pt idx="295">
                        <c:v>197.721490063907</c:v>
                      </c:pt>
                      <c:pt idx="296">
                        <c:v>197.721490063907</c:v>
                      </c:pt>
                      <c:pt idx="297">
                        <c:v>197.721490063907</c:v>
                      </c:pt>
                      <c:pt idx="298">
                        <c:v>197.721490063907</c:v>
                      </c:pt>
                      <c:pt idx="299">
                        <c:v>197.721490063907</c:v>
                      </c:pt>
                      <c:pt idx="300">
                        <c:v>197.721490063907</c:v>
                      </c:pt>
                      <c:pt idx="301">
                        <c:v>197.721490063907</c:v>
                      </c:pt>
                      <c:pt idx="302">
                        <c:v>197.721490063907</c:v>
                      </c:pt>
                      <c:pt idx="303">
                        <c:v>197.721490063907</c:v>
                      </c:pt>
                      <c:pt idx="304">
                        <c:v>197.721490063907</c:v>
                      </c:pt>
                      <c:pt idx="305">
                        <c:v>197.721490063907</c:v>
                      </c:pt>
                      <c:pt idx="306">
                        <c:v>197.721490063907</c:v>
                      </c:pt>
                      <c:pt idx="307">
                        <c:v>197.721490063907</c:v>
                      </c:pt>
                      <c:pt idx="308">
                        <c:v>197.721490063907</c:v>
                      </c:pt>
                      <c:pt idx="309">
                        <c:v>197.721490063907</c:v>
                      </c:pt>
                      <c:pt idx="310">
                        <c:v>197.721490063907</c:v>
                      </c:pt>
                      <c:pt idx="311">
                        <c:v>197.721490063907</c:v>
                      </c:pt>
                      <c:pt idx="312">
                        <c:v>197.721490063907</c:v>
                      </c:pt>
                      <c:pt idx="313">
                        <c:v>197.721490063907</c:v>
                      </c:pt>
                      <c:pt idx="314">
                        <c:v>197.721490063907</c:v>
                      </c:pt>
                      <c:pt idx="315">
                        <c:v>197.721490063907</c:v>
                      </c:pt>
                      <c:pt idx="316">
                        <c:v>197.721490063907</c:v>
                      </c:pt>
                      <c:pt idx="317">
                        <c:v>197.721490063907</c:v>
                      </c:pt>
                      <c:pt idx="318">
                        <c:v>197.721490063907</c:v>
                      </c:pt>
                      <c:pt idx="319">
                        <c:v>197.721490063907</c:v>
                      </c:pt>
                      <c:pt idx="320">
                        <c:v>197.721490063907</c:v>
                      </c:pt>
                      <c:pt idx="321">
                        <c:v>197.721490063907</c:v>
                      </c:pt>
                      <c:pt idx="322">
                        <c:v>197.721490063907</c:v>
                      </c:pt>
                      <c:pt idx="323">
                        <c:v>197.721490063907</c:v>
                      </c:pt>
                      <c:pt idx="324">
                        <c:v>197.721490063907</c:v>
                      </c:pt>
                      <c:pt idx="325">
                        <c:v>197.721490063907</c:v>
                      </c:pt>
                      <c:pt idx="326">
                        <c:v>197.721490063907</c:v>
                      </c:pt>
                      <c:pt idx="327">
                        <c:v>197.721490063907</c:v>
                      </c:pt>
                      <c:pt idx="328">
                        <c:v>197.721490063907</c:v>
                      </c:pt>
                      <c:pt idx="329">
                        <c:v>197.721490063907</c:v>
                      </c:pt>
                      <c:pt idx="330">
                        <c:v>197.721490063907</c:v>
                      </c:pt>
                      <c:pt idx="331">
                        <c:v>197.721490063907</c:v>
                      </c:pt>
                      <c:pt idx="332">
                        <c:v>197.721490063907</c:v>
                      </c:pt>
                      <c:pt idx="333">
                        <c:v>197.721490063907</c:v>
                      </c:pt>
                      <c:pt idx="334">
                        <c:v>197.721490063907</c:v>
                      </c:pt>
                      <c:pt idx="335">
                        <c:v>197.721490063907</c:v>
                      </c:pt>
                      <c:pt idx="336">
                        <c:v>197.721490063907</c:v>
                      </c:pt>
                      <c:pt idx="337">
                        <c:v>197.721490063907</c:v>
                      </c:pt>
                      <c:pt idx="338">
                        <c:v>197.721490063907</c:v>
                      </c:pt>
                      <c:pt idx="339">
                        <c:v>197.721490063907</c:v>
                      </c:pt>
                      <c:pt idx="340">
                        <c:v>197.721490063907</c:v>
                      </c:pt>
                      <c:pt idx="341">
                        <c:v>197.721490063907</c:v>
                      </c:pt>
                      <c:pt idx="342">
                        <c:v>197.721490063907</c:v>
                      </c:pt>
                      <c:pt idx="343">
                        <c:v>197.721490063907</c:v>
                      </c:pt>
                      <c:pt idx="344">
                        <c:v>197.721490063907</c:v>
                      </c:pt>
                      <c:pt idx="345">
                        <c:v>197.721490063907</c:v>
                      </c:pt>
                      <c:pt idx="346">
                        <c:v>197.721490063907</c:v>
                      </c:pt>
                      <c:pt idx="347">
                        <c:v>197.721490063907</c:v>
                      </c:pt>
                      <c:pt idx="348">
                        <c:v>197.721490063907</c:v>
                      </c:pt>
                      <c:pt idx="349">
                        <c:v>197.721490063907</c:v>
                      </c:pt>
                      <c:pt idx="350">
                        <c:v>197.721490063907</c:v>
                      </c:pt>
                      <c:pt idx="351">
                        <c:v>197.721490063907</c:v>
                      </c:pt>
                      <c:pt idx="352">
                        <c:v>197.721490063907</c:v>
                      </c:pt>
                      <c:pt idx="353">
                        <c:v>197.721490063907</c:v>
                      </c:pt>
                      <c:pt idx="354">
                        <c:v>197.721490063907</c:v>
                      </c:pt>
                      <c:pt idx="355">
                        <c:v>197.721490063907</c:v>
                      </c:pt>
                      <c:pt idx="356">
                        <c:v>197.721490063907</c:v>
                      </c:pt>
                      <c:pt idx="357">
                        <c:v>197.721490063907</c:v>
                      </c:pt>
                      <c:pt idx="358">
                        <c:v>197.721490063907</c:v>
                      </c:pt>
                      <c:pt idx="359">
                        <c:v>197.721490063907</c:v>
                      </c:pt>
                      <c:pt idx="360">
                        <c:v>197.721490063907</c:v>
                      </c:pt>
                      <c:pt idx="361">
                        <c:v>197.721490063907</c:v>
                      </c:pt>
                      <c:pt idx="362">
                        <c:v>197.721490063907</c:v>
                      </c:pt>
                      <c:pt idx="363">
                        <c:v>197.721490063907</c:v>
                      </c:pt>
                      <c:pt idx="364">
                        <c:v>197.721490063907</c:v>
                      </c:pt>
                      <c:pt idx="365">
                        <c:v>197.721490063907</c:v>
                      </c:pt>
                      <c:pt idx="366">
                        <c:v>197.721490063907</c:v>
                      </c:pt>
                      <c:pt idx="367">
                        <c:v>197.721490063907</c:v>
                      </c:pt>
                      <c:pt idx="368">
                        <c:v>197.721490063907</c:v>
                      </c:pt>
                      <c:pt idx="369">
                        <c:v>197.721490063907</c:v>
                      </c:pt>
                      <c:pt idx="370">
                        <c:v>197.721490063907</c:v>
                      </c:pt>
                      <c:pt idx="371">
                        <c:v>197.721490063907</c:v>
                      </c:pt>
                      <c:pt idx="372">
                        <c:v>197.721490063907</c:v>
                      </c:pt>
                      <c:pt idx="373">
                        <c:v>197.721490063907</c:v>
                      </c:pt>
                      <c:pt idx="374">
                        <c:v>197.721490063907</c:v>
                      </c:pt>
                      <c:pt idx="375">
                        <c:v>197.721490063907</c:v>
                      </c:pt>
                      <c:pt idx="376">
                        <c:v>197.721490063907</c:v>
                      </c:pt>
                      <c:pt idx="377">
                        <c:v>197.721490063907</c:v>
                      </c:pt>
                      <c:pt idx="378">
                        <c:v>197.721490063907</c:v>
                      </c:pt>
                      <c:pt idx="379">
                        <c:v>197.721490063907</c:v>
                      </c:pt>
                      <c:pt idx="380">
                        <c:v>197.721490063907</c:v>
                      </c:pt>
                      <c:pt idx="381">
                        <c:v>197.721490063907</c:v>
                      </c:pt>
                      <c:pt idx="382">
                        <c:v>197.721490063907</c:v>
                      </c:pt>
                      <c:pt idx="383">
                        <c:v>197.721490063907</c:v>
                      </c:pt>
                      <c:pt idx="384">
                        <c:v>197.721490063907</c:v>
                      </c:pt>
                      <c:pt idx="385">
                        <c:v>197.721490063907</c:v>
                      </c:pt>
                      <c:pt idx="386">
                        <c:v>197.721490063907</c:v>
                      </c:pt>
                      <c:pt idx="387">
                        <c:v>197.721490063907</c:v>
                      </c:pt>
                      <c:pt idx="388">
                        <c:v>197.721490063907</c:v>
                      </c:pt>
                      <c:pt idx="389">
                        <c:v>197.721490063907</c:v>
                      </c:pt>
                      <c:pt idx="390">
                        <c:v>197.721490063907</c:v>
                      </c:pt>
                      <c:pt idx="391">
                        <c:v>197.721490063907</c:v>
                      </c:pt>
                      <c:pt idx="392">
                        <c:v>197.721490063907</c:v>
                      </c:pt>
                      <c:pt idx="393">
                        <c:v>197.721490063907</c:v>
                      </c:pt>
                      <c:pt idx="394">
                        <c:v>197.721490063907</c:v>
                      </c:pt>
                      <c:pt idx="395">
                        <c:v>197.721490063907</c:v>
                      </c:pt>
                      <c:pt idx="396">
                        <c:v>197.721490063907</c:v>
                      </c:pt>
                      <c:pt idx="397">
                        <c:v>197.721490063907</c:v>
                      </c:pt>
                      <c:pt idx="398">
                        <c:v>197.721490063907</c:v>
                      </c:pt>
                      <c:pt idx="399">
                        <c:v>197.721490063907</c:v>
                      </c:pt>
                      <c:pt idx="400">
                        <c:v>197.721490063907</c:v>
                      </c:pt>
                    </c:numCache>
                  </c:numRef>
                </c:xVal>
                <c:yVal>
                  <c:numRef>
                    <c:extLst>
                      <c:ext uri="{02D57815-91ED-43cb-92C2-25804820EDAC}">
                        <c15:formulaRef>
                          <c15:sqref>'V-N Diagram'!$V$37:$V$437</c15:sqref>
                        </c15:formulaRef>
                      </c:ext>
                    </c:extLst>
                    <c:numCache>
                      <c:formatCode>General</c:formatCode>
                      <c:ptCount val="401"/>
                      <c:pt idx="0">
                        <c:v>-3</c:v>
                      </c:pt>
                      <c:pt idx="1">
                        <c:v>-2.98</c:v>
                      </c:pt>
                      <c:pt idx="2">
                        <c:v>-2.96</c:v>
                      </c:pt>
                      <c:pt idx="3">
                        <c:v>-2.94</c:v>
                      </c:pt>
                      <c:pt idx="4">
                        <c:v>-2.92</c:v>
                      </c:pt>
                      <c:pt idx="5">
                        <c:v>-2.9</c:v>
                      </c:pt>
                      <c:pt idx="6">
                        <c:v>-2.88</c:v>
                      </c:pt>
                      <c:pt idx="7">
                        <c:v>-2.86</c:v>
                      </c:pt>
                      <c:pt idx="8">
                        <c:v>-2.84</c:v>
                      </c:pt>
                      <c:pt idx="9">
                        <c:v>-2.82</c:v>
                      </c:pt>
                      <c:pt idx="10">
                        <c:v>-2.8</c:v>
                      </c:pt>
                      <c:pt idx="11">
                        <c:v>-2.78</c:v>
                      </c:pt>
                      <c:pt idx="12">
                        <c:v>-2.76</c:v>
                      </c:pt>
                      <c:pt idx="13">
                        <c:v>-2.74</c:v>
                      </c:pt>
                      <c:pt idx="14">
                        <c:v>-2.72</c:v>
                      </c:pt>
                      <c:pt idx="15">
                        <c:v>-2.7</c:v>
                      </c:pt>
                      <c:pt idx="16">
                        <c:v>-2.68</c:v>
                      </c:pt>
                      <c:pt idx="17">
                        <c:v>-2.66</c:v>
                      </c:pt>
                      <c:pt idx="18">
                        <c:v>-2.64</c:v>
                      </c:pt>
                      <c:pt idx="19">
                        <c:v>-2.62</c:v>
                      </c:pt>
                      <c:pt idx="20">
                        <c:v>-2.6</c:v>
                      </c:pt>
                      <c:pt idx="21">
                        <c:v>-2.58</c:v>
                      </c:pt>
                      <c:pt idx="22">
                        <c:v>-2.56</c:v>
                      </c:pt>
                      <c:pt idx="23">
                        <c:v>-2.54</c:v>
                      </c:pt>
                      <c:pt idx="24">
                        <c:v>-2.52</c:v>
                      </c:pt>
                      <c:pt idx="25">
                        <c:v>-2.5</c:v>
                      </c:pt>
                      <c:pt idx="26">
                        <c:v>-2.48</c:v>
                      </c:pt>
                      <c:pt idx="27">
                        <c:v>-2.46</c:v>
                      </c:pt>
                      <c:pt idx="28">
                        <c:v>-2.44</c:v>
                      </c:pt>
                      <c:pt idx="29">
                        <c:v>-2.42</c:v>
                      </c:pt>
                      <c:pt idx="30">
                        <c:v>-2.4</c:v>
                      </c:pt>
                      <c:pt idx="31">
                        <c:v>-2.38</c:v>
                      </c:pt>
                      <c:pt idx="32">
                        <c:v>-2.36</c:v>
                      </c:pt>
                      <c:pt idx="33">
                        <c:v>-2.34</c:v>
                      </c:pt>
                      <c:pt idx="34">
                        <c:v>-2.3199999999999998</c:v>
                      </c:pt>
                      <c:pt idx="35">
                        <c:v>-2.2999999999999998</c:v>
                      </c:pt>
                      <c:pt idx="36">
                        <c:v>-2.2799999999999998</c:v>
                      </c:pt>
                      <c:pt idx="37">
                        <c:v>-2.2599999999999998</c:v>
                      </c:pt>
                      <c:pt idx="38">
                        <c:v>-2.2400000000000002</c:v>
                      </c:pt>
                      <c:pt idx="39">
                        <c:v>-2.2200000000000002</c:v>
                      </c:pt>
                      <c:pt idx="40">
                        <c:v>-2.2000000000000002</c:v>
                      </c:pt>
                      <c:pt idx="41">
                        <c:v>-2.1800000000000002</c:v>
                      </c:pt>
                      <c:pt idx="42">
                        <c:v>-2.16</c:v>
                      </c:pt>
                      <c:pt idx="43">
                        <c:v>-2.14</c:v>
                      </c:pt>
                      <c:pt idx="44">
                        <c:v>-2.12</c:v>
                      </c:pt>
                      <c:pt idx="45">
                        <c:v>-2.1</c:v>
                      </c:pt>
                      <c:pt idx="46">
                        <c:v>-2.08</c:v>
                      </c:pt>
                      <c:pt idx="47">
                        <c:v>-2.06</c:v>
                      </c:pt>
                      <c:pt idx="48">
                        <c:v>-2.04</c:v>
                      </c:pt>
                      <c:pt idx="49">
                        <c:v>-2.02</c:v>
                      </c:pt>
                      <c:pt idx="50">
                        <c:v>-2</c:v>
                      </c:pt>
                      <c:pt idx="51">
                        <c:v>-1.98</c:v>
                      </c:pt>
                      <c:pt idx="52">
                        <c:v>-1.96</c:v>
                      </c:pt>
                      <c:pt idx="53">
                        <c:v>-1.94</c:v>
                      </c:pt>
                      <c:pt idx="54">
                        <c:v>-1.92</c:v>
                      </c:pt>
                      <c:pt idx="55">
                        <c:v>-1.9</c:v>
                      </c:pt>
                      <c:pt idx="56">
                        <c:v>-1.88</c:v>
                      </c:pt>
                      <c:pt idx="57">
                        <c:v>-1.86</c:v>
                      </c:pt>
                      <c:pt idx="58">
                        <c:v>-1.84</c:v>
                      </c:pt>
                      <c:pt idx="59">
                        <c:v>-1.82</c:v>
                      </c:pt>
                      <c:pt idx="60">
                        <c:v>-1.8</c:v>
                      </c:pt>
                      <c:pt idx="61">
                        <c:v>-1.78</c:v>
                      </c:pt>
                      <c:pt idx="62">
                        <c:v>-1.76</c:v>
                      </c:pt>
                      <c:pt idx="63">
                        <c:v>-1.74</c:v>
                      </c:pt>
                      <c:pt idx="64">
                        <c:v>-1.72</c:v>
                      </c:pt>
                      <c:pt idx="65">
                        <c:v>-1.7</c:v>
                      </c:pt>
                      <c:pt idx="66">
                        <c:v>-1.68</c:v>
                      </c:pt>
                      <c:pt idx="67">
                        <c:v>-1.66</c:v>
                      </c:pt>
                      <c:pt idx="68">
                        <c:v>-1.64</c:v>
                      </c:pt>
                      <c:pt idx="69">
                        <c:v>-1.62</c:v>
                      </c:pt>
                      <c:pt idx="70">
                        <c:v>-1.6</c:v>
                      </c:pt>
                      <c:pt idx="71">
                        <c:v>-1.58</c:v>
                      </c:pt>
                      <c:pt idx="72">
                        <c:v>-1.56</c:v>
                      </c:pt>
                      <c:pt idx="73">
                        <c:v>-1.54</c:v>
                      </c:pt>
                      <c:pt idx="74">
                        <c:v>-1.52</c:v>
                      </c:pt>
                      <c:pt idx="75">
                        <c:v>-1.5</c:v>
                      </c:pt>
                      <c:pt idx="76">
                        <c:v>-1.48</c:v>
                      </c:pt>
                      <c:pt idx="77">
                        <c:v>-1.46</c:v>
                      </c:pt>
                      <c:pt idx="78">
                        <c:v>-1.44</c:v>
                      </c:pt>
                      <c:pt idx="79">
                        <c:v>-1.42</c:v>
                      </c:pt>
                      <c:pt idx="80">
                        <c:v>-1.4</c:v>
                      </c:pt>
                      <c:pt idx="81">
                        <c:v>-1.38</c:v>
                      </c:pt>
                      <c:pt idx="82">
                        <c:v>-1.36</c:v>
                      </c:pt>
                      <c:pt idx="83">
                        <c:v>-1.34</c:v>
                      </c:pt>
                      <c:pt idx="84">
                        <c:v>-1.32</c:v>
                      </c:pt>
                      <c:pt idx="85">
                        <c:v>-1.3</c:v>
                      </c:pt>
                      <c:pt idx="86">
                        <c:v>-1.28</c:v>
                      </c:pt>
                      <c:pt idx="87">
                        <c:v>-1.26</c:v>
                      </c:pt>
                      <c:pt idx="88">
                        <c:v>-1.24</c:v>
                      </c:pt>
                      <c:pt idx="89">
                        <c:v>-1.22</c:v>
                      </c:pt>
                      <c:pt idx="90">
                        <c:v>-1.2</c:v>
                      </c:pt>
                      <c:pt idx="91">
                        <c:v>-1.18</c:v>
                      </c:pt>
                      <c:pt idx="92">
                        <c:v>-1.1599999999999999</c:v>
                      </c:pt>
                      <c:pt idx="93">
                        <c:v>-1.1399999999999999</c:v>
                      </c:pt>
                      <c:pt idx="94">
                        <c:v>-1.1200000000000001</c:v>
                      </c:pt>
                      <c:pt idx="95">
                        <c:v>-1.1000000000000001</c:v>
                      </c:pt>
                      <c:pt idx="96">
                        <c:v>-1.08</c:v>
                      </c:pt>
                      <c:pt idx="97">
                        <c:v>-1.06</c:v>
                      </c:pt>
                      <c:pt idx="98">
                        <c:v>-1.04</c:v>
                      </c:pt>
                      <c:pt idx="99">
                        <c:v>-1.02</c:v>
                      </c:pt>
                      <c:pt idx="100">
                        <c:v>-1</c:v>
                      </c:pt>
                      <c:pt idx="101">
                        <c:v>-0.98</c:v>
                      </c:pt>
                      <c:pt idx="102">
                        <c:v>-0.96</c:v>
                      </c:pt>
                      <c:pt idx="103">
                        <c:v>-0.94</c:v>
                      </c:pt>
                      <c:pt idx="104">
                        <c:v>-0.92</c:v>
                      </c:pt>
                      <c:pt idx="105">
                        <c:v>-0.9</c:v>
                      </c:pt>
                      <c:pt idx="106">
                        <c:v>-0.88</c:v>
                      </c:pt>
                      <c:pt idx="107">
                        <c:v>-0.86</c:v>
                      </c:pt>
                      <c:pt idx="108">
                        <c:v>-0.84</c:v>
                      </c:pt>
                      <c:pt idx="109">
                        <c:v>-0.82</c:v>
                      </c:pt>
                      <c:pt idx="110">
                        <c:v>-0.8</c:v>
                      </c:pt>
                      <c:pt idx="111">
                        <c:v>-0.78</c:v>
                      </c:pt>
                      <c:pt idx="112">
                        <c:v>-0.76</c:v>
                      </c:pt>
                      <c:pt idx="113">
                        <c:v>-0.74</c:v>
                      </c:pt>
                      <c:pt idx="114">
                        <c:v>-0.72</c:v>
                      </c:pt>
                      <c:pt idx="115">
                        <c:v>-0.7</c:v>
                      </c:pt>
                      <c:pt idx="116">
                        <c:v>-0.68</c:v>
                      </c:pt>
                      <c:pt idx="117">
                        <c:v>-0.66</c:v>
                      </c:pt>
                      <c:pt idx="118">
                        <c:v>-0.64</c:v>
                      </c:pt>
                      <c:pt idx="119">
                        <c:v>-0.62</c:v>
                      </c:pt>
                      <c:pt idx="120">
                        <c:v>-0.6</c:v>
                      </c:pt>
                      <c:pt idx="121">
                        <c:v>-0.57999999999999996</c:v>
                      </c:pt>
                      <c:pt idx="122">
                        <c:v>-0.56000000000000005</c:v>
                      </c:pt>
                      <c:pt idx="123">
                        <c:v>-0.54</c:v>
                      </c:pt>
                      <c:pt idx="124">
                        <c:v>-0.52</c:v>
                      </c:pt>
                      <c:pt idx="125">
                        <c:v>-0.5</c:v>
                      </c:pt>
                      <c:pt idx="126">
                        <c:v>-0.48</c:v>
                      </c:pt>
                      <c:pt idx="127">
                        <c:v>-0.46</c:v>
                      </c:pt>
                      <c:pt idx="128">
                        <c:v>-0.44</c:v>
                      </c:pt>
                      <c:pt idx="129">
                        <c:v>-0.42</c:v>
                      </c:pt>
                      <c:pt idx="130">
                        <c:v>-0.4</c:v>
                      </c:pt>
                      <c:pt idx="131">
                        <c:v>-0.38</c:v>
                      </c:pt>
                      <c:pt idx="132">
                        <c:v>-0.36</c:v>
                      </c:pt>
                      <c:pt idx="133">
                        <c:v>-0.34</c:v>
                      </c:pt>
                      <c:pt idx="134">
                        <c:v>-0.32</c:v>
                      </c:pt>
                      <c:pt idx="135">
                        <c:v>-0.3</c:v>
                      </c:pt>
                      <c:pt idx="136">
                        <c:v>-0.28000000000000003</c:v>
                      </c:pt>
                      <c:pt idx="137">
                        <c:v>-0.26</c:v>
                      </c:pt>
                      <c:pt idx="138">
                        <c:v>-0.24</c:v>
                      </c:pt>
                      <c:pt idx="139">
                        <c:v>-0.22</c:v>
                      </c:pt>
                      <c:pt idx="140">
                        <c:v>-0.2</c:v>
                      </c:pt>
                      <c:pt idx="141">
                        <c:v>-0.18</c:v>
                      </c:pt>
                      <c:pt idx="142">
                        <c:v>-0.16</c:v>
                      </c:pt>
                      <c:pt idx="143">
                        <c:v>-0.14000000000000001</c:v>
                      </c:pt>
                      <c:pt idx="144">
                        <c:v>-0.12</c:v>
                      </c:pt>
                      <c:pt idx="145">
                        <c:v>-0.1</c:v>
                      </c:pt>
                      <c:pt idx="146">
                        <c:v>-8.0000000000000099E-2</c:v>
                      </c:pt>
                      <c:pt idx="147">
                        <c:v>-6.0000000000000102E-2</c:v>
                      </c:pt>
                      <c:pt idx="148">
                        <c:v>-0.04</c:v>
                      </c:pt>
                      <c:pt idx="149">
                        <c:v>-0.02</c:v>
                      </c:pt>
                      <c:pt idx="150">
                        <c:v>0</c:v>
                      </c:pt>
                      <c:pt idx="151">
                        <c:v>0.02</c:v>
                      </c:pt>
                      <c:pt idx="152">
                        <c:v>0.04</c:v>
                      </c:pt>
                      <c:pt idx="153">
                        <c:v>6.0000000000000102E-2</c:v>
                      </c:pt>
                      <c:pt idx="154">
                        <c:v>8.0000000000000099E-2</c:v>
                      </c:pt>
                      <c:pt idx="155">
                        <c:v>0.1</c:v>
                      </c:pt>
                      <c:pt idx="156">
                        <c:v>0.12</c:v>
                      </c:pt>
                      <c:pt idx="157">
                        <c:v>0.14000000000000001</c:v>
                      </c:pt>
                      <c:pt idx="158">
                        <c:v>0.16</c:v>
                      </c:pt>
                      <c:pt idx="159">
                        <c:v>0.18</c:v>
                      </c:pt>
                      <c:pt idx="160">
                        <c:v>0.2</c:v>
                      </c:pt>
                      <c:pt idx="161">
                        <c:v>0.22</c:v>
                      </c:pt>
                      <c:pt idx="162">
                        <c:v>0.24</c:v>
                      </c:pt>
                      <c:pt idx="163">
                        <c:v>0.26</c:v>
                      </c:pt>
                      <c:pt idx="164">
                        <c:v>0.28000000000000003</c:v>
                      </c:pt>
                      <c:pt idx="165">
                        <c:v>0.3</c:v>
                      </c:pt>
                      <c:pt idx="166">
                        <c:v>0.32</c:v>
                      </c:pt>
                      <c:pt idx="167">
                        <c:v>0.34</c:v>
                      </c:pt>
                      <c:pt idx="168">
                        <c:v>0.36</c:v>
                      </c:pt>
                      <c:pt idx="169">
                        <c:v>0.38</c:v>
                      </c:pt>
                      <c:pt idx="170">
                        <c:v>0.4</c:v>
                      </c:pt>
                      <c:pt idx="171">
                        <c:v>0.42</c:v>
                      </c:pt>
                      <c:pt idx="172">
                        <c:v>0.44</c:v>
                      </c:pt>
                      <c:pt idx="173">
                        <c:v>0.46</c:v>
                      </c:pt>
                      <c:pt idx="174">
                        <c:v>0.48</c:v>
                      </c:pt>
                      <c:pt idx="175">
                        <c:v>0.5</c:v>
                      </c:pt>
                      <c:pt idx="176">
                        <c:v>0.52</c:v>
                      </c:pt>
                      <c:pt idx="177">
                        <c:v>0.54</c:v>
                      </c:pt>
                      <c:pt idx="178">
                        <c:v>0.56000000000000005</c:v>
                      </c:pt>
                      <c:pt idx="179">
                        <c:v>0.57999999999999996</c:v>
                      </c:pt>
                      <c:pt idx="180">
                        <c:v>0.6</c:v>
                      </c:pt>
                      <c:pt idx="181">
                        <c:v>0.62</c:v>
                      </c:pt>
                      <c:pt idx="182">
                        <c:v>0.64</c:v>
                      </c:pt>
                      <c:pt idx="183">
                        <c:v>0.66</c:v>
                      </c:pt>
                      <c:pt idx="184">
                        <c:v>0.68</c:v>
                      </c:pt>
                      <c:pt idx="185">
                        <c:v>0.7</c:v>
                      </c:pt>
                      <c:pt idx="186">
                        <c:v>0.72</c:v>
                      </c:pt>
                      <c:pt idx="187">
                        <c:v>0.74</c:v>
                      </c:pt>
                      <c:pt idx="188">
                        <c:v>0.76</c:v>
                      </c:pt>
                      <c:pt idx="189">
                        <c:v>0.78</c:v>
                      </c:pt>
                      <c:pt idx="190">
                        <c:v>0.8</c:v>
                      </c:pt>
                      <c:pt idx="191">
                        <c:v>0.82</c:v>
                      </c:pt>
                      <c:pt idx="192">
                        <c:v>0.84</c:v>
                      </c:pt>
                      <c:pt idx="193">
                        <c:v>0.86</c:v>
                      </c:pt>
                      <c:pt idx="194">
                        <c:v>0.88</c:v>
                      </c:pt>
                      <c:pt idx="195">
                        <c:v>0.9</c:v>
                      </c:pt>
                      <c:pt idx="196">
                        <c:v>0.92</c:v>
                      </c:pt>
                      <c:pt idx="197">
                        <c:v>0.94</c:v>
                      </c:pt>
                      <c:pt idx="198">
                        <c:v>0.96</c:v>
                      </c:pt>
                      <c:pt idx="199">
                        <c:v>0.98</c:v>
                      </c:pt>
                      <c:pt idx="200">
                        <c:v>1</c:v>
                      </c:pt>
                      <c:pt idx="201">
                        <c:v>1.02</c:v>
                      </c:pt>
                      <c:pt idx="202">
                        <c:v>1.04</c:v>
                      </c:pt>
                      <c:pt idx="203">
                        <c:v>1.06</c:v>
                      </c:pt>
                      <c:pt idx="204">
                        <c:v>1.08</c:v>
                      </c:pt>
                      <c:pt idx="205">
                        <c:v>1.1000000000000001</c:v>
                      </c:pt>
                      <c:pt idx="206">
                        <c:v>1.1200000000000001</c:v>
                      </c:pt>
                      <c:pt idx="207">
                        <c:v>1.1399999999999999</c:v>
                      </c:pt>
                      <c:pt idx="208">
                        <c:v>1.1599999999999999</c:v>
                      </c:pt>
                      <c:pt idx="209">
                        <c:v>1.18</c:v>
                      </c:pt>
                      <c:pt idx="210">
                        <c:v>1.2</c:v>
                      </c:pt>
                      <c:pt idx="211">
                        <c:v>1.22</c:v>
                      </c:pt>
                      <c:pt idx="212">
                        <c:v>1.24</c:v>
                      </c:pt>
                      <c:pt idx="213">
                        <c:v>1.26</c:v>
                      </c:pt>
                      <c:pt idx="214">
                        <c:v>1.28</c:v>
                      </c:pt>
                      <c:pt idx="215">
                        <c:v>1.3</c:v>
                      </c:pt>
                      <c:pt idx="216">
                        <c:v>1.32</c:v>
                      </c:pt>
                      <c:pt idx="217">
                        <c:v>1.34</c:v>
                      </c:pt>
                      <c:pt idx="218">
                        <c:v>1.36</c:v>
                      </c:pt>
                      <c:pt idx="219">
                        <c:v>1.38</c:v>
                      </c:pt>
                      <c:pt idx="220">
                        <c:v>1.4</c:v>
                      </c:pt>
                      <c:pt idx="221">
                        <c:v>1.42</c:v>
                      </c:pt>
                      <c:pt idx="222">
                        <c:v>1.44</c:v>
                      </c:pt>
                      <c:pt idx="223">
                        <c:v>1.46</c:v>
                      </c:pt>
                      <c:pt idx="224">
                        <c:v>1.48</c:v>
                      </c:pt>
                      <c:pt idx="225">
                        <c:v>1.5</c:v>
                      </c:pt>
                      <c:pt idx="226">
                        <c:v>1.52</c:v>
                      </c:pt>
                      <c:pt idx="227">
                        <c:v>1.54</c:v>
                      </c:pt>
                      <c:pt idx="228">
                        <c:v>1.56</c:v>
                      </c:pt>
                      <c:pt idx="229">
                        <c:v>1.58</c:v>
                      </c:pt>
                      <c:pt idx="230">
                        <c:v>1.6</c:v>
                      </c:pt>
                      <c:pt idx="231">
                        <c:v>1.62</c:v>
                      </c:pt>
                      <c:pt idx="232">
                        <c:v>1.64</c:v>
                      </c:pt>
                      <c:pt idx="233">
                        <c:v>1.66</c:v>
                      </c:pt>
                      <c:pt idx="234">
                        <c:v>1.68</c:v>
                      </c:pt>
                      <c:pt idx="235">
                        <c:v>1.7</c:v>
                      </c:pt>
                      <c:pt idx="236">
                        <c:v>1.72</c:v>
                      </c:pt>
                      <c:pt idx="237">
                        <c:v>1.74</c:v>
                      </c:pt>
                      <c:pt idx="238">
                        <c:v>1.76</c:v>
                      </c:pt>
                      <c:pt idx="239">
                        <c:v>1.78</c:v>
                      </c:pt>
                      <c:pt idx="240">
                        <c:v>1.8</c:v>
                      </c:pt>
                      <c:pt idx="241">
                        <c:v>1.82</c:v>
                      </c:pt>
                      <c:pt idx="242">
                        <c:v>1.84</c:v>
                      </c:pt>
                      <c:pt idx="243">
                        <c:v>1.86</c:v>
                      </c:pt>
                      <c:pt idx="244">
                        <c:v>1.88</c:v>
                      </c:pt>
                      <c:pt idx="245">
                        <c:v>1.9</c:v>
                      </c:pt>
                      <c:pt idx="246">
                        <c:v>1.92</c:v>
                      </c:pt>
                      <c:pt idx="247">
                        <c:v>1.94</c:v>
                      </c:pt>
                      <c:pt idx="248">
                        <c:v>1.96</c:v>
                      </c:pt>
                      <c:pt idx="249">
                        <c:v>1.98</c:v>
                      </c:pt>
                      <c:pt idx="250">
                        <c:v>2</c:v>
                      </c:pt>
                      <c:pt idx="251">
                        <c:v>2.02</c:v>
                      </c:pt>
                      <c:pt idx="252">
                        <c:v>2.04</c:v>
                      </c:pt>
                      <c:pt idx="253">
                        <c:v>2.06</c:v>
                      </c:pt>
                      <c:pt idx="254">
                        <c:v>2.08</c:v>
                      </c:pt>
                      <c:pt idx="255">
                        <c:v>2.1</c:v>
                      </c:pt>
                      <c:pt idx="256">
                        <c:v>2.12</c:v>
                      </c:pt>
                      <c:pt idx="257">
                        <c:v>2.14</c:v>
                      </c:pt>
                      <c:pt idx="258">
                        <c:v>2.16</c:v>
                      </c:pt>
                      <c:pt idx="259">
                        <c:v>2.1800000000000099</c:v>
                      </c:pt>
                      <c:pt idx="260">
                        <c:v>2.2000000000000002</c:v>
                      </c:pt>
                      <c:pt idx="261">
                        <c:v>2.2200000000000002</c:v>
                      </c:pt>
                      <c:pt idx="262">
                        <c:v>2.2400000000000002</c:v>
                      </c:pt>
                      <c:pt idx="263">
                        <c:v>2.26000000000001</c:v>
                      </c:pt>
                      <c:pt idx="264">
                        <c:v>2.2799999999999998</c:v>
                      </c:pt>
                      <c:pt idx="265">
                        <c:v>2.2999999999999998</c:v>
                      </c:pt>
                      <c:pt idx="266">
                        <c:v>2.3199999999999998</c:v>
                      </c:pt>
                      <c:pt idx="267">
                        <c:v>2.3400000000000101</c:v>
                      </c:pt>
                      <c:pt idx="268">
                        <c:v>2.36</c:v>
                      </c:pt>
                      <c:pt idx="269">
                        <c:v>2.38</c:v>
                      </c:pt>
                      <c:pt idx="270">
                        <c:v>2.4</c:v>
                      </c:pt>
                      <c:pt idx="271">
                        <c:v>2.4200000000000101</c:v>
                      </c:pt>
                      <c:pt idx="272">
                        <c:v>2.44</c:v>
                      </c:pt>
                      <c:pt idx="273">
                        <c:v>2.46</c:v>
                      </c:pt>
                      <c:pt idx="274">
                        <c:v>2.48</c:v>
                      </c:pt>
                      <c:pt idx="275">
                        <c:v>2.5000000000000102</c:v>
                      </c:pt>
                      <c:pt idx="276">
                        <c:v>2.52</c:v>
                      </c:pt>
                      <c:pt idx="277">
                        <c:v>2.54</c:v>
                      </c:pt>
                      <c:pt idx="278">
                        <c:v>2.56</c:v>
                      </c:pt>
                      <c:pt idx="279">
                        <c:v>2.5800000000000098</c:v>
                      </c:pt>
                      <c:pt idx="280">
                        <c:v>2.6</c:v>
                      </c:pt>
                      <c:pt idx="281">
                        <c:v>2.62</c:v>
                      </c:pt>
                      <c:pt idx="282">
                        <c:v>2.6400000000000099</c:v>
                      </c:pt>
                      <c:pt idx="283">
                        <c:v>2.6600000000000099</c:v>
                      </c:pt>
                      <c:pt idx="284">
                        <c:v>2.6800000000000099</c:v>
                      </c:pt>
                      <c:pt idx="285">
                        <c:v>2.7</c:v>
                      </c:pt>
                      <c:pt idx="286">
                        <c:v>2.72000000000001</c:v>
                      </c:pt>
                      <c:pt idx="287">
                        <c:v>2.74000000000001</c:v>
                      </c:pt>
                      <c:pt idx="288">
                        <c:v>2.76000000000001</c:v>
                      </c:pt>
                      <c:pt idx="289">
                        <c:v>2.78</c:v>
                      </c:pt>
                      <c:pt idx="290">
                        <c:v>2.80000000000001</c:v>
                      </c:pt>
                      <c:pt idx="291">
                        <c:v>2.8200000000000101</c:v>
                      </c:pt>
                      <c:pt idx="292">
                        <c:v>2.8400000000000101</c:v>
                      </c:pt>
                      <c:pt idx="293">
                        <c:v>2.86</c:v>
                      </c:pt>
                      <c:pt idx="294">
                        <c:v>2.8800000000000101</c:v>
                      </c:pt>
                      <c:pt idx="295">
                        <c:v>2.9000000000000101</c:v>
                      </c:pt>
                      <c:pt idx="296">
                        <c:v>2.9200000000000101</c:v>
                      </c:pt>
                      <c:pt idx="297">
                        <c:v>2.94</c:v>
                      </c:pt>
                      <c:pt idx="298">
                        <c:v>2.9600000000000102</c:v>
                      </c:pt>
                      <c:pt idx="299">
                        <c:v>2.9800000000000102</c:v>
                      </c:pt>
                      <c:pt idx="300">
                        <c:v>3.0000000000000102</c:v>
                      </c:pt>
                      <c:pt idx="301">
                        <c:v>3.02</c:v>
                      </c:pt>
                      <c:pt idx="302">
                        <c:v>3.0400000000000098</c:v>
                      </c:pt>
                      <c:pt idx="303">
                        <c:v>3.0600000000000098</c:v>
                      </c:pt>
                      <c:pt idx="304">
                        <c:v>3.0800000000000098</c:v>
                      </c:pt>
                      <c:pt idx="305">
                        <c:v>3.1</c:v>
                      </c:pt>
                      <c:pt idx="306">
                        <c:v>3.1200000000000099</c:v>
                      </c:pt>
                      <c:pt idx="307">
                        <c:v>3.1400000000000099</c:v>
                      </c:pt>
                      <c:pt idx="308">
                        <c:v>3.1600000000000099</c:v>
                      </c:pt>
                      <c:pt idx="309">
                        <c:v>3.1800000000000099</c:v>
                      </c:pt>
                      <c:pt idx="310">
                        <c:v>3.2000000000000099</c:v>
                      </c:pt>
                      <c:pt idx="311">
                        <c:v>3.22000000000001</c:v>
                      </c:pt>
                      <c:pt idx="312">
                        <c:v>3.24000000000001</c:v>
                      </c:pt>
                      <c:pt idx="313">
                        <c:v>3.26000000000001</c:v>
                      </c:pt>
                      <c:pt idx="314">
                        <c:v>3.28000000000001</c:v>
                      </c:pt>
                      <c:pt idx="315">
                        <c:v>3.30000000000001</c:v>
                      </c:pt>
                      <c:pt idx="316">
                        <c:v>3.3200000000000101</c:v>
                      </c:pt>
                      <c:pt idx="317">
                        <c:v>3.3400000000000101</c:v>
                      </c:pt>
                      <c:pt idx="318">
                        <c:v>3.3600000000000101</c:v>
                      </c:pt>
                      <c:pt idx="319">
                        <c:v>3.3800000000000101</c:v>
                      </c:pt>
                      <c:pt idx="320">
                        <c:v>3.4000000000000101</c:v>
                      </c:pt>
                      <c:pt idx="321">
                        <c:v>3.4200000000000101</c:v>
                      </c:pt>
                      <c:pt idx="322">
                        <c:v>3.4400000000000102</c:v>
                      </c:pt>
                      <c:pt idx="323">
                        <c:v>3.4600000000000102</c:v>
                      </c:pt>
                      <c:pt idx="324">
                        <c:v>3.4800000000000102</c:v>
                      </c:pt>
                      <c:pt idx="325">
                        <c:v>3.5000000000000102</c:v>
                      </c:pt>
                      <c:pt idx="326">
                        <c:v>3.5200000000000098</c:v>
                      </c:pt>
                      <c:pt idx="327">
                        <c:v>3.5400000000000098</c:v>
                      </c:pt>
                      <c:pt idx="328">
                        <c:v>3.5600000000000098</c:v>
                      </c:pt>
                      <c:pt idx="329">
                        <c:v>3.5800000000000098</c:v>
                      </c:pt>
                      <c:pt idx="330">
                        <c:v>3.6000000000000099</c:v>
                      </c:pt>
                      <c:pt idx="331">
                        <c:v>3.6200000000000099</c:v>
                      </c:pt>
                      <c:pt idx="332">
                        <c:v>3.6400000000000099</c:v>
                      </c:pt>
                      <c:pt idx="333">
                        <c:v>3.6600000000000099</c:v>
                      </c:pt>
                      <c:pt idx="334">
                        <c:v>3.6800000000000099</c:v>
                      </c:pt>
                      <c:pt idx="335">
                        <c:v>3.7000000000000099</c:v>
                      </c:pt>
                      <c:pt idx="336">
                        <c:v>3.72000000000001</c:v>
                      </c:pt>
                      <c:pt idx="337">
                        <c:v>3.74000000000001</c:v>
                      </c:pt>
                      <c:pt idx="338">
                        <c:v>3.76000000000001</c:v>
                      </c:pt>
                      <c:pt idx="339">
                        <c:v>3.78000000000001</c:v>
                      </c:pt>
                      <c:pt idx="340">
                        <c:v>3.80000000000001</c:v>
                      </c:pt>
                      <c:pt idx="341">
                        <c:v>3.8200000000000101</c:v>
                      </c:pt>
                      <c:pt idx="342">
                        <c:v>3.8400000000000101</c:v>
                      </c:pt>
                      <c:pt idx="343">
                        <c:v>3.8600000000000101</c:v>
                      </c:pt>
                      <c:pt idx="344">
                        <c:v>3.8800000000000101</c:v>
                      </c:pt>
                      <c:pt idx="345">
                        <c:v>3.9000000000000101</c:v>
                      </c:pt>
                      <c:pt idx="346">
                        <c:v>3.9200000000000101</c:v>
                      </c:pt>
                      <c:pt idx="347">
                        <c:v>3.9400000000000102</c:v>
                      </c:pt>
                      <c:pt idx="348">
                        <c:v>3.9600000000000102</c:v>
                      </c:pt>
                      <c:pt idx="349">
                        <c:v>3.9800000000000102</c:v>
                      </c:pt>
                      <c:pt idx="350">
                        <c:v>4.0000000000000098</c:v>
                      </c:pt>
                      <c:pt idx="351">
                        <c:v>4.0200000000000102</c:v>
                      </c:pt>
                      <c:pt idx="352">
                        <c:v>4.0400000000000098</c:v>
                      </c:pt>
                      <c:pt idx="353">
                        <c:v>4.0600000000000103</c:v>
                      </c:pt>
                      <c:pt idx="354">
                        <c:v>4.0800000000000098</c:v>
                      </c:pt>
                      <c:pt idx="355">
                        <c:v>4.1000000000000103</c:v>
                      </c:pt>
                      <c:pt idx="356">
                        <c:v>4.1200000000000099</c:v>
                      </c:pt>
                      <c:pt idx="357">
                        <c:v>4.1400000000000103</c:v>
                      </c:pt>
                      <c:pt idx="358">
                        <c:v>4.1600000000000099</c:v>
                      </c:pt>
                      <c:pt idx="359">
                        <c:v>4.1800000000000104</c:v>
                      </c:pt>
                      <c:pt idx="360">
                        <c:v>4.2000000000000099</c:v>
                      </c:pt>
                      <c:pt idx="361">
                        <c:v>4.2200000000000104</c:v>
                      </c:pt>
                      <c:pt idx="362">
                        <c:v>4.24000000000001</c:v>
                      </c:pt>
                      <c:pt idx="363">
                        <c:v>4.2600000000000096</c:v>
                      </c:pt>
                      <c:pt idx="364">
                        <c:v>4.28000000000001</c:v>
                      </c:pt>
                      <c:pt idx="365">
                        <c:v>4.3000000000000096</c:v>
                      </c:pt>
                      <c:pt idx="366">
                        <c:v>4.3200000000000101</c:v>
                      </c:pt>
                      <c:pt idx="367">
                        <c:v>4.3400000000000096</c:v>
                      </c:pt>
                      <c:pt idx="368">
                        <c:v>4.3600000000000101</c:v>
                      </c:pt>
                      <c:pt idx="369">
                        <c:v>4.3800000000000097</c:v>
                      </c:pt>
                      <c:pt idx="370">
                        <c:v>4.4000000000000101</c:v>
                      </c:pt>
                      <c:pt idx="371">
                        <c:v>4.4200000000000097</c:v>
                      </c:pt>
                      <c:pt idx="372">
                        <c:v>4.4400000000000102</c:v>
                      </c:pt>
                      <c:pt idx="373">
                        <c:v>4.4600000000000097</c:v>
                      </c:pt>
                      <c:pt idx="374">
                        <c:v>4.4800000000000102</c:v>
                      </c:pt>
                      <c:pt idx="375">
                        <c:v>4.5000000000000098</c:v>
                      </c:pt>
                      <c:pt idx="376">
                        <c:v>4.5200000000000102</c:v>
                      </c:pt>
                      <c:pt idx="377">
                        <c:v>4.5400000000000098</c:v>
                      </c:pt>
                      <c:pt idx="378">
                        <c:v>4.5600000000000103</c:v>
                      </c:pt>
                      <c:pt idx="379">
                        <c:v>4.5800000000000098</c:v>
                      </c:pt>
                      <c:pt idx="380">
                        <c:v>4.6000000000000103</c:v>
                      </c:pt>
                      <c:pt idx="381">
                        <c:v>4.6200000000000099</c:v>
                      </c:pt>
                      <c:pt idx="382">
                        <c:v>4.6400000000000103</c:v>
                      </c:pt>
                      <c:pt idx="383">
                        <c:v>4.6600000000000099</c:v>
                      </c:pt>
                      <c:pt idx="384">
                        <c:v>4.6800000000000104</c:v>
                      </c:pt>
                      <c:pt idx="385">
                        <c:v>4.7000000000000099</c:v>
                      </c:pt>
                      <c:pt idx="386">
                        <c:v>4.7200000000000104</c:v>
                      </c:pt>
                      <c:pt idx="387">
                        <c:v>4.74000000000001</c:v>
                      </c:pt>
                      <c:pt idx="388">
                        <c:v>4.7600000000000096</c:v>
                      </c:pt>
                      <c:pt idx="389">
                        <c:v>4.78000000000001</c:v>
                      </c:pt>
                      <c:pt idx="390">
                        <c:v>4.8000000000000096</c:v>
                      </c:pt>
                      <c:pt idx="391">
                        <c:v>4.8200000000000101</c:v>
                      </c:pt>
                      <c:pt idx="392">
                        <c:v>4.8400000000000096</c:v>
                      </c:pt>
                      <c:pt idx="393">
                        <c:v>4.8600000000000101</c:v>
                      </c:pt>
                      <c:pt idx="394">
                        <c:v>4.8800000000000097</c:v>
                      </c:pt>
                      <c:pt idx="395">
                        <c:v>4.9000000000000101</c:v>
                      </c:pt>
                      <c:pt idx="396">
                        <c:v>4.9200000000000097</c:v>
                      </c:pt>
                      <c:pt idx="397">
                        <c:v>4.9400000000000102</c:v>
                      </c:pt>
                      <c:pt idx="398">
                        <c:v>4.9600000000000097</c:v>
                      </c:pt>
                      <c:pt idx="399">
                        <c:v>4.9800000000000102</c:v>
                      </c:pt>
                      <c:pt idx="400">
                        <c:v>5.0000000000000098</c:v>
                      </c:pt>
                    </c:numCache>
                  </c:numRef>
                </c:yVal>
                <c:smooth val="0"/>
                <c:extLst>
                  <c:ext xmlns:c16="http://schemas.microsoft.com/office/drawing/2014/chart" uri="{C3380CC4-5D6E-409C-BE32-E72D297353CC}">
                    <c16:uniqueId val="{00000000-FEB8-44EC-AC39-20F9C55AFBB7}"/>
                  </c:ext>
                </c:extLst>
              </c15:ser>
            </c15:filteredScatterSeries>
            <c15:filteredScatterSeries>
              <c15:ser>
                <c:idx val="9"/>
                <c:order val="9"/>
                <c:tx>
                  <c:strRef>
                    <c:extLst xmlns:c15="http://schemas.microsoft.com/office/drawing/2012/chart">
                      <c:ext xmlns:c15="http://schemas.microsoft.com/office/drawing/2012/chart" uri="{02D57815-91ED-43cb-92C2-25804820EDAC}">
                        <c15:formulaRef>
                          <c15:sqref>'V-N Diagram'!$J$36</c15:sqref>
                        </c15:formulaRef>
                      </c:ext>
                    </c:extLst>
                    <c:strCache>
                      <c:ptCount val="1"/>
                      <c:pt idx="0">
                        <c:v>Vc</c:v>
                      </c:pt>
                    </c:strCache>
                  </c:strRef>
                </c:tx>
                <c:spPr>
                  <a:ln w="19050" cap="rnd">
                    <a:noFill/>
                    <a:round/>
                  </a:ln>
                  <a:effectLst/>
                </c:spPr>
                <c:marker>
                  <c:symbol val="none"/>
                </c:marker>
                <c:xVal>
                  <c:numRef>
                    <c:extLst xmlns:c15="http://schemas.microsoft.com/office/drawing/2012/chart">
                      <c:ext xmlns:c15="http://schemas.microsoft.com/office/drawing/2012/chart" uri="{02D57815-91ED-43cb-92C2-25804820EDAC}">
                        <c15:formulaRef>
                          <c15:sqref>'V-N Diagram'!$J$37:$J$437</c15:sqref>
                        </c15:formulaRef>
                      </c:ext>
                    </c:extLst>
                    <c:numCache>
                      <c:formatCode>General</c:formatCode>
                      <c:ptCount val="401"/>
                      <c:pt idx="0">
                        <c:v>230</c:v>
                      </c:pt>
                      <c:pt idx="1">
                        <c:v>230</c:v>
                      </c:pt>
                      <c:pt idx="2">
                        <c:v>230</c:v>
                      </c:pt>
                      <c:pt idx="3">
                        <c:v>230</c:v>
                      </c:pt>
                      <c:pt idx="4">
                        <c:v>230</c:v>
                      </c:pt>
                      <c:pt idx="5">
                        <c:v>230</c:v>
                      </c:pt>
                      <c:pt idx="6">
                        <c:v>230</c:v>
                      </c:pt>
                      <c:pt idx="7">
                        <c:v>230</c:v>
                      </c:pt>
                      <c:pt idx="8">
                        <c:v>230</c:v>
                      </c:pt>
                      <c:pt idx="9">
                        <c:v>230</c:v>
                      </c:pt>
                      <c:pt idx="10">
                        <c:v>230</c:v>
                      </c:pt>
                      <c:pt idx="11">
                        <c:v>230</c:v>
                      </c:pt>
                      <c:pt idx="12">
                        <c:v>230</c:v>
                      </c:pt>
                      <c:pt idx="13">
                        <c:v>230</c:v>
                      </c:pt>
                      <c:pt idx="14">
                        <c:v>230</c:v>
                      </c:pt>
                      <c:pt idx="15">
                        <c:v>230</c:v>
                      </c:pt>
                      <c:pt idx="16">
                        <c:v>230</c:v>
                      </c:pt>
                      <c:pt idx="17">
                        <c:v>230</c:v>
                      </c:pt>
                      <c:pt idx="18">
                        <c:v>230</c:v>
                      </c:pt>
                      <c:pt idx="19">
                        <c:v>230</c:v>
                      </c:pt>
                      <c:pt idx="20">
                        <c:v>230</c:v>
                      </c:pt>
                      <c:pt idx="21">
                        <c:v>230</c:v>
                      </c:pt>
                      <c:pt idx="22">
                        <c:v>230</c:v>
                      </c:pt>
                      <c:pt idx="23">
                        <c:v>230</c:v>
                      </c:pt>
                      <c:pt idx="24">
                        <c:v>230</c:v>
                      </c:pt>
                      <c:pt idx="25">
                        <c:v>230</c:v>
                      </c:pt>
                      <c:pt idx="26">
                        <c:v>230</c:v>
                      </c:pt>
                      <c:pt idx="27">
                        <c:v>230</c:v>
                      </c:pt>
                      <c:pt idx="28">
                        <c:v>230</c:v>
                      </c:pt>
                      <c:pt idx="29">
                        <c:v>230</c:v>
                      </c:pt>
                      <c:pt idx="30">
                        <c:v>230</c:v>
                      </c:pt>
                      <c:pt idx="31">
                        <c:v>230</c:v>
                      </c:pt>
                      <c:pt idx="32">
                        <c:v>230</c:v>
                      </c:pt>
                      <c:pt idx="33">
                        <c:v>230</c:v>
                      </c:pt>
                      <c:pt idx="34">
                        <c:v>230</c:v>
                      </c:pt>
                      <c:pt idx="35">
                        <c:v>230</c:v>
                      </c:pt>
                      <c:pt idx="36">
                        <c:v>230</c:v>
                      </c:pt>
                      <c:pt idx="37">
                        <c:v>230</c:v>
                      </c:pt>
                      <c:pt idx="38">
                        <c:v>230</c:v>
                      </c:pt>
                      <c:pt idx="39">
                        <c:v>230</c:v>
                      </c:pt>
                      <c:pt idx="40">
                        <c:v>230</c:v>
                      </c:pt>
                      <c:pt idx="41">
                        <c:v>230</c:v>
                      </c:pt>
                      <c:pt idx="42">
                        <c:v>230</c:v>
                      </c:pt>
                      <c:pt idx="43">
                        <c:v>230</c:v>
                      </c:pt>
                      <c:pt idx="44">
                        <c:v>230</c:v>
                      </c:pt>
                      <c:pt idx="45">
                        <c:v>230</c:v>
                      </c:pt>
                      <c:pt idx="46">
                        <c:v>230</c:v>
                      </c:pt>
                      <c:pt idx="47">
                        <c:v>230</c:v>
                      </c:pt>
                      <c:pt idx="48">
                        <c:v>230</c:v>
                      </c:pt>
                      <c:pt idx="49">
                        <c:v>230</c:v>
                      </c:pt>
                      <c:pt idx="50">
                        <c:v>230</c:v>
                      </c:pt>
                      <c:pt idx="51">
                        <c:v>230</c:v>
                      </c:pt>
                      <c:pt idx="52">
                        <c:v>230</c:v>
                      </c:pt>
                      <c:pt idx="53">
                        <c:v>230</c:v>
                      </c:pt>
                      <c:pt idx="54">
                        <c:v>230</c:v>
                      </c:pt>
                      <c:pt idx="55">
                        <c:v>230</c:v>
                      </c:pt>
                      <c:pt idx="56">
                        <c:v>230</c:v>
                      </c:pt>
                      <c:pt idx="57">
                        <c:v>230</c:v>
                      </c:pt>
                      <c:pt idx="58">
                        <c:v>230</c:v>
                      </c:pt>
                      <c:pt idx="59">
                        <c:v>230</c:v>
                      </c:pt>
                      <c:pt idx="60">
                        <c:v>230</c:v>
                      </c:pt>
                      <c:pt idx="61">
                        <c:v>230</c:v>
                      </c:pt>
                      <c:pt idx="62">
                        <c:v>230</c:v>
                      </c:pt>
                      <c:pt idx="63">
                        <c:v>230</c:v>
                      </c:pt>
                      <c:pt idx="64">
                        <c:v>230</c:v>
                      </c:pt>
                      <c:pt idx="65">
                        <c:v>230</c:v>
                      </c:pt>
                      <c:pt idx="66">
                        <c:v>230</c:v>
                      </c:pt>
                      <c:pt idx="67">
                        <c:v>230</c:v>
                      </c:pt>
                      <c:pt idx="68">
                        <c:v>230</c:v>
                      </c:pt>
                      <c:pt idx="69">
                        <c:v>230</c:v>
                      </c:pt>
                      <c:pt idx="70">
                        <c:v>230</c:v>
                      </c:pt>
                      <c:pt idx="71">
                        <c:v>230</c:v>
                      </c:pt>
                      <c:pt idx="72">
                        <c:v>230</c:v>
                      </c:pt>
                      <c:pt idx="73">
                        <c:v>230</c:v>
                      </c:pt>
                      <c:pt idx="74">
                        <c:v>230</c:v>
                      </c:pt>
                      <c:pt idx="75">
                        <c:v>230</c:v>
                      </c:pt>
                      <c:pt idx="76">
                        <c:v>230</c:v>
                      </c:pt>
                      <c:pt idx="77">
                        <c:v>230</c:v>
                      </c:pt>
                      <c:pt idx="78">
                        <c:v>230</c:v>
                      </c:pt>
                      <c:pt idx="79">
                        <c:v>230</c:v>
                      </c:pt>
                      <c:pt idx="80">
                        <c:v>230</c:v>
                      </c:pt>
                      <c:pt idx="81">
                        <c:v>230</c:v>
                      </c:pt>
                      <c:pt idx="82">
                        <c:v>230</c:v>
                      </c:pt>
                      <c:pt idx="83">
                        <c:v>230</c:v>
                      </c:pt>
                      <c:pt idx="84">
                        <c:v>230</c:v>
                      </c:pt>
                      <c:pt idx="85">
                        <c:v>230</c:v>
                      </c:pt>
                      <c:pt idx="86">
                        <c:v>230</c:v>
                      </c:pt>
                      <c:pt idx="87">
                        <c:v>230</c:v>
                      </c:pt>
                      <c:pt idx="88">
                        <c:v>230</c:v>
                      </c:pt>
                      <c:pt idx="89">
                        <c:v>230</c:v>
                      </c:pt>
                      <c:pt idx="90">
                        <c:v>230</c:v>
                      </c:pt>
                      <c:pt idx="91">
                        <c:v>230</c:v>
                      </c:pt>
                      <c:pt idx="92">
                        <c:v>230</c:v>
                      </c:pt>
                      <c:pt idx="93">
                        <c:v>230</c:v>
                      </c:pt>
                      <c:pt idx="94">
                        <c:v>230</c:v>
                      </c:pt>
                      <c:pt idx="95">
                        <c:v>230</c:v>
                      </c:pt>
                      <c:pt idx="96">
                        <c:v>230</c:v>
                      </c:pt>
                      <c:pt idx="97">
                        <c:v>230</c:v>
                      </c:pt>
                      <c:pt idx="98">
                        <c:v>230</c:v>
                      </c:pt>
                      <c:pt idx="99">
                        <c:v>230</c:v>
                      </c:pt>
                      <c:pt idx="100">
                        <c:v>230</c:v>
                      </c:pt>
                      <c:pt idx="101">
                        <c:v>230</c:v>
                      </c:pt>
                      <c:pt idx="102">
                        <c:v>230</c:v>
                      </c:pt>
                      <c:pt idx="103">
                        <c:v>230</c:v>
                      </c:pt>
                      <c:pt idx="104">
                        <c:v>230</c:v>
                      </c:pt>
                      <c:pt idx="105">
                        <c:v>230</c:v>
                      </c:pt>
                      <c:pt idx="106">
                        <c:v>230</c:v>
                      </c:pt>
                      <c:pt idx="107">
                        <c:v>230</c:v>
                      </c:pt>
                      <c:pt idx="108">
                        <c:v>230</c:v>
                      </c:pt>
                      <c:pt idx="109">
                        <c:v>230</c:v>
                      </c:pt>
                      <c:pt idx="110">
                        <c:v>230</c:v>
                      </c:pt>
                      <c:pt idx="111">
                        <c:v>230</c:v>
                      </c:pt>
                      <c:pt idx="112">
                        <c:v>230</c:v>
                      </c:pt>
                      <c:pt idx="113">
                        <c:v>230</c:v>
                      </c:pt>
                      <c:pt idx="114">
                        <c:v>230</c:v>
                      </c:pt>
                      <c:pt idx="115">
                        <c:v>230</c:v>
                      </c:pt>
                      <c:pt idx="116">
                        <c:v>230</c:v>
                      </c:pt>
                      <c:pt idx="117">
                        <c:v>230</c:v>
                      </c:pt>
                      <c:pt idx="118">
                        <c:v>230</c:v>
                      </c:pt>
                      <c:pt idx="119">
                        <c:v>230</c:v>
                      </c:pt>
                      <c:pt idx="120">
                        <c:v>230</c:v>
                      </c:pt>
                      <c:pt idx="121">
                        <c:v>230</c:v>
                      </c:pt>
                      <c:pt idx="122">
                        <c:v>230</c:v>
                      </c:pt>
                      <c:pt idx="123">
                        <c:v>230</c:v>
                      </c:pt>
                      <c:pt idx="124">
                        <c:v>230</c:v>
                      </c:pt>
                      <c:pt idx="125">
                        <c:v>230</c:v>
                      </c:pt>
                      <c:pt idx="126">
                        <c:v>230</c:v>
                      </c:pt>
                      <c:pt idx="127">
                        <c:v>230</c:v>
                      </c:pt>
                      <c:pt idx="128">
                        <c:v>230</c:v>
                      </c:pt>
                      <c:pt idx="129">
                        <c:v>230</c:v>
                      </c:pt>
                      <c:pt idx="130">
                        <c:v>230</c:v>
                      </c:pt>
                      <c:pt idx="131">
                        <c:v>230</c:v>
                      </c:pt>
                      <c:pt idx="132">
                        <c:v>230</c:v>
                      </c:pt>
                      <c:pt idx="133">
                        <c:v>230</c:v>
                      </c:pt>
                      <c:pt idx="134">
                        <c:v>230</c:v>
                      </c:pt>
                      <c:pt idx="135">
                        <c:v>230</c:v>
                      </c:pt>
                      <c:pt idx="136">
                        <c:v>230</c:v>
                      </c:pt>
                      <c:pt idx="137">
                        <c:v>230</c:v>
                      </c:pt>
                      <c:pt idx="138">
                        <c:v>230</c:v>
                      </c:pt>
                      <c:pt idx="139">
                        <c:v>230</c:v>
                      </c:pt>
                      <c:pt idx="140">
                        <c:v>230</c:v>
                      </c:pt>
                      <c:pt idx="141">
                        <c:v>230</c:v>
                      </c:pt>
                      <c:pt idx="142">
                        <c:v>230</c:v>
                      </c:pt>
                      <c:pt idx="143">
                        <c:v>230</c:v>
                      </c:pt>
                      <c:pt idx="144">
                        <c:v>230</c:v>
                      </c:pt>
                      <c:pt idx="145">
                        <c:v>230</c:v>
                      </c:pt>
                      <c:pt idx="146">
                        <c:v>230</c:v>
                      </c:pt>
                      <c:pt idx="147">
                        <c:v>230</c:v>
                      </c:pt>
                      <c:pt idx="148">
                        <c:v>230</c:v>
                      </c:pt>
                      <c:pt idx="149">
                        <c:v>230</c:v>
                      </c:pt>
                      <c:pt idx="150">
                        <c:v>230</c:v>
                      </c:pt>
                      <c:pt idx="151">
                        <c:v>230</c:v>
                      </c:pt>
                      <c:pt idx="152">
                        <c:v>230</c:v>
                      </c:pt>
                      <c:pt idx="153">
                        <c:v>230</c:v>
                      </c:pt>
                      <c:pt idx="154">
                        <c:v>230</c:v>
                      </c:pt>
                      <c:pt idx="155">
                        <c:v>230</c:v>
                      </c:pt>
                      <c:pt idx="156">
                        <c:v>230</c:v>
                      </c:pt>
                      <c:pt idx="157">
                        <c:v>230</c:v>
                      </c:pt>
                      <c:pt idx="158">
                        <c:v>230</c:v>
                      </c:pt>
                      <c:pt idx="159">
                        <c:v>230</c:v>
                      </c:pt>
                      <c:pt idx="160">
                        <c:v>230</c:v>
                      </c:pt>
                      <c:pt idx="161">
                        <c:v>230</c:v>
                      </c:pt>
                      <c:pt idx="162">
                        <c:v>230</c:v>
                      </c:pt>
                      <c:pt idx="163">
                        <c:v>230</c:v>
                      </c:pt>
                      <c:pt idx="164">
                        <c:v>230</c:v>
                      </c:pt>
                      <c:pt idx="165">
                        <c:v>230</c:v>
                      </c:pt>
                      <c:pt idx="166">
                        <c:v>230</c:v>
                      </c:pt>
                      <c:pt idx="167">
                        <c:v>230</c:v>
                      </c:pt>
                      <c:pt idx="168">
                        <c:v>230</c:v>
                      </c:pt>
                      <c:pt idx="169">
                        <c:v>230</c:v>
                      </c:pt>
                      <c:pt idx="170">
                        <c:v>230</c:v>
                      </c:pt>
                      <c:pt idx="171">
                        <c:v>230</c:v>
                      </c:pt>
                      <c:pt idx="172">
                        <c:v>230</c:v>
                      </c:pt>
                      <c:pt idx="173">
                        <c:v>230</c:v>
                      </c:pt>
                      <c:pt idx="174">
                        <c:v>230</c:v>
                      </c:pt>
                      <c:pt idx="175">
                        <c:v>230</c:v>
                      </c:pt>
                      <c:pt idx="176">
                        <c:v>230</c:v>
                      </c:pt>
                      <c:pt idx="177">
                        <c:v>230</c:v>
                      </c:pt>
                      <c:pt idx="178">
                        <c:v>230</c:v>
                      </c:pt>
                      <c:pt idx="179">
                        <c:v>230</c:v>
                      </c:pt>
                      <c:pt idx="180">
                        <c:v>230</c:v>
                      </c:pt>
                      <c:pt idx="181">
                        <c:v>230</c:v>
                      </c:pt>
                      <c:pt idx="182">
                        <c:v>230</c:v>
                      </c:pt>
                      <c:pt idx="183">
                        <c:v>230</c:v>
                      </c:pt>
                      <c:pt idx="184">
                        <c:v>230</c:v>
                      </c:pt>
                      <c:pt idx="185">
                        <c:v>230</c:v>
                      </c:pt>
                      <c:pt idx="186">
                        <c:v>230</c:v>
                      </c:pt>
                      <c:pt idx="187">
                        <c:v>230</c:v>
                      </c:pt>
                      <c:pt idx="188">
                        <c:v>230</c:v>
                      </c:pt>
                      <c:pt idx="189">
                        <c:v>230</c:v>
                      </c:pt>
                      <c:pt idx="190">
                        <c:v>230</c:v>
                      </c:pt>
                      <c:pt idx="191">
                        <c:v>230</c:v>
                      </c:pt>
                      <c:pt idx="192">
                        <c:v>230</c:v>
                      </c:pt>
                      <c:pt idx="193">
                        <c:v>230</c:v>
                      </c:pt>
                      <c:pt idx="194">
                        <c:v>230</c:v>
                      </c:pt>
                      <c:pt idx="195">
                        <c:v>230</c:v>
                      </c:pt>
                      <c:pt idx="196">
                        <c:v>230</c:v>
                      </c:pt>
                      <c:pt idx="197">
                        <c:v>230</c:v>
                      </c:pt>
                      <c:pt idx="198">
                        <c:v>230</c:v>
                      </c:pt>
                      <c:pt idx="199">
                        <c:v>230</c:v>
                      </c:pt>
                      <c:pt idx="200">
                        <c:v>230</c:v>
                      </c:pt>
                      <c:pt idx="201">
                        <c:v>230</c:v>
                      </c:pt>
                      <c:pt idx="202">
                        <c:v>230</c:v>
                      </c:pt>
                      <c:pt idx="203">
                        <c:v>230</c:v>
                      </c:pt>
                      <c:pt idx="204">
                        <c:v>230</c:v>
                      </c:pt>
                      <c:pt idx="205">
                        <c:v>230</c:v>
                      </c:pt>
                      <c:pt idx="206">
                        <c:v>230</c:v>
                      </c:pt>
                      <c:pt idx="207">
                        <c:v>230</c:v>
                      </c:pt>
                      <c:pt idx="208">
                        <c:v>230</c:v>
                      </c:pt>
                      <c:pt idx="209">
                        <c:v>230</c:v>
                      </c:pt>
                      <c:pt idx="210">
                        <c:v>230</c:v>
                      </c:pt>
                      <c:pt idx="211">
                        <c:v>230</c:v>
                      </c:pt>
                      <c:pt idx="212">
                        <c:v>230</c:v>
                      </c:pt>
                      <c:pt idx="213">
                        <c:v>230</c:v>
                      </c:pt>
                      <c:pt idx="214">
                        <c:v>230</c:v>
                      </c:pt>
                      <c:pt idx="215">
                        <c:v>230</c:v>
                      </c:pt>
                      <c:pt idx="216">
                        <c:v>230</c:v>
                      </c:pt>
                      <c:pt idx="217">
                        <c:v>230</c:v>
                      </c:pt>
                      <c:pt idx="218">
                        <c:v>230</c:v>
                      </c:pt>
                      <c:pt idx="219">
                        <c:v>230</c:v>
                      </c:pt>
                      <c:pt idx="220">
                        <c:v>230</c:v>
                      </c:pt>
                      <c:pt idx="221">
                        <c:v>230</c:v>
                      </c:pt>
                      <c:pt idx="222">
                        <c:v>230</c:v>
                      </c:pt>
                      <c:pt idx="223">
                        <c:v>230</c:v>
                      </c:pt>
                      <c:pt idx="224">
                        <c:v>230</c:v>
                      </c:pt>
                      <c:pt idx="225">
                        <c:v>230</c:v>
                      </c:pt>
                      <c:pt idx="226">
                        <c:v>230</c:v>
                      </c:pt>
                      <c:pt idx="227">
                        <c:v>230</c:v>
                      </c:pt>
                      <c:pt idx="228">
                        <c:v>230</c:v>
                      </c:pt>
                      <c:pt idx="229">
                        <c:v>230</c:v>
                      </c:pt>
                      <c:pt idx="230">
                        <c:v>230</c:v>
                      </c:pt>
                      <c:pt idx="231">
                        <c:v>230</c:v>
                      </c:pt>
                      <c:pt idx="232">
                        <c:v>230</c:v>
                      </c:pt>
                      <c:pt idx="233">
                        <c:v>230</c:v>
                      </c:pt>
                      <c:pt idx="234">
                        <c:v>230</c:v>
                      </c:pt>
                      <c:pt idx="235">
                        <c:v>230</c:v>
                      </c:pt>
                      <c:pt idx="236">
                        <c:v>230</c:v>
                      </c:pt>
                      <c:pt idx="237">
                        <c:v>230</c:v>
                      </c:pt>
                      <c:pt idx="238">
                        <c:v>230</c:v>
                      </c:pt>
                      <c:pt idx="239">
                        <c:v>230</c:v>
                      </c:pt>
                      <c:pt idx="240">
                        <c:v>230</c:v>
                      </c:pt>
                      <c:pt idx="241">
                        <c:v>230</c:v>
                      </c:pt>
                      <c:pt idx="242">
                        <c:v>230</c:v>
                      </c:pt>
                      <c:pt idx="243">
                        <c:v>230</c:v>
                      </c:pt>
                      <c:pt idx="244">
                        <c:v>230</c:v>
                      </c:pt>
                      <c:pt idx="245">
                        <c:v>230</c:v>
                      </c:pt>
                      <c:pt idx="246">
                        <c:v>230</c:v>
                      </c:pt>
                      <c:pt idx="247">
                        <c:v>230</c:v>
                      </c:pt>
                      <c:pt idx="248">
                        <c:v>230</c:v>
                      </c:pt>
                      <c:pt idx="249">
                        <c:v>230</c:v>
                      </c:pt>
                      <c:pt idx="250">
                        <c:v>230</c:v>
                      </c:pt>
                      <c:pt idx="251">
                        <c:v>230</c:v>
                      </c:pt>
                      <c:pt idx="252">
                        <c:v>230</c:v>
                      </c:pt>
                      <c:pt idx="253">
                        <c:v>230</c:v>
                      </c:pt>
                      <c:pt idx="254">
                        <c:v>230</c:v>
                      </c:pt>
                      <c:pt idx="255">
                        <c:v>230</c:v>
                      </c:pt>
                      <c:pt idx="256">
                        <c:v>230</c:v>
                      </c:pt>
                      <c:pt idx="257">
                        <c:v>230</c:v>
                      </c:pt>
                      <c:pt idx="258">
                        <c:v>230</c:v>
                      </c:pt>
                      <c:pt idx="259">
                        <c:v>230</c:v>
                      </c:pt>
                      <c:pt idx="260">
                        <c:v>230</c:v>
                      </c:pt>
                      <c:pt idx="261">
                        <c:v>230</c:v>
                      </c:pt>
                      <c:pt idx="262">
                        <c:v>230</c:v>
                      </c:pt>
                      <c:pt idx="263">
                        <c:v>230</c:v>
                      </c:pt>
                      <c:pt idx="264">
                        <c:v>230</c:v>
                      </c:pt>
                      <c:pt idx="265">
                        <c:v>230</c:v>
                      </c:pt>
                      <c:pt idx="266">
                        <c:v>230</c:v>
                      </c:pt>
                      <c:pt idx="267">
                        <c:v>230</c:v>
                      </c:pt>
                      <c:pt idx="268">
                        <c:v>230</c:v>
                      </c:pt>
                      <c:pt idx="269">
                        <c:v>230</c:v>
                      </c:pt>
                      <c:pt idx="270">
                        <c:v>230</c:v>
                      </c:pt>
                      <c:pt idx="271">
                        <c:v>230</c:v>
                      </c:pt>
                      <c:pt idx="272">
                        <c:v>230</c:v>
                      </c:pt>
                      <c:pt idx="273">
                        <c:v>230</c:v>
                      </c:pt>
                      <c:pt idx="274">
                        <c:v>230</c:v>
                      </c:pt>
                      <c:pt idx="275">
                        <c:v>230</c:v>
                      </c:pt>
                      <c:pt idx="276">
                        <c:v>230</c:v>
                      </c:pt>
                      <c:pt idx="277">
                        <c:v>230</c:v>
                      </c:pt>
                      <c:pt idx="278">
                        <c:v>230</c:v>
                      </c:pt>
                      <c:pt idx="279">
                        <c:v>230</c:v>
                      </c:pt>
                      <c:pt idx="280">
                        <c:v>230</c:v>
                      </c:pt>
                      <c:pt idx="281">
                        <c:v>230</c:v>
                      </c:pt>
                      <c:pt idx="282">
                        <c:v>230</c:v>
                      </c:pt>
                      <c:pt idx="283">
                        <c:v>230</c:v>
                      </c:pt>
                      <c:pt idx="284">
                        <c:v>230</c:v>
                      </c:pt>
                      <c:pt idx="285">
                        <c:v>230</c:v>
                      </c:pt>
                      <c:pt idx="286">
                        <c:v>230</c:v>
                      </c:pt>
                      <c:pt idx="287">
                        <c:v>230</c:v>
                      </c:pt>
                      <c:pt idx="288">
                        <c:v>230</c:v>
                      </c:pt>
                      <c:pt idx="289">
                        <c:v>230</c:v>
                      </c:pt>
                      <c:pt idx="290">
                        <c:v>230</c:v>
                      </c:pt>
                      <c:pt idx="291">
                        <c:v>230</c:v>
                      </c:pt>
                      <c:pt idx="292">
                        <c:v>230</c:v>
                      </c:pt>
                      <c:pt idx="293">
                        <c:v>230</c:v>
                      </c:pt>
                      <c:pt idx="294">
                        <c:v>230</c:v>
                      </c:pt>
                      <c:pt idx="295">
                        <c:v>230</c:v>
                      </c:pt>
                      <c:pt idx="296">
                        <c:v>230</c:v>
                      </c:pt>
                      <c:pt idx="297">
                        <c:v>230</c:v>
                      </c:pt>
                      <c:pt idx="298">
                        <c:v>230</c:v>
                      </c:pt>
                      <c:pt idx="299">
                        <c:v>230</c:v>
                      </c:pt>
                      <c:pt idx="300">
                        <c:v>230</c:v>
                      </c:pt>
                      <c:pt idx="301">
                        <c:v>230</c:v>
                      </c:pt>
                      <c:pt idx="302">
                        <c:v>230</c:v>
                      </c:pt>
                      <c:pt idx="303">
                        <c:v>230</c:v>
                      </c:pt>
                      <c:pt idx="304">
                        <c:v>230</c:v>
                      </c:pt>
                      <c:pt idx="305">
                        <c:v>230</c:v>
                      </c:pt>
                      <c:pt idx="306">
                        <c:v>230</c:v>
                      </c:pt>
                      <c:pt idx="307">
                        <c:v>230</c:v>
                      </c:pt>
                      <c:pt idx="308">
                        <c:v>230</c:v>
                      </c:pt>
                      <c:pt idx="309">
                        <c:v>230</c:v>
                      </c:pt>
                      <c:pt idx="310">
                        <c:v>230</c:v>
                      </c:pt>
                      <c:pt idx="311">
                        <c:v>230</c:v>
                      </c:pt>
                      <c:pt idx="312">
                        <c:v>230</c:v>
                      </c:pt>
                      <c:pt idx="313">
                        <c:v>230</c:v>
                      </c:pt>
                      <c:pt idx="314">
                        <c:v>230</c:v>
                      </c:pt>
                      <c:pt idx="315">
                        <c:v>230</c:v>
                      </c:pt>
                      <c:pt idx="316">
                        <c:v>230</c:v>
                      </c:pt>
                      <c:pt idx="317">
                        <c:v>230</c:v>
                      </c:pt>
                      <c:pt idx="318">
                        <c:v>230</c:v>
                      </c:pt>
                      <c:pt idx="319">
                        <c:v>230</c:v>
                      </c:pt>
                      <c:pt idx="320">
                        <c:v>230</c:v>
                      </c:pt>
                      <c:pt idx="321">
                        <c:v>230</c:v>
                      </c:pt>
                      <c:pt idx="322">
                        <c:v>230</c:v>
                      </c:pt>
                      <c:pt idx="323">
                        <c:v>230</c:v>
                      </c:pt>
                      <c:pt idx="324">
                        <c:v>230</c:v>
                      </c:pt>
                      <c:pt idx="325">
                        <c:v>230</c:v>
                      </c:pt>
                      <c:pt idx="326">
                        <c:v>230</c:v>
                      </c:pt>
                      <c:pt idx="327">
                        <c:v>230</c:v>
                      </c:pt>
                      <c:pt idx="328">
                        <c:v>230</c:v>
                      </c:pt>
                      <c:pt idx="329">
                        <c:v>230</c:v>
                      </c:pt>
                      <c:pt idx="330">
                        <c:v>230</c:v>
                      </c:pt>
                      <c:pt idx="331">
                        <c:v>230</c:v>
                      </c:pt>
                      <c:pt idx="332">
                        <c:v>230</c:v>
                      </c:pt>
                      <c:pt idx="333">
                        <c:v>230</c:v>
                      </c:pt>
                      <c:pt idx="334">
                        <c:v>230</c:v>
                      </c:pt>
                      <c:pt idx="335">
                        <c:v>230</c:v>
                      </c:pt>
                      <c:pt idx="336">
                        <c:v>230</c:v>
                      </c:pt>
                      <c:pt idx="337">
                        <c:v>230</c:v>
                      </c:pt>
                      <c:pt idx="338">
                        <c:v>230</c:v>
                      </c:pt>
                      <c:pt idx="339">
                        <c:v>230</c:v>
                      </c:pt>
                      <c:pt idx="340">
                        <c:v>230</c:v>
                      </c:pt>
                      <c:pt idx="341">
                        <c:v>230</c:v>
                      </c:pt>
                      <c:pt idx="342">
                        <c:v>230</c:v>
                      </c:pt>
                      <c:pt idx="343">
                        <c:v>230</c:v>
                      </c:pt>
                      <c:pt idx="344">
                        <c:v>230</c:v>
                      </c:pt>
                      <c:pt idx="345">
                        <c:v>230</c:v>
                      </c:pt>
                      <c:pt idx="346">
                        <c:v>230</c:v>
                      </c:pt>
                      <c:pt idx="347">
                        <c:v>230</c:v>
                      </c:pt>
                      <c:pt idx="348">
                        <c:v>230</c:v>
                      </c:pt>
                      <c:pt idx="349">
                        <c:v>230</c:v>
                      </c:pt>
                      <c:pt idx="350">
                        <c:v>230</c:v>
                      </c:pt>
                      <c:pt idx="351">
                        <c:v>230</c:v>
                      </c:pt>
                      <c:pt idx="352">
                        <c:v>230</c:v>
                      </c:pt>
                      <c:pt idx="353">
                        <c:v>230</c:v>
                      </c:pt>
                      <c:pt idx="354">
                        <c:v>230</c:v>
                      </c:pt>
                      <c:pt idx="355">
                        <c:v>230</c:v>
                      </c:pt>
                      <c:pt idx="356">
                        <c:v>230</c:v>
                      </c:pt>
                      <c:pt idx="357">
                        <c:v>230</c:v>
                      </c:pt>
                      <c:pt idx="358">
                        <c:v>230</c:v>
                      </c:pt>
                      <c:pt idx="359">
                        <c:v>230</c:v>
                      </c:pt>
                      <c:pt idx="360">
                        <c:v>230</c:v>
                      </c:pt>
                      <c:pt idx="361">
                        <c:v>230</c:v>
                      </c:pt>
                      <c:pt idx="362">
                        <c:v>230</c:v>
                      </c:pt>
                      <c:pt idx="363">
                        <c:v>230</c:v>
                      </c:pt>
                      <c:pt idx="364">
                        <c:v>230</c:v>
                      </c:pt>
                      <c:pt idx="365">
                        <c:v>230</c:v>
                      </c:pt>
                      <c:pt idx="366">
                        <c:v>230</c:v>
                      </c:pt>
                      <c:pt idx="367">
                        <c:v>230</c:v>
                      </c:pt>
                      <c:pt idx="368">
                        <c:v>230</c:v>
                      </c:pt>
                      <c:pt idx="369">
                        <c:v>230</c:v>
                      </c:pt>
                      <c:pt idx="370">
                        <c:v>230</c:v>
                      </c:pt>
                      <c:pt idx="371">
                        <c:v>230</c:v>
                      </c:pt>
                      <c:pt idx="372">
                        <c:v>230</c:v>
                      </c:pt>
                      <c:pt idx="373">
                        <c:v>230</c:v>
                      </c:pt>
                      <c:pt idx="374">
                        <c:v>230</c:v>
                      </c:pt>
                      <c:pt idx="375">
                        <c:v>230</c:v>
                      </c:pt>
                      <c:pt idx="376">
                        <c:v>230</c:v>
                      </c:pt>
                      <c:pt idx="377">
                        <c:v>230</c:v>
                      </c:pt>
                      <c:pt idx="378">
                        <c:v>230</c:v>
                      </c:pt>
                      <c:pt idx="379">
                        <c:v>230</c:v>
                      </c:pt>
                      <c:pt idx="380">
                        <c:v>230</c:v>
                      </c:pt>
                      <c:pt idx="381">
                        <c:v>230</c:v>
                      </c:pt>
                      <c:pt idx="382">
                        <c:v>230</c:v>
                      </c:pt>
                      <c:pt idx="383">
                        <c:v>230</c:v>
                      </c:pt>
                      <c:pt idx="384">
                        <c:v>230</c:v>
                      </c:pt>
                      <c:pt idx="385">
                        <c:v>230</c:v>
                      </c:pt>
                      <c:pt idx="386">
                        <c:v>230</c:v>
                      </c:pt>
                      <c:pt idx="387">
                        <c:v>230</c:v>
                      </c:pt>
                      <c:pt idx="388">
                        <c:v>230</c:v>
                      </c:pt>
                      <c:pt idx="389">
                        <c:v>230</c:v>
                      </c:pt>
                      <c:pt idx="390">
                        <c:v>230</c:v>
                      </c:pt>
                      <c:pt idx="391">
                        <c:v>230</c:v>
                      </c:pt>
                      <c:pt idx="392">
                        <c:v>230</c:v>
                      </c:pt>
                      <c:pt idx="393">
                        <c:v>230</c:v>
                      </c:pt>
                      <c:pt idx="394">
                        <c:v>230</c:v>
                      </c:pt>
                      <c:pt idx="395">
                        <c:v>230</c:v>
                      </c:pt>
                      <c:pt idx="396">
                        <c:v>230</c:v>
                      </c:pt>
                      <c:pt idx="397">
                        <c:v>230</c:v>
                      </c:pt>
                      <c:pt idx="398">
                        <c:v>230</c:v>
                      </c:pt>
                      <c:pt idx="399">
                        <c:v>230</c:v>
                      </c:pt>
                      <c:pt idx="400">
                        <c:v>230</c:v>
                      </c:pt>
                    </c:numCache>
                  </c:numRef>
                </c:xVal>
                <c:yVal>
                  <c:numRef>
                    <c:extLst xmlns:c15="http://schemas.microsoft.com/office/drawing/2012/chart">
                      <c:ext xmlns:c15="http://schemas.microsoft.com/office/drawing/2012/chart" uri="{02D57815-91ED-43cb-92C2-25804820EDAC}">
                        <c15:formulaRef>
                          <c15:sqref>'V-N Diagram'!$V$37:$V$437</c15:sqref>
                        </c15:formulaRef>
                      </c:ext>
                    </c:extLst>
                    <c:numCache>
                      <c:formatCode>General</c:formatCode>
                      <c:ptCount val="401"/>
                      <c:pt idx="0">
                        <c:v>-3</c:v>
                      </c:pt>
                      <c:pt idx="1">
                        <c:v>-2.98</c:v>
                      </c:pt>
                      <c:pt idx="2">
                        <c:v>-2.96</c:v>
                      </c:pt>
                      <c:pt idx="3">
                        <c:v>-2.94</c:v>
                      </c:pt>
                      <c:pt idx="4">
                        <c:v>-2.92</c:v>
                      </c:pt>
                      <c:pt idx="5">
                        <c:v>-2.9</c:v>
                      </c:pt>
                      <c:pt idx="6">
                        <c:v>-2.88</c:v>
                      </c:pt>
                      <c:pt idx="7">
                        <c:v>-2.86</c:v>
                      </c:pt>
                      <c:pt idx="8">
                        <c:v>-2.84</c:v>
                      </c:pt>
                      <c:pt idx="9">
                        <c:v>-2.82</c:v>
                      </c:pt>
                      <c:pt idx="10">
                        <c:v>-2.8</c:v>
                      </c:pt>
                      <c:pt idx="11">
                        <c:v>-2.78</c:v>
                      </c:pt>
                      <c:pt idx="12">
                        <c:v>-2.76</c:v>
                      </c:pt>
                      <c:pt idx="13">
                        <c:v>-2.74</c:v>
                      </c:pt>
                      <c:pt idx="14">
                        <c:v>-2.72</c:v>
                      </c:pt>
                      <c:pt idx="15">
                        <c:v>-2.7</c:v>
                      </c:pt>
                      <c:pt idx="16">
                        <c:v>-2.68</c:v>
                      </c:pt>
                      <c:pt idx="17">
                        <c:v>-2.66</c:v>
                      </c:pt>
                      <c:pt idx="18">
                        <c:v>-2.64</c:v>
                      </c:pt>
                      <c:pt idx="19">
                        <c:v>-2.62</c:v>
                      </c:pt>
                      <c:pt idx="20">
                        <c:v>-2.6</c:v>
                      </c:pt>
                      <c:pt idx="21">
                        <c:v>-2.58</c:v>
                      </c:pt>
                      <c:pt idx="22">
                        <c:v>-2.56</c:v>
                      </c:pt>
                      <c:pt idx="23">
                        <c:v>-2.54</c:v>
                      </c:pt>
                      <c:pt idx="24">
                        <c:v>-2.52</c:v>
                      </c:pt>
                      <c:pt idx="25">
                        <c:v>-2.5</c:v>
                      </c:pt>
                      <c:pt idx="26">
                        <c:v>-2.48</c:v>
                      </c:pt>
                      <c:pt idx="27">
                        <c:v>-2.46</c:v>
                      </c:pt>
                      <c:pt idx="28">
                        <c:v>-2.44</c:v>
                      </c:pt>
                      <c:pt idx="29">
                        <c:v>-2.42</c:v>
                      </c:pt>
                      <c:pt idx="30">
                        <c:v>-2.4</c:v>
                      </c:pt>
                      <c:pt idx="31">
                        <c:v>-2.38</c:v>
                      </c:pt>
                      <c:pt idx="32">
                        <c:v>-2.36</c:v>
                      </c:pt>
                      <c:pt idx="33">
                        <c:v>-2.34</c:v>
                      </c:pt>
                      <c:pt idx="34">
                        <c:v>-2.3199999999999998</c:v>
                      </c:pt>
                      <c:pt idx="35">
                        <c:v>-2.2999999999999998</c:v>
                      </c:pt>
                      <c:pt idx="36">
                        <c:v>-2.2799999999999998</c:v>
                      </c:pt>
                      <c:pt idx="37">
                        <c:v>-2.2599999999999998</c:v>
                      </c:pt>
                      <c:pt idx="38">
                        <c:v>-2.2400000000000002</c:v>
                      </c:pt>
                      <c:pt idx="39">
                        <c:v>-2.2200000000000002</c:v>
                      </c:pt>
                      <c:pt idx="40">
                        <c:v>-2.2000000000000002</c:v>
                      </c:pt>
                      <c:pt idx="41">
                        <c:v>-2.1800000000000002</c:v>
                      </c:pt>
                      <c:pt idx="42">
                        <c:v>-2.16</c:v>
                      </c:pt>
                      <c:pt idx="43">
                        <c:v>-2.14</c:v>
                      </c:pt>
                      <c:pt idx="44">
                        <c:v>-2.12</c:v>
                      </c:pt>
                      <c:pt idx="45">
                        <c:v>-2.1</c:v>
                      </c:pt>
                      <c:pt idx="46">
                        <c:v>-2.08</c:v>
                      </c:pt>
                      <c:pt idx="47">
                        <c:v>-2.06</c:v>
                      </c:pt>
                      <c:pt idx="48">
                        <c:v>-2.04</c:v>
                      </c:pt>
                      <c:pt idx="49">
                        <c:v>-2.02</c:v>
                      </c:pt>
                      <c:pt idx="50">
                        <c:v>-2</c:v>
                      </c:pt>
                      <c:pt idx="51">
                        <c:v>-1.98</c:v>
                      </c:pt>
                      <c:pt idx="52">
                        <c:v>-1.96</c:v>
                      </c:pt>
                      <c:pt idx="53">
                        <c:v>-1.94</c:v>
                      </c:pt>
                      <c:pt idx="54">
                        <c:v>-1.92</c:v>
                      </c:pt>
                      <c:pt idx="55">
                        <c:v>-1.9</c:v>
                      </c:pt>
                      <c:pt idx="56">
                        <c:v>-1.88</c:v>
                      </c:pt>
                      <c:pt idx="57">
                        <c:v>-1.86</c:v>
                      </c:pt>
                      <c:pt idx="58">
                        <c:v>-1.84</c:v>
                      </c:pt>
                      <c:pt idx="59">
                        <c:v>-1.82</c:v>
                      </c:pt>
                      <c:pt idx="60">
                        <c:v>-1.8</c:v>
                      </c:pt>
                      <c:pt idx="61">
                        <c:v>-1.78</c:v>
                      </c:pt>
                      <c:pt idx="62">
                        <c:v>-1.76</c:v>
                      </c:pt>
                      <c:pt idx="63">
                        <c:v>-1.74</c:v>
                      </c:pt>
                      <c:pt idx="64">
                        <c:v>-1.72</c:v>
                      </c:pt>
                      <c:pt idx="65">
                        <c:v>-1.7</c:v>
                      </c:pt>
                      <c:pt idx="66">
                        <c:v>-1.68</c:v>
                      </c:pt>
                      <c:pt idx="67">
                        <c:v>-1.66</c:v>
                      </c:pt>
                      <c:pt idx="68">
                        <c:v>-1.64</c:v>
                      </c:pt>
                      <c:pt idx="69">
                        <c:v>-1.62</c:v>
                      </c:pt>
                      <c:pt idx="70">
                        <c:v>-1.6</c:v>
                      </c:pt>
                      <c:pt idx="71">
                        <c:v>-1.58</c:v>
                      </c:pt>
                      <c:pt idx="72">
                        <c:v>-1.56</c:v>
                      </c:pt>
                      <c:pt idx="73">
                        <c:v>-1.54</c:v>
                      </c:pt>
                      <c:pt idx="74">
                        <c:v>-1.52</c:v>
                      </c:pt>
                      <c:pt idx="75">
                        <c:v>-1.5</c:v>
                      </c:pt>
                      <c:pt idx="76">
                        <c:v>-1.48</c:v>
                      </c:pt>
                      <c:pt idx="77">
                        <c:v>-1.46</c:v>
                      </c:pt>
                      <c:pt idx="78">
                        <c:v>-1.44</c:v>
                      </c:pt>
                      <c:pt idx="79">
                        <c:v>-1.42</c:v>
                      </c:pt>
                      <c:pt idx="80">
                        <c:v>-1.4</c:v>
                      </c:pt>
                      <c:pt idx="81">
                        <c:v>-1.38</c:v>
                      </c:pt>
                      <c:pt idx="82">
                        <c:v>-1.36</c:v>
                      </c:pt>
                      <c:pt idx="83">
                        <c:v>-1.34</c:v>
                      </c:pt>
                      <c:pt idx="84">
                        <c:v>-1.32</c:v>
                      </c:pt>
                      <c:pt idx="85">
                        <c:v>-1.3</c:v>
                      </c:pt>
                      <c:pt idx="86">
                        <c:v>-1.28</c:v>
                      </c:pt>
                      <c:pt idx="87">
                        <c:v>-1.26</c:v>
                      </c:pt>
                      <c:pt idx="88">
                        <c:v>-1.24</c:v>
                      </c:pt>
                      <c:pt idx="89">
                        <c:v>-1.22</c:v>
                      </c:pt>
                      <c:pt idx="90">
                        <c:v>-1.2</c:v>
                      </c:pt>
                      <c:pt idx="91">
                        <c:v>-1.18</c:v>
                      </c:pt>
                      <c:pt idx="92">
                        <c:v>-1.1599999999999999</c:v>
                      </c:pt>
                      <c:pt idx="93">
                        <c:v>-1.1399999999999999</c:v>
                      </c:pt>
                      <c:pt idx="94">
                        <c:v>-1.1200000000000001</c:v>
                      </c:pt>
                      <c:pt idx="95">
                        <c:v>-1.1000000000000001</c:v>
                      </c:pt>
                      <c:pt idx="96">
                        <c:v>-1.08</c:v>
                      </c:pt>
                      <c:pt idx="97">
                        <c:v>-1.06</c:v>
                      </c:pt>
                      <c:pt idx="98">
                        <c:v>-1.04</c:v>
                      </c:pt>
                      <c:pt idx="99">
                        <c:v>-1.02</c:v>
                      </c:pt>
                      <c:pt idx="100">
                        <c:v>-1</c:v>
                      </c:pt>
                      <c:pt idx="101">
                        <c:v>-0.98</c:v>
                      </c:pt>
                      <c:pt idx="102">
                        <c:v>-0.96</c:v>
                      </c:pt>
                      <c:pt idx="103">
                        <c:v>-0.94</c:v>
                      </c:pt>
                      <c:pt idx="104">
                        <c:v>-0.92</c:v>
                      </c:pt>
                      <c:pt idx="105">
                        <c:v>-0.9</c:v>
                      </c:pt>
                      <c:pt idx="106">
                        <c:v>-0.88</c:v>
                      </c:pt>
                      <c:pt idx="107">
                        <c:v>-0.86</c:v>
                      </c:pt>
                      <c:pt idx="108">
                        <c:v>-0.84</c:v>
                      </c:pt>
                      <c:pt idx="109">
                        <c:v>-0.82</c:v>
                      </c:pt>
                      <c:pt idx="110">
                        <c:v>-0.8</c:v>
                      </c:pt>
                      <c:pt idx="111">
                        <c:v>-0.78</c:v>
                      </c:pt>
                      <c:pt idx="112">
                        <c:v>-0.76</c:v>
                      </c:pt>
                      <c:pt idx="113">
                        <c:v>-0.74</c:v>
                      </c:pt>
                      <c:pt idx="114">
                        <c:v>-0.72</c:v>
                      </c:pt>
                      <c:pt idx="115">
                        <c:v>-0.7</c:v>
                      </c:pt>
                      <c:pt idx="116">
                        <c:v>-0.68</c:v>
                      </c:pt>
                      <c:pt idx="117">
                        <c:v>-0.66</c:v>
                      </c:pt>
                      <c:pt idx="118">
                        <c:v>-0.64</c:v>
                      </c:pt>
                      <c:pt idx="119">
                        <c:v>-0.62</c:v>
                      </c:pt>
                      <c:pt idx="120">
                        <c:v>-0.6</c:v>
                      </c:pt>
                      <c:pt idx="121">
                        <c:v>-0.57999999999999996</c:v>
                      </c:pt>
                      <c:pt idx="122">
                        <c:v>-0.56000000000000005</c:v>
                      </c:pt>
                      <c:pt idx="123">
                        <c:v>-0.54</c:v>
                      </c:pt>
                      <c:pt idx="124">
                        <c:v>-0.52</c:v>
                      </c:pt>
                      <c:pt idx="125">
                        <c:v>-0.5</c:v>
                      </c:pt>
                      <c:pt idx="126">
                        <c:v>-0.48</c:v>
                      </c:pt>
                      <c:pt idx="127">
                        <c:v>-0.46</c:v>
                      </c:pt>
                      <c:pt idx="128">
                        <c:v>-0.44</c:v>
                      </c:pt>
                      <c:pt idx="129">
                        <c:v>-0.42</c:v>
                      </c:pt>
                      <c:pt idx="130">
                        <c:v>-0.4</c:v>
                      </c:pt>
                      <c:pt idx="131">
                        <c:v>-0.38</c:v>
                      </c:pt>
                      <c:pt idx="132">
                        <c:v>-0.36</c:v>
                      </c:pt>
                      <c:pt idx="133">
                        <c:v>-0.34</c:v>
                      </c:pt>
                      <c:pt idx="134">
                        <c:v>-0.32</c:v>
                      </c:pt>
                      <c:pt idx="135">
                        <c:v>-0.3</c:v>
                      </c:pt>
                      <c:pt idx="136">
                        <c:v>-0.28000000000000003</c:v>
                      </c:pt>
                      <c:pt idx="137">
                        <c:v>-0.26</c:v>
                      </c:pt>
                      <c:pt idx="138">
                        <c:v>-0.24</c:v>
                      </c:pt>
                      <c:pt idx="139">
                        <c:v>-0.22</c:v>
                      </c:pt>
                      <c:pt idx="140">
                        <c:v>-0.2</c:v>
                      </c:pt>
                      <c:pt idx="141">
                        <c:v>-0.18</c:v>
                      </c:pt>
                      <c:pt idx="142">
                        <c:v>-0.16</c:v>
                      </c:pt>
                      <c:pt idx="143">
                        <c:v>-0.14000000000000001</c:v>
                      </c:pt>
                      <c:pt idx="144">
                        <c:v>-0.12</c:v>
                      </c:pt>
                      <c:pt idx="145">
                        <c:v>-0.1</c:v>
                      </c:pt>
                      <c:pt idx="146">
                        <c:v>-8.0000000000000099E-2</c:v>
                      </c:pt>
                      <c:pt idx="147">
                        <c:v>-6.0000000000000102E-2</c:v>
                      </c:pt>
                      <c:pt idx="148">
                        <c:v>-0.04</c:v>
                      </c:pt>
                      <c:pt idx="149">
                        <c:v>-0.02</c:v>
                      </c:pt>
                      <c:pt idx="150">
                        <c:v>0</c:v>
                      </c:pt>
                      <c:pt idx="151">
                        <c:v>0.02</c:v>
                      </c:pt>
                      <c:pt idx="152">
                        <c:v>0.04</c:v>
                      </c:pt>
                      <c:pt idx="153">
                        <c:v>6.0000000000000102E-2</c:v>
                      </c:pt>
                      <c:pt idx="154">
                        <c:v>8.0000000000000099E-2</c:v>
                      </c:pt>
                      <c:pt idx="155">
                        <c:v>0.1</c:v>
                      </c:pt>
                      <c:pt idx="156">
                        <c:v>0.12</c:v>
                      </c:pt>
                      <c:pt idx="157">
                        <c:v>0.14000000000000001</c:v>
                      </c:pt>
                      <c:pt idx="158">
                        <c:v>0.16</c:v>
                      </c:pt>
                      <c:pt idx="159">
                        <c:v>0.18</c:v>
                      </c:pt>
                      <c:pt idx="160">
                        <c:v>0.2</c:v>
                      </c:pt>
                      <c:pt idx="161">
                        <c:v>0.22</c:v>
                      </c:pt>
                      <c:pt idx="162">
                        <c:v>0.24</c:v>
                      </c:pt>
                      <c:pt idx="163">
                        <c:v>0.26</c:v>
                      </c:pt>
                      <c:pt idx="164">
                        <c:v>0.28000000000000003</c:v>
                      </c:pt>
                      <c:pt idx="165">
                        <c:v>0.3</c:v>
                      </c:pt>
                      <c:pt idx="166">
                        <c:v>0.32</c:v>
                      </c:pt>
                      <c:pt idx="167">
                        <c:v>0.34</c:v>
                      </c:pt>
                      <c:pt idx="168">
                        <c:v>0.36</c:v>
                      </c:pt>
                      <c:pt idx="169">
                        <c:v>0.38</c:v>
                      </c:pt>
                      <c:pt idx="170">
                        <c:v>0.4</c:v>
                      </c:pt>
                      <c:pt idx="171">
                        <c:v>0.42</c:v>
                      </c:pt>
                      <c:pt idx="172">
                        <c:v>0.44</c:v>
                      </c:pt>
                      <c:pt idx="173">
                        <c:v>0.46</c:v>
                      </c:pt>
                      <c:pt idx="174">
                        <c:v>0.48</c:v>
                      </c:pt>
                      <c:pt idx="175">
                        <c:v>0.5</c:v>
                      </c:pt>
                      <c:pt idx="176">
                        <c:v>0.52</c:v>
                      </c:pt>
                      <c:pt idx="177">
                        <c:v>0.54</c:v>
                      </c:pt>
                      <c:pt idx="178">
                        <c:v>0.56000000000000005</c:v>
                      </c:pt>
                      <c:pt idx="179">
                        <c:v>0.57999999999999996</c:v>
                      </c:pt>
                      <c:pt idx="180">
                        <c:v>0.6</c:v>
                      </c:pt>
                      <c:pt idx="181">
                        <c:v>0.62</c:v>
                      </c:pt>
                      <c:pt idx="182">
                        <c:v>0.64</c:v>
                      </c:pt>
                      <c:pt idx="183">
                        <c:v>0.66</c:v>
                      </c:pt>
                      <c:pt idx="184">
                        <c:v>0.68</c:v>
                      </c:pt>
                      <c:pt idx="185">
                        <c:v>0.7</c:v>
                      </c:pt>
                      <c:pt idx="186">
                        <c:v>0.72</c:v>
                      </c:pt>
                      <c:pt idx="187">
                        <c:v>0.74</c:v>
                      </c:pt>
                      <c:pt idx="188">
                        <c:v>0.76</c:v>
                      </c:pt>
                      <c:pt idx="189">
                        <c:v>0.78</c:v>
                      </c:pt>
                      <c:pt idx="190">
                        <c:v>0.8</c:v>
                      </c:pt>
                      <c:pt idx="191">
                        <c:v>0.82</c:v>
                      </c:pt>
                      <c:pt idx="192">
                        <c:v>0.84</c:v>
                      </c:pt>
                      <c:pt idx="193">
                        <c:v>0.86</c:v>
                      </c:pt>
                      <c:pt idx="194">
                        <c:v>0.88</c:v>
                      </c:pt>
                      <c:pt idx="195">
                        <c:v>0.9</c:v>
                      </c:pt>
                      <c:pt idx="196">
                        <c:v>0.92</c:v>
                      </c:pt>
                      <c:pt idx="197">
                        <c:v>0.94</c:v>
                      </c:pt>
                      <c:pt idx="198">
                        <c:v>0.96</c:v>
                      </c:pt>
                      <c:pt idx="199">
                        <c:v>0.98</c:v>
                      </c:pt>
                      <c:pt idx="200">
                        <c:v>1</c:v>
                      </c:pt>
                      <c:pt idx="201">
                        <c:v>1.02</c:v>
                      </c:pt>
                      <c:pt idx="202">
                        <c:v>1.04</c:v>
                      </c:pt>
                      <c:pt idx="203">
                        <c:v>1.06</c:v>
                      </c:pt>
                      <c:pt idx="204">
                        <c:v>1.08</c:v>
                      </c:pt>
                      <c:pt idx="205">
                        <c:v>1.1000000000000001</c:v>
                      </c:pt>
                      <c:pt idx="206">
                        <c:v>1.1200000000000001</c:v>
                      </c:pt>
                      <c:pt idx="207">
                        <c:v>1.1399999999999999</c:v>
                      </c:pt>
                      <c:pt idx="208">
                        <c:v>1.1599999999999999</c:v>
                      </c:pt>
                      <c:pt idx="209">
                        <c:v>1.18</c:v>
                      </c:pt>
                      <c:pt idx="210">
                        <c:v>1.2</c:v>
                      </c:pt>
                      <c:pt idx="211">
                        <c:v>1.22</c:v>
                      </c:pt>
                      <c:pt idx="212">
                        <c:v>1.24</c:v>
                      </c:pt>
                      <c:pt idx="213">
                        <c:v>1.26</c:v>
                      </c:pt>
                      <c:pt idx="214">
                        <c:v>1.28</c:v>
                      </c:pt>
                      <c:pt idx="215">
                        <c:v>1.3</c:v>
                      </c:pt>
                      <c:pt idx="216">
                        <c:v>1.32</c:v>
                      </c:pt>
                      <c:pt idx="217">
                        <c:v>1.34</c:v>
                      </c:pt>
                      <c:pt idx="218">
                        <c:v>1.36</c:v>
                      </c:pt>
                      <c:pt idx="219">
                        <c:v>1.38</c:v>
                      </c:pt>
                      <c:pt idx="220">
                        <c:v>1.4</c:v>
                      </c:pt>
                      <c:pt idx="221">
                        <c:v>1.42</c:v>
                      </c:pt>
                      <c:pt idx="222">
                        <c:v>1.44</c:v>
                      </c:pt>
                      <c:pt idx="223">
                        <c:v>1.46</c:v>
                      </c:pt>
                      <c:pt idx="224">
                        <c:v>1.48</c:v>
                      </c:pt>
                      <c:pt idx="225">
                        <c:v>1.5</c:v>
                      </c:pt>
                      <c:pt idx="226">
                        <c:v>1.52</c:v>
                      </c:pt>
                      <c:pt idx="227">
                        <c:v>1.54</c:v>
                      </c:pt>
                      <c:pt idx="228">
                        <c:v>1.56</c:v>
                      </c:pt>
                      <c:pt idx="229">
                        <c:v>1.58</c:v>
                      </c:pt>
                      <c:pt idx="230">
                        <c:v>1.6</c:v>
                      </c:pt>
                      <c:pt idx="231">
                        <c:v>1.62</c:v>
                      </c:pt>
                      <c:pt idx="232">
                        <c:v>1.64</c:v>
                      </c:pt>
                      <c:pt idx="233">
                        <c:v>1.66</c:v>
                      </c:pt>
                      <c:pt idx="234">
                        <c:v>1.68</c:v>
                      </c:pt>
                      <c:pt idx="235">
                        <c:v>1.7</c:v>
                      </c:pt>
                      <c:pt idx="236">
                        <c:v>1.72</c:v>
                      </c:pt>
                      <c:pt idx="237">
                        <c:v>1.74</c:v>
                      </c:pt>
                      <c:pt idx="238">
                        <c:v>1.76</c:v>
                      </c:pt>
                      <c:pt idx="239">
                        <c:v>1.78</c:v>
                      </c:pt>
                      <c:pt idx="240">
                        <c:v>1.8</c:v>
                      </c:pt>
                      <c:pt idx="241">
                        <c:v>1.82</c:v>
                      </c:pt>
                      <c:pt idx="242">
                        <c:v>1.84</c:v>
                      </c:pt>
                      <c:pt idx="243">
                        <c:v>1.86</c:v>
                      </c:pt>
                      <c:pt idx="244">
                        <c:v>1.88</c:v>
                      </c:pt>
                      <c:pt idx="245">
                        <c:v>1.9</c:v>
                      </c:pt>
                      <c:pt idx="246">
                        <c:v>1.92</c:v>
                      </c:pt>
                      <c:pt idx="247">
                        <c:v>1.94</c:v>
                      </c:pt>
                      <c:pt idx="248">
                        <c:v>1.96</c:v>
                      </c:pt>
                      <c:pt idx="249">
                        <c:v>1.98</c:v>
                      </c:pt>
                      <c:pt idx="250">
                        <c:v>2</c:v>
                      </c:pt>
                      <c:pt idx="251">
                        <c:v>2.02</c:v>
                      </c:pt>
                      <c:pt idx="252">
                        <c:v>2.04</c:v>
                      </c:pt>
                      <c:pt idx="253">
                        <c:v>2.06</c:v>
                      </c:pt>
                      <c:pt idx="254">
                        <c:v>2.08</c:v>
                      </c:pt>
                      <c:pt idx="255">
                        <c:v>2.1</c:v>
                      </c:pt>
                      <c:pt idx="256">
                        <c:v>2.12</c:v>
                      </c:pt>
                      <c:pt idx="257">
                        <c:v>2.14</c:v>
                      </c:pt>
                      <c:pt idx="258">
                        <c:v>2.16</c:v>
                      </c:pt>
                      <c:pt idx="259">
                        <c:v>2.1800000000000099</c:v>
                      </c:pt>
                      <c:pt idx="260">
                        <c:v>2.2000000000000002</c:v>
                      </c:pt>
                      <c:pt idx="261">
                        <c:v>2.2200000000000002</c:v>
                      </c:pt>
                      <c:pt idx="262">
                        <c:v>2.2400000000000002</c:v>
                      </c:pt>
                      <c:pt idx="263">
                        <c:v>2.26000000000001</c:v>
                      </c:pt>
                      <c:pt idx="264">
                        <c:v>2.2799999999999998</c:v>
                      </c:pt>
                      <c:pt idx="265">
                        <c:v>2.2999999999999998</c:v>
                      </c:pt>
                      <c:pt idx="266">
                        <c:v>2.3199999999999998</c:v>
                      </c:pt>
                      <c:pt idx="267">
                        <c:v>2.3400000000000101</c:v>
                      </c:pt>
                      <c:pt idx="268">
                        <c:v>2.36</c:v>
                      </c:pt>
                      <c:pt idx="269">
                        <c:v>2.38</c:v>
                      </c:pt>
                      <c:pt idx="270">
                        <c:v>2.4</c:v>
                      </c:pt>
                      <c:pt idx="271">
                        <c:v>2.4200000000000101</c:v>
                      </c:pt>
                      <c:pt idx="272">
                        <c:v>2.44</c:v>
                      </c:pt>
                      <c:pt idx="273">
                        <c:v>2.46</c:v>
                      </c:pt>
                      <c:pt idx="274">
                        <c:v>2.48</c:v>
                      </c:pt>
                      <c:pt idx="275">
                        <c:v>2.5000000000000102</c:v>
                      </c:pt>
                      <c:pt idx="276">
                        <c:v>2.52</c:v>
                      </c:pt>
                      <c:pt idx="277">
                        <c:v>2.54</c:v>
                      </c:pt>
                      <c:pt idx="278">
                        <c:v>2.56</c:v>
                      </c:pt>
                      <c:pt idx="279">
                        <c:v>2.5800000000000098</c:v>
                      </c:pt>
                      <c:pt idx="280">
                        <c:v>2.6</c:v>
                      </c:pt>
                      <c:pt idx="281">
                        <c:v>2.62</c:v>
                      </c:pt>
                      <c:pt idx="282">
                        <c:v>2.6400000000000099</c:v>
                      </c:pt>
                      <c:pt idx="283">
                        <c:v>2.6600000000000099</c:v>
                      </c:pt>
                      <c:pt idx="284">
                        <c:v>2.6800000000000099</c:v>
                      </c:pt>
                      <c:pt idx="285">
                        <c:v>2.7</c:v>
                      </c:pt>
                      <c:pt idx="286">
                        <c:v>2.72000000000001</c:v>
                      </c:pt>
                      <c:pt idx="287">
                        <c:v>2.74000000000001</c:v>
                      </c:pt>
                      <c:pt idx="288">
                        <c:v>2.76000000000001</c:v>
                      </c:pt>
                      <c:pt idx="289">
                        <c:v>2.78</c:v>
                      </c:pt>
                      <c:pt idx="290">
                        <c:v>2.80000000000001</c:v>
                      </c:pt>
                      <c:pt idx="291">
                        <c:v>2.8200000000000101</c:v>
                      </c:pt>
                      <c:pt idx="292">
                        <c:v>2.8400000000000101</c:v>
                      </c:pt>
                      <c:pt idx="293">
                        <c:v>2.86</c:v>
                      </c:pt>
                      <c:pt idx="294">
                        <c:v>2.8800000000000101</c:v>
                      </c:pt>
                      <c:pt idx="295">
                        <c:v>2.9000000000000101</c:v>
                      </c:pt>
                      <c:pt idx="296">
                        <c:v>2.9200000000000101</c:v>
                      </c:pt>
                      <c:pt idx="297">
                        <c:v>2.94</c:v>
                      </c:pt>
                      <c:pt idx="298">
                        <c:v>2.9600000000000102</c:v>
                      </c:pt>
                      <c:pt idx="299">
                        <c:v>2.9800000000000102</c:v>
                      </c:pt>
                      <c:pt idx="300">
                        <c:v>3.0000000000000102</c:v>
                      </c:pt>
                      <c:pt idx="301">
                        <c:v>3.02</c:v>
                      </c:pt>
                      <c:pt idx="302">
                        <c:v>3.0400000000000098</c:v>
                      </c:pt>
                      <c:pt idx="303">
                        <c:v>3.0600000000000098</c:v>
                      </c:pt>
                      <c:pt idx="304">
                        <c:v>3.0800000000000098</c:v>
                      </c:pt>
                      <c:pt idx="305">
                        <c:v>3.1</c:v>
                      </c:pt>
                      <c:pt idx="306">
                        <c:v>3.1200000000000099</c:v>
                      </c:pt>
                      <c:pt idx="307">
                        <c:v>3.1400000000000099</c:v>
                      </c:pt>
                      <c:pt idx="308">
                        <c:v>3.1600000000000099</c:v>
                      </c:pt>
                      <c:pt idx="309">
                        <c:v>3.1800000000000099</c:v>
                      </c:pt>
                      <c:pt idx="310">
                        <c:v>3.2000000000000099</c:v>
                      </c:pt>
                      <c:pt idx="311">
                        <c:v>3.22000000000001</c:v>
                      </c:pt>
                      <c:pt idx="312">
                        <c:v>3.24000000000001</c:v>
                      </c:pt>
                      <c:pt idx="313">
                        <c:v>3.26000000000001</c:v>
                      </c:pt>
                      <c:pt idx="314">
                        <c:v>3.28000000000001</c:v>
                      </c:pt>
                      <c:pt idx="315">
                        <c:v>3.30000000000001</c:v>
                      </c:pt>
                      <c:pt idx="316">
                        <c:v>3.3200000000000101</c:v>
                      </c:pt>
                      <c:pt idx="317">
                        <c:v>3.3400000000000101</c:v>
                      </c:pt>
                      <c:pt idx="318">
                        <c:v>3.3600000000000101</c:v>
                      </c:pt>
                      <c:pt idx="319">
                        <c:v>3.3800000000000101</c:v>
                      </c:pt>
                      <c:pt idx="320">
                        <c:v>3.4000000000000101</c:v>
                      </c:pt>
                      <c:pt idx="321">
                        <c:v>3.4200000000000101</c:v>
                      </c:pt>
                      <c:pt idx="322">
                        <c:v>3.4400000000000102</c:v>
                      </c:pt>
                      <c:pt idx="323">
                        <c:v>3.4600000000000102</c:v>
                      </c:pt>
                      <c:pt idx="324">
                        <c:v>3.4800000000000102</c:v>
                      </c:pt>
                      <c:pt idx="325">
                        <c:v>3.5000000000000102</c:v>
                      </c:pt>
                      <c:pt idx="326">
                        <c:v>3.5200000000000098</c:v>
                      </c:pt>
                      <c:pt idx="327">
                        <c:v>3.5400000000000098</c:v>
                      </c:pt>
                      <c:pt idx="328">
                        <c:v>3.5600000000000098</c:v>
                      </c:pt>
                      <c:pt idx="329">
                        <c:v>3.5800000000000098</c:v>
                      </c:pt>
                      <c:pt idx="330">
                        <c:v>3.6000000000000099</c:v>
                      </c:pt>
                      <c:pt idx="331">
                        <c:v>3.6200000000000099</c:v>
                      </c:pt>
                      <c:pt idx="332">
                        <c:v>3.6400000000000099</c:v>
                      </c:pt>
                      <c:pt idx="333">
                        <c:v>3.6600000000000099</c:v>
                      </c:pt>
                      <c:pt idx="334">
                        <c:v>3.6800000000000099</c:v>
                      </c:pt>
                      <c:pt idx="335">
                        <c:v>3.7000000000000099</c:v>
                      </c:pt>
                      <c:pt idx="336">
                        <c:v>3.72000000000001</c:v>
                      </c:pt>
                      <c:pt idx="337">
                        <c:v>3.74000000000001</c:v>
                      </c:pt>
                      <c:pt idx="338">
                        <c:v>3.76000000000001</c:v>
                      </c:pt>
                      <c:pt idx="339">
                        <c:v>3.78000000000001</c:v>
                      </c:pt>
                      <c:pt idx="340">
                        <c:v>3.80000000000001</c:v>
                      </c:pt>
                      <c:pt idx="341">
                        <c:v>3.8200000000000101</c:v>
                      </c:pt>
                      <c:pt idx="342">
                        <c:v>3.8400000000000101</c:v>
                      </c:pt>
                      <c:pt idx="343">
                        <c:v>3.8600000000000101</c:v>
                      </c:pt>
                      <c:pt idx="344">
                        <c:v>3.8800000000000101</c:v>
                      </c:pt>
                      <c:pt idx="345">
                        <c:v>3.9000000000000101</c:v>
                      </c:pt>
                      <c:pt idx="346">
                        <c:v>3.9200000000000101</c:v>
                      </c:pt>
                      <c:pt idx="347">
                        <c:v>3.9400000000000102</c:v>
                      </c:pt>
                      <c:pt idx="348">
                        <c:v>3.9600000000000102</c:v>
                      </c:pt>
                      <c:pt idx="349">
                        <c:v>3.9800000000000102</c:v>
                      </c:pt>
                      <c:pt idx="350">
                        <c:v>4.0000000000000098</c:v>
                      </c:pt>
                      <c:pt idx="351">
                        <c:v>4.0200000000000102</c:v>
                      </c:pt>
                      <c:pt idx="352">
                        <c:v>4.0400000000000098</c:v>
                      </c:pt>
                      <c:pt idx="353">
                        <c:v>4.0600000000000103</c:v>
                      </c:pt>
                      <c:pt idx="354">
                        <c:v>4.0800000000000098</c:v>
                      </c:pt>
                      <c:pt idx="355">
                        <c:v>4.1000000000000103</c:v>
                      </c:pt>
                      <c:pt idx="356">
                        <c:v>4.1200000000000099</c:v>
                      </c:pt>
                      <c:pt idx="357">
                        <c:v>4.1400000000000103</c:v>
                      </c:pt>
                      <c:pt idx="358">
                        <c:v>4.1600000000000099</c:v>
                      </c:pt>
                      <c:pt idx="359">
                        <c:v>4.1800000000000104</c:v>
                      </c:pt>
                      <c:pt idx="360">
                        <c:v>4.2000000000000099</c:v>
                      </c:pt>
                      <c:pt idx="361">
                        <c:v>4.2200000000000104</c:v>
                      </c:pt>
                      <c:pt idx="362">
                        <c:v>4.24000000000001</c:v>
                      </c:pt>
                      <c:pt idx="363">
                        <c:v>4.2600000000000096</c:v>
                      </c:pt>
                      <c:pt idx="364">
                        <c:v>4.28000000000001</c:v>
                      </c:pt>
                      <c:pt idx="365">
                        <c:v>4.3000000000000096</c:v>
                      </c:pt>
                      <c:pt idx="366">
                        <c:v>4.3200000000000101</c:v>
                      </c:pt>
                      <c:pt idx="367">
                        <c:v>4.3400000000000096</c:v>
                      </c:pt>
                      <c:pt idx="368">
                        <c:v>4.3600000000000101</c:v>
                      </c:pt>
                      <c:pt idx="369">
                        <c:v>4.3800000000000097</c:v>
                      </c:pt>
                      <c:pt idx="370">
                        <c:v>4.4000000000000101</c:v>
                      </c:pt>
                      <c:pt idx="371">
                        <c:v>4.4200000000000097</c:v>
                      </c:pt>
                      <c:pt idx="372">
                        <c:v>4.4400000000000102</c:v>
                      </c:pt>
                      <c:pt idx="373">
                        <c:v>4.4600000000000097</c:v>
                      </c:pt>
                      <c:pt idx="374">
                        <c:v>4.4800000000000102</c:v>
                      </c:pt>
                      <c:pt idx="375">
                        <c:v>4.5000000000000098</c:v>
                      </c:pt>
                      <c:pt idx="376">
                        <c:v>4.5200000000000102</c:v>
                      </c:pt>
                      <c:pt idx="377">
                        <c:v>4.5400000000000098</c:v>
                      </c:pt>
                      <c:pt idx="378">
                        <c:v>4.5600000000000103</c:v>
                      </c:pt>
                      <c:pt idx="379">
                        <c:v>4.5800000000000098</c:v>
                      </c:pt>
                      <c:pt idx="380">
                        <c:v>4.6000000000000103</c:v>
                      </c:pt>
                      <c:pt idx="381">
                        <c:v>4.6200000000000099</c:v>
                      </c:pt>
                      <c:pt idx="382">
                        <c:v>4.6400000000000103</c:v>
                      </c:pt>
                      <c:pt idx="383">
                        <c:v>4.6600000000000099</c:v>
                      </c:pt>
                      <c:pt idx="384">
                        <c:v>4.6800000000000104</c:v>
                      </c:pt>
                      <c:pt idx="385">
                        <c:v>4.7000000000000099</c:v>
                      </c:pt>
                      <c:pt idx="386">
                        <c:v>4.7200000000000104</c:v>
                      </c:pt>
                      <c:pt idx="387">
                        <c:v>4.74000000000001</c:v>
                      </c:pt>
                      <c:pt idx="388">
                        <c:v>4.7600000000000096</c:v>
                      </c:pt>
                      <c:pt idx="389">
                        <c:v>4.78000000000001</c:v>
                      </c:pt>
                      <c:pt idx="390">
                        <c:v>4.8000000000000096</c:v>
                      </c:pt>
                      <c:pt idx="391">
                        <c:v>4.8200000000000101</c:v>
                      </c:pt>
                      <c:pt idx="392">
                        <c:v>4.8400000000000096</c:v>
                      </c:pt>
                      <c:pt idx="393">
                        <c:v>4.8600000000000101</c:v>
                      </c:pt>
                      <c:pt idx="394">
                        <c:v>4.8800000000000097</c:v>
                      </c:pt>
                      <c:pt idx="395">
                        <c:v>4.9000000000000101</c:v>
                      </c:pt>
                      <c:pt idx="396">
                        <c:v>4.9200000000000097</c:v>
                      </c:pt>
                      <c:pt idx="397">
                        <c:v>4.9400000000000102</c:v>
                      </c:pt>
                      <c:pt idx="398">
                        <c:v>4.9600000000000097</c:v>
                      </c:pt>
                      <c:pt idx="399">
                        <c:v>4.9800000000000102</c:v>
                      </c:pt>
                      <c:pt idx="400">
                        <c:v>5.0000000000000098</c:v>
                      </c:pt>
                    </c:numCache>
                  </c:numRef>
                </c:yVal>
                <c:smooth val="0"/>
                <c:extLst xmlns:c15="http://schemas.microsoft.com/office/drawing/2012/chart">
                  <c:ext xmlns:c16="http://schemas.microsoft.com/office/drawing/2014/chart" uri="{C3380CC4-5D6E-409C-BE32-E72D297353CC}">
                    <c16:uniqueId val="{00000001-FEB8-44EC-AC39-20F9C55AFBB7}"/>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'V-N Diagram'!$L$36</c15:sqref>
                        </c15:formulaRef>
                      </c:ext>
                    </c:extLst>
                    <c:strCache>
                      <c:ptCount val="1"/>
                      <c:pt idx="0">
                        <c:v>Va</c:v>
                      </c:pt>
                    </c:strCache>
                  </c:strRef>
                </c:tx>
                <c:spPr>
                  <a:ln w="19050" cap="rnd">
                    <a:noFill/>
                    <a:round/>
                  </a:ln>
                  <a:effectLst/>
                </c:spPr>
                <c:marker>
                  <c:symbol val="none"/>
                </c:marker>
                <c:xVal>
                  <c:numRef>
                    <c:extLst xmlns:c15="http://schemas.microsoft.com/office/drawing/2012/chart">
                      <c:ext xmlns:c15="http://schemas.microsoft.com/office/drawing/2012/chart" uri="{02D57815-91ED-43cb-92C2-25804820EDAC}">
                        <c15:formulaRef>
                          <c15:sqref>'V-N Diagram'!$L$37:$L$437</c15:sqref>
                        </c15:formulaRef>
                      </c:ext>
                    </c:extLst>
                    <c:numCache>
                      <c:formatCode>General</c:formatCode>
                      <c:ptCount val="401"/>
                      <c:pt idx="0">
                        <c:v>156.47269016040096</c:v>
                      </c:pt>
                      <c:pt idx="1">
                        <c:v>156.47269016040096</c:v>
                      </c:pt>
                      <c:pt idx="2">
                        <c:v>156.47269016040096</c:v>
                      </c:pt>
                      <c:pt idx="3">
                        <c:v>156.47269016040096</c:v>
                      </c:pt>
                      <c:pt idx="4">
                        <c:v>156.47269016040096</c:v>
                      </c:pt>
                      <c:pt idx="5">
                        <c:v>156.47269016040096</c:v>
                      </c:pt>
                      <c:pt idx="6">
                        <c:v>156.47269016040096</c:v>
                      </c:pt>
                      <c:pt idx="7">
                        <c:v>156.47269016040096</c:v>
                      </c:pt>
                      <c:pt idx="8">
                        <c:v>156.47269016040096</c:v>
                      </c:pt>
                      <c:pt idx="9">
                        <c:v>156.47269016040096</c:v>
                      </c:pt>
                      <c:pt idx="10">
                        <c:v>156.47269016040096</c:v>
                      </c:pt>
                      <c:pt idx="11">
                        <c:v>156.47269016040096</c:v>
                      </c:pt>
                      <c:pt idx="12">
                        <c:v>156.47269016040096</c:v>
                      </c:pt>
                      <c:pt idx="13">
                        <c:v>156.47269016040096</c:v>
                      </c:pt>
                      <c:pt idx="14">
                        <c:v>156.47269016040096</c:v>
                      </c:pt>
                      <c:pt idx="15">
                        <c:v>156.47269016040096</c:v>
                      </c:pt>
                      <c:pt idx="16">
                        <c:v>156.47269016040096</c:v>
                      </c:pt>
                      <c:pt idx="17">
                        <c:v>156.47269016040096</c:v>
                      </c:pt>
                      <c:pt idx="18">
                        <c:v>156.47269016040096</c:v>
                      </c:pt>
                      <c:pt idx="19">
                        <c:v>156.47269016040096</c:v>
                      </c:pt>
                      <c:pt idx="20">
                        <c:v>156.47269016040096</c:v>
                      </c:pt>
                      <c:pt idx="21">
                        <c:v>156.47269016040096</c:v>
                      </c:pt>
                      <c:pt idx="22">
                        <c:v>156.47269016040096</c:v>
                      </c:pt>
                      <c:pt idx="23">
                        <c:v>156.47269016040096</c:v>
                      </c:pt>
                      <c:pt idx="24">
                        <c:v>156.47269016040096</c:v>
                      </c:pt>
                      <c:pt idx="25">
                        <c:v>156.47269016040096</c:v>
                      </c:pt>
                      <c:pt idx="26">
                        <c:v>156.47269016040096</c:v>
                      </c:pt>
                      <c:pt idx="27">
                        <c:v>156.47269016040096</c:v>
                      </c:pt>
                      <c:pt idx="28">
                        <c:v>156.47269016040096</c:v>
                      </c:pt>
                      <c:pt idx="29">
                        <c:v>156.47269016040096</c:v>
                      </c:pt>
                      <c:pt idx="30">
                        <c:v>156.47269016040096</c:v>
                      </c:pt>
                      <c:pt idx="31">
                        <c:v>156.47269016040096</c:v>
                      </c:pt>
                      <c:pt idx="32">
                        <c:v>156.47269016040096</c:v>
                      </c:pt>
                      <c:pt idx="33">
                        <c:v>156.47269016040096</c:v>
                      </c:pt>
                      <c:pt idx="34">
                        <c:v>156.47269016040096</c:v>
                      </c:pt>
                      <c:pt idx="35">
                        <c:v>156.47269016040096</c:v>
                      </c:pt>
                      <c:pt idx="36">
                        <c:v>156.47269016040096</c:v>
                      </c:pt>
                      <c:pt idx="37">
                        <c:v>156.47269016040096</c:v>
                      </c:pt>
                      <c:pt idx="38">
                        <c:v>156.47269016040096</c:v>
                      </c:pt>
                      <c:pt idx="39">
                        <c:v>156.47269016040096</c:v>
                      </c:pt>
                      <c:pt idx="40">
                        <c:v>156.47269016040096</c:v>
                      </c:pt>
                      <c:pt idx="41">
                        <c:v>156.47269016040096</c:v>
                      </c:pt>
                      <c:pt idx="42">
                        <c:v>156.47269016040096</c:v>
                      </c:pt>
                      <c:pt idx="43">
                        <c:v>156.47269016040096</c:v>
                      </c:pt>
                      <c:pt idx="44">
                        <c:v>156.47269016040096</c:v>
                      </c:pt>
                      <c:pt idx="45">
                        <c:v>156.47269016040096</c:v>
                      </c:pt>
                      <c:pt idx="46">
                        <c:v>156.47269016040096</c:v>
                      </c:pt>
                      <c:pt idx="47">
                        <c:v>156.47269016040096</c:v>
                      </c:pt>
                      <c:pt idx="48">
                        <c:v>156.47269016040096</c:v>
                      </c:pt>
                      <c:pt idx="49">
                        <c:v>156.47269016040096</c:v>
                      </c:pt>
                      <c:pt idx="50">
                        <c:v>156.47269016040096</c:v>
                      </c:pt>
                      <c:pt idx="51">
                        <c:v>156.47269016040096</c:v>
                      </c:pt>
                      <c:pt idx="52">
                        <c:v>156.47269016040096</c:v>
                      </c:pt>
                      <c:pt idx="53">
                        <c:v>156.47269016040096</c:v>
                      </c:pt>
                      <c:pt idx="54">
                        <c:v>156.47269016040096</c:v>
                      </c:pt>
                      <c:pt idx="55">
                        <c:v>156.47269016040096</c:v>
                      </c:pt>
                      <c:pt idx="56">
                        <c:v>156.47269016040096</c:v>
                      </c:pt>
                      <c:pt idx="57">
                        <c:v>156.47269016040096</c:v>
                      </c:pt>
                      <c:pt idx="58">
                        <c:v>156.47269016040096</c:v>
                      </c:pt>
                      <c:pt idx="59">
                        <c:v>156.47269016040096</c:v>
                      </c:pt>
                      <c:pt idx="60">
                        <c:v>156.47269016040096</c:v>
                      </c:pt>
                      <c:pt idx="61">
                        <c:v>156.47269016040096</c:v>
                      </c:pt>
                      <c:pt idx="62">
                        <c:v>156.47269016040096</c:v>
                      </c:pt>
                      <c:pt idx="63">
                        <c:v>156.47269016040096</c:v>
                      </c:pt>
                      <c:pt idx="64">
                        <c:v>156.47269016040096</c:v>
                      </c:pt>
                      <c:pt idx="65">
                        <c:v>156.47269016040096</c:v>
                      </c:pt>
                      <c:pt idx="66">
                        <c:v>156.47269016040096</c:v>
                      </c:pt>
                      <c:pt idx="67">
                        <c:v>156.47269016040096</c:v>
                      </c:pt>
                      <c:pt idx="68">
                        <c:v>156.47269016040096</c:v>
                      </c:pt>
                      <c:pt idx="69">
                        <c:v>156.47269016040096</c:v>
                      </c:pt>
                      <c:pt idx="70">
                        <c:v>156.47269016040096</c:v>
                      </c:pt>
                      <c:pt idx="71">
                        <c:v>156.47269016040096</c:v>
                      </c:pt>
                      <c:pt idx="72">
                        <c:v>156.47269016040096</c:v>
                      </c:pt>
                      <c:pt idx="73">
                        <c:v>156.47269016040096</c:v>
                      </c:pt>
                      <c:pt idx="74">
                        <c:v>156.47269016040096</c:v>
                      </c:pt>
                      <c:pt idx="75">
                        <c:v>156.47269016040096</c:v>
                      </c:pt>
                      <c:pt idx="76">
                        <c:v>156.47269016040096</c:v>
                      </c:pt>
                      <c:pt idx="77">
                        <c:v>156.47269016040096</c:v>
                      </c:pt>
                      <c:pt idx="78">
                        <c:v>156.47269016040096</c:v>
                      </c:pt>
                      <c:pt idx="79">
                        <c:v>156.47269016040096</c:v>
                      </c:pt>
                      <c:pt idx="80">
                        <c:v>156.47269016040096</c:v>
                      </c:pt>
                      <c:pt idx="81">
                        <c:v>156.47269016040096</c:v>
                      </c:pt>
                      <c:pt idx="82">
                        <c:v>156.47269016040096</c:v>
                      </c:pt>
                      <c:pt idx="83">
                        <c:v>156.47269016040096</c:v>
                      </c:pt>
                      <c:pt idx="84">
                        <c:v>156.47269016040096</c:v>
                      </c:pt>
                      <c:pt idx="85">
                        <c:v>156.47269016040096</c:v>
                      </c:pt>
                      <c:pt idx="86">
                        <c:v>156.47269016040096</c:v>
                      </c:pt>
                      <c:pt idx="87">
                        <c:v>156.47269016040096</c:v>
                      </c:pt>
                      <c:pt idx="88">
                        <c:v>156.47269016040096</c:v>
                      </c:pt>
                      <c:pt idx="89">
                        <c:v>156.47269016040096</c:v>
                      </c:pt>
                      <c:pt idx="90">
                        <c:v>156.47269016040096</c:v>
                      </c:pt>
                      <c:pt idx="91">
                        <c:v>156.47269016040096</c:v>
                      </c:pt>
                      <c:pt idx="92">
                        <c:v>156.47269016040096</c:v>
                      </c:pt>
                      <c:pt idx="93">
                        <c:v>156.47269016040096</c:v>
                      </c:pt>
                      <c:pt idx="94">
                        <c:v>156.47269016040096</c:v>
                      </c:pt>
                      <c:pt idx="95">
                        <c:v>156.47269016040096</c:v>
                      </c:pt>
                      <c:pt idx="96">
                        <c:v>156.47269016040096</c:v>
                      </c:pt>
                      <c:pt idx="97">
                        <c:v>156.47269016040096</c:v>
                      </c:pt>
                      <c:pt idx="98">
                        <c:v>156.47269016040096</c:v>
                      </c:pt>
                      <c:pt idx="99">
                        <c:v>156.47269016040096</c:v>
                      </c:pt>
                      <c:pt idx="100">
                        <c:v>156.47269016040096</c:v>
                      </c:pt>
                      <c:pt idx="101">
                        <c:v>156.47269016040096</c:v>
                      </c:pt>
                      <c:pt idx="102">
                        <c:v>156.47269016040096</c:v>
                      </c:pt>
                      <c:pt idx="103">
                        <c:v>156.47269016040096</c:v>
                      </c:pt>
                      <c:pt idx="104">
                        <c:v>156.47269016040096</c:v>
                      </c:pt>
                      <c:pt idx="105">
                        <c:v>156.47269016040096</c:v>
                      </c:pt>
                      <c:pt idx="106">
                        <c:v>156.47269016040096</c:v>
                      </c:pt>
                      <c:pt idx="107">
                        <c:v>156.47269016040096</c:v>
                      </c:pt>
                      <c:pt idx="108">
                        <c:v>156.47269016040096</c:v>
                      </c:pt>
                      <c:pt idx="109">
                        <c:v>156.47269016040096</c:v>
                      </c:pt>
                      <c:pt idx="110">
                        <c:v>156.47269016040096</c:v>
                      </c:pt>
                      <c:pt idx="111">
                        <c:v>156.47269016040096</c:v>
                      </c:pt>
                      <c:pt idx="112">
                        <c:v>156.47269016040096</c:v>
                      </c:pt>
                      <c:pt idx="113">
                        <c:v>156.47269016040096</c:v>
                      </c:pt>
                      <c:pt idx="114">
                        <c:v>156.47269016040096</c:v>
                      </c:pt>
                      <c:pt idx="115">
                        <c:v>156.47269016040096</c:v>
                      </c:pt>
                      <c:pt idx="116">
                        <c:v>156.47269016040096</c:v>
                      </c:pt>
                      <c:pt idx="117">
                        <c:v>156.47269016040096</c:v>
                      </c:pt>
                      <c:pt idx="118">
                        <c:v>156.47269016040096</c:v>
                      </c:pt>
                      <c:pt idx="119">
                        <c:v>156.47269016040096</c:v>
                      </c:pt>
                      <c:pt idx="120">
                        <c:v>156.47269016040096</c:v>
                      </c:pt>
                      <c:pt idx="121">
                        <c:v>156.47269016040096</c:v>
                      </c:pt>
                      <c:pt idx="122">
                        <c:v>156.47269016040096</c:v>
                      </c:pt>
                      <c:pt idx="123">
                        <c:v>156.47269016040096</c:v>
                      </c:pt>
                      <c:pt idx="124">
                        <c:v>156.47269016040096</c:v>
                      </c:pt>
                      <c:pt idx="125">
                        <c:v>156.47269016040096</c:v>
                      </c:pt>
                      <c:pt idx="126">
                        <c:v>156.47269016040096</c:v>
                      </c:pt>
                      <c:pt idx="127">
                        <c:v>156.47269016040096</c:v>
                      </c:pt>
                      <c:pt idx="128">
                        <c:v>156.47269016040096</c:v>
                      </c:pt>
                      <c:pt idx="129">
                        <c:v>156.47269016040096</c:v>
                      </c:pt>
                      <c:pt idx="130">
                        <c:v>156.47269016040096</c:v>
                      </c:pt>
                      <c:pt idx="131">
                        <c:v>156.47269016040096</c:v>
                      </c:pt>
                      <c:pt idx="132">
                        <c:v>156.47269016040096</c:v>
                      </c:pt>
                      <c:pt idx="133">
                        <c:v>156.47269016040096</c:v>
                      </c:pt>
                      <c:pt idx="134">
                        <c:v>156.47269016040096</c:v>
                      </c:pt>
                      <c:pt idx="135">
                        <c:v>156.47269016040096</c:v>
                      </c:pt>
                      <c:pt idx="136">
                        <c:v>156.47269016040096</c:v>
                      </c:pt>
                      <c:pt idx="137">
                        <c:v>156.47269016040096</c:v>
                      </c:pt>
                      <c:pt idx="138">
                        <c:v>156.47269016040096</c:v>
                      </c:pt>
                      <c:pt idx="139">
                        <c:v>156.47269016040096</c:v>
                      </c:pt>
                      <c:pt idx="140">
                        <c:v>156.47269016040096</c:v>
                      </c:pt>
                      <c:pt idx="141">
                        <c:v>156.47269016040096</c:v>
                      </c:pt>
                      <c:pt idx="142">
                        <c:v>156.47269016040096</c:v>
                      </c:pt>
                      <c:pt idx="143">
                        <c:v>156.47269016040096</c:v>
                      </c:pt>
                      <c:pt idx="144">
                        <c:v>156.47269016040096</c:v>
                      </c:pt>
                      <c:pt idx="145">
                        <c:v>156.47269016040096</c:v>
                      </c:pt>
                      <c:pt idx="146">
                        <c:v>156.47269016040096</c:v>
                      </c:pt>
                      <c:pt idx="147">
                        <c:v>156.47269016040096</c:v>
                      </c:pt>
                      <c:pt idx="148">
                        <c:v>156.47269016040096</c:v>
                      </c:pt>
                      <c:pt idx="149">
                        <c:v>156.47269016040096</c:v>
                      </c:pt>
                      <c:pt idx="150">
                        <c:v>156.47269016040096</c:v>
                      </c:pt>
                      <c:pt idx="151">
                        <c:v>156.47269016040096</c:v>
                      </c:pt>
                      <c:pt idx="152">
                        <c:v>156.47269016040096</c:v>
                      </c:pt>
                      <c:pt idx="153">
                        <c:v>156.47269016040096</c:v>
                      </c:pt>
                      <c:pt idx="154">
                        <c:v>156.47269016040096</c:v>
                      </c:pt>
                      <c:pt idx="155">
                        <c:v>156.47269016040096</c:v>
                      </c:pt>
                      <c:pt idx="156">
                        <c:v>156.47269016040096</c:v>
                      </c:pt>
                      <c:pt idx="157">
                        <c:v>156.47269016040096</c:v>
                      </c:pt>
                      <c:pt idx="158">
                        <c:v>156.47269016040096</c:v>
                      </c:pt>
                      <c:pt idx="159">
                        <c:v>156.47269016040096</c:v>
                      </c:pt>
                      <c:pt idx="160">
                        <c:v>156.47269016040096</c:v>
                      </c:pt>
                      <c:pt idx="161">
                        <c:v>156.47269016040096</c:v>
                      </c:pt>
                      <c:pt idx="162">
                        <c:v>156.47269016040096</c:v>
                      </c:pt>
                      <c:pt idx="163">
                        <c:v>156.47269016040096</c:v>
                      </c:pt>
                      <c:pt idx="164">
                        <c:v>156.47269016040096</c:v>
                      </c:pt>
                      <c:pt idx="165">
                        <c:v>156.47269016040096</c:v>
                      </c:pt>
                      <c:pt idx="166">
                        <c:v>156.47269016040096</c:v>
                      </c:pt>
                      <c:pt idx="167">
                        <c:v>156.47269016040096</c:v>
                      </c:pt>
                      <c:pt idx="168">
                        <c:v>156.47269016040096</c:v>
                      </c:pt>
                      <c:pt idx="169">
                        <c:v>156.47269016040096</c:v>
                      </c:pt>
                      <c:pt idx="170">
                        <c:v>156.47269016040096</c:v>
                      </c:pt>
                      <c:pt idx="171">
                        <c:v>156.47269016040096</c:v>
                      </c:pt>
                      <c:pt idx="172">
                        <c:v>156.47269016040096</c:v>
                      </c:pt>
                      <c:pt idx="173">
                        <c:v>156.47269016040096</c:v>
                      </c:pt>
                      <c:pt idx="174">
                        <c:v>156.47269016040096</c:v>
                      </c:pt>
                      <c:pt idx="175">
                        <c:v>156.47269016040096</c:v>
                      </c:pt>
                      <c:pt idx="176">
                        <c:v>156.47269016040096</c:v>
                      </c:pt>
                      <c:pt idx="177">
                        <c:v>156.47269016040096</c:v>
                      </c:pt>
                      <c:pt idx="178">
                        <c:v>156.47269016040096</c:v>
                      </c:pt>
                      <c:pt idx="179">
                        <c:v>156.47269016040096</c:v>
                      </c:pt>
                      <c:pt idx="180">
                        <c:v>156.47269016040096</c:v>
                      </c:pt>
                      <c:pt idx="181">
                        <c:v>156.47269016040096</c:v>
                      </c:pt>
                      <c:pt idx="182">
                        <c:v>156.47269016040096</c:v>
                      </c:pt>
                      <c:pt idx="183">
                        <c:v>156.47269016040096</c:v>
                      </c:pt>
                      <c:pt idx="184">
                        <c:v>156.47269016040096</c:v>
                      </c:pt>
                      <c:pt idx="185">
                        <c:v>156.47269016040096</c:v>
                      </c:pt>
                      <c:pt idx="186">
                        <c:v>156.47269016040096</c:v>
                      </c:pt>
                      <c:pt idx="187">
                        <c:v>156.47269016040096</c:v>
                      </c:pt>
                      <c:pt idx="188">
                        <c:v>156.47269016040096</c:v>
                      </c:pt>
                      <c:pt idx="189">
                        <c:v>156.47269016040096</c:v>
                      </c:pt>
                      <c:pt idx="190">
                        <c:v>156.47269016040096</c:v>
                      </c:pt>
                      <c:pt idx="191">
                        <c:v>156.47269016040096</c:v>
                      </c:pt>
                      <c:pt idx="192">
                        <c:v>156.47269016040096</c:v>
                      </c:pt>
                      <c:pt idx="193">
                        <c:v>156.47269016040096</c:v>
                      </c:pt>
                      <c:pt idx="194">
                        <c:v>156.47269016040096</c:v>
                      </c:pt>
                      <c:pt idx="195">
                        <c:v>156.47269016040096</c:v>
                      </c:pt>
                      <c:pt idx="196">
                        <c:v>156.47269016040096</c:v>
                      </c:pt>
                      <c:pt idx="197">
                        <c:v>156.47269016040096</c:v>
                      </c:pt>
                      <c:pt idx="198">
                        <c:v>156.47269016040096</c:v>
                      </c:pt>
                      <c:pt idx="199">
                        <c:v>156.47269016040096</c:v>
                      </c:pt>
                      <c:pt idx="200">
                        <c:v>156.47269016040096</c:v>
                      </c:pt>
                      <c:pt idx="201">
                        <c:v>156.47269016040096</c:v>
                      </c:pt>
                      <c:pt idx="202">
                        <c:v>156.47269016040096</c:v>
                      </c:pt>
                      <c:pt idx="203">
                        <c:v>156.47269016040096</c:v>
                      </c:pt>
                      <c:pt idx="204">
                        <c:v>156.47269016040096</c:v>
                      </c:pt>
                      <c:pt idx="205">
                        <c:v>156.47269016040096</c:v>
                      </c:pt>
                      <c:pt idx="206">
                        <c:v>156.47269016040096</c:v>
                      </c:pt>
                      <c:pt idx="207">
                        <c:v>156.47269016040096</c:v>
                      </c:pt>
                      <c:pt idx="208">
                        <c:v>156.47269016040096</c:v>
                      </c:pt>
                      <c:pt idx="209">
                        <c:v>156.47269016040096</c:v>
                      </c:pt>
                      <c:pt idx="210">
                        <c:v>156.47269016040096</c:v>
                      </c:pt>
                      <c:pt idx="211">
                        <c:v>156.47269016040096</c:v>
                      </c:pt>
                      <c:pt idx="212">
                        <c:v>156.47269016040096</c:v>
                      </c:pt>
                      <c:pt idx="213">
                        <c:v>156.47269016040096</c:v>
                      </c:pt>
                      <c:pt idx="214">
                        <c:v>156.47269016040096</c:v>
                      </c:pt>
                      <c:pt idx="215">
                        <c:v>156.47269016040096</c:v>
                      </c:pt>
                      <c:pt idx="216">
                        <c:v>156.47269016040096</c:v>
                      </c:pt>
                      <c:pt idx="217">
                        <c:v>156.47269016040096</c:v>
                      </c:pt>
                      <c:pt idx="218">
                        <c:v>156.47269016040096</c:v>
                      </c:pt>
                      <c:pt idx="219">
                        <c:v>156.47269016040096</c:v>
                      </c:pt>
                      <c:pt idx="220">
                        <c:v>156.47269016040096</c:v>
                      </c:pt>
                      <c:pt idx="221">
                        <c:v>156.47269016040096</c:v>
                      </c:pt>
                      <c:pt idx="222">
                        <c:v>156.47269016040096</c:v>
                      </c:pt>
                      <c:pt idx="223">
                        <c:v>156.47269016040096</c:v>
                      </c:pt>
                      <c:pt idx="224">
                        <c:v>156.47269016040096</c:v>
                      </c:pt>
                      <c:pt idx="225">
                        <c:v>156.47269016040096</c:v>
                      </c:pt>
                      <c:pt idx="226">
                        <c:v>156.47269016040096</c:v>
                      </c:pt>
                      <c:pt idx="227">
                        <c:v>156.47269016040096</c:v>
                      </c:pt>
                      <c:pt idx="228">
                        <c:v>156.47269016040096</c:v>
                      </c:pt>
                      <c:pt idx="229">
                        <c:v>156.47269016040096</c:v>
                      </c:pt>
                      <c:pt idx="230">
                        <c:v>156.47269016040096</c:v>
                      </c:pt>
                      <c:pt idx="231">
                        <c:v>156.47269016040096</c:v>
                      </c:pt>
                      <c:pt idx="232">
                        <c:v>156.47269016040096</c:v>
                      </c:pt>
                      <c:pt idx="233">
                        <c:v>156.47269016040096</c:v>
                      </c:pt>
                      <c:pt idx="234">
                        <c:v>156.47269016040096</c:v>
                      </c:pt>
                      <c:pt idx="235">
                        <c:v>156.47269016040096</c:v>
                      </c:pt>
                      <c:pt idx="236">
                        <c:v>156.47269016040096</c:v>
                      </c:pt>
                      <c:pt idx="237">
                        <c:v>156.47269016040096</c:v>
                      </c:pt>
                      <c:pt idx="238">
                        <c:v>156.47269016040096</c:v>
                      </c:pt>
                      <c:pt idx="239">
                        <c:v>156.47269016040096</c:v>
                      </c:pt>
                      <c:pt idx="240">
                        <c:v>156.47269016040096</c:v>
                      </c:pt>
                      <c:pt idx="241">
                        <c:v>156.47269016040096</c:v>
                      </c:pt>
                      <c:pt idx="242">
                        <c:v>156.47269016040096</c:v>
                      </c:pt>
                      <c:pt idx="243">
                        <c:v>156.47269016040096</c:v>
                      </c:pt>
                      <c:pt idx="244">
                        <c:v>156.47269016040096</c:v>
                      </c:pt>
                      <c:pt idx="245">
                        <c:v>156.47269016040096</c:v>
                      </c:pt>
                      <c:pt idx="246">
                        <c:v>156.47269016040096</c:v>
                      </c:pt>
                      <c:pt idx="247">
                        <c:v>156.47269016040096</c:v>
                      </c:pt>
                      <c:pt idx="248">
                        <c:v>156.47269016040096</c:v>
                      </c:pt>
                      <c:pt idx="249">
                        <c:v>156.47269016040096</c:v>
                      </c:pt>
                      <c:pt idx="250">
                        <c:v>156.47269016040096</c:v>
                      </c:pt>
                      <c:pt idx="251">
                        <c:v>156.47269016040096</c:v>
                      </c:pt>
                      <c:pt idx="252">
                        <c:v>156.47269016040096</c:v>
                      </c:pt>
                      <c:pt idx="253">
                        <c:v>156.47269016040096</c:v>
                      </c:pt>
                      <c:pt idx="254">
                        <c:v>156.47269016040096</c:v>
                      </c:pt>
                      <c:pt idx="255">
                        <c:v>156.47269016040096</c:v>
                      </c:pt>
                      <c:pt idx="256">
                        <c:v>156.47269016040096</c:v>
                      </c:pt>
                      <c:pt idx="257">
                        <c:v>156.47269016040096</c:v>
                      </c:pt>
                      <c:pt idx="258">
                        <c:v>156.47269016040096</c:v>
                      </c:pt>
                      <c:pt idx="259">
                        <c:v>156.47269016040096</c:v>
                      </c:pt>
                      <c:pt idx="260">
                        <c:v>156.47269016040096</c:v>
                      </c:pt>
                      <c:pt idx="261">
                        <c:v>156.47269016040096</c:v>
                      </c:pt>
                      <c:pt idx="262">
                        <c:v>156.47269016040096</c:v>
                      </c:pt>
                      <c:pt idx="263">
                        <c:v>156.47269016040096</c:v>
                      </c:pt>
                      <c:pt idx="264">
                        <c:v>156.47269016040096</c:v>
                      </c:pt>
                      <c:pt idx="265">
                        <c:v>156.47269016040096</c:v>
                      </c:pt>
                      <c:pt idx="266">
                        <c:v>156.47269016040096</c:v>
                      </c:pt>
                      <c:pt idx="267">
                        <c:v>156.47269016040096</c:v>
                      </c:pt>
                      <c:pt idx="268">
                        <c:v>156.47269016040096</c:v>
                      </c:pt>
                      <c:pt idx="269">
                        <c:v>156.47269016040096</c:v>
                      </c:pt>
                      <c:pt idx="270">
                        <c:v>156.47269016040096</c:v>
                      </c:pt>
                      <c:pt idx="271">
                        <c:v>156.47269016040096</c:v>
                      </c:pt>
                      <c:pt idx="272">
                        <c:v>156.47269016040096</c:v>
                      </c:pt>
                      <c:pt idx="273">
                        <c:v>156.47269016040096</c:v>
                      </c:pt>
                      <c:pt idx="274">
                        <c:v>156.47269016040096</c:v>
                      </c:pt>
                      <c:pt idx="275">
                        <c:v>156.47269016040096</c:v>
                      </c:pt>
                      <c:pt idx="276">
                        <c:v>156.47269016040096</c:v>
                      </c:pt>
                      <c:pt idx="277">
                        <c:v>156.47269016040096</c:v>
                      </c:pt>
                      <c:pt idx="278">
                        <c:v>156.47269016040096</c:v>
                      </c:pt>
                      <c:pt idx="279">
                        <c:v>156.47269016040096</c:v>
                      </c:pt>
                      <c:pt idx="280">
                        <c:v>156.47269016040096</c:v>
                      </c:pt>
                      <c:pt idx="281">
                        <c:v>156.47269016040096</c:v>
                      </c:pt>
                      <c:pt idx="282">
                        <c:v>156.47269016040096</c:v>
                      </c:pt>
                      <c:pt idx="283">
                        <c:v>156.47269016040096</c:v>
                      </c:pt>
                      <c:pt idx="284">
                        <c:v>156.47269016040096</c:v>
                      </c:pt>
                      <c:pt idx="285">
                        <c:v>156.47269016040096</c:v>
                      </c:pt>
                      <c:pt idx="286">
                        <c:v>156.47269016040096</c:v>
                      </c:pt>
                      <c:pt idx="287">
                        <c:v>156.47269016040096</c:v>
                      </c:pt>
                      <c:pt idx="288">
                        <c:v>156.47269016040096</c:v>
                      </c:pt>
                      <c:pt idx="289">
                        <c:v>156.47269016040096</c:v>
                      </c:pt>
                      <c:pt idx="290">
                        <c:v>156.47269016040096</c:v>
                      </c:pt>
                      <c:pt idx="291">
                        <c:v>156.47269016040096</c:v>
                      </c:pt>
                      <c:pt idx="292">
                        <c:v>156.47269016040096</c:v>
                      </c:pt>
                      <c:pt idx="293">
                        <c:v>156.47269016040096</c:v>
                      </c:pt>
                      <c:pt idx="294">
                        <c:v>156.47269016040096</c:v>
                      </c:pt>
                      <c:pt idx="295">
                        <c:v>156.47269016040096</c:v>
                      </c:pt>
                      <c:pt idx="296">
                        <c:v>156.47269016040096</c:v>
                      </c:pt>
                      <c:pt idx="297">
                        <c:v>156.47269016040096</c:v>
                      </c:pt>
                      <c:pt idx="298">
                        <c:v>156.47269016040096</c:v>
                      </c:pt>
                      <c:pt idx="299">
                        <c:v>156.47269016040096</c:v>
                      </c:pt>
                      <c:pt idx="300">
                        <c:v>156.47269016040096</c:v>
                      </c:pt>
                      <c:pt idx="301">
                        <c:v>156.47269016040096</c:v>
                      </c:pt>
                      <c:pt idx="302">
                        <c:v>156.47269016040096</c:v>
                      </c:pt>
                      <c:pt idx="303">
                        <c:v>156.47269016040096</c:v>
                      </c:pt>
                      <c:pt idx="304">
                        <c:v>156.47269016040096</c:v>
                      </c:pt>
                      <c:pt idx="305">
                        <c:v>156.47269016040096</c:v>
                      </c:pt>
                      <c:pt idx="306">
                        <c:v>156.47269016040096</c:v>
                      </c:pt>
                      <c:pt idx="307">
                        <c:v>156.47269016040096</c:v>
                      </c:pt>
                      <c:pt idx="308">
                        <c:v>156.47269016040096</c:v>
                      </c:pt>
                      <c:pt idx="309">
                        <c:v>156.47269016040096</c:v>
                      </c:pt>
                      <c:pt idx="310">
                        <c:v>156.47269016040096</c:v>
                      </c:pt>
                      <c:pt idx="311">
                        <c:v>156.47269016040096</c:v>
                      </c:pt>
                      <c:pt idx="312">
                        <c:v>156.47269016040096</c:v>
                      </c:pt>
                      <c:pt idx="313">
                        <c:v>156.47269016040096</c:v>
                      </c:pt>
                      <c:pt idx="314">
                        <c:v>156.47269016040096</c:v>
                      </c:pt>
                      <c:pt idx="315">
                        <c:v>156.47269016040096</c:v>
                      </c:pt>
                      <c:pt idx="316">
                        <c:v>156.47269016040096</c:v>
                      </c:pt>
                      <c:pt idx="317">
                        <c:v>156.47269016040096</c:v>
                      </c:pt>
                      <c:pt idx="318">
                        <c:v>156.47269016040096</c:v>
                      </c:pt>
                      <c:pt idx="319">
                        <c:v>156.47269016040096</c:v>
                      </c:pt>
                      <c:pt idx="320">
                        <c:v>156.47269016040096</c:v>
                      </c:pt>
                      <c:pt idx="321">
                        <c:v>156.47269016040096</c:v>
                      </c:pt>
                      <c:pt idx="322">
                        <c:v>156.47269016040096</c:v>
                      </c:pt>
                      <c:pt idx="323">
                        <c:v>156.47269016040096</c:v>
                      </c:pt>
                      <c:pt idx="324">
                        <c:v>156.47269016040096</c:v>
                      </c:pt>
                      <c:pt idx="325">
                        <c:v>156.47269016040096</c:v>
                      </c:pt>
                      <c:pt idx="326">
                        <c:v>156.47269016040096</c:v>
                      </c:pt>
                      <c:pt idx="327">
                        <c:v>156.47269016040096</c:v>
                      </c:pt>
                      <c:pt idx="328">
                        <c:v>156.47269016040096</c:v>
                      </c:pt>
                      <c:pt idx="329">
                        <c:v>156.47269016040096</c:v>
                      </c:pt>
                      <c:pt idx="330">
                        <c:v>156.47269016040096</c:v>
                      </c:pt>
                      <c:pt idx="331">
                        <c:v>156.47269016040096</c:v>
                      </c:pt>
                      <c:pt idx="332">
                        <c:v>156.47269016040096</c:v>
                      </c:pt>
                      <c:pt idx="333">
                        <c:v>156.47269016040096</c:v>
                      </c:pt>
                      <c:pt idx="334">
                        <c:v>156.47269016040096</c:v>
                      </c:pt>
                      <c:pt idx="335">
                        <c:v>156.47269016040096</c:v>
                      </c:pt>
                      <c:pt idx="336">
                        <c:v>156.47269016040096</c:v>
                      </c:pt>
                      <c:pt idx="337">
                        <c:v>156.47269016040096</c:v>
                      </c:pt>
                      <c:pt idx="338">
                        <c:v>156.47269016040096</c:v>
                      </c:pt>
                      <c:pt idx="339">
                        <c:v>156.47269016040096</c:v>
                      </c:pt>
                      <c:pt idx="340">
                        <c:v>156.47269016040096</c:v>
                      </c:pt>
                      <c:pt idx="341">
                        <c:v>156.47269016040096</c:v>
                      </c:pt>
                      <c:pt idx="342">
                        <c:v>156.47269016040096</c:v>
                      </c:pt>
                      <c:pt idx="343">
                        <c:v>156.47269016040096</c:v>
                      </c:pt>
                      <c:pt idx="344">
                        <c:v>156.47269016040096</c:v>
                      </c:pt>
                      <c:pt idx="345">
                        <c:v>156.47269016040096</c:v>
                      </c:pt>
                      <c:pt idx="346">
                        <c:v>156.47269016040096</c:v>
                      </c:pt>
                      <c:pt idx="347">
                        <c:v>156.47269016040096</c:v>
                      </c:pt>
                      <c:pt idx="348">
                        <c:v>156.47269016040096</c:v>
                      </c:pt>
                      <c:pt idx="349">
                        <c:v>156.47269016040096</c:v>
                      </c:pt>
                      <c:pt idx="350">
                        <c:v>156.47269016040096</c:v>
                      </c:pt>
                      <c:pt idx="351">
                        <c:v>156.47269016040096</c:v>
                      </c:pt>
                      <c:pt idx="352">
                        <c:v>156.47269016040096</c:v>
                      </c:pt>
                      <c:pt idx="353">
                        <c:v>156.47269016040096</c:v>
                      </c:pt>
                      <c:pt idx="354">
                        <c:v>156.47269016040096</c:v>
                      </c:pt>
                      <c:pt idx="355">
                        <c:v>156.47269016040096</c:v>
                      </c:pt>
                      <c:pt idx="356">
                        <c:v>156.47269016040096</c:v>
                      </c:pt>
                      <c:pt idx="357">
                        <c:v>156.47269016040096</c:v>
                      </c:pt>
                      <c:pt idx="358">
                        <c:v>156.47269016040096</c:v>
                      </c:pt>
                      <c:pt idx="359">
                        <c:v>156.47269016040096</c:v>
                      </c:pt>
                      <c:pt idx="360">
                        <c:v>156.47269016040096</c:v>
                      </c:pt>
                      <c:pt idx="361">
                        <c:v>156.47269016040096</c:v>
                      </c:pt>
                      <c:pt idx="362">
                        <c:v>156.47269016040096</c:v>
                      </c:pt>
                      <c:pt idx="363">
                        <c:v>156.47269016040096</c:v>
                      </c:pt>
                      <c:pt idx="364">
                        <c:v>156.47269016040096</c:v>
                      </c:pt>
                      <c:pt idx="365">
                        <c:v>156.47269016040096</c:v>
                      </c:pt>
                      <c:pt idx="366">
                        <c:v>156.47269016040096</c:v>
                      </c:pt>
                      <c:pt idx="367">
                        <c:v>156.47269016040096</c:v>
                      </c:pt>
                      <c:pt idx="368">
                        <c:v>156.47269016040096</c:v>
                      </c:pt>
                      <c:pt idx="369">
                        <c:v>156.47269016040096</c:v>
                      </c:pt>
                      <c:pt idx="370">
                        <c:v>156.47269016040096</c:v>
                      </c:pt>
                      <c:pt idx="371">
                        <c:v>156.47269016040096</c:v>
                      </c:pt>
                      <c:pt idx="372">
                        <c:v>156.47269016040096</c:v>
                      </c:pt>
                      <c:pt idx="373">
                        <c:v>156.47269016040096</c:v>
                      </c:pt>
                      <c:pt idx="374">
                        <c:v>156.47269016040096</c:v>
                      </c:pt>
                      <c:pt idx="375">
                        <c:v>156.47269016040096</c:v>
                      </c:pt>
                      <c:pt idx="376">
                        <c:v>156.47269016040096</c:v>
                      </c:pt>
                      <c:pt idx="377">
                        <c:v>156.47269016040096</c:v>
                      </c:pt>
                      <c:pt idx="378">
                        <c:v>156.47269016040096</c:v>
                      </c:pt>
                      <c:pt idx="379">
                        <c:v>156.47269016040096</c:v>
                      </c:pt>
                      <c:pt idx="380">
                        <c:v>156.47269016040096</c:v>
                      </c:pt>
                      <c:pt idx="381">
                        <c:v>156.47269016040096</c:v>
                      </c:pt>
                      <c:pt idx="382">
                        <c:v>156.47269016040096</c:v>
                      </c:pt>
                      <c:pt idx="383">
                        <c:v>156.47269016040096</c:v>
                      </c:pt>
                      <c:pt idx="384">
                        <c:v>156.47269016040096</c:v>
                      </c:pt>
                      <c:pt idx="385">
                        <c:v>156.47269016040096</c:v>
                      </c:pt>
                      <c:pt idx="386">
                        <c:v>156.47269016040096</c:v>
                      </c:pt>
                      <c:pt idx="387">
                        <c:v>156.47269016040096</c:v>
                      </c:pt>
                      <c:pt idx="388">
                        <c:v>156.47269016040096</c:v>
                      </c:pt>
                      <c:pt idx="389">
                        <c:v>156.47269016040096</c:v>
                      </c:pt>
                      <c:pt idx="390">
                        <c:v>156.47269016040096</c:v>
                      </c:pt>
                      <c:pt idx="391">
                        <c:v>156.47269016040096</c:v>
                      </c:pt>
                      <c:pt idx="392">
                        <c:v>156.47269016040096</c:v>
                      </c:pt>
                      <c:pt idx="393">
                        <c:v>156.47269016040096</c:v>
                      </c:pt>
                      <c:pt idx="394">
                        <c:v>156.47269016040096</c:v>
                      </c:pt>
                      <c:pt idx="395">
                        <c:v>156.47269016040096</c:v>
                      </c:pt>
                      <c:pt idx="396">
                        <c:v>156.47269016040096</c:v>
                      </c:pt>
                      <c:pt idx="397">
                        <c:v>156.47269016040096</c:v>
                      </c:pt>
                      <c:pt idx="398">
                        <c:v>156.47269016040096</c:v>
                      </c:pt>
                      <c:pt idx="399">
                        <c:v>156.47269016040096</c:v>
                      </c:pt>
                      <c:pt idx="400">
                        <c:v>156.47269016040096</c:v>
                      </c:pt>
                    </c:numCache>
                  </c:numRef>
                </c:xVal>
                <c:yVal>
                  <c:numRef>
                    <c:extLst xmlns:c15="http://schemas.microsoft.com/office/drawing/2012/chart">
                      <c:ext xmlns:c15="http://schemas.microsoft.com/office/drawing/2012/chart" uri="{02D57815-91ED-43cb-92C2-25804820EDAC}">
                        <c15:formulaRef>
                          <c15:sqref>'V-N Diagram'!$V$37:$V$437</c15:sqref>
                        </c15:formulaRef>
                      </c:ext>
                    </c:extLst>
                    <c:numCache>
                      <c:formatCode>General</c:formatCode>
                      <c:ptCount val="401"/>
                      <c:pt idx="0">
                        <c:v>-3</c:v>
                      </c:pt>
                      <c:pt idx="1">
                        <c:v>-2.98</c:v>
                      </c:pt>
                      <c:pt idx="2">
                        <c:v>-2.96</c:v>
                      </c:pt>
                      <c:pt idx="3">
                        <c:v>-2.94</c:v>
                      </c:pt>
                      <c:pt idx="4">
                        <c:v>-2.92</c:v>
                      </c:pt>
                      <c:pt idx="5">
                        <c:v>-2.9</c:v>
                      </c:pt>
                      <c:pt idx="6">
                        <c:v>-2.88</c:v>
                      </c:pt>
                      <c:pt idx="7">
                        <c:v>-2.86</c:v>
                      </c:pt>
                      <c:pt idx="8">
                        <c:v>-2.84</c:v>
                      </c:pt>
                      <c:pt idx="9">
                        <c:v>-2.82</c:v>
                      </c:pt>
                      <c:pt idx="10">
                        <c:v>-2.8</c:v>
                      </c:pt>
                      <c:pt idx="11">
                        <c:v>-2.78</c:v>
                      </c:pt>
                      <c:pt idx="12">
                        <c:v>-2.76</c:v>
                      </c:pt>
                      <c:pt idx="13">
                        <c:v>-2.74</c:v>
                      </c:pt>
                      <c:pt idx="14">
                        <c:v>-2.72</c:v>
                      </c:pt>
                      <c:pt idx="15">
                        <c:v>-2.7</c:v>
                      </c:pt>
                      <c:pt idx="16">
                        <c:v>-2.68</c:v>
                      </c:pt>
                      <c:pt idx="17">
                        <c:v>-2.66</c:v>
                      </c:pt>
                      <c:pt idx="18">
                        <c:v>-2.64</c:v>
                      </c:pt>
                      <c:pt idx="19">
                        <c:v>-2.62</c:v>
                      </c:pt>
                      <c:pt idx="20">
                        <c:v>-2.6</c:v>
                      </c:pt>
                      <c:pt idx="21">
                        <c:v>-2.58</c:v>
                      </c:pt>
                      <c:pt idx="22">
                        <c:v>-2.56</c:v>
                      </c:pt>
                      <c:pt idx="23">
                        <c:v>-2.54</c:v>
                      </c:pt>
                      <c:pt idx="24">
                        <c:v>-2.52</c:v>
                      </c:pt>
                      <c:pt idx="25">
                        <c:v>-2.5</c:v>
                      </c:pt>
                      <c:pt idx="26">
                        <c:v>-2.48</c:v>
                      </c:pt>
                      <c:pt idx="27">
                        <c:v>-2.46</c:v>
                      </c:pt>
                      <c:pt idx="28">
                        <c:v>-2.44</c:v>
                      </c:pt>
                      <c:pt idx="29">
                        <c:v>-2.42</c:v>
                      </c:pt>
                      <c:pt idx="30">
                        <c:v>-2.4</c:v>
                      </c:pt>
                      <c:pt idx="31">
                        <c:v>-2.38</c:v>
                      </c:pt>
                      <c:pt idx="32">
                        <c:v>-2.36</c:v>
                      </c:pt>
                      <c:pt idx="33">
                        <c:v>-2.34</c:v>
                      </c:pt>
                      <c:pt idx="34">
                        <c:v>-2.3199999999999998</c:v>
                      </c:pt>
                      <c:pt idx="35">
                        <c:v>-2.2999999999999998</c:v>
                      </c:pt>
                      <c:pt idx="36">
                        <c:v>-2.2799999999999998</c:v>
                      </c:pt>
                      <c:pt idx="37">
                        <c:v>-2.2599999999999998</c:v>
                      </c:pt>
                      <c:pt idx="38">
                        <c:v>-2.2400000000000002</c:v>
                      </c:pt>
                      <c:pt idx="39">
                        <c:v>-2.2200000000000002</c:v>
                      </c:pt>
                      <c:pt idx="40">
                        <c:v>-2.2000000000000002</c:v>
                      </c:pt>
                      <c:pt idx="41">
                        <c:v>-2.1800000000000002</c:v>
                      </c:pt>
                      <c:pt idx="42">
                        <c:v>-2.16</c:v>
                      </c:pt>
                      <c:pt idx="43">
                        <c:v>-2.14</c:v>
                      </c:pt>
                      <c:pt idx="44">
                        <c:v>-2.12</c:v>
                      </c:pt>
                      <c:pt idx="45">
                        <c:v>-2.1</c:v>
                      </c:pt>
                      <c:pt idx="46">
                        <c:v>-2.08</c:v>
                      </c:pt>
                      <c:pt idx="47">
                        <c:v>-2.06</c:v>
                      </c:pt>
                      <c:pt idx="48">
                        <c:v>-2.04</c:v>
                      </c:pt>
                      <c:pt idx="49">
                        <c:v>-2.02</c:v>
                      </c:pt>
                      <c:pt idx="50">
                        <c:v>-2</c:v>
                      </c:pt>
                      <c:pt idx="51">
                        <c:v>-1.98</c:v>
                      </c:pt>
                      <c:pt idx="52">
                        <c:v>-1.96</c:v>
                      </c:pt>
                      <c:pt idx="53">
                        <c:v>-1.94</c:v>
                      </c:pt>
                      <c:pt idx="54">
                        <c:v>-1.92</c:v>
                      </c:pt>
                      <c:pt idx="55">
                        <c:v>-1.9</c:v>
                      </c:pt>
                      <c:pt idx="56">
                        <c:v>-1.88</c:v>
                      </c:pt>
                      <c:pt idx="57">
                        <c:v>-1.86</c:v>
                      </c:pt>
                      <c:pt idx="58">
                        <c:v>-1.84</c:v>
                      </c:pt>
                      <c:pt idx="59">
                        <c:v>-1.82</c:v>
                      </c:pt>
                      <c:pt idx="60">
                        <c:v>-1.8</c:v>
                      </c:pt>
                      <c:pt idx="61">
                        <c:v>-1.78</c:v>
                      </c:pt>
                      <c:pt idx="62">
                        <c:v>-1.76</c:v>
                      </c:pt>
                      <c:pt idx="63">
                        <c:v>-1.74</c:v>
                      </c:pt>
                      <c:pt idx="64">
                        <c:v>-1.72</c:v>
                      </c:pt>
                      <c:pt idx="65">
                        <c:v>-1.7</c:v>
                      </c:pt>
                      <c:pt idx="66">
                        <c:v>-1.68</c:v>
                      </c:pt>
                      <c:pt idx="67">
                        <c:v>-1.66</c:v>
                      </c:pt>
                      <c:pt idx="68">
                        <c:v>-1.64</c:v>
                      </c:pt>
                      <c:pt idx="69">
                        <c:v>-1.62</c:v>
                      </c:pt>
                      <c:pt idx="70">
                        <c:v>-1.6</c:v>
                      </c:pt>
                      <c:pt idx="71">
                        <c:v>-1.58</c:v>
                      </c:pt>
                      <c:pt idx="72">
                        <c:v>-1.56</c:v>
                      </c:pt>
                      <c:pt idx="73">
                        <c:v>-1.54</c:v>
                      </c:pt>
                      <c:pt idx="74">
                        <c:v>-1.52</c:v>
                      </c:pt>
                      <c:pt idx="75">
                        <c:v>-1.5</c:v>
                      </c:pt>
                      <c:pt idx="76">
                        <c:v>-1.48</c:v>
                      </c:pt>
                      <c:pt idx="77">
                        <c:v>-1.46</c:v>
                      </c:pt>
                      <c:pt idx="78">
                        <c:v>-1.44</c:v>
                      </c:pt>
                      <c:pt idx="79">
                        <c:v>-1.42</c:v>
                      </c:pt>
                      <c:pt idx="80">
                        <c:v>-1.4</c:v>
                      </c:pt>
                      <c:pt idx="81">
                        <c:v>-1.38</c:v>
                      </c:pt>
                      <c:pt idx="82">
                        <c:v>-1.36</c:v>
                      </c:pt>
                      <c:pt idx="83">
                        <c:v>-1.34</c:v>
                      </c:pt>
                      <c:pt idx="84">
                        <c:v>-1.32</c:v>
                      </c:pt>
                      <c:pt idx="85">
                        <c:v>-1.3</c:v>
                      </c:pt>
                      <c:pt idx="86">
                        <c:v>-1.28</c:v>
                      </c:pt>
                      <c:pt idx="87">
                        <c:v>-1.26</c:v>
                      </c:pt>
                      <c:pt idx="88">
                        <c:v>-1.24</c:v>
                      </c:pt>
                      <c:pt idx="89">
                        <c:v>-1.22</c:v>
                      </c:pt>
                      <c:pt idx="90">
                        <c:v>-1.2</c:v>
                      </c:pt>
                      <c:pt idx="91">
                        <c:v>-1.18</c:v>
                      </c:pt>
                      <c:pt idx="92">
                        <c:v>-1.1599999999999999</c:v>
                      </c:pt>
                      <c:pt idx="93">
                        <c:v>-1.1399999999999999</c:v>
                      </c:pt>
                      <c:pt idx="94">
                        <c:v>-1.1200000000000001</c:v>
                      </c:pt>
                      <c:pt idx="95">
                        <c:v>-1.1000000000000001</c:v>
                      </c:pt>
                      <c:pt idx="96">
                        <c:v>-1.08</c:v>
                      </c:pt>
                      <c:pt idx="97">
                        <c:v>-1.06</c:v>
                      </c:pt>
                      <c:pt idx="98">
                        <c:v>-1.04</c:v>
                      </c:pt>
                      <c:pt idx="99">
                        <c:v>-1.02</c:v>
                      </c:pt>
                      <c:pt idx="100">
                        <c:v>-1</c:v>
                      </c:pt>
                      <c:pt idx="101">
                        <c:v>-0.98</c:v>
                      </c:pt>
                      <c:pt idx="102">
                        <c:v>-0.96</c:v>
                      </c:pt>
                      <c:pt idx="103">
                        <c:v>-0.94</c:v>
                      </c:pt>
                      <c:pt idx="104">
                        <c:v>-0.92</c:v>
                      </c:pt>
                      <c:pt idx="105">
                        <c:v>-0.9</c:v>
                      </c:pt>
                      <c:pt idx="106">
                        <c:v>-0.88</c:v>
                      </c:pt>
                      <c:pt idx="107">
                        <c:v>-0.86</c:v>
                      </c:pt>
                      <c:pt idx="108">
                        <c:v>-0.84</c:v>
                      </c:pt>
                      <c:pt idx="109">
                        <c:v>-0.82</c:v>
                      </c:pt>
                      <c:pt idx="110">
                        <c:v>-0.8</c:v>
                      </c:pt>
                      <c:pt idx="111">
                        <c:v>-0.78</c:v>
                      </c:pt>
                      <c:pt idx="112">
                        <c:v>-0.76</c:v>
                      </c:pt>
                      <c:pt idx="113">
                        <c:v>-0.74</c:v>
                      </c:pt>
                      <c:pt idx="114">
                        <c:v>-0.72</c:v>
                      </c:pt>
                      <c:pt idx="115">
                        <c:v>-0.7</c:v>
                      </c:pt>
                      <c:pt idx="116">
                        <c:v>-0.68</c:v>
                      </c:pt>
                      <c:pt idx="117">
                        <c:v>-0.66</c:v>
                      </c:pt>
                      <c:pt idx="118">
                        <c:v>-0.64</c:v>
                      </c:pt>
                      <c:pt idx="119">
                        <c:v>-0.62</c:v>
                      </c:pt>
                      <c:pt idx="120">
                        <c:v>-0.6</c:v>
                      </c:pt>
                      <c:pt idx="121">
                        <c:v>-0.57999999999999996</c:v>
                      </c:pt>
                      <c:pt idx="122">
                        <c:v>-0.56000000000000005</c:v>
                      </c:pt>
                      <c:pt idx="123">
                        <c:v>-0.54</c:v>
                      </c:pt>
                      <c:pt idx="124">
                        <c:v>-0.52</c:v>
                      </c:pt>
                      <c:pt idx="125">
                        <c:v>-0.5</c:v>
                      </c:pt>
                      <c:pt idx="126">
                        <c:v>-0.48</c:v>
                      </c:pt>
                      <c:pt idx="127">
                        <c:v>-0.46</c:v>
                      </c:pt>
                      <c:pt idx="128">
                        <c:v>-0.44</c:v>
                      </c:pt>
                      <c:pt idx="129">
                        <c:v>-0.42</c:v>
                      </c:pt>
                      <c:pt idx="130">
                        <c:v>-0.4</c:v>
                      </c:pt>
                      <c:pt idx="131">
                        <c:v>-0.38</c:v>
                      </c:pt>
                      <c:pt idx="132">
                        <c:v>-0.36</c:v>
                      </c:pt>
                      <c:pt idx="133">
                        <c:v>-0.34</c:v>
                      </c:pt>
                      <c:pt idx="134">
                        <c:v>-0.32</c:v>
                      </c:pt>
                      <c:pt idx="135">
                        <c:v>-0.3</c:v>
                      </c:pt>
                      <c:pt idx="136">
                        <c:v>-0.28000000000000003</c:v>
                      </c:pt>
                      <c:pt idx="137">
                        <c:v>-0.26</c:v>
                      </c:pt>
                      <c:pt idx="138">
                        <c:v>-0.24</c:v>
                      </c:pt>
                      <c:pt idx="139">
                        <c:v>-0.22</c:v>
                      </c:pt>
                      <c:pt idx="140">
                        <c:v>-0.2</c:v>
                      </c:pt>
                      <c:pt idx="141">
                        <c:v>-0.18</c:v>
                      </c:pt>
                      <c:pt idx="142">
                        <c:v>-0.16</c:v>
                      </c:pt>
                      <c:pt idx="143">
                        <c:v>-0.14000000000000001</c:v>
                      </c:pt>
                      <c:pt idx="144">
                        <c:v>-0.12</c:v>
                      </c:pt>
                      <c:pt idx="145">
                        <c:v>-0.1</c:v>
                      </c:pt>
                      <c:pt idx="146">
                        <c:v>-8.0000000000000099E-2</c:v>
                      </c:pt>
                      <c:pt idx="147">
                        <c:v>-6.0000000000000102E-2</c:v>
                      </c:pt>
                      <c:pt idx="148">
                        <c:v>-0.04</c:v>
                      </c:pt>
                      <c:pt idx="149">
                        <c:v>-0.02</c:v>
                      </c:pt>
                      <c:pt idx="150">
                        <c:v>0</c:v>
                      </c:pt>
                      <c:pt idx="151">
                        <c:v>0.02</c:v>
                      </c:pt>
                      <c:pt idx="152">
                        <c:v>0.04</c:v>
                      </c:pt>
                      <c:pt idx="153">
                        <c:v>6.0000000000000102E-2</c:v>
                      </c:pt>
                      <c:pt idx="154">
                        <c:v>8.0000000000000099E-2</c:v>
                      </c:pt>
                      <c:pt idx="155">
                        <c:v>0.1</c:v>
                      </c:pt>
                      <c:pt idx="156">
                        <c:v>0.12</c:v>
                      </c:pt>
                      <c:pt idx="157">
                        <c:v>0.14000000000000001</c:v>
                      </c:pt>
                      <c:pt idx="158">
                        <c:v>0.16</c:v>
                      </c:pt>
                      <c:pt idx="159">
                        <c:v>0.18</c:v>
                      </c:pt>
                      <c:pt idx="160">
                        <c:v>0.2</c:v>
                      </c:pt>
                      <c:pt idx="161">
                        <c:v>0.22</c:v>
                      </c:pt>
                      <c:pt idx="162">
                        <c:v>0.24</c:v>
                      </c:pt>
                      <c:pt idx="163">
                        <c:v>0.26</c:v>
                      </c:pt>
                      <c:pt idx="164">
                        <c:v>0.28000000000000003</c:v>
                      </c:pt>
                      <c:pt idx="165">
                        <c:v>0.3</c:v>
                      </c:pt>
                      <c:pt idx="166">
                        <c:v>0.32</c:v>
                      </c:pt>
                      <c:pt idx="167">
                        <c:v>0.34</c:v>
                      </c:pt>
                      <c:pt idx="168">
                        <c:v>0.36</c:v>
                      </c:pt>
                      <c:pt idx="169">
                        <c:v>0.38</c:v>
                      </c:pt>
                      <c:pt idx="170">
                        <c:v>0.4</c:v>
                      </c:pt>
                      <c:pt idx="171">
                        <c:v>0.42</c:v>
                      </c:pt>
                      <c:pt idx="172">
                        <c:v>0.44</c:v>
                      </c:pt>
                      <c:pt idx="173">
                        <c:v>0.46</c:v>
                      </c:pt>
                      <c:pt idx="174">
                        <c:v>0.48</c:v>
                      </c:pt>
                      <c:pt idx="175">
                        <c:v>0.5</c:v>
                      </c:pt>
                      <c:pt idx="176">
                        <c:v>0.52</c:v>
                      </c:pt>
                      <c:pt idx="177">
                        <c:v>0.54</c:v>
                      </c:pt>
                      <c:pt idx="178">
                        <c:v>0.56000000000000005</c:v>
                      </c:pt>
                      <c:pt idx="179">
                        <c:v>0.57999999999999996</c:v>
                      </c:pt>
                      <c:pt idx="180">
                        <c:v>0.6</c:v>
                      </c:pt>
                      <c:pt idx="181">
                        <c:v>0.62</c:v>
                      </c:pt>
                      <c:pt idx="182">
                        <c:v>0.64</c:v>
                      </c:pt>
                      <c:pt idx="183">
                        <c:v>0.66</c:v>
                      </c:pt>
                      <c:pt idx="184">
                        <c:v>0.68</c:v>
                      </c:pt>
                      <c:pt idx="185">
                        <c:v>0.7</c:v>
                      </c:pt>
                      <c:pt idx="186">
                        <c:v>0.72</c:v>
                      </c:pt>
                      <c:pt idx="187">
                        <c:v>0.74</c:v>
                      </c:pt>
                      <c:pt idx="188">
                        <c:v>0.76</c:v>
                      </c:pt>
                      <c:pt idx="189">
                        <c:v>0.78</c:v>
                      </c:pt>
                      <c:pt idx="190">
                        <c:v>0.8</c:v>
                      </c:pt>
                      <c:pt idx="191">
                        <c:v>0.82</c:v>
                      </c:pt>
                      <c:pt idx="192">
                        <c:v>0.84</c:v>
                      </c:pt>
                      <c:pt idx="193">
                        <c:v>0.86</c:v>
                      </c:pt>
                      <c:pt idx="194">
                        <c:v>0.88</c:v>
                      </c:pt>
                      <c:pt idx="195">
                        <c:v>0.9</c:v>
                      </c:pt>
                      <c:pt idx="196">
                        <c:v>0.92</c:v>
                      </c:pt>
                      <c:pt idx="197">
                        <c:v>0.94</c:v>
                      </c:pt>
                      <c:pt idx="198">
                        <c:v>0.96</c:v>
                      </c:pt>
                      <c:pt idx="199">
                        <c:v>0.98</c:v>
                      </c:pt>
                      <c:pt idx="200">
                        <c:v>1</c:v>
                      </c:pt>
                      <c:pt idx="201">
                        <c:v>1.02</c:v>
                      </c:pt>
                      <c:pt idx="202">
                        <c:v>1.04</c:v>
                      </c:pt>
                      <c:pt idx="203">
                        <c:v>1.06</c:v>
                      </c:pt>
                      <c:pt idx="204">
                        <c:v>1.08</c:v>
                      </c:pt>
                      <c:pt idx="205">
                        <c:v>1.1000000000000001</c:v>
                      </c:pt>
                      <c:pt idx="206">
                        <c:v>1.1200000000000001</c:v>
                      </c:pt>
                      <c:pt idx="207">
                        <c:v>1.1399999999999999</c:v>
                      </c:pt>
                      <c:pt idx="208">
                        <c:v>1.1599999999999999</c:v>
                      </c:pt>
                      <c:pt idx="209">
                        <c:v>1.18</c:v>
                      </c:pt>
                      <c:pt idx="210">
                        <c:v>1.2</c:v>
                      </c:pt>
                      <c:pt idx="211">
                        <c:v>1.22</c:v>
                      </c:pt>
                      <c:pt idx="212">
                        <c:v>1.24</c:v>
                      </c:pt>
                      <c:pt idx="213">
                        <c:v>1.26</c:v>
                      </c:pt>
                      <c:pt idx="214">
                        <c:v>1.28</c:v>
                      </c:pt>
                      <c:pt idx="215">
                        <c:v>1.3</c:v>
                      </c:pt>
                      <c:pt idx="216">
                        <c:v>1.32</c:v>
                      </c:pt>
                      <c:pt idx="217">
                        <c:v>1.34</c:v>
                      </c:pt>
                      <c:pt idx="218">
                        <c:v>1.36</c:v>
                      </c:pt>
                      <c:pt idx="219">
                        <c:v>1.38</c:v>
                      </c:pt>
                      <c:pt idx="220">
                        <c:v>1.4</c:v>
                      </c:pt>
                      <c:pt idx="221">
                        <c:v>1.42</c:v>
                      </c:pt>
                      <c:pt idx="222">
                        <c:v>1.44</c:v>
                      </c:pt>
                      <c:pt idx="223">
                        <c:v>1.46</c:v>
                      </c:pt>
                      <c:pt idx="224">
                        <c:v>1.48</c:v>
                      </c:pt>
                      <c:pt idx="225">
                        <c:v>1.5</c:v>
                      </c:pt>
                      <c:pt idx="226">
                        <c:v>1.52</c:v>
                      </c:pt>
                      <c:pt idx="227">
                        <c:v>1.54</c:v>
                      </c:pt>
                      <c:pt idx="228">
                        <c:v>1.56</c:v>
                      </c:pt>
                      <c:pt idx="229">
                        <c:v>1.58</c:v>
                      </c:pt>
                      <c:pt idx="230">
                        <c:v>1.6</c:v>
                      </c:pt>
                      <c:pt idx="231">
                        <c:v>1.62</c:v>
                      </c:pt>
                      <c:pt idx="232">
                        <c:v>1.64</c:v>
                      </c:pt>
                      <c:pt idx="233">
                        <c:v>1.66</c:v>
                      </c:pt>
                      <c:pt idx="234">
                        <c:v>1.68</c:v>
                      </c:pt>
                      <c:pt idx="235">
                        <c:v>1.7</c:v>
                      </c:pt>
                      <c:pt idx="236">
                        <c:v>1.72</c:v>
                      </c:pt>
                      <c:pt idx="237">
                        <c:v>1.74</c:v>
                      </c:pt>
                      <c:pt idx="238">
                        <c:v>1.76</c:v>
                      </c:pt>
                      <c:pt idx="239">
                        <c:v>1.78</c:v>
                      </c:pt>
                      <c:pt idx="240">
                        <c:v>1.8</c:v>
                      </c:pt>
                      <c:pt idx="241">
                        <c:v>1.82</c:v>
                      </c:pt>
                      <c:pt idx="242">
                        <c:v>1.84</c:v>
                      </c:pt>
                      <c:pt idx="243">
                        <c:v>1.86</c:v>
                      </c:pt>
                      <c:pt idx="244">
                        <c:v>1.88</c:v>
                      </c:pt>
                      <c:pt idx="245">
                        <c:v>1.9</c:v>
                      </c:pt>
                      <c:pt idx="246">
                        <c:v>1.92</c:v>
                      </c:pt>
                      <c:pt idx="247">
                        <c:v>1.94</c:v>
                      </c:pt>
                      <c:pt idx="248">
                        <c:v>1.96</c:v>
                      </c:pt>
                      <c:pt idx="249">
                        <c:v>1.98</c:v>
                      </c:pt>
                      <c:pt idx="250">
                        <c:v>2</c:v>
                      </c:pt>
                      <c:pt idx="251">
                        <c:v>2.02</c:v>
                      </c:pt>
                      <c:pt idx="252">
                        <c:v>2.04</c:v>
                      </c:pt>
                      <c:pt idx="253">
                        <c:v>2.06</c:v>
                      </c:pt>
                      <c:pt idx="254">
                        <c:v>2.08</c:v>
                      </c:pt>
                      <c:pt idx="255">
                        <c:v>2.1</c:v>
                      </c:pt>
                      <c:pt idx="256">
                        <c:v>2.12</c:v>
                      </c:pt>
                      <c:pt idx="257">
                        <c:v>2.14</c:v>
                      </c:pt>
                      <c:pt idx="258">
                        <c:v>2.16</c:v>
                      </c:pt>
                      <c:pt idx="259">
                        <c:v>2.1800000000000099</c:v>
                      </c:pt>
                      <c:pt idx="260">
                        <c:v>2.2000000000000002</c:v>
                      </c:pt>
                      <c:pt idx="261">
                        <c:v>2.2200000000000002</c:v>
                      </c:pt>
                      <c:pt idx="262">
                        <c:v>2.2400000000000002</c:v>
                      </c:pt>
                      <c:pt idx="263">
                        <c:v>2.26000000000001</c:v>
                      </c:pt>
                      <c:pt idx="264">
                        <c:v>2.2799999999999998</c:v>
                      </c:pt>
                      <c:pt idx="265">
                        <c:v>2.2999999999999998</c:v>
                      </c:pt>
                      <c:pt idx="266">
                        <c:v>2.3199999999999998</c:v>
                      </c:pt>
                      <c:pt idx="267">
                        <c:v>2.3400000000000101</c:v>
                      </c:pt>
                      <c:pt idx="268">
                        <c:v>2.36</c:v>
                      </c:pt>
                      <c:pt idx="269">
                        <c:v>2.38</c:v>
                      </c:pt>
                      <c:pt idx="270">
                        <c:v>2.4</c:v>
                      </c:pt>
                      <c:pt idx="271">
                        <c:v>2.4200000000000101</c:v>
                      </c:pt>
                      <c:pt idx="272">
                        <c:v>2.44</c:v>
                      </c:pt>
                      <c:pt idx="273">
                        <c:v>2.46</c:v>
                      </c:pt>
                      <c:pt idx="274">
                        <c:v>2.48</c:v>
                      </c:pt>
                      <c:pt idx="275">
                        <c:v>2.5000000000000102</c:v>
                      </c:pt>
                      <c:pt idx="276">
                        <c:v>2.52</c:v>
                      </c:pt>
                      <c:pt idx="277">
                        <c:v>2.54</c:v>
                      </c:pt>
                      <c:pt idx="278">
                        <c:v>2.56</c:v>
                      </c:pt>
                      <c:pt idx="279">
                        <c:v>2.5800000000000098</c:v>
                      </c:pt>
                      <c:pt idx="280">
                        <c:v>2.6</c:v>
                      </c:pt>
                      <c:pt idx="281">
                        <c:v>2.62</c:v>
                      </c:pt>
                      <c:pt idx="282">
                        <c:v>2.6400000000000099</c:v>
                      </c:pt>
                      <c:pt idx="283">
                        <c:v>2.6600000000000099</c:v>
                      </c:pt>
                      <c:pt idx="284">
                        <c:v>2.6800000000000099</c:v>
                      </c:pt>
                      <c:pt idx="285">
                        <c:v>2.7</c:v>
                      </c:pt>
                      <c:pt idx="286">
                        <c:v>2.72000000000001</c:v>
                      </c:pt>
                      <c:pt idx="287">
                        <c:v>2.74000000000001</c:v>
                      </c:pt>
                      <c:pt idx="288">
                        <c:v>2.76000000000001</c:v>
                      </c:pt>
                      <c:pt idx="289">
                        <c:v>2.78</c:v>
                      </c:pt>
                      <c:pt idx="290">
                        <c:v>2.80000000000001</c:v>
                      </c:pt>
                      <c:pt idx="291">
                        <c:v>2.8200000000000101</c:v>
                      </c:pt>
                      <c:pt idx="292">
                        <c:v>2.8400000000000101</c:v>
                      </c:pt>
                      <c:pt idx="293">
                        <c:v>2.86</c:v>
                      </c:pt>
                      <c:pt idx="294">
                        <c:v>2.8800000000000101</c:v>
                      </c:pt>
                      <c:pt idx="295">
                        <c:v>2.9000000000000101</c:v>
                      </c:pt>
                      <c:pt idx="296">
                        <c:v>2.9200000000000101</c:v>
                      </c:pt>
                      <c:pt idx="297">
                        <c:v>2.94</c:v>
                      </c:pt>
                      <c:pt idx="298">
                        <c:v>2.9600000000000102</c:v>
                      </c:pt>
                      <c:pt idx="299">
                        <c:v>2.9800000000000102</c:v>
                      </c:pt>
                      <c:pt idx="300">
                        <c:v>3.0000000000000102</c:v>
                      </c:pt>
                      <c:pt idx="301">
                        <c:v>3.02</c:v>
                      </c:pt>
                      <c:pt idx="302">
                        <c:v>3.0400000000000098</c:v>
                      </c:pt>
                      <c:pt idx="303">
                        <c:v>3.0600000000000098</c:v>
                      </c:pt>
                      <c:pt idx="304">
                        <c:v>3.0800000000000098</c:v>
                      </c:pt>
                      <c:pt idx="305">
                        <c:v>3.1</c:v>
                      </c:pt>
                      <c:pt idx="306">
                        <c:v>3.1200000000000099</c:v>
                      </c:pt>
                      <c:pt idx="307">
                        <c:v>3.1400000000000099</c:v>
                      </c:pt>
                      <c:pt idx="308">
                        <c:v>3.1600000000000099</c:v>
                      </c:pt>
                      <c:pt idx="309">
                        <c:v>3.1800000000000099</c:v>
                      </c:pt>
                      <c:pt idx="310">
                        <c:v>3.2000000000000099</c:v>
                      </c:pt>
                      <c:pt idx="311">
                        <c:v>3.22000000000001</c:v>
                      </c:pt>
                      <c:pt idx="312">
                        <c:v>3.24000000000001</c:v>
                      </c:pt>
                      <c:pt idx="313">
                        <c:v>3.26000000000001</c:v>
                      </c:pt>
                      <c:pt idx="314">
                        <c:v>3.28000000000001</c:v>
                      </c:pt>
                      <c:pt idx="315">
                        <c:v>3.30000000000001</c:v>
                      </c:pt>
                      <c:pt idx="316">
                        <c:v>3.3200000000000101</c:v>
                      </c:pt>
                      <c:pt idx="317">
                        <c:v>3.3400000000000101</c:v>
                      </c:pt>
                      <c:pt idx="318">
                        <c:v>3.3600000000000101</c:v>
                      </c:pt>
                      <c:pt idx="319">
                        <c:v>3.3800000000000101</c:v>
                      </c:pt>
                      <c:pt idx="320">
                        <c:v>3.4000000000000101</c:v>
                      </c:pt>
                      <c:pt idx="321">
                        <c:v>3.4200000000000101</c:v>
                      </c:pt>
                      <c:pt idx="322">
                        <c:v>3.4400000000000102</c:v>
                      </c:pt>
                      <c:pt idx="323">
                        <c:v>3.4600000000000102</c:v>
                      </c:pt>
                      <c:pt idx="324">
                        <c:v>3.4800000000000102</c:v>
                      </c:pt>
                      <c:pt idx="325">
                        <c:v>3.5000000000000102</c:v>
                      </c:pt>
                      <c:pt idx="326">
                        <c:v>3.5200000000000098</c:v>
                      </c:pt>
                      <c:pt idx="327">
                        <c:v>3.5400000000000098</c:v>
                      </c:pt>
                      <c:pt idx="328">
                        <c:v>3.5600000000000098</c:v>
                      </c:pt>
                      <c:pt idx="329">
                        <c:v>3.5800000000000098</c:v>
                      </c:pt>
                      <c:pt idx="330">
                        <c:v>3.6000000000000099</c:v>
                      </c:pt>
                      <c:pt idx="331">
                        <c:v>3.6200000000000099</c:v>
                      </c:pt>
                      <c:pt idx="332">
                        <c:v>3.6400000000000099</c:v>
                      </c:pt>
                      <c:pt idx="333">
                        <c:v>3.6600000000000099</c:v>
                      </c:pt>
                      <c:pt idx="334">
                        <c:v>3.6800000000000099</c:v>
                      </c:pt>
                      <c:pt idx="335">
                        <c:v>3.7000000000000099</c:v>
                      </c:pt>
                      <c:pt idx="336">
                        <c:v>3.72000000000001</c:v>
                      </c:pt>
                      <c:pt idx="337">
                        <c:v>3.74000000000001</c:v>
                      </c:pt>
                      <c:pt idx="338">
                        <c:v>3.76000000000001</c:v>
                      </c:pt>
                      <c:pt idx="339">
                        <c:v>3.78000000000001</c:v>
                      </c:pt>
                      <c:pt idx="340">
                        <c:v>3.80000000000001</c:v>
                      </c:pt>
                      <c:pt idx="341">
                        <c:v>3.8200000000000101</c:v>
                      </c:pt>
                      <c:pt idx="342">
                        <c:v>3.8400000000000101</c:v>
                      </c:pt>
                      <c:pt idx="343">
                        <c:v>3.8600000000000101</c:v>
                      </c:pt>
                      <c:pt idx="344">
                        <c:v>3.8800000000000101</c:v>
                      </c:pt>
                      <c:pt idx="345">
                        <c:v>3.9000000000000101</c:v>
                      </c:pt>
                      <c:pt idx="346">
                        <c:v>3.9200000000000101</c:v>
                      </c:pt>
                      <c:pt idx="347">
                        <c:v>3.9400000000000102</c:v>
                      </c:pt>
                      <c:pt idx="348">
                        <c:v>3.9600000000000102</c:v>
                      </c:pt>
                      <c:pt idx="349">
                        <c:v>3.9800000000000102</c:v>
                      </c:pt>
                      <c:pt idx="350">
                        <c:v>4.0000000000000098</c:v>
                      </c:pt>
                      <c:pt idx="351">
                        <c:v>4.0200000000000102</c:v>
                      </c:pt>
                      <c:pt idx="352">
                        <c:v>4.0400000000000098</c:v>
                      </c:pt>
                      <c:pt idx="353">
                        <c:v>4.0600000000000103</c:v>
                      </c:pt>
                      <c:pt idx="354">
                        <c:v>4.0800000000000098</c:v>
                      </c:pt>
                      <c:pt idx="355">
                        <c:v>4.1000000000000103</c:v>
                      </c:pt>
                      <c:pt idx="356">
                        <c:v>4.1200000000000099</c:v>
                      </c:pt>
                      <c:pt idx="357">
                        <c:v>4.1400000000000103</c:v>
                      </c:pt>
                      <c:pt idx="358">
                        <c:v>4.1600000000000099</c:v>
                      </c:pt>
                      <c:pt idx="359">
                        <c:v>4.1800000000000104</c:v>
                      </c:pt>
                      <c:pt idx="360">
                        <c:v>4.2000000000000099</c:v>
                      </c:pt>
                      <c:pt idx="361">
                        <c:v>4.2200000000000104</c:v>
                      </c:pt>
                      <c:pt idx="362">
                        <c:v>4.24000000000001</c:v>
                      </c:pt>
                      <c:pt idx="363">
                        <c:v>4.2600000000000096</c:v>
                      </c:pt>
                      <c:pt idx="364">
                        <c:v>4.28000000000001</c:v>
                      </c:pt>
                      <c:pt idx="365">
                        <c:v>4.3000000000000096</c:v>
                      </c:pt>
                      <c:pt idx="366">
                        <c:v>4.3200000000000101</c:v>
                      </c:pt>
                      <c:pt idx="367">
                        <c:v>4.3400000000000096</c:v>
                      </c:pt>
                      <c:pt idx="368">
                        <c:v>4.3600000000000101</c:v>
                      </c:pt>
                      <c:pt idx="369">
                        <c:v>4.3800000000000097</c:v>
                      </c:pt>
                      <c:pt idx="370">
                        <c:v>4.4000000000000101</c:v>
                      </c:pt>
                      <c:pt idx="371">
                        <c:v>4.4200000000000097</c:v>
                      </c:pt>
                      <c:pt idx="372">
                        <c:v>4.4400000000000102</c:v>
                      </c:pt>
                      <c:pt idx="373">
                        <c:v>4.4600000000000097</c:v>
                      </c:pt>
                      <c:pt idx="374">
                        <c:v>4.4800000000000102</c:v>
                      </c:pt>
                      <c:pt idx="375">
                        <c:v>4.5000000000000098</c:v>
                      </c:pt>
                      <c:pt idx="376">
                        <c:v>4.5200000000000102</c:v>
                      </c:pt>
                      <c:pt idx="377">
                        <c:v>4.5400000000000098</c:v>
                      </c:pt>
                      <c:pt idx="378">
                        <c:v>4.5600000000000103</c:v>
                      </c:pt>
                      <c:pt idx="379">
                        <c:v>4.5800000000000098</c:v>
                      </c:pt>
                      <c:pt idx="380">
                        <c:v>4.6000000000000103</c:v>
                      </c:pt>
                      <c:pt idx="381">
                        <c:v>4.6200000000000099</c:v>
                      </c:pt>
                      <c:pt idx="382">
                        <c:v>4.6400000000000103</c:v>
                      </c:pt>
                      <c:pt idx="383">
                        <c:v>4.6600000000000099</c:v>
                      </c:pt>
                      <c:pt idx="384">
                        <c:v>4.6800000000000104</c:v>
                      </c:pt>
                      <c:pt idx="385">
                        <c:v>4.7000000000000099</c:v>
                      </c:pt>
                      <c:pt idx="386">
                        <c:v>4.7200000000000104</c:v>
                      </c:pt>
                      <c:pt idx="387">
                        <c:v>4.74000000000001</c:v>
                      </c:pt>
                      <c:pt idx="388">
                        <c:v>4.7600000000000096</c:v>
                      </c:pt>
                      <c:pt idx="389">
                        <c:v>4.78000000000001</c:v>
                      </c:pt>
                      <c:pt idx="390">
                        <c:v>4.8000000000000096</c:v>
                      </c:pt>
                      <c:pt idx="391">
                        <c:v>4.8200000000000101</c:v>
                      </c:pt>
                      <c:pt idx="392">
                        <c:v>4.8400000000000096</c:v>
                      </c:pt>
                      <c:pt idx="393">
                        <c:v>4.8600000000000101</c:v>
                      </c:pt>
                      <c:pt idx="394">
                        <c:v>4.8800000000000097</c:v>
                      </c:pt>
                      <c:pt idx="395">
                        <c:v>4.9000000000000101</c:v>
                      </c:pt>
                      <c:pt idx="396">
                        <c:v>4.9200000000000097</c:v>
                      </c:pt>
                      <c:pt idx="397">
                        <c:v>4.9400000000000102</c:v>
                      </c:pt>
                      <c:pt idx="398">
                        <c:v>4.9600000000000097</c:v>
                      </c:pt>
                      <c:pt idx="399">
                        <c:v>4.9800000000000102</c:v>
                      </c:pt>
                      <c:pt idx="400">
                        <c:v>5.0000000000000098</c:v>
                      </c:pt>
                    </c:numCache>
                  </c:numRef>
                </c:yVal>
                <c:smooth val="0"/>
                <c:extLst xmlns:c15="http://schemas.microsoft.com/office/drawing/2012/chart">
                  <c:ext xmlns:c16="http://schemas.microsoft.com/office/drawing/2014/chart" uri="{C3380CC4-5D6E-409C-BE32-E72D297353CC}">
                    <c16:uniqueId val="{00000005-FEB8-44EC-AC39-20F9C55AFBB7}"/>
                  </c:ext>
                </c:extLst>
              </c15:ser>
            </c15:filteredScatterSeries>
          </c:ext>
        </c:extLst>
      </c:scatterChart>
      <c:valAx>
        <c:axId val="1389311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a:t>
                </a:r>
                <a:r>
                  <a:rPr lang="en-US" baseline="0"/>
                  <a:t> (KCAS)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312016"/>
        <c:crosses val="autoZero"/>
        <c:crossBetween val="midCat"/>
      </c:valAx>
      <c:valAx>
        <c:axId val="1389312016"/>
        <c:scaling>
          <c:orientation val="minMax"/>
          <c:max val="5"/>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Load Factor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311536"/>
        <c:crosses val="autoZero"/>
        <c:crossBetween val="midCat"/>
      </c:valAx>
      <c:spPr>
        <a:noFill/>
        <a:ln>
          <a:noFill/>
        </a:ln>
        <a:effectLst/>
      </c:spPr>
    </c:plotArea>
    <c:legend>
      <c:legendPos val="b"/>
      <c:legendEntry>
        <c:idx val="0"/>
        <c:delete val="1"/>
      </c:legendEntry>
      <c:legendEntry>
        <c:idx val="1"/>
        <c:delete val="1"/>
      </c:legendEntry>
      <c:legendEntry>
        <c:idx val="2"/>
        <c:delete val="1"/>
      </c:legendEntry>
      <c:legendEntry>
        <c:idx val="5"/>
        <c:delete val="1"/>
      </c:legendEntry>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V-n Diagram Based</a:t>
            </a:r>
            <a:r>
              <a:rPr lang="en-US" baseline="0"/>
              <a:t> on 14-CFR Part 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046156295950795E-2"/>
          <c:y val="0.10411623761080764"/>
          <c:w val="0.86524733135252929"/>
          <c:h val="0.69913775400797418"/>
        </c:manualLayout>
      </c:layout>
      <c:scatterChart>
        <c:scatterStyle val="lineMarker"/>
        <c:varyColors val="0"/>
        <c:ser>
          <c:idx val="0"/>
          <c:order val="0"/>
          <c:tx>
            <c:strRef>
              <c:f>'V-N Diagram'!$P$36</c:f>
              <c:strCache>
                <c:ptCount val="1"/>
                <c:pt idx="0">
                  <c:v>Positive Stall Line</c:v>
                </c:pt>
              </c:strCache>
            </c:strRef>
          </c:tx>
          <c:spPr>
            <a:ln w="25400" cap="rnd">
              <a:solidFill>
                <a:schemeClr val="accent4"/>
              </a:solidFill>
              <a:round/>
            </a:ln>
            <a:effectLst/>
          </c:spPr>
          <c:marker>
            <c:symbol val="none"/>
          </c:marker>
          <c:xVal>
            <c:numRef>
              <c:f>'V-N Diagram'!$O$37:$O$437</c:f>
              <c:numCache>
                <c:formatCode>General</c:formatCode>
                <c:ptCount val="4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numCache>
            </c:numRef>
          </c:xVal>
          <c:yVal>
            <c:numRef>
              <c:f>'V-N Diagram'!$P$37:$P$437</c:f>
              <c:numCache>
                <c:formatCode>General</c:formatCode>
                <c:ptCount val="401"/>
                <c:pt idx="0">
                  <c:v>0</c:v>
                </c:pt>
                <c:pt idx="1">
                  <c:v>1.8999684002063414E-4</c:v>
                </c:pt>
                <c:pt idx="2">
                  <c:v>7.5998736008253654E-4</c:v>
                </c:pt>
                <c:pt idx="3">
                  <c:v>1.7099715601857071E-3</c:v>
                </c:pt>
                <c:pt idx="4">
                  <c:v>3.0399494403301462E-3</c:v>
                </c:pt>
                <c:pt idx="5">
                  <c:v>4.7499210005158528E-3</c:v>
                </c:pt>
                <c:pt idx="6">
                  <c:v>6.8398862407428283E-3</c:v>
                </c:pt>
                <c:pt idx="7">
                  <c:v>9.3098451610110714E-3</c:v>
                </c:pt>
                <c:pt idx="8">
                  <c:v>1.2159797761320585E-2</c:v>
                </c:pt>
                <c:pt idx="9">
                  <c:v>1.5389744041671361E-2</c:v>
                </c:pt>
                <c:pt idx="10">
                  <c:v>1.8999684002063411E-2</c:v>
                </c:pt>
                <c:pt idx="11">
                  <c:v>2.2989617642496726E-2</c:v>
                </c:pt>
                <c:pt idx="12">
                  <c:v>2.7359544962971313E-2</c:v>
                </c:pt>
                <c:pt idx="13">
                  <c:v>3.2109465963487162E-2</c:v>
                </c:pt>
                <c:pt idx="14">
                  <c:v>3.7239380644044286E-2</c:v>
                </c:pt>
                <c:pt idx="15">
                  <c:v>4.2749289004642671E-2</c:v>
                </c:pt>
                <c:pt idx="16">
                  <c:v>4.8639191045282339E-2</c:v>
                </c:pt>
                <c:pt idx="17">
                  <c:v>5.4909086765963261E-2</c:v>
                </c:pt>
                <c:pt idx="18">
                  <c:v>6.1558976166685445E-2</c:v>
                </c:pt>
                <c:pt idx="19">
                  <c:v>6.8588859247448924E-2</c:v>
                </c:pt>
                <c:pt idx="20">
                  <c:v>7.5998736008253645E-2</c:v>
                </c:pt>
                <c:pt idx="21">
                  <c:v>8.3788606449099648E-2</c:v>
                </c:pt>
                <c:pt idx="22">
                  <c:v>9.1958470569986905E-2</c:v>
                </c:pt>
                <c:pt idx="23">
                  <c:v>0.10050832837091546</c:v>
                </c:pt>
                <c:pt idx="24">
                  <c:v>0.10943817985188525</c:v>
                </c:pt>
                <c:pt idx="25">
                  <c:v>0.1187480250128963</c:v>
                </c:pt>
                <c:pt idx="26">
                  <c:v>0.12843786385394865</c:v>
                </c:pt>
                <c:pt idx="27">
                  <c:v>0.13850769637504226</c:v>
                </c:pt>
                <c:pt idx="28">
                  <c:v>0.14895752257617714</c:v>
                </c:pt>
                <c:pt idx="29">
                  <c:v>0.15978734245735329</c:v>
                </c:pt>
                <c:pt idx="30">
                  <c:v>0.17099715601857068</c:v>
                </c:pt>
                <c:pt idx="31">
                  <c:v>0.18258696325982937</c:v>
                </c:pt>
                <c:pt idx="32">
                  <c:v>0.19455676418112935</c:v>
                </c:pt>
                <c:pt idx="33">
                  <c:v>0.20690655878247055</c:v>
                </c:pt>
                <c:pt idx="34">
                  <c:v>0.21963634706385304</c:v>
                </c:pt>
                <c:pt idx="35">
                  <c:v>0.23274612902527675</c:v>
                </c:pt>
                <c:pt idx="36">
                  <c:v>0.24623590466674178</c:v>
                </c:pt>
                <c:pt idx="37">
                  <c:v>0.26010567398824808</c:v>
                </c:pt>
                <c:pt idx="38">
                  <c:v>0.2743554369897957</c:v>
                </c:pt>
                <c:pt idx="39">
                  <c:v>0.28898519367138448</c:v>
                </c:pt>
                <c:pt idx="40">
                  <c:v>0.30399494403301458</c:v>
                </c:pt>
                <c:pt idx="41">
                  <c:v>0.31938468807468601</c:v>
                </c:pt>
                <c:pt idx="42">
                  <c:v>0.33515442579639859</c:v>
                </c:pt>
                <c:pt idx="43">
                  <c:v>0.3513041571981525</c:v>
                </c:pt>
                <c:pt idx="44">
                  <c:v>0.36783388227994762</c:v>
                </c:pt>
                <c:pt idx="45">
                  <c:v>0.38474360104178401</c:v>
                </c:pt>
                <c:pt idx="46">
                  <c:v>0.40203331348366184</c:v>
                </c:pt>
                <c:pt idx="47">
                  <c:v>0.41970301960558076</c:v>
                </c:pt>
                <c:pt idx="48">
                  <c:v>0.43775271940754101</c:v>
                </c:pt>
                <c:pt idx="49">
                  <c:v>0.45618241288954253</c:v>
                </c:pt>
                <c:pt idx="50">
                  <c:v>0.47499210005158521</c:v>
                </c:pt>
                <c:pt idx="51">
                  <c:v>0.49418178089366932</c:v>
                </c:pt>
                <c:pt idx="52">
                  <c:v>0.51375145541579459</c:v>
                </c:pt>
                <c:pt idx="53">
                  <c:v>0.53370112361796129</c:v>
                </c:pt>
                <c:pt idx="54">
                  <c:v>0.55403078550016904</c:v>
                </c:pt>
                <c:pt idx="55">
                  <c:v>0.57474044106241817</c:v>
                </c:pt>
                <c:pt idx="56">
                  <c:v>0.59583009030470857</c:v>
                </c:pt>
                <c:pt idx="57">
                  <c:v>0.61729973322704024</c:v>
                </c:pt>
                <c:pt idx="58">
                  <c:v>0.63914936982941317</c:v>
                </c:pt>
                <c:pt idx="59">
                  <c:v>0.66137900011182738</c:v>
                </c:pt>
                <c:pt idx="60">
                  <c:v>0.68398862407428274</c:v>
                </c:pt>
                <c:pt idx="61">
                  <c:v>0.70697824171677959</c:v>
                </c:pt>
                <c:pt idx="62">
                  <c:v>0.73034785303931749</c:v>
                </c:pt>
                <c:pt idx="63">
                  <c:v>0.75409745804189676</c:v>
                </c:pt>
                <c:pt idx="64">
                  <c:v>0.77822705672451742</c:v>
                </c:pt>
                <c:pt idx="65">
                  <c:v>0.80273664908717912</c:v>
                </c:pt>
                <c:pt idx="66">
                  <c:v>0.8276262351298822</c:v>
                </c:pt>
                <c:pt idx="67">
                  <c:v>0.85289581485262644</c:v>
                </c:pt>
                <c:pt idx="68">
                  <c:v>0.87854538825541217</c:v>
                </c:pt>
                <c:pt idx="69">
                  <c:v>0.90457495533823884</c:v>
                </c:pt>
                <c:pt idx="70">
                  <c:v>0.930984516101107</c:v>
                </c:pt>
                <c:pt idx="71">
                  <c:v>0.95777407054401664</c:v>
                </c:pt>
                <c:pt idx="72">
                  <c:v>0.98494361866696711</c:v>
                </c:pt>
                <c:pt idx="73">
                  <c:v>1.012493160469959</c:v>
                </c:pt>
                <c:pt idx="74">
                  <c:v>1.0404226959529923</c:v>
                </c:pt>
                <c:pt idx="75">
                  <c:v>1.0687322251160669</c:v>
                </c:pt>
                <c:pt idx="76">
                  <c:v>1.0974217479591828</c:v>
                </c:pt>
                <c:pt idx="77">
                  <c:v>1.1264912644823395</c:v>
                </c:pt>
                <c:pt idx="78">
                  <c:v>1.1559407746855379</c:v>
                </c:pt>
                <c:pt idx="79">
                  <c:v>1.1857702785687774</c:v>
                </c:pt>
                <c:pt idx="80">
                  <c:v>1.2159797761320583</c:v>
                </c:pt>
                <c:pt idx="81">
                  <c:v>1.2465692673753803</c:v>
                </c:pt>
                <c:pt idx="82">
                  <c:v>1.277538752298744</c:v>
                </c:pt>
                <c:pt idx="83">
                  <c:v>1.3088882309021483</c:v>
                </c:pt>
                <c:pt idx="84">
                  <c:v>1.3406177031855944</c:v>
                </c:pt>
                <c:pt idx="85">
                  <c:v>1.3727271691490812</c:v>
                </c:pt>
                <c:pt idx="86">
                  <c:v>1.40521662879261</c:v>
                </c:pt>
                <c:pt idx="87">
                  <c:v>1.4380860821161798</c:v>
                </c:pt>
                <c:pt idx="88">
                  <c:v>1.4713355291197905</c:v>
                </c:pt>
                <c:pt idx="89">
                  <c:v>1.5049649698034429</c:v>
                </c:pt>
                <c:pt idx="90">
                  <c:v>1.538974404167136</c:v>
                </c:pt>
                <c:pt idx="91">
                  <c:v>1.5733638322108707</c:v>
                </c:pt>
                <c:pt idx="92">
                  <c:v>1.6081332539346473</c:v>
                </c:pt>
                <c:pt idx="93">
                  <c:v>1.6432826693384646</c:v>
                </c:pt>
                <c:pt idx="94">
                  <c:v>1.6788120784223231</c:v>
                </c:pt>
                <c:pt idx="95">
                  <c:v>1.7147214811862228</c:v>
                </c:pt>
                <c:pt idx="96">
                  <c:v>1.7510108776301641</c:v>
                </c:pt>
                <c:pt idx="97">
                  <c:v>1.7876802677541466</c:v>
                </c:pt>
                <c:pt idx="98">
                  <c:v>1.8247296515581701</c:v>
                </c:pt>
                <c:pt idx="99">
                  <c:v>1.862159029042235</c:v>
                </c:pt>
                <c:pt idx="100">
                  <c:v>1.8999684002063408</c:v>
                </c:pt>
                <c:pt idx="101">
                  <c:v>1.9381577650504889</c:v>
                </c:pt>
                <c:pt idx="102">
                  <c:v>1.9767271235746773</c:v>
                </c:pt>
                <c:pt idx="103">
                  <c:v>2.015676475778907</c:v>
                </c:pt>
                <c:pt idx="104">
                  <c:v>2.0550058216631784</c:v>
                </c:pt>
                <c:pt idx="105">
                  <c:v>2.0947151612274908</c:v>
                </c:pt>
                <c:pt idx="106">
                  <c:v>2.1348044944718452</c:v>
                </c:pt>
                <c:pt idx="107">
                  <c:v>2.1752738213962397</c:v>
                </c:pt>
                <c:pt idx="108">
                  <c:v>2.2161231420006762</c:v>
                </c:pt>
                <c:pt idx="109">
                  <c:v>2.2573524562851541</c:v>
                </c:pt>
                <c:pt idx="110">
                  <c:v>2.2989617642496727</c:v>
                </c:pt>
                <c:pt idx="111">
                  <c:v>2.3409510658942327</c:v>
                </c:pt>
                <c:pt idx="112">
                  <c:v>2.3833203612188343</c:v>
                </c:pt>
                <c:pt idx="113">
                  <c:v>2.4260696502234769</c:v>
                </c:pt>
                <c:pt idx="114">
                  <c:v>2.4691989329081609</c:v>
                </c:pt>
                <c:pt idx="115">
                  <c:v>2.5127082092728856</c:v>
                </c:pt>
                <c:pt idx="116">
                  <c:v>2.5565974793176527</c:v>
                </c:pt>
                <c:pt idx="117">
                  <c:v>2.6008667430424608</c:v>
                </c:pt>
                <c:pt idx="118">
                  <c:v>2.6455160004473095</c:v>
                </c:pt>
                <c:pt idx="119">
                  <c:v>2.6905452515321997</c:v>
                </c:pt>
                <c:pt idx="120">
                  <c:v>2.7359544962971309</c:v>
                </c:pt>
                <c:pt idx="121">
                  <c:v>2.7817437347421041</c:v>
                </c:pt>
                <c:pt idx="122">
                  <c:v>2.8279129668671183</c:v>
                </c:pt>
                <c:pt idx="123">
                  <c:v>2.8744621926721732</c:v>
                </c:pt>
                <c:pt idx="124">
                  <c:v>2.9213914121572699</c:v>
                </c:pt>
                <c:pt idx="125">
                  <c:v>2.9687006253224082</c:v>
                </c:pt>
                <c:pt idx="126">
                  <c:v>3.016389832167587</c:v>
                </c:pt>
                <c:pt idx="127">
                  <c:v>3.0644590326928078</c:v>
                </c:pt>
                <c:pt idx="128">
                  <c:v>3.1129082268980697</c:v>
                </c:pt>
                <c:pt idx="129">
                  <c:v>3.1617374147833721</c:v>
                </c:pt>
                <c:pt idx="130">
                  <c:v>3.2109465963487165</c:v>
                </c:pt>
                <c:pt idx="131">
                  <c:v>3.2605357715941023</c:v>
                </c:pt>
                <c:pt idx="132">
                  <c:v>3.3105049405195288</c:v>
                </c:pt>
                <c:pt idx="133">
                  <c:v>3.3608541031249968</c:v>
                </c:pt>
                <c:pt idx="134">
                  <c:v>3.4115832594105058</c:v>
                </c:pt>
                <c:pt idx="135">
                  <c:v>3.4626924093760567</c:v>
                </c:pt>
                <c:pt idx="136">
                  <c:v>3.5141815530216487</c:v>
                </c:pt>
                <c:pt idx="137">
                  <c:v>3.5660506903472817</c:v>
                </c:pt>
                <c:pt idx="138">
                  <c:v>3.6182998213529554</c:v>
                </c:pt>
                <c:pt idx="139">
                  <c:v>3.6709289460386718</c:v>
                </c:pt>
                <c:pt idx="140">
                  <c:v>3.723938064404428</c:v>
                </c:pt>
                <c:pt idx="141">
                  <c:v>3.7773271764502265</c:v>
                </c:pt>
                <c:pt idx="142">
                  <c:v>3.8310962821760666</c:v>
                </c:pt>
                <c:pt idx="143">
                  <c:v>3.8852453815819472</c:v>
                </c:pt>
                <c:pt idx="144">
                  <c:v>3.9397744746678685</c:v>
                </c:pt>
                <c:pt idx="145">
                  <c:v>3.9946835614338321</c:v>
                </c:pt>
                <c:pt idx="146">
                  <c:v>4.0499726418798359</c:v>
                </c:pt>
                <c:pt idx="147">
                  <c:v>4.1056417160058825</c:v>
                </c:pt>
                <c:pt idx="148">
                  <c:v>4.1616907838119692</c:v>
                </c:pt>
                <c:pt idx="149">
                  <c:v>4.218119845298097</c:v>
                </c:pt>
                <c:pt idx="150">
                  <c:v>4.2749289004642677</c:v>
                </c:pt>
                <c:pt idx="151">
                  <c:v>4.3321179493104784</c:v>
                </c:pt>
                <c:pt idx="152">
                  <c:v>4.3896869918367312</c:v>
                </c:pt>
                <c:pt idx="153">
                  <c:v>4.447636028043024</c:v>
                </c:pt>
                <c:pt idx="154">
                  <c:v>4.505965057929358</c:v>
                </c:pt>
                <c:pt idx="155">
                  <c:v>4.5646740814957338</c:v>
                </c:pt>
                <c:pt idx="156">
                  <c:v>4.6237630987421516</c:v>
                </c:pt>
                <c:pt idx="157">
                  <c:v>4.6832321096686096</c:v>
                </c:pt>
                <c:pt idx="158">
                  <c:v>4.7430811142751095</c:v>
                </c:pt>
                <c:pt idx="159">
                  <c:v>4.8033101125616513</c:v>
                </c:pt>
                <c:pt idx="160">
                  <c:v>4.8639191045282333</c:v>
                </c:pt>
                <c:pt idx="161">
                  <c:v>4.9249080901748572</c:v>
                </c:pt>
                <c:pt idx="162">
                  <c:v>4.9862770695015213</c:v>
                </c:pt>
                <c:pt idx="163">
                  <c:v>5.0480260425082273</c:v>
                </c:pt>
                <c:pt idx="164">
                  <c:v>5.1101550091949761</c:v>
                </c:pt>
                <c:pt idx="165">
                  <c:v>5.1726639695617633</c:v>
                </c:pt>
                <c:pt idx="166">
                  <c:v>5.2355529236085934</c:v>
                </c:pt>
                <c:pt idx="167">
                  <c:v>5.2988218713354645</c:v>
                </c:pt>
                <c:pt idx="168">
                  <c:v>5.3624708127423775</c:v>
                </c:pt>
                <c:pt idx="169">
                  <c:v>5.4264997478293315</c:v>
                </c:pt>
                <c:pt idx="170">
                  <c:v>5.4909086765963249</c:v>
                </c:pt>
                <c:pt idx="171">
                  <c:v>5.5556975990433619</c:v>
                </c:pt>
                <c:pt idx="172">
                  <c:v>5.62086651517044</c:v>
                </c:pt>
                <c:pt idx="173">
                  <c:v>5.6864154249775583</c:v>
                </c:pt>
                <c:pt idx="174">
                  <c:v>5.7523443284647193</c:v>
                </c:pt>
                <c:pt idx="175">
                  <c:v>5.8186532256319197</c:v>
                </c:pt>
                <c:pt idx="176">
                  <c:v>5.8853421164791619</c:v>
                </c:pt>
                <c:pt idx="177">
                  <c:v>5.9524110010064462</c:v>
                </c:pt>
                <c:pt idx="178">
                  <c:v>6.0198598792137714</c:v>
                </c:pt>
                <c:pt idx="179">
                  <c:v>6.0876887511011386</c:v>
                </c:pt>
                <c:pt idx="180">
                  <c:v>6.1558976166685442</c:v>
                </c:pt>
                <c:pt idx="181">
                  <c:v>6.2244864759159944</c:v>
                </c:pt>
                <c:pt idx="182">
                  <c:v>6.2934553288434829</c:v>
                </c:pt>
                <c:pt idx="183">
                  <c:v>6.3628041754510161</c:v>
                </c:pt>
                <c:pt idx="184">
                  <c:v>6.4325330157385894</c:v>
                </c:pt>
                <c:pt idx="185">
                  <c:v>6.502641849706202</c:v>
                </c:pt>
                <c:pt idx="186">
                  <c:v>6.5731306773538583</c:v>
                </c:pt>
                <c:pt idx="187">
                  <c:v>6.6439994986815547</c:v>
                </c:pt>
                <c:pt idx="188">
                  <c:v>6.7152483136892922</c:v>
                </c:pt>
                <c:pt idx="189">
                  <c:v>6.7868771223770707</c:v>
                </c:pt>
                <c:pt idx="190">
                  <c:v>6.8588859247448912</c:v>
                </c:pt>
                <c:pt idx="191">
                  <c:v>6.9312747207927536</c:v>
                </c:pt>
                <c:pt idx="192">
                  <c:v>7.0040435105206562</c:v>
                </c:pt>
                <c:pt idx="193">
                  <c:v>7.0771922939285998</c:v>
                </c:pt>
                <c:pt idx="194">
                  <c:v>7.1507210710165863</c:v>
                </c:pt>
                <c:pt idx="195">
                  <c:v>7.2246298417846102</c:v>
                </c:pt>
                <c:pt idx="196">
                  <c:v>7.2989186062326805</c:v>
                </c:pt>
                <c:pt idx="197">
                  <c:v>7.3735873643607901</c:v>
                </c:pt>
                <c:pt idx="198">
                  <c:v>7.4486361161689398</c:v>
                </c:pt>
                <c:pt idx="199">
                  <c:v>7.5240648616571315</c:v>
                </c:pt>
                <c:pt idx="200">
                  <c:v>7.5998736008253633</c:v>
                </c:pt>
                <c:pt idx="201">
                  <c:v>7.6760623336736398</c:v>
                </c:pt>
                <c:pt idx="202">
                  <c:v>7.7526310602019555</c:v>
                </c:pt>
                <c:pt idx="203">
                  <c:v>7.8295797804103122</c:v>
                </c:pt>
                <c:pt idx="204">
                  <c:v>7.9069084942987091</c:v>
                </c:pt>
                <c:pt idx="205">
                  <c:v>7.984617201867148</c:v>
                </c:pt>
                <c:pt idx="206">
                  <c:v>8.0627059031156278</c:v>
                </c:pt>
                <c:pt idx="207">
                  <c:v>8.1411745980441523</c:v>
                </c:pt>
                <c:pt idx="208">
                  <c:v>8.2200232866527134</c:v>
                </c:pt>
                <c:pt idx="209">
                  <c:v>8.2992519689413182</c:v>
                </c:pt>
                <c:pt idx="210">
                  <c:v>8.3788606449099632</c:v>
                </c:pt>
                <c:pt idx="211">
                  <c:v>8.4588493145586519</c:v>
                </c:pt>
                <c:pt idx="212">
                  <c:v>8.5392179778873807</c:v>
                </c:pt>
                <c:pt idx="213">
                  <c:v>8.6199666348961497</c:v>
                </c:pt>
                <c:pt idx="214">
                  <c:v>8.7010952855849588</c:v>
                </c:pt>
                <c:pt idx="215">
                  <c:v>8.7826039299538117</c:v>
                </c:pt>
                <c:pt idx="216">
                  <c:v>8.8644925680027047</c:v>
                </c:pt>
                <c:pt idx="217">
                  <c:v>8.9467611997316396</c:v>
                </c:pt>
                <c:pt idx="218">
                  <c:v>9.0294098251406165</c:v>
                </c:pt>
                <c:pt idx="219">
                  <c:v>9.1124384442296336</c:v>
                </c:pt>
                <c:pt idx="220">
                  <c:v>9.1958470569986908</c:v>
                </c:pt>
                <c:pt idx="221">
                  <c:v>9.2796356634477899</c:v>
                </c:pt>
                <c:pt idx="222">
                  <c:v>9.363804263576931</c:v>
                </c:pt>
                <c:pt idx="223">
                  <c:v>9.448352857386114</c:v>
                </c:pt>
                <c:pt idx="224">
                  <c:v>9.5332814448753371</c:v>
                </c:pt>
                <c:pt idx="225">
                  <c:v>9.6185900260446022</c:v>
                </c:pt>
                <c:pt idx="226">
                  <c:v>9.7042786008939075</c:v>
                </c:pt>
                <c:pt idx="227">
                  <c:v>9.7903471694232547</c:v>
                </c:pt>
                <c:pt idx="228">
                  <c:v>9.8767957316326438</c:v>
                </c:pt>
                <c:pt idx="229">
                  <c:v>9.9636242875220749</c:v>
                </c:pt>
                <c:pt idx="230">
                  <c:v>10.050832837091543</c:v>
                </c:pt>
                <c:pt idx="231">
                  <c:v>10.138421380341056</c:v>
                </c:pt>
                <c:pt idx="232">
                  <c:v>10.226389917270611</c:v>
                </c:pt>
                <c:pt idx="233">
                  <c:v>10.314738447880206</c:v>
                </c:pt>
                <c:pt idx="234">
                  <c:v>10.403466972169843</c:v>
                </c:pt>
                <c:pt idx="235">
                  <c:v>10.492575490139519</c:v>
                </c:pt>
                <c:pt idx="236">
                  <c:v>10.582064001789238</c:v>
                </c:pt>
                <c:pt idx="237">
                  <c:v>10.671932507118997</c:v>
                </c:pt>
                <c:pt idx="238">
                  <c:v>10.762181006128799</c:v>
                </c:pt>
                <c:pt idx="239">
                  <c:v>10.85280949881864</c:v>
                </c:pt>
                <c:pt idx="240">
                  <c:v>10.943817985188524</c:v>
                </c:pt>
                <c:pt idx="241">
                  <c:v>11.035206465238449</c:v>
                </c:pt>
                <c:pt idx="242">
                  <c:v>11.126974938968416</c:v>
                </c:pt>
                <c:pt idx="243">
                  <c:v>11.219123406378422</c:v>
                </c:pt>
                <c:pt idx="244">
                  <c:v>11.311651867468473</c:v>
                </c:pt>
                <c:pt idx="245">
                  <c:v>11.404560322238561</c:v>
                </c:pt>
                <c:pt idx="246">
                  <c:v>11.497848770688693</c:v>
                </c:pt>
                <c:pt idx="247">
                  <c:v>11.591517212818866</c:v>
                </c:pt>
                <c:pt idx="248">
                  <c:v>11.68556564862908</c:v>
                </c:pt>
                <c:pt idx="249">
                  <c:v>11.779994078119335</c:v>
                </c:pt>
                <c:pt idx="250">
                  <c:v>11.874802501289633</c:v>
                </c:pt>
                <c:pt idx="251">
                  <c:v>11.96999091813997</c:v>
                </c:pt>
                <c:pt idx="252">
                  <c:v>12.065559328670348</c:v>
                </c:pt>
                <c:pt idx="253">
                  <c:v>12.16150773288077</c:v>
                </c:pt>
                <c:pt idx="254">
                  <c:v>12.257836130771231</c:v>
                </c:pt>
                <c:pt idx="255">
                  <c:v>12.354544522341733</c:v>
                </c:pt>
                <c:pt idx="256">
                  <c:v>12.451632907592279</c:v>
                </c:pt>
                <c:pt idx="257">
                  <c:v>12.549101286522863</c:v>
                </c:pt>
                <c:pt idx="258">
                  <c:v>12.646949659133488</c:v>
                </c:pt>
                <c:pt idx="259">
                  <c:v>12.745178025424154</c:v>
                </c:pt>
                <c:pt idx="260">
                  <c:v>12.843786385394866</c:v>
                </c:pt>
                <c:pt idx="261">
                  <c:v>12.942774739045616</c:v>
                </c:pt>
                <c:pt idx="262">
                  <c:v>13.042143086376409</c:v>
                </c:pt>
                <c:pt idx="263">
                  <c:v>13.141891427387241</c:v>
                </c:pt>
                <c:pt idx="264">
                  <c:v>13.242019762078115</c:v>
                </c:pt>
                <c:pt idx="265">
                  <c:v>13.342528090449029</c:v>
                </c:pt>
                <c:pt idx="266">
                  <c:v>13.443416412499987</c:v>
                </c:pt>
                <c:pt idx="267">
                  <c:v>13.544684728230981</c:v>
                </c:pt>
                <c:pt idx="268">
                  <c:v>13.646333037642023</c:v>
                </c:pt>
                <c:pt idx="269">
                  <c:v>13.748361340733107</c:v>
                </c:pt>
                <c:pt idx="270">
                  <c:v>13.850769637504227</c:v>
                </c:pt>
                <c:pt idx="271">
                  <c:v>13.953557927955389</c:v>
                </c:pt>
                <c:pt idx="272">
                  <c:v>14.056726212086595</c:v>
                </c:pt>
                <c:pt idx="273">
                  <c:v>14.160274489897837</c:v>
                </c:pt>
                <c:pt idx="274">
                  <c:v>14.264202761389127</c:v>
                </c:pt>
                <c:pt idx="275">
                  <c:v>14.368511026560451</c:v>
                </c:pt>
                <c:pt idx="276">
                  <c:v>14.473199285411821</c:v>
                </c:pt>
                <c:pt idx="277">
                  <c:v>14.578267537943232</c:v>
                </c:pt>
                <c:pt idx="278">
                  <c:v>14.683715784154687</c:v>
                </c:pt>
                <c:pt idx="279">
                  <c:v>14.789544024046178</c:v>
                </c:pt>
                <c:pt idx="280">
                  <c:v>14.895752257617712</c:v>
                </c:pt>
                <c:pt idx="281">
                  <c:v>15.00234048486929</c:v>
                </c:pt>
                <c:pt idx="282">
                  <c:v>15.109308705800906</c:v>
                </c:pt>
                <c:pt idx="283">
                  <c:v>15.216656920412564</c:v>
                </c:pt>
                <c:pt idx="284">
                  <c:v>15.324385128704266</c:v>
                </c:pt>
                <c:pt idx="285">
                  <c:v>15.432493330676007</c:v>
                </c:pt>
                <c:pt idx="286">
                  <c:v>15.540981526327789</c:v>
                </c:pt>
                <c:pt idx="287">
                  <c:v>15.649849715659611</c:v>
                </c:pt>
                <c:pt idx="288">
                  <c:v>15.759097898671474</c:v>
                </c:pt>
                <c:pt idx="289">
                  <c:v>15.868726075363382</c:v>
                </c:pt>
                <c:pt idx="290">
                  <c:v>15.978734245735328</c:v>
                </c:pt>
                <c:pt idx="291">
                  <c:v>16.089122409787315</c:v>
                </c:pt>
                <c:pt idx="292">
                  <c:v>16.199890567519343</c:v>
                </c:pt>
                <c:pt idx="293">
                  <c:v>16.311038718931417</c:v>
                </c:pt>
                <c:pt idx="294">
                  <c:v>16.42256686402353</c:v>
                </c:pt>
                <c:pt idx="295">
                  <c:v>16.534475002795684</c:v>
                </c:pt>
                <c:pt idx="296">
                  <c:v>16.646763135247877</c:v>
                </c:pt>
                <c:pt idx="297">
                  <c:v>16.759431261380115</c:v>
                </c:pt>
                <c:pt idx="298">
                  <c:v>16.872479381192388</c:v>
                </c:pt>
                <c:pt idx="299">
                  <c:v>16.98590749468471</c:v>
                </c:pt>
                <c:pt idx="300">
                  <c:v>17.099715601857071</c:v>
                </c:pt>
                <c:pt idx="301">
                  <c:v>17.213903702709469</c:v>
                </c:pt>
                <c:pt idx="302">
                  <c:v>17.328471797241914</c:v>
                </c:pt>
                <c:pt idx="303">
                  <c:v>17.443419885454393</c:v>
                </c:pt>
                <c:pt idx="304">
                  <c:v>17.558747967346925</c:v>
                </c:pt>
                <c:pt idx="305">
                  <c:v>17.674456042919488</c:v>
                </c:pt>
                <c:pt idx="306">
                  <c:v>17.790544112172096</c:v>
                </c:pt>
                <c:pt idx="307">
                  <c:v>17.90701217510474</c:v>
                </c:pt>
                <c:pt idx="308">
                  <c:v>18.023860231717432</c:v>
                </c:pt>
                <c:pt idx="309">
                  <c:v>18.141088282010166</c:v>
                </c:pt>
                <c:pt idx="310">
                  <c:v>18.258696325982935</c:v>
                </c:pt>
                <c:pt idx="311">
                  <c:v>18.37668436363575</c:v>
                </c:pt>
                <c:pt idx="312">
                  <c:v>18.495052394968607</c:v>
                </c:pt>
                <c:pt idx="313">
                  <c:v>18.613800419981501</c:v>
                </c:pt>
                <c:pt idx="314">
                  <c:v>18.732928438674438</c:v>
                </c:pt>
                <c:pt idx="315">
                  <c:v>18.852436451047417</c:v>
                </c:pt>
                <c:pt idx="316">
                  <c:v>18.972324457100438</c:v>
                </c:pt>
                <c:pt idx="317">
                  <c:v>19.092592456833504</c:v>
                </c:pt>
                <c:pt idx="318">
                  <c:v>19.213240450246605</c:v>
                </c:pt>
                <c:pt idx="319">
                  <c:v>19.334268437339748</c:v>
                </c:pt>
                <c:pt idx="320">
                  <c:v>19.455676418112933</c:v>
                </c:pt>
                <c:pt idx="321">
                  <c:v>19.57746439256616</c:v>
                </c:pt>
                <c:pt idx="322">
                  <c:v>19.699632360699429</c:v>
                </c:pt>
                <c:pt idx="323">
                  <c:v>19.822180322512736</c:v>
                </c:pt>
                <c:pt idx="324">
                  <c:v>19.945108278006085</c:v>
                </c:pt>
                <c:pt idx="325">
                  <c:v>20.068416227179476</c:v>
                </c:pt>
                <c:pt idx="326">
                  <c:v>20.192104170032909</c:v>
                </c:pt>
                <c:pt idx="327">
                  <c:v>20.316172106566384</c:v>
                </c:pt>
                <c:pt idx="328">
                  <c:v>20.440620036779904</c:v>
                </c:pt>
                <c:pt idx="329">
                  <c:v>20.565447960673456</c:v>
                </c:pt>
                <c:pt idx="330">
                  <c:v>20.690655878247053</c:v>
                </c:pt>
                <c:pt idx="331">
                  <c:v>20.816243789500692</c:v>
                </c:pt>
                <c:pt idx="332">
                  <c:v>20.942211694434373</c:v>
                </c:pt>
                <c:pt idx="333">
                  <c:v>21.068559593048096</c:v>
                </c:pt>
                <c:pt idx="334">
                  <c:v>21.195287485341858</c:v>
                </c:pt>
                <c:pt idx="335">
                  <c:v>21.322395371315661</c:v>
                </c:pt>
                <c:pt idx="336">
                  <c:v>21.44988325096951</c:v>
                </c:pt>
                <c:pt idx="337">
                  <c:v>21.577751124303397</c:v>
                </c:pt>
                <c:pt idx="338">
                  <c:v>21.705998991317326</c:v>
                </c:pt>
                <c:pt idx="339">
                  <c:v>21.834626852011294</c:v>
                </c:pt>
                <c:pt idx="340">
                  <c:v>21.963634706385299</c:v>
                </c:pt>
                <c:pt idx="341">
                  <c:v>22.093022554439354</c:v>
                </c:pt>
                <c:pt idx="342">
                  <c:v>22.222790396173448</c:v>
                </c:pt>
                <c:pt idx="343">
                  <c:v>22.352938231587583</c:v>
                </c:pt>
                <c:pt idx="344">
                  <c:v>22.48346606068176</c:v>
                </c:pt>
                <c:pt idx="345">
                  <c:v>22.614373883455972</c:v>
                </c:pt>
                <c:pt idx="346">
                  <c:v>22.745661699910233</c:v>
                </c:pt>
                <c:pt idx="347">
                  <c:v>22.877329510044536</c:v>
                </c:pt>
                <c:pt idx="348">
                  <c:v>23.009377313858877</c:v>
                </c:pt>
                <c:pt idx="349">
                  <c:v>23.141805111353253</c:v>
                </c:pt>
                <c:pt idx="350">
                  <c:v>23.274612902527679</c:v>
                </c:pt>
                <c:pt idx="351">
                  <c:v>23.407800687382142</c:v>
                </c:pt>
                <c:pt idx="352">
                  <c:v>23.541368465916648</c:v>
                </c:pt>
                <c:pt idx="353">
                  <c:v>23.675316238131195</c:v>
                </c:pt>
                <c:pt idx="354">
                  <c:v>23.809644004025785</c:v>
                </c:pt>
                <c:pt idx="355">
                  <c:v>23.944351763600412</c:v>
                </c:pt>
                <c:pt idx="356">
                  <c:v>24.079439516855086</c:v>
                </c:pt>
                <c:pt idx="357">
                  <c:v>24.214907263789801</c:v>
                </c:pt>
                <c:pt idx="358">
                  <c:v>24.350755004404554</c:v>
                </c:pt>
                <c:pt idx="359">
                  <c:v>24.486982738699343</c:v>
                </c:pt>
                <c:pt idx="360">
                  <c:v>24.623590466674177</c:v>
                </c:pt>
                <c:pt idx="361">
                  <c:v>24.760578188329053</c:v>
                </c:pt>
                <c:pt idx="362">
                  <c:v>24.897945903663977</c:v>
                </c:pt>
                <c:pt idx="363">
                  <c:v>25.035693612678937</c:v>
                </c:pt>
                <c:pt idx="364">
                  <c:v>25.173821315373932</c:v>
                </c:pt>
                <c:pt idx="365">
                  <c:v>25.312329011748975</c:v>
                </c:pt>
                <c:pt idx="366">
                  <c:v>25.451216701804064</c:v>
                </c:pt>
                <c:pt idx="367">
                  <c:v>25.590484385539188</c:v>
                </c:pt>
                <c:pt idx="368">
                  <c:v>25.730132062954358</c:v>
                </c:pt>
                <c:pt idx="369">
                  <c:v>25.870159734049562</c:v>
                </c:pt>
                <c:pt idx="370">
                  <c:v>26.010567398824808</c:v>
                </c:pt>
                <c:pt idx="371">
                  <c:v>26.151355057280099</c:v>
                </c:pt>
                <c:pt idx="372">
                  <c:v>26.292522709415433</c:v>
                </c:pt>
                <c:pt idx="373">
                  <c:v>26.434070355230805</c:v>
                </c:pt>
                <c:pt idx="374">
                  <c:v>26.575997994726219</c:v>
                </c:pt>
                <c:pt idx="375">
                  <c:v>26.718305627901671</c:v>
                </c:pt>
                <c:pt idx="376">
                  <c:v>26.860993254757169</c:v>
                </c:pt>
                <c:pt idx="377">
                  <c:v>27.004060875292708</c:v>
                </c:pt>
                <c:pt idx="378">
                  <c:v>27.147508489508283</c:v>
                </c:pt>
                <c:pt idx="379">
                  <c:v>27.291336097403903</c:v>
                </c:pt>
                <c:pt idx="380">
                  <c:v>27.435543698979565</c:v>
                </c:pt>
                <c:pt idx="381">
                  <c:v>27.580131294235269</c:v>
                </c:pt>
                <c:pt idx="382">
                  <c:v>27.725098883171015</c:v>
                </c:pt>
                <c:pt idx="383">
                  <c:v>27.870446465786799</c:v>
                </c:pt>
                <c:pt idx="384">
                  <c:v>28.016174042082625</c:v>
                </c:pt>
                <c:pt idx="385">
                  <c:v>28.162281612058486</c:v>
                </c:pt>
                <c:pt idx="386">
                  <c:v>28.308769175714399</c:v>
                </c:pt>
                <c:pt idx="387">
                  <c:v>28.455636733050355</c:v>
                </c:pt>
                <c:pt idx="388">
                  <c:v>28.602884284066345</c:v>
                </c:pt>
                <c:pt idx="389">
                  <c:v>28.750511828762374</c:v>
                </c:pt>
                <c:pt idx="390">
                  <c:v>28.898519367138441</c:v>
                </c:pt>
                <c:pt idx="391">
                  <c:v>29.046906899194568</c:v>
                </c:pt>
                <c:pt idx="392">
                  <c:v>29.195674424930722</c:v>
                </c:pt>
                <c:pt idx="393">
                  <c:v>29.344821944346915</c:v>
                </c:pt>
                <c:pt idx="394">
                  <c:v>29.49434945744316</c:v>
                </c:pt>
                <c:pt idx="395">
                  <c:v>29.644256964219434</c:v>
                </c:pt>
                <c:pt idx="396">
                  <c:v>29.794544464675759</c:v>
                </c:pt>
                <c:pt idx="397">
                  <c:v>29.945211958812123</c:v>
                </c:pt>
                <c:pt idx="398">
                  <c:v>30.096259446628526</c:v>
                </c:pt>
                <c:pt idx="399">
                  <c:v>30.247686928124974</c:v>
                </c:pt>
                <c:pt idx="400">
                  <c:v>30.399494403301453</c:v>
                </c:pt>
              </c:numCache>
            </c:numRef>
          </c:yVal>
          <c:smooth val="0"/>
          <c:extLst>
            <c:ext xmlns:c16="http://schemas.microsoft.com/office/drawing/2014/chart" uri="{C3380CC4-5D6E-409C-BE32-E72D297353CC}">
              <c16:uniqueId val="{00000000-1DFF-4DFC-B6E9-D86B6FD0EE9D}"/>
            </c:ext>
          </c:extLst>
        </c:ser>
        <c:ser>
          <c:idx val="1"/>
          <c:order val="1"/>
          <c:tx>
            <c:strRef>
              <c:f>'V-N Diagram'!$Q$36</c:f>
              <c:strCache>
                <c:ptCount val="1"/>
                <c:pt idx="0">
                  <c:v>Negative Stall Line</c:v>
                </c:pt>
              </c:strCache>
            </c:strRef>
          </c:tx>
          <c:spPr>
            <a:ln w="25400" cap="rnd">
              <a:solidFill>
                <a:schemeClr val="accent4"/>
              </a:solidFill>
              <a:round/>
            </a:ln>
            <a:effectLst/>
          </c:spPr>
          <c:marker>
            <c:symbol val="none"/>
          </c:marker>
          <c:xVal>
            <c:numRef>
              <c:f>'V-N Diagram'!$O$37:$O$437</c:f>
              <c:numCache>
                <c:formatCode>General</c:formatCode>
                <c:ptCount val="4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numCache>
            </c:numRef>
          </c:xVal>
          <c:yVal>
            <c:numRef>
              <c:f>'V-N Diagram'!$Q$37:$Q$437</c:f>
              <c:numCache>
                <c:formatCode>General</c:formatCode>
                <c:ptCount val="401"/>
                <c:pt idx="0">
                  <c:v>0</c:v>
                </c:pt>
                <c:pt idx="1">
                  <c:v>-8.5458373509933778E-5</c:v>
                </c:pt>
                <c:pt idx="2">
                  <c:v>-3.4183349403973511E-4</c:v>
                </c:pt>
                <c:pt idx="3">
                  <c:v>-7.691253615894041E-4</c:v>
                </c:pt>
                <c:pt idx="4">
                  <c:v>-1.3673339761589404E-3</c:v>
                </c:pt>
                <c:pt idx="5">
                  <c:v>-2.1364593377483443E-3</c:v>
                </c:pt>
                <c:pt idx="6">
                  <c:v>-3.0765014463576164E-3</c:v>
                </c:pt>
                <c:pt idx="7">
                  <c:v>-4.1874603019867555E-3</c:v>
                </c:pt>
                <c:pt idx="8">
                  <c:v>-5.4693359046357618E-3</c:v>
                </c:pt>
                <c:pt idx="9">
                  <c:v>-6.922128254304636E-3</c:v>
                </c:pt>
                <c:pt idx="10">
                  <c:v>-8.5458373509933773E-3</c:v>
                </c:pt>
                <c:pt idx="11">
                  <c:v>-1.0340463194701988E-2</c:v>
                </c:pt>
                <c:pt idx="12">
                  <c:v>-1.2306005785430466E-2</c:v>
                </c:pt>
                <c:pt idx="13">
                  <c:v>-1.4442465123178811E-2</c:v>
                </c:pt>
                <c:pt idx="14">
                  <c:v>-1.6749841207947022E-2</c:v>
                </c:pt>
                <c:pt idx="15">
                  <c:v>-1.9228134039735098E-2</c:v>
                </c:pt>
                <c:pt idx="16">
                  <c:v>-2.1877343618543047E-2</c:v>
                </c:pt>
                <c:pt idx="17">
                  <c:v>-2.4697469944370859E-2</c:v>
                </c:pt>
                <c:pt idx="18">
                  <c:v>-2.7688513017218544E-2</c:v>
                </c:pt>
                <c:pt idx="19">
                  <c:v>-3.0850472837086095E-2</c:v>
                </c:pt>
                <c:pt idx="20">
                  <c:v>-3.4183349403973509E-2</c:v>
                </c:pt>
                <c:pt idx="21">
                  <c:v>-3.7687142717880796E-2</c:v>
                </c:pt>
                <c:pt idx="22">
                  <c:v>-4.1361852778807953E-2</c:v>
                </c:pt>
                <c:pt idx="23">
                  <c:v>-4.5207479586754973E-2</c:v>
                </c:pt>
                <c:pt idx="24">
                  <c:v>-4.9224023141721862E-2</c:v>
                </c:pt>
                <c:pt idx="25">
                  <c:v>-5.3411483443708607E-2</c:v>
                </c:pt>
                <c:pt idx="26">
                  <c:v>-5.7769860492715243E-2</c:v>
                </c:pt>
                <c:pt idx="27">
                  <c:v>-6.2299154288741727E-2</c:v>
                </c:pt>
                <c:pt idx="28">
                  <c:v>-6.6999364831788089E-2</c:v>
                </c:pt>
                <c:pt idx="29">
                  <c:v>-7.1870492121854312E-2</c:v>
                </c:pt>
                <c:pt idx="30">
                  <c:v>-7.6912536158940392E-2</c:v>
                </c:pt>
                <c:pt idx="31">
                  <c:v>-8.2125496943046369E-2</c:v>
                </c:pt>
                <c:pt idx="32">
                  <c:v>-8.7509374474172189E-2</c:v>
                </c:pt>
                <c:pt idx="33">
                  <c:v>-9.3064168752317891E-2</c:v>
                </c:pt>
                <c:pt idx="34">
                  <c:v>-9.8789879777483436E-2</c:v>
                </c:pt>
                <c:pt idx="35">
                  <c:v>-0.10468650754966888</c:v>
                </c:pt>
                <c:pt idx="36">
                  <c:v>-0.11075405206887418</c:v>
                </c:pt>
                <c:pt idx="37">
                  <c:v>-0.11699251333509933</c:v>
                </c:pt>
                <c:pt idx="38">
                  <c:v>-0.12340189134834438</c:v>
                </c:pt>
                <c:pt idx="39">
                  <c:v>-0.12998218610860926</c:v>
                </c:pt>
                <c:pt idx="40">
                  <c:v>-0.13673339761589404</c:v>
                </c:pt>
                <c:pt idx="41">
                  <c:v>-0.1436555258701987</c:v>
                </c:pt>
                <c:pt idx="42">
                  <c:v>-0.15074857087152319</c:v>
                </c:pt>
                <c:pt idx="43">
                  <c:v>-0.15801253261986756</c:v>
                </c:pt>
                <c:pt idx="44">
                  <c:v>-0.16544741111523181</c:v>
                </c:pt>
                <c:pt idx="45">
                  <c:v>-0.1730532063576159</c:v>
                </c:pt>
                <c:pt idx="46">
                  <c:v>-0.18082991834701989</c:v>
                </c:pt>
                <c:pt idx="47">
                  <c:v>-0.18877754708344374</c:v>
                </c:pt>
                <c:pt idx="48">
                  <c:v>-0.19689609256688745</c:v>
                </c:pt>
                <c:pt idx="49">
                  <c:v>-0.20518555479735101</c:v>
                </c:pt>
                <c:pt idx="50">
                  <c:v>-0.21364593377483443</c:v>
                </c:pt>
                <c:pt idx="51">
                  <c:v>-0.22227722949933776</c:v>
                </c:pt>
                <c:pt idx="52">
                  <c:v>-0.23107944197086097</c:v>
                </c:pt>
                <c:pt idx="53">
                  <c:v>-0.24005257118940401</c:v>
                </c:pt>
                <c:pt idx="54">
                  <c:v>-0.24919661715496691</c:v>
                </c:pt>
                <c:pt idx="55">
                  <c:v>-0.25851157986754969</c:v>
                </c:pt>
                <c:pt idx="56">
                  <c:v>-0.26799745932715235</c:v>
                </c:pt>
                <c:pt idx="57">
                  <c:v>-0.27765425553377482</c:v>
                </c:pt>
                <c:pt idx="58">
                  <c:v>-0.28748196848741725</c:v>
                </c:pt>
                <c:pt idx="59">
                  <c:v>-0.29748059818807948</c:v>
                </c:pt>
                <c:pt idx="60">
                  <c:v>-0.30765014463576157</c:v>
                </c:pt>
                <c:pt idx="61">
                  <c:v>-0.31799060783046362</c:v>
                </c:pt>
                <c:pt idx="62">
                  <c:v>-0.32850198777218548</c:v>
                </c:pt>
                <c:pt idx="63">
                  <c:v>-0.33918428446092713</c:v>
                </c:pt>
                <c:pt idx="64">
                  <c:v>-0.35003749789668875</c:v>
                </c:pt>
                <c:pt idx="65">
                  <c:v>-0.36106162807947018</c:v>
                </c:pt>
                <c:pt idx="66">
                  <c:v>-0.37225667500927156</c:v>
                </c:pt>
                <c:pt idx="67">
                  <c:v>-0.3836226386860927</c:v>
                </c:pt>
                <c:pt idx="68">
                  <c:v>-0.39515951910993374</c:v>
                </c:pt>
                <c:pt idx="69">
                  <c:v>-0.4068673162807947</c:v>
                </c:pt>
                <c:pt idx="70">
                  <c:v>-0.41874603019867551</c:v>
                </c:pt>
                <c:pt idx="71">
                  <c:v>-0.43079566086357618</c:v>
                </c:pt>
                <c:pt idx="72">
                  <c:v>-0.4430162082754967</c:v>
                </c:pt>
                <c:pt idx="73">
                  <c:v>-0.45540767243443703</c:v>
                </c:pt>
                <c:pt idx="74">
                  <c:v>-0.46797005334039732</c:v>
                </c:pt>
                <c:pt idx="75">
                  <c:v>-0.48070335099337747</c:v>
                </c:pt>
                <c:pt idx="76">
                  <c:v>-0.49360756539337752</c:v>
                </c:pt>
                <c:pt idx="77">
                  <c:v>-0.50668269654039733</c:v>
                </c:pt>
                <c:pt idx="78">
                  <c:v>-0.51992874443443704</c:v>
                </c:pt>
                <c:pt idx="79">
                  <c:v>-0.53334570907549672</c:v>
                </c:pt>
                <c:pt idx="80">
                  <c:v>-0.54693359046357615</c:v>
                </c:pt>
                <c:pt idx="81">
                  <c:v>-0.56069238859867554</c:v>
                </c:pt>
                <c:pt idx="82">
                  <c:v>-0.57462210348079479</c:v>
                </c:pt>
                <c:pt idx="83">
                  <c:v>-0.58872273510993378</c:v>
                </c:pt>
                <c:pt idx="84">
                  <c:v>-0.60299428348609274</c:v>
                </c:pt>
                <c:pt idx="85">
                  <c:v>-0.61743674860927145</c:v>
                </c:pt>
                <c:pt idx="86">
                  <c:v>-0.63205013047947023</c:v>
                </c:pt>
                <c:pt idx="87">
                  <c:v>-0.64683442909668887</c:v>
                </c:pt>
                <c:pt idx="88">
                  <c:v>-0.66178964446092725</c:v>
                </c:pt>
                <c:pt idx="89">
                  <c:v>-0.67691577657218549</c:v>
                </c:pt>
                <c:pt idx="90">
                  <c:v>-0.69221282543046359</c:v>
                </c:pt>
                <c:pt idx="91">
                  <c:v>-0.70768079103576165</c:v>
                </c:pt>
                <c:pt idx="92">
                  <c:v>-0.72331967338807956</c:v>
                </c:pt>
                <c:pt idx="93">
                  <c:v>-0.73912947248741723</c:v>
                </c:pt>
                <c:pt idx="94">
                  <c:v>-0.75511018833377497</c:v>
                </c:pt>
                <c:pt idx="95">
                  <c:v>-0.77126182092715234</c:v>
                </c:pt>
                <c:pt idx="96">
                  <c:v>-0.78758437026754979</c:v>
                </c:pt>
                <c:pt idx="97">
                  <c:v>-0.80407783635496699</c:v>
                </c:pt>
                <c:pt idx="98">
                  <c:v>-0.82074221918940404</c:v>
                </c:pt>
                <c:pt idx="99">
                  <c:v>-0.83757751877086095</c:v>
                </c:pt>
                <c:pt idx="100">
                  <c:v>-0.85458373509933772</c:v>
                </c:pt>
                <c:pt idx="101">
                  <c:v>-0.87176086817483456</c:v>
                </c:pt>
                <c:pt idx="102">
                  <c:v>-0.88910891799735103</c:v>
                </c:pt>
                <c:pt idx="103">
                  <c:v>-0.90662788456688759</c:v>
                </c:pt>
                <c:pt idx="104">
                  <c:v>-0.92431776788344389</c:v>
                </c:pt>
                <c:pt idx="105">
                  <c:v>-0.94217856794701993</c:v>
                </c:pt>
                <c:pt idx="106">
                  <c:v>-0.96021028475761605</c:v>
                </c:pt>
                <c:pt idx="107">
                  <c:v>-0.97841291831523181</c:v>
                </c:pt>
                <c:pt idx="108">
                  <c:v>-0.99678646861986764</c:v>
                </c:pt>
                <c:pt idx="109">
                  <c:v>-1.0153309356715232</c:v>
                </c:pt>
                <c:pt idx="110">
                  <c:v>-1.0340463194701988</c:v>
                </c:pt>
                <c:pt idx="111">
                  <c:v>-1.0529326200158942</c:v>
                </c:pt>
                <c:pt idx="112">
                  <c:v>-1.0719898373086094</c:v>
                </c:pt>
                <c:pt idx="113">
                  <c:v>-1.0912179713483443</c:v>
                </c:pt>
                <c:pt idx="114">
                  <c:v>-1.1106170221350993</c:v>
                </c:pt>
                <c:pt idx="115">
                  <c:v>-1.1301869896688743</c:v>
                </c:pt>
                <c:pt idx="116">
                  <c:v>-1.149927873949669</c:v>
                </c:pt>
                <c:pt idx="117">
                  <c:v>-1.1698396749774833</c:v>
                </c:pt>
                <c:pt idx="118">
                  <c:v>-1.1899223927523179</c:v>
                </c:pt>
                <c:pt idx="119">
                  <c:v>-1.2101760272741722</c:v>
                </c:pt>
                <c:pt idx="120">
                  <c:v>-1.2306005785430463</c:v>
                </c:pt>
                <c:pt idx="121">
                  <c:v>-1.2511960465589405</c:v>
                </c:pt>
                <c:pt idx="122">
                  <c:v>-1.2719624313218545</c:v>
                </c:pt>
                <c:pt idx="123">
                  <c:v>-1.2928997328317882</c:v>
                </c:pt>
                <c:pt idx="124">
                  <c:v>-1.3140079510887419</c:v>
                </c:pt>
                <c:pt idx="125">
                  <c:v>-1.3352870860927151</c:v>
                </c:pt>
                <c:pt idx="126">
                  <c:v>-1.3567371378437085</c:v>
                </c:pt>
                <c:pt idx="127">
                  <c:v>-1.3783581063417218</c:v>
                </c:pt>
                <c:pt idx="128">
                  <c:v>-1.400149991586755</c:v>
                </c:pt>
                <c:pt idx="129">
                  <c:v>-1.422112793578808</c:v>
                </c:pt>
                <c:pt idx="130">
                  <c:v>-1.4442465123178807</c:v>
                </c:pt>
                <c:pt idx="131">
                  <c:v>-1.4665511478039734</c:v>
                </c:pt>
                <c:pt idx="132">
                  <c:v>-1.4890267000370863</c:v>
                </c:pt>
                <c:pt idx="133">
                  <c:v>-1.5116731690172185</c:v>
                </c:pt>
                <c:pt idx="134">
                  <c:v>-1.5344905547443708</c:v>
                </c:pt>
                <c:pt idx="135">
                  <c:v>-1.5574788572185432</c:v>
                </c:pt>
                <c:pt idx="136">
                  <c:v>-1.580638076439735</c:v>
                </c:pt>
                <c:pt idx="137">
                  <c:v>-1.6039682124079471</c:v>
                </c:pt>
                <c:pt idx="138">
                  <c:v>-1.6274692651231788</c:v>
                </c:pt>
                <c:pt idx="139">
                  <c:v>-1.6511412345854304</c:v>
                </c:pt>
                <c:pt idx="140">
                  <c:v>-1.674984120794702</c:v>
                </c:pt>
                <c:pt idx="141">
                  <c:v>-1.6989979237509933</c:v>
                </c:pt>
                <c:pt idx="142">
                  <c:v>-1.7231826434543047</c:v>
                </c:pt>
                <c:pt idx="143">
                  <c:v>-1.7475382799046357</c:v>
                </c:pt>
                <c:pt idx="144">
                  <c:v>-1.7720648331019868</c:v>
                </c:pt>
                <c:pt idx="145">
                  <c:v>-1.7967623030463575</c:v>
                </c:pt>
                <c:pt idx="146">
                  <c:v>-1.8216306897377481</c:v>
                </c:pt>
                <c:pt idx="147">
                  <c:v>-1.8466699931761588</c:v>
                </c:pt>
                <c:pt idx="148">
                  <c:v>-1.8718802133615893</c:v>
                </c:pt>
                <c:pt idx="149">
                  <c:v>-1.8972613502940399</c:v>
                </c:pt>
                <c:pt idx="150">
                  <c:v>-1.9228134039735099</c:v>
                </c:pt>
                <c:pt idx="151">
                  <c:v>-1.9485363743999997</c:v>
                </c:pt>
                <c:pt idx="152">
                  <c:v>-1.9744302615735101</c:v>
                </c:pt>
                <c:pt idx="153">
                  <c:v>-2.0004950654940399</c:v>
                </c:pt>
                <c:pt idx="154">
                  <c:v>-2.0267307861615893</c:v>
                </c:pt>
                <c:pt idx="155">
                  <c:v>-2.053137423576159</c:v>
                </c:pt>
                <c:pt idx="156">
                  <c:v>-2.0797149777377482</c:v>
                </c:pt>
                <c:pt idx="157">
                  <c:v>-2.1064634486463576</c:v>
                </c:pt>
                <c:pt idx="158">
                  <c:v>-2.1333828363019869</c:v>
                </c:pt>
                <c:pt idx="159">
                  <c:v>-2.160473140704636</c:v>
                </c:pt>
                <c:pt idx="160">
                  <c:v>-2.1877343618543046</c:v>
                </c:pt>
                <c:pt idx="161">
                  <c:v>-2.2151664997509934</c:v>
                </c:pt>
                <c:pt idx="162">
                  <c:v>-2.2427695543947022</c:v>
                </c:pt>
                <c:pt idx="163">
                  <c:v>-2.2705435257854307</c:v>
                </c:pt>
                <c:pt idx="164">
                  <c:v>-2.2984884139231792</c:v>
                </c:pt>
                <c:pt idx="165">
                  <c:v>-2.326604218807947</c:v>
                </c:pt>
                <c:pt idx="166">
                  <c:v>-2.3548909404397351</c:v>
                </c:pt>
                <c:pt idx="167">
                  <c:v>-2.3833485788185431</c:v>
                </c:pt>
                <c:pt idx="168">
                  <c:v>-2.411977133944371</c:v>
                </c:pt>
                <c:pt idx="169">
                  <c:v>-2.4407766058172187</c:v>
                </c:pt>
                <c:pt idx="170">
                  <c:v>-2.4697469944370858</c:v>
                </c:pt>
                <c:pt idx="171">
                  <c:v>-2.4988882998039736</c:v>
                </c:pt>
                <c:pt idx="172">
                  <c:v>-2.5282005219178809</c:v>
                </c:pt>
                <c:pt idx="173">
                  <c:v>-2.557683660778808</c:v>
                </c:pt>
                <c:pt idx="174">
                  <c:v>-2.5873377163867555</c:v>
                </c:pt>
                <c:pt idx="175">
                  <c:v>-2.6171626887417219</c:v>
                </c:pt>
                <c:pt idx="176">
                  <c:v>-2.647158577843709</c:v>
                </c:pt>
                <c:pt idx="177">
                  <c:v>-2.6773253836927151</c:v>
                </c:pt>
                <c:pt idx="178">
                  <c:v>-2.707663106288742</c:v>
                </c:pt>
                <c:pt idx="179">
                  <c:v>-2.7381717456317882</c:v>
                </c:pt>
                <c:pt idx="180">
                  <c:v>-2.7688513017218543</c:v>
                </c:pt>
                <c:pt idx="181">
                  <c:v>-2.7997017745589408</c:v>
                </c:pt>
                <c:pt idx="182">
                  <c:v>-2.8307231641430466</c:v>
                </c:pt>
                <c:pt idx="183">
                  <c:v>-2.8619154704741723</c:v>
                </c:pt>
                <c:pt idx="184">
                  <c:v>-2.8932786935523183</c:v>
                </c:pt>
                <c:pt idx="185">
                  <c:v>-2.9248128333774832</c:v>
                </c:pt>
                <c:pt idx="186">
                  <c:v>-2.9565178899496689</c:v>
                </c:pt>
                <c:pt idx="187">
                  <c:v>-2.9883938632688745</c:v>
                </c:pt>
                <c:pt idx="188">
                  <c:v>-3.0204407533350999</c:v>
                </c:pt>
                <c:pt idx="189">
                  <c:v>-3.0526585601483447</c:v>
                </c:pt>
                <c:pt idx="190">
                  <c:v>-3.0850472837086094</c:v>
                </c:pt>
                <c:pt idx="191">
                  <c:v>-3.1176069240158943</c:v>
                </c:pt>
                <c:pt idx="192">
                  <c:v>-3.1503374810701992</c:v>
                </c:pt>
                <c:pt idx="193">
                  <c:v>-3.1832389548715234</c:v>
                </c:pt>
                <c:pt idx="194">
                  <c:v>-3.216311345419868</c:v>
                </c:pt>
                <c:pt idx="195">
                  <c:v>-3.2495546527152319</c:v>
                </c:pt>
                <c:pt idx="196">
                  <c:v>-3.2829688767576162</c:v>
                </c:pt>
                <c:pt idx="197">
                  <c:v>-3.3165540175470203</c:v>
                </c:pt>
                <c:pt idx="198">
                  <c:v>-3.3503100750834438</c:v>
                </c:pt>
                <c:pt idx="199">
                  <c:v>-3.3842370493668876</c:v>
                </c:pt>
                <c:pt idx="200">
                  <c:v>-3.4183349403973509</c:v>
                </c:pt>
                <c:pt idx="201">
                  <c:v>-3.4526037481748344</c:v>
                </c:pt>
                <c:pt idx="202">
                  <c:v>-3.4870434726993382</c:v>
                </c:pt>
                <c:pt idx="203">
                  <c:v>-3.5216541139708615</c:v>
                </c:pt>
                <c:pt idx="204">
                  <c:v>-3.5564356719894041</c:v>
                </c:pt>
                <c:pt idx="205">
                  <c:v>-3.5913881467549666</c:v>
                </c:pt>
                <c:pt idx="206">
                  <c:v>-3.6265115382675503</c:v>
                </c:pt>
                <c:pt idx="207">
                  <c:v>-3.6618058465271521</c:v>
                </c:pt>
                <c:pt idx="208">
                  <c:v>-3.6972710715337755</c:v>
                </c:pt>
                <c:pt idx="209">
                  <c:v>-3.7329072132874179</c:v>
                </c:pt>
                <c:pt idx="210">
                  <c:v>-3.7687142717880797</c:v>
                </c:pt>
                <c:pt idx="211">
                  <c:v>-3.8046922470357614</c:v>
                </c:pt>
                <c:pt idx="212">
                  <c:v>-3.8408411390304642</c:v>
                </c:pt>
                <c:pt idx="213">
                  <c:v>-3.8771609477721856</c:v>
                </c:pt>
                <c:pt idx="214">
                  <c:v>-3.9136516732609272</c:v>
                </c:pt>
                <c:pt idx="215">
                  <c:v>-3.9503133154966887</c:v>
                </c:pt>
                <c:pt idx="216">
                  <c:v>-3.9871458744794706</c:v>
                </c:pt>
                <c:pt idx="217">
                  <c:v>-4.0241493502092718</c:v>
                </c:pt>
                <c:pt idx="218">
                  <c:v>-4.0613237426860929</c:v>
                </c:pt>
                <c:pt idx="219">
                  <c:v>-4.0986690519099342</c:v>
                </c:pt>
                <c:pt idx="220">
                  <c:v>-4.136185277880795</c:v>
                </c:pt>
                <c:pt idx="221">
                  <c:v>-4.1738724205986752</c:v>
                </c:pt>
                <c:pt idx="222">
                  <c:v>-4.2117304800635766</c:v>
                </c:pt>
                <c:pt idx="223">
                  <c:v>-4.2497594562754974</c:v>
                </c:pt>
                <c:pt idx="224">
                  <c:v>-4.2879593492344377</c:v>
                </c:pt>
                <c:pt idx="225">
                  <c:v>-4.3263301589403973</c:v>
                </c:pt>
                <c:pt idx="226">
                  <c:v>-4.3648718853933772</c:v>
                </c:pt>
                <c:pt idx="227">
                  <c:v>-4.4035845285933775</c:v>
                </c:pt>
                <c:pt idx="228">
                  <c:v>-4.4424680885403971</c:v>
                </c:pt>
                <c:pt idx="229">
                  <c:v>-4.481522565234437</c:v>
                </c:pt>
                <c:pt idx="230">
                  <c:v>-4.5207479586754973</c:v>
                </c:pt>
                <c:pt idx="231">
                  <c:v>-4.560144268863576</c:v>
                </c:pt>
                <c:pt idx="232">
                  <c:v>-4.599711495798676</c:v>
                </c:pt>
                <c:pt idx="233">
                  <c:v>-4.6394496394807945</c:v>
                </c:pt>
                <c:pt idx="234">
                  <c:v>-4.6793586999099333</c:v>
                </c:pt>
                <c:pt idx="235">
                  <c:v>-4.7194386770860923</c:v>
                </c:pt>
                <c:pt idx="236">
                  <c:v>-4.7596895710092717</c:v>
                </c:pt>
                <c:pt idx="237">
                  <c:v>-4.8001113816794705</c:v>
                </c:pt>
                <c:pt idx="238">
                  <c:v>-4.8407041090966887</c:v>
                </c:pt>
                <c:pt idx="239">
                  <c:v>-4.8814677532609272</c:v>
                </c:pt>
                <c:pt idx="240">
                  <c:v>-4.9224023141721851</c:v>
                </c:pt>
                <c:pt idx="241">
                  <c:v>-4.9635077918304633</c:v>
                </c:pt>
                <c:pt idx="242">
                  <c:v>-5.0047841862357618</c:v>
                </c:pt>
                <c:pt idx="243">
                  <c:v>-5.0462314973880797</c:v>
                </c:pt>
                <c:pt idx="244">
                  <c:v>-5.087849725287418</c:v>
                </c:pt>
                <c:pt idx="245">
                  <c:v>-5.1296388699337747</c:v>
                </c:pt>
                <c:pt idx="246">
                  <c:v>-5.1715989313271526</c:v>
                </c:pt>
                <c:pt idx="247">
                  <c:v>-5.21372990946755</c:v>
                </c:pt>
                <c:pt idx="248">
                  <c:v>-5.2560318043549676</c:v>
                </c:pt>
                <c:pt idx="249">
                  <c:v>-5.2985046159894047</c:v>
                </c:pt>
                <c:pt idx="250">
                  <c:v>-5.3411483443708603</c:v>
                </c:pt>
                <c:pt idx="251">
                  <c:v>-5.3839629894993379</c:v>
                </c:pt>
                <c:pt idx="252">
                  <c:v>-5.4269485513748341</c:v>
                </c:pt>
                <c:pt idx="253">
                  <c:v>-5.4701050299973515</c:v>
                </c:pt>
                <c:pt idx="254">
                  <c:v>-5.5134324253668874</c:v>
                </c:pt>
                <c:pt idx="255">
                  <c:v>-5.5569307374834436</c:v>
                </c:pt>
                <c:pt idx="256">
                  <c:v>-5.6005999663470201</c:v>
                </c:pt>
                <c:pt idx="257">
                  <c:v>-5.644440111957616</c:v>
                </c:pt>
                <c:pt idx="258">
                  <c:v>-5.6884511743152322</c:v>
                </c:pt>
                <c:pt idx="259">
                  <c:v>-5.7326331534198678</c:v>
                </c:pt>
                <c:pt idx="260">
                  <c:v>-5.7769860492715228</c:v>
                </c:pt>
                <c:pt idx="261">
                  <c:v>-5.821509861870199</c:v>
                </c:pt>
                <c:pt idx="262">
                  <c:v>-5.8662045912158938</c:v>
                </c:pt>
                <c:pt idx="263">
                  <c:v>-5.9110702373086097</c:v>
                </c:pt>
                <c:pt idx="264">
                  <c:v>-5.956106800148345</c:v>
                </c:pt>
                <c:pt idx="265">
                  <c:v>-6.0013142797350998</c:v>
                </c:pt>
                <c:pt idx="266">
                  <c:v>-6.046692676068874</c:v>
                </c:pt>
                <c:pt idx="267">
                  <c:v>-6.0922419891496684</c:v>
                </c:pt>
                <c:pt idx="268">
                  <c:v>-6.1379622189774832</c:v>
                </c:pt>
                <c:pt idx="269">
                  <c:v>-6.1838533655523182</c:v>
                </c:pt>
                <c:pt idx="270">
                  <c:v>-6.2299154288741727</c:v>
                </c:pt>
                <c:pt idx="271">
                  <c:v>-6.2761484089430466</c:v>
                </c:pt>
                <c:pt idx="272">
                  <c:v>-6.3225523057589399</c:v>
                </c:pt>
                <c:pt idx="273">
                  <c:v>-6.3691271193218544</c:v>
                </c:pt>
                <c:pt idx="274">
                  <c:v>-6.4158728496317883</c:v>
                </c:pt>
                <c:pt idx="275">
                  <c:v>-6.4627894966887416</c:v>
                </c:pt>
                <c:pt idx="276">
                  <c:v>-6.5098770604927152</c:v>
                </c:pt>
                <c:pt idx="277">
                  <c:v>-6.5571355410437082</c:v>
                </c:pt>
                <c:pt idx="278">
                  <c:v>-6.6045649383417215</c:v>
                </c:pt>
                <c:pt idx="279">
                  <c:v>-6.6521652523867552</c:v>
                </c:pt>
                <c:pt idx="280">
                  <c:v>-6.6999364831788082</c:v>
                </c:pt>
                <c:pt idx="281">
                  <c:v>-6.7478786307178806</c:v>
                </c:pt>
                <c:pt idx="282">
                  <c:v>-6.7959916950039734</c:v>
                </c:pt>
                <c:pt idx="283">
                  <c:v>-6.8442756760370864</c:v>
                </c:pt>
                <c:pt idx="284">
                  <c:v>-6.8927305738172189</c:v>
                </c:pt>
                <c:pt idx="285">
                  <c:v>-6.9413563883443707</c:v>
                </c:pt>
                <c:pt idx="286">
                  <c:v>-6.9901531196185429</c:v>
                </c:pt>
                <c:pt idx="287">
                  <c:v>-7.0391207676397354</c:v>
                </c:pt>
                <c:pt idx="288">
                  <c:v>-7.0882593324079473</c:v>
                </c:pt>
                <c:pt idx="289">
                  <c:v>-7.1375688139231794</c:v>
                </c:pt>
                <c:pt idx="290">
                  <c:v>-7.1870492121854301</c:v>
                </c:pt>
                <c:pt idx="291">
                  <c:v>-7.2367005271947011</c:v>
                </c:pt>
                <c:pt idx="292">
                  <c:v>-7.2865227589509924</c:v>
                </c:pt>
                <c:pt idx="293">
                  <c:v>-7.336515907454304</c:v>
                </c:pt>
                <c:pt idx="294">
                  <c:v>-7.3866799727046351</c:v>
                </c:pt>
                <c:pt idx="295">
                  <c:v>-7.4370149547019873</c:v>
                </c:pt>
                <c:pt idx="296">
                  <c:v>-7.4875208534463571</c:v>
                </c:pt>
                <c:pt idx="297">
                  <c:v>-7.5381976689377472</c:v>
                </c:pt>
                <c:pt idx="298">
                  <c:v>-7.5890454011761594</c:v>
                </c:pt>
                <c:pt idx="299">
                  <c:v>-7.6400640501615902</c:v>
                </c:pt>
                <c:pt idx="300">
                  <c:v>-7.6912536158940394</c:v>
                </c:pt>
                <c:pt idx="301">
                  <c:v>-7.7426140983735099</c:v>
                </c:pt>
                <c:pt idx="302">
                  <c:v>-7.7941454975999989</c:v>
                </c:pt>
                <c:pt idx="303">
                  <c:v>-7.845847813573509</c:v>
                </c:pt>
                <c:pt idx="304">
                  <c:v>-7.8977210462940404</c:v>
                </c:pt>
                <c:pt idx="305">
                  <c:v>-7.9497651957615902</c:v>
                </c:pt>
                <c:pt idx="306">
                  <c:v>-8.0019802619761595</c:v>
                </c:pt>
                <c:pt idx="307">
                  <c:v>-8.0543662449377482</c:v>
                </c:pt>
                <c:pt idx="308">
                  <c:v>-8.1069231446463572</c:v>
                </c:pt>
                <c:pt idx="309">
                  <c:v>-8.1596509611019883</c:v>
                </c:pt>
                <c:pt idx="310">
                  <c:v>-8.2125496943046361</c:v>
                </c:pt>
                <c:pt idx="311">
                  <c:v>-8.265619344254306</c:v>
                </c:pt>
                <c:pt idx="312">
                  <c:v>-8.3188599109509926</c:v>
                </c:pt>
                <c:pt idx="313">
                  <c:v>-8.3722713943947014</c:v>
                </c:pt>
                <c:pt idx="314">
                  <c:v>-8.4258537945854304</c:v>
                </c:pt>
                <c:pt idx="315">
                  <c:v>-8.4796071115231779</c:v>
                </c:pt>
                <c:pt idx="316">
                  <c:v>-8.5335313452079475</c:v>
                </c:pt>
                <c:pt idx="317">
                  <c:v>-8.5876264956397375</c:v>
                </c:pt>
                <c:pt idx="318">
                  <c:v>-8.6418925628185441</c:v>
                </c:pt>
                <c:pt idx="319">
                  <c:v>-8.6963295467443711</c:v>
                </c:pt>
                <c:pt idx="320">
                  <c:v>-8.7509374474172184</c:v>
                </c:pt>
                <c:pt idx="321">
                  <c:v>-8.8057162648370859</c:v>
                </c:pt>
                <c:pt idx="322">
                  <c:v>-8.8606659990039738</c:v>
                </c:pt>
                <c:pt idx="323">
                  <c:v>-8.9157866499178819</c:v>
                </c:pt>
                <c:pt idx="324">
                  <c:v>-8.9710782175788086</c:v>
                </c:pt>
                <c:pt idx="325">
                  <c:v>-9.0265407019867538</c:v>
                </c:pt>
                <c:pt idx="326">
                  <c:v>-9.0821741031417229</c:v>
                </c:pt>
                <c:pt idx="327">
                  <c:v>-9.1379784210437087</c:v>
                </c:pt>
                <c:pt idx="328">
                  <c:v>-9.1939536556927166</c:v>
                </c:pt>
                <c:pt idx="329">
                  <c:v>-9.250099807088743</c:v>
                </c:pt>
                <c:pt idx="330">
                  <c:v>-9.306416875231788</c:v>
                </c:pt>
                <c:pt idx="331">
                  <c:v>-9.362904860121855</c:v>
                </c:pt>
                <c:pt idx="332">
                  <c:v>-9.4195637617589405</c:v>
                </c:pt>
                <c:pt idx="333">
                  <c:v>-9.4763935801430463</c:v>
                </c:pt>
                <c:pt idx="334">
                  <c:v>-9.5333943152741725</c:v>
                </c:pt>
                <c:pt idx="335">
                  <c:v>-9.5905659671523171</c:v>
                </c:pt>
                <c:pt idx="336">
                  <c:v>-9.6479085357774839</c:v>
                </c:pt>
                <c:pt idx="337">
                  <c:v>-9.7054220211496709</c:v>
                </c:pt>
                <c:pt idx="338">
                  <c:v>-9.7631064232688747</c:v>
                </c:pt>
                <c:pt idx="339">
                  <c:v>-9.8209617421351005</c:v>
                </c:pt>
                <c:pt idx="340">
                  <c:v>-9.8789879777483431</c:v>
                </c:pt>
                <c:pt idx="341">
                  <c:v>-9.9371851301086096</c:v>
                </c:pt>
                <c:pt idx="342">
                  <c:v>-9.9955531992158946</c:v>
                </c:pt>
                <c:pt idx="343">
                  <c:v>-10.054092185070198</c:v>
                </c:pt>
                <c:pt idx="344">
                  <c:v>-10.112802087671524</c:v>
                </c:pt>
                <c:pt idx="345">
                  <c:v>-10.171682907019868</c:v>
                </c:pt>
                <c:pt idx="346">
                  <c:v>-10.230734643115232</c:v>
                </c:pt>
                <c:pt idx="347">
                  <c:v>-10.289957295957617</c:v>
                </c:pt>
                <c:pt idx="348">
                  <c:v>-10.349350865547022</c:v>
                </c:pt>
                <c:pt idx="349">
                  <c:v>-10.408915351883444</c:v>
                </c:pt>
                <c:pt idx="350">
                  <c:v>-10.468650754966887</c:v>
                </c:pt>
                <c:pt idx="351">
                  <c:v>-10.52855707479735</c:v>
                </c:pt>
                <c:pt idx="352">
                  <c:v>-10.588634311374836</c:v>
                </c:pt>
                <c:pt idx="353">
                  <c:v>-10.648882464699339</c:v>
                </c:pt>
                <c:pt idx="354">
                  <c:v>-10.70930153477086</c:v>
                </c:pt>
                <c:pt idx="355">
                  <c:v>-10.769891521589404</c:v>
                </c:pt>
                <c:pt idx="356">
                  <c:v>-10.830652425154968</c:v>
                </c:pt>
                <c:pt idx="357">
                  <c:v>-10.89158424546755</c:v>
                </c:pt>
                <c:pt idx="358">
                  <c:v>-10.952686982527153</c:v>
                </c:pt>
                <c:pt idx="359">
                  <c:v>-11.013960636333776</c:v>
                </c:pt>
                <c:pt idx="360">
                  <c:v>-11.075405206887417</c:v>
                </c:pt>
                <c:pt idx="361">
                  <c:v>-11.137020694188079</c:v>
                </c:pt>
                <c:pt idx="362">
                  <c:v>-11.198807098235763</c:v>
                </c:pt>
                <c:pt idx="363">
                  <c:v>-11.260764419030465</c:v>
                </c:pt>
                <c:pt idx="364">
                  <c:v>-11.322892656572186</c:v>
                </c:pt>
                <c:pt idx="365">
                  <c:v>-11.385191810860926</c:v>
                </c:pt>
                <c:pt idx="366">
                  <c:v>-11.447661881896689</c:v>
                </c:pt>
                <c:pt idx="367">
                  <c:v>-11.510302869679471</c:v>
                </c:pt>
                <c:pt idx="368">
                  <c:v>-11.573114774209273</c:v>
                </c:pt>
                <c:pt idx="369">
                  <c:v>-11.636097595486094</c:v>
                </c:pt>
                <c:pt idx="370">
                  <c:v>-11.699251333509933</c:v>
                </c:pt>
                <c:pt idx="371">
                  <c:v>-11.762575988280794</c:v>
                </c:pt>
                <c:pt idx="372">
                  <c:v>-11.826071559798676</c:v>
                </c:pt>
                <c:pt idx="373">
                  <c:v>-11.889738048063577</c:v>
                </c:pt>
                <c:pt idx="374">
                  <c:v>-11.953575453075498</c:v>
                </c:pt>
                <c:pt idx="375">
                  <c:v>-12.017583774834437</c:v>
                </c:pt>
                <c:pt idx="376">
                  <c:v>-12.081763013340399</c:v>
                </c:pt>
                <c:pt idx="377">
                  <c:v>-12.146113168593379</c:v>
                </c:pt>
                <c:pt idx="378">
                  <c:v>-12.210634240593379</c:v>
                </c:pt>
                <c:pt idx="379">
                  <c:v>-12.275326229340399</c:v>
                </c:pt>
                <c:pt idx="380">
                  <c:v>-12.340189134834437</c:v>
                </c:pt>
                <c:pt idx="381">
                  <c:v>-12.405222957075498</c:v>
                </c:pt>
                <c:pt idx="382">
                  <c:v>-12.470427696063577</c:v>
                </c:pt>
                <c:pt idx="383">
                  <c:v>-12.535803351798677</c:v>
                </c:pt>
                <c:pt idx="384">
                  <c:v>-12.601349924280797</c:v>
                </c:pt>
                <c:pt idx="385">
                  <c:v>-12.667067413509933</c:v>
                </c:pt>
                <c:pt idx="386">
                  <c:v>-12.732955819486094</c:v>
                </c:pt>
                <c:pt idx="387">
                  <c:v>-12.799015142209273</c:v>
                </c:pt>
                <c:pt idx="388">
                  <c:v>-12.865245381679472</c:v>
                </c:pt>
                <c:pt idx="389">
                  <c:v>-12.93164653789669</c:v>
                </c:pt>
                <c:pt idx="390">
                  <c:v>-12.998218610860928</c:v>
                </c:pt>
                <c:pt idx="391">
                  <c:v>-13.064961600572188</c:v>
                </c:pt>
                <c:pt idx="392">
                  <c:v>-13.131875507030465</c:v>
                </c:pt>
                <c:pt idx="393">
                  <c:v>-13.198960330235762</c:v>
                </c:pt>
                <c:pt idx="394">
                  <c:v>-13.266216070188081</c:v>
                </c:pt>
                <c:pt idx="395">
                  <c:v>-13.333642726887417</c:v>
                </c:pt>
                <c:pt idx="396">
                  <c:v>-13.401240300333775</c:v>
                </c:pt>
                <c:pt idx="397">
                  <c:v>-13.469008790527154</c:v>
                </c:pt>
                <c:pt idx="398">
                  <c:v>-13.536948197467551</c:v>
                </c:pt>
                <c:pt idx="399">
                  <c:v>-13.605058521154969</c:v>
                </c:pt>
                <c:pt idx="400">
                  <c:v>-13.673339761589403</c:v>
                </c:pt>
              </c:numCache>
            </c:numRef>
          </c:yVal>
          <c:smooth val="0"/>
          <c:extLst>
            <c:ext xmlns:c16="http://schemas.microsoft.com/office/drawing/2014/chart" uri="{C3380CC4-5D6E-409C-BE32-E72D297353CC}">
              <c16:uniqueId val="{00000001-1DFF-4DFC-B6E9-D86B6FD0EE9D}"/>
            </c:ext>
          </c:extLst>
        </c:ser>
        <c:ser>
          <c:idx val="2"/>
          <c:order val="2"/>
          <c:tx>
            <c:strRef>
              <c:f>'V-N Diagram'!$R$36</c:f>
              <c:strCache>
                <c:ptCount val="1"/>
                <c:pt idx="0">
                  <c:v>ng1</c:v>
                </c:pt>
              </c:strCache>
            </c:strRef>
          </c:tx>
          <c:spPr>
            <a:ln w="25400" cap="rnd">
              <a:solidFill>
                <a:schemeClr val="accent4"/>
              </a:solidFill>
              <a:prstDash val="solid"/>
              <a:round/>
            </a:ln>
            <a:effectLst/>
          </c:spPr>
          <c:marker>
            <c:symbol val="none"/>
          </c:marker>
          <c:xVal>
            <c:numRef>
              <c:f>'V-N Diagram'!$O$37:$O$437</c:f>
              <c:numCache>
                <c:formatCode>General</c:formatCode>
                <c:ptCount val="4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numCache>
            </c:numRef>
          </c:xVal>
          <c:yVal>
            <c:numRef>
              <c:f>'V-N Diagram'!$R$37:$R$437</c:f>
              <c:numCache>
                <c:formatCode>General</c:formatCode>
                <c:ptCount val="401"/>
                <c:pt idx="0">
                  <c:v>1</c:v>
                </c:pt>
                <c:pt idx="1">
                  <c:v>0.98793125808571358</c:v>
                </c:pt>
                <c:pt idx="2">
                  <c:v>0.97586251617142727</c:v>
                </c:pt>
                <c:pt idx="3">
                  <c:v>0.96379377425714097</c:v>
                </c:pt>
                <c:pt idx="4">
                  <c:v>0.95172503234285455</c:v>
                </c:pt>
                <c:pt idx="5">
                  <c:v>0.93965629042856813</c:v>
                </c:pt>
                <c:pt idx="6">
                  <c:v>0.92758754851428182</c:v>
                </c:pt>
                <c:pt idx="7">
                  <c:v>0.91551880659999541</c:v>
                </c:pt>
                <c:pt idx="8">
                  <c:v>0.9034500646857091</c:v>
                </c:pt>
                <c:pt idx="9">
                  <c:v>0.89138132277142268</c:v>
                </c:pt>
                <c:pt idx="10">
                  <c:v>0.87931258085713637</c:v>
                </c:pt>
                <c:pt idx="11">
                  <c:v>0.86724383894284995</c:v>
                </c:pt>
                <c:pt idx="12">
                  <c:v>0.85517509702856365</c:v>
                </c:pt>
                <c:pt idx="13">
                  <c:v>0.84310635511427723</c:v>
                </c:pt>
                <c:pt idx="14">
                  <c:v>0.83103761319999092</c:v>
                </c:pt>
                <c:pt idx="15">
                  <c:v>0.8189688712857045</c:v>
                </c:pt>
                <c:pt idx="16">
                  <c:v>0.8069001293714182</c:v>
                </c:pt>
                <c:pt idx="17">
                  <c:v>0.79483138745713178</c:v>
                </c:pt>
                <c:pt idx="18">
                  <c:v>0.78276264554284536</c:v>
                </c:pt>
                <c:pt idx="19">
                  <c:v>0.77069390362855905</c:v>
                </c:pt>
                <c:pt idx="20">
                  <c:v>0.75862516171427274</c:v>
                </c:pt>
                <c:pt idx="21">
                  <c:v>0.74655641979998633</c:v>
                </c:pt>
                <c:pt idx="22">
                  <c:v>0.73448767788569991</c:v>
                </c:pt>
                <c:pt idx="23">
                  <c:v>0.72241893597141371</c:v>
                </c:pt>
                <c:pt idx="24">
                  <c:v>0.71035019405712729</c:v>
                </c:pt>
                <c:pt idx="25">
                  <c:v>0.69828145214284087</c:v>
                </c:pt>
                <c:pt idx="26">
                  <c:v>0.68621271022855446</c:v>
                </c:pt>
                <c:pt idx="27">
                  <c:v>0.67414396831426815</c:v>
                </c:pt>
                <c:pt idx="28">
                  <c:v>0.66207522639998184</c:v>
                </c:pt>
                <c:pt idx="29">
                  <c:v>0.65000648448569542</c:v>
                </c:pt>
                <c:pt idx="30">
                  <c:v>0.63793774257140901</c:v>
                </c:pt>
                <c:pt idx="31">
                  <c:v>0.62586900065712281</c:v>
                </c:pt>
                <c:pt idx="32">
                  <c:v>0.61380025874283639</c:v>
                </c:pt>
                <c:pt idx="33">
                  <c:v>0.60173151682854997</c:v>
                </c:pt>
                <c:pt idx="34">
                  <c:v>0.58966277491426367</c:v>
                </c:pt>
                <c:pt idx="35">
                  <c:v>0.57759403299997725</c:v>
                </c:pt>
                <c:pt idx="36">
                  <c:v>0.56552529108569083</c:v>
                </c:pt>
                <c:pt idx="37">
                  <c:v>0.55345654917140452</c:v>
                </c:pt>
                <c:pt idx="38">
                  <c:v>0.5413878072571181</c:v>
                </c:pt>
                <c:pt idx="39">
                  <c:v>0.5293190653428318</c:v>
                </c:pt>
                <c:pt idx="40">
                  <c:v>0.51725032342854538</c:v>
                </c:pt>
                <c:pt idx="41">
                  <c:v>0.50518158151425907</c:v>
                </c:pt>
                <c:pt idx="42">
                  <c:v>0.49311283959997276</c:v>
                </c:pt>
                <c:pt idx="43">
                  <c:v>0.48104409768568634</c:v>
                </c:pt>
                <c:pt idx="44">
                  <c:v>0.46897535577139993</c:v>
                </c:pt>
                <c:pt idx="45">
                  <c:v>0.45690661385711362</c:v>
                </c:pt>
                <c:pt idx="46">
                  <c:v>0.44483787194282731</c:v>
                </c:pt>
                <c:pt idx="47">
                  <c:v>0.43276913002854089</c:v>
                </c:pt>
                <c:pt idx="48">
                  <c:v>0.42070038811425459</c:v>
                </c:pt>
                <c:pt idx="49">
                  <c:v>0.40863164619996817</c:v>
                </c:pt>
                <c:pt idx="50">
                  <c:v>0.39656290428568186</c:v>
                </c:pt>
                <c:pt idx="51">
                  <c:v>0.38449416237139544</c:v>
                </c:pt>
                <c:pt idx="52">
                  <c:v>0.37242542045710902</c:v>
                </c:pt>
                <c:pt idx="53">
                  <c:v>0.36035667854282261</c:v>
                </c:pt>
                <c:pt idx="54">
                  <c:v>0.3482879366285363</c:v>
                </c:pt>
                <c:pt idx="55">
                  <c:v>0.33621919471424988</c:v>
                </c:pt>
                <c:pt idx="56">
                  <c:v>0.32415045279996357</c:v>
                </c:pt>
                <c:pt idx="57">
                  <c:v>0.31208171088567715</c:v>
                </c:pt>
                <c:pt idx="58">
                  <c:v>0.30001296897139085</c:v>
                </c:pt>
                <c:pt idx="59">
                  <c:v>0.28794422705710454</c:v>
                </c:pt>
                <c:pt idx="60">
                  <c:v>0.27587548514281801</c:v>
                </c:pt>
                <c:pt idx="61">
                  <c:v>0.2638067432285317</c:v>
                </c:pt>
                <c:pt idx="62">
                  <c:v>0.25173800131424551</c:v>
                </c:pt>
                <c:pt idx="63">
                  <c:v>0.23966925939995898</c:v>
                </c:pt>
                <c:pt idx="64">
                  <c:v>0.22760051748567267</c:v>
                </c:pt>
                <c:pt idx="65">
                  <c:v>0.21553177557138636</c:v>
                </c:pt>
                <c:pt idx="66">
                  <c:v>0.20346303365709995</c:v>
                </c:pt>
                <c:pt idx="67">
                  <c:v>0.19139429174281364</c:v>
                </c:pt>
                <c:pt idx="68">
                  <c:v>0.17932554982852733</c:v>
                </c:pt>
                <c:pt idx="69">
                  <c:v>0.1672568079142408</c:v>
                </c:pt>
                <c:pt idx="70">
                  <c:v>0.15518806599995449</c:v>
                </c:pt>
                <c:pt idx="71">
                  <c:v>0.14311932408566796</c:v>
                </c:pt>
                <c:pt idx="72">
                  <c:v>0.13105058217138166</c:v>
                </c:pt>
                <c:pt idx="73">
                  <c:v>0.11898184025709535</c:v>
                </c:pt>
                <c:pt idx="74">
                  <c:v>0.10691309834280893</c:v>
                </c:pt>
                <c:pt idx="75">
                  <c:v>9.4844356428522625E-2</c:v>
                </c:pt>
                <c:pt idx="76">
                  <c:v>8.2775614514236318E-2</c:v>
                </c:pt>
                <c:pt idx="77">
                  <c:v>7.0706872599949899E-2</c:v>
                </c:pt>
                <c:pt idx="78">
                  <c:v>5.8638130685663592E-2</c:v>
                </c:pt>
                <c:pt idx="79">
                  <c:v>4.6569388771377285E-2</c:v>
                </c:pt>
                <c:pt idx="80">
                  <c:v>3.4500646857090755E-2</c:v>
                </c:pt>
                <c:pt idx="81">
                  <c:v>2.2431904942804448E-2</c:v>
                </c:pt>
                <c:pt idx="82">
                  <c:v>1.0363163028518252E-2</c:v>
                </c:pt>
                <c:pt idx="83">
                  <c:v>-1.7055788857682774E-3</c:v>
                </c:pt>
                <c:pt idx="84">
                  <c:v>-1.3774320800054474E-2</c:v>
                </c:pt>
                <c:pt idx="85">
                  <c:v>-2.5843062714341114E-2</c:v>
                </c:pt>
                <c:pt idx="86">
                  <c:v>-3.791180462862731E-2</c:v>
                </c:pt>
                <c:pt idx="87">
                  <c:v>-4.9980546542913729E-2</c:v>
                </c:pt>
                <c:pt idx="88">
                  <c:v>-6.2049288457200147E-2</c:v>
                </c:pt>
                <c:pt idx="89">
                  <c:v>-7.4118030371486343E-2</c:v>
                </c:pt>
                <c:pt idx="90">
                  <c:v>-8.6186772285772761E-2</c:v>
                </c:pt>
                <c:pt idx="91">
                  <c:v>-9.825551420005918E-2</c:v>
                </c:pt>
                <c:pt idx="92">
                  <c:v>-0.11032425611434538</c:v>
                </c:pt>
                <c:pt idx="93">
                  <c:v>-0.12239299802863179</c:v>
                </c:pt>
                <c:pt idx="94">
                  <c:v>-0.13446173994291821</c:v>
                </c:pt>
                <c:pt idx="95">
                  <c:v>-0.14653048185720463</c:v>
                </c:pt>
                <c:pt idx="96">
                  <c:v>-0.15859922377149083</c:v>
                </c:pt>
                <c:pt idx="97">
                  <c:v>-0.17066796568577725</c:v>
                </c:pt>
                <c:pt idx="98">
                  <c:v>-0.18273670760006366</c:v>
                </c:pt>
                <c:pt idx="99">
                  <c:v>-0.19480544951435008</c:v>
                </c:pt>
                <c:pt idx="100">
                  <c:v>-0.20687419142863628</c:v>
                </c:pt>
                <c:pt idx="101">
                  <c:v>-0.2189429333429227</c:v>
                </c:pt>
                <c:pt idx="102">
                  <c:v>-0.23101167525720911</c:v>
                </c:pt>
                <c:pt idx="103">
                  <c:v>-0.24308041717149553</c:v>
                </c:pt>
                <c:pt idx="104">
                  <c:v>-0.25514915908578195</c:v>
                </c:pt>
                <c:pt idx="105">
                  <c:v>-0.26721790100006837</c:v>
                </c:pt>
                <c:pt idx="106">
                  <c:v>-0.27928664291435479</c:v>
                </c:pt>
                <c:pt idx="107">
                  <c:v>-0.29135538482864098</c:v>
                </c:pt>
                <c:pt idx="108">
                  <c:v>-0.3034241267429274</c:v>
                </c:pt>
                <c:pt idx="109">
                  <c:v>-0.31549286865721382</c:v>
                </c:pt>
                <c:pt idx="110">
                  <c:v>-0.32756161057150024</c:v>
                </c:pt>
                <c:pt idx="111">
                  <c:v>-0.33963035248578644</c:v>
                </c:pt>
                <c:pt idx="112">
                  <c:v>-0.35169909440007285</c:v>
                </c:pt>
                <c:pt idx="113">
                  <c:v>-0.36376783631435927</c:v>
                </c:pt>
                <c:pt idx="114">
                  <c:v>-0.37583657822864569</c:v>
                </c:pt>
                <c:pt idx="115">
                  <c:v>-0.38790532014293189</c:v>
                </c:pt>
                <c:pt idx="116">
                  <c:v>-0.3999740620572183</c:v>
                </c:pt>
                <c:pt idx="117">
                  <c:v>-0.41204280397150472</c:v>
                </c:pt>
                <c:pt idx="118">
                  <c:v>-0.42411154588579092</c:v>
                </c:pt>
                <c:pt idx="119">
                  <c:v>-0.43618028780007734</c:v>
                </c:pt>
                <c:pt idx="120">
                  <c:v>-0.44824902971436398</c:v>
                </c:pt>
                <c:pt idx="121">
                  <c:v>-0.46031777162865017</c:v>
                </c:pt>
                <c:pt idx="122">
                  <c:v>-0.47238651354293659</c:v>
                </c:pt>
                <c:pt idx="123">
                  <c:v>-0.48445525545722279</c:v>
                </c:pt>
                <c:pt idx="124">
                  <c:v>-0.49652399737150898</c:v>
                </c:pt>
                <c:pt idx="125">
                  <c:v>-0.5085927392857954</c:v>
                </c:pt>
                <c:pt idx="126">
                  <c:v>-0.52066148120008204</c:v>
                </c:pt>
                <c:pt idx="127">
                  <c:v>-0.53273022311436824</c:v>
                </c:pt>
                <c:pt idx="128">
                  <c:v>-0.54479896502865466</c:v>
                </c:pt>
                <c:pt idx="129">
                  <c:v>-0.55686770694294085</c:v>
                </c:pt>
                <c:pt idx="130">
                  <c:v>-0.56893644885722727</c:v>
                </c:pt>
                <c:pt idx="131">
                  <c:v>-0.58100519077151391</c:v>
                </c:pt>
                <c:pt idx="132">
                  <c:v>-0.59307393268580011</c:v>
                </c:pt>
                <c:pt idx="133">
                  <c:v>-0.60514267460008653</c:v>
                </c:pt>
                <c:pt idx="134">
                  <c:v>-0.61721141651437272</c:v>
                </c:pt>
                <c:pt idx="135">
                  <c:v>-0.62928015842865914</c:v>
                </c:pt>
                <c:pt idx="136">
                  <c:v>-0.64134890034294534</c:v>
                </c:pt>
                <c:pt idx="137">
                  <c:v>-0.65341764225723198</c:v>
                </c:pt>
                <c:pt idx="138">
                  <c:v>-0.6654863841715184</c:v>
                </c:pt>
                <c:pt idx="139">
                  <c:v>-0.67755512608580482</c:v>
                </c:pt>
                <c:pt idx="140">
                  <c:v>-0.68962386800009101</c:v>
                </c:pt>
                <c:pt idx="141">
                  <c:v>-0.70169260991437743</c:v>
                </c:pt>
                <c:pt idx="142">
                  <c:v>-0.71376135182866407</c:v>
                </c:pt>
                <c:pt idx="143">
                  <c:v>-0.72583009374295027</c:v>
                </c:pt>
                <c:pt idx="144">
                  <c:v>-0.73789883565723668</c:v>
                </c:pt>
                <c:pt idx="145">
                  <c:v>-0.74996757757152288</c:v>
                </c:pt>
                <c:pt idx="146">
                  <c:v>-0.7620363194858093</c:v>
                </c:pt>
                <c:pt idx="147">
                  <c:v>-0.7741050614000955</c:v>
                </c:pt>
                <c:pt idx="148">
                  <c:v>-0.78617380331438214</c:v>
                </c:pt>
                <c:pt idx="149">
                  <c:v>-0.79824254522866855</c:v>
                </c:pt>
                <c:pt idx="150">
                  <c:v>-0.81031128714295475</c:v>
                </c:pt>
                <c:pt idx="151">
                  <c:v>-0.82238002905724095</c:v>
                </c:pt>
                <c:pt idx="152">
                  <c:v>-0.83444877097152736</c:v>
                </c:pt>
                <c:pt idx="153">
                  <c:v>-0.84651751288581356</c:v>
                </c:pt>
                <c:pt idx="154">
                  <c:v>-0.8585862548001002</c:v>
                </c:pt>
                <c:pt idx="155">
                  <c:v>-0.87065499671438662</c:v>
                </c:pt>
                <c:pt idx="156">
                  <c:v>-0.88272373862867282</c:v>
                </c:pt>
                <c:pt idx="157">
                  <c:v>-0.89479248054295923</c:v>
                </c:pt>
                <c:pt idx="158">
                  <c:v>-0.90686122245724543</c:v>
                </c:pt>
                <c:pt idx="159">
                  <c:v>-0.91892996437153207</c:v>
                </c:pt>
                <c:pt idx="160">
                  <c:v>-0.93099870628581849</c:v>
                </c:pt>
                <c:pt idx="161">
                  <c:v>-0.94306744820010469</c:v>
                </c:pt>
                <c:pt idx="162">
                  <c:v>-0.9551361901143911</c:v>
                </c:pt>
                <c:pt idx="163">
                  <c:v>-0.9672049320286773</c:v>
                </c:pt>
                <c:pt idx="164">
                  <c:v>-0.9792736739429635</c:v>
                </c:pt>
                <c:pt idx="165">
                  <c:v>-0.99134241585725036</c:v>
                </c:pt>
                <c:pt idx="166">
                  <c:v>-1.0034111577715366</c:v>
                </c:pt>
                <c:pt idx="167">
                  <c:v>-1.0154798996858228</c:v>
                </c:pt>
                <c:pt idx="168">
                  <c:v>-1.0275486416001089</c:v>
                </c:pt>
                <c:pt idx="169">
                  <c:v>-1.0396173835143956</c:v>
                </c:pt>
                <c:pt idx="170">
                  <c:v>-1.0516861254286822</c:v>
                </c:pt>
                <c:pt idx="171">
                  <c:v>-1.0637548673429684</c:v>
                </c:pt>
                <c:pt idx="172">
                  <c:v>-1.0758236092572546</c:v>
                </c:pt>
                <c:pt idx="173">
                  <c:v>-1.0878923511715408</c:v>
                </c:pt>
                <c:pt idx="174">
                  <c:v>-1.0999610930858275</c:v>
                </c:pt>
                <c:pt idx="175">
                  <c:v>-1.1120298350001137</c:v>
                </c:pt>
                <c:pt idx="176">
                  <c:v>-1.1240985769144003</c:v>
                </c:pt>
                <c:pt idx="177">
                  <c:v>-1.1361673188286865</c:v>
                </c:pt>
                <c:pt idx="178">
                  <c:v>-1.1482360607429727</c:v>
                </c:pt>
                <c:pt idx="179">
                  <c:v>-1.1603048026572593</c:v>
                </c:pt>
                <c:pt idx="180">
                  <c:v>-1.1723735445715455</c:v>
                </c:pt>
                <c:pt idx="181">
                  <c:v>-1.1844422864858322</c:v>
                </c:pt>
                <c:pt idx="182">
                  <c:v>-1.1965110284001184</c:v>
                </c:pt>
                <c:pt idx="183">
                  <c:v>-1.2085797703144046</c:v>
                </c:pt>
                <c:pt idx="184">
                  <c:v>-1.2206485122286908</c:v>
                </c:pt>
                <c:pt idx="185">
                  <c:v>-1.2327172541429774</c:v>
                </c:pt>
                <c:pt idx="186">
                  <c:v>-1.2447859960572636</c:v>
                </c:pt>
                <c:pt idx="187">
                  <c:v>-1.2568547379715502</c:v>
                </c:pt>
                <c:pt idx="188">
                  <c:v>-1.2689234798858364</c:v>
                </c:pt>
                <c:pt idx="189">
                  <c:v>-1.2809922218001226</c:v>
                </c:pt>
                <c:pt idx="190">
                  <c:v>-1.2930609637144093</c:v>
                </c:pt>
                <c:pt idx="191">
                  <c:v>-1.3051297056286955</c:v>
                </c:pt>
                <c:pt idx="192">
                  <c:v>-1.3171984475429817</c:v>
                </c:pt>
                <c:pt idx="193">
                  <c:v>-1.3292671894572683</c:v>
                </c:pt>
                <c:pt idx="194">
                  <c:v>-1.3413359313715545</c:v>
                </c:pt>
                <c:pt idx="195">
                  <c:v>-1.3534046732858411</c:v>
                </c:pt>
                <c:pt idx="196">
                  <c:v>-1.3654734152001273</c:v>
                </c:pt>
                <c:pt idx="197">
                  <c:v>-1.3775421571144135</c:v>
                </c:pt>
                <c:pt idx="198">
                  <c:v>-1.3896108990287002</c:v>
                </c:pt>
                <c:pt idx="199">
                  <c:v>-1.4016796409429864</c:v>
                </c:pt>
                <c:pt idx="200">
                  <c:v>-1.4137483828572726</c:v>
                </c:pt>
                <c:pt idx="201">
                  <c:v>-1.4258171247715592</c:v>
                </c:pt>
                <c:pt idx="202">
                  <c:v>-1.4378858666858454</c:v>
                </c:pt>
                <c:pt idx="203">
                  <c:v>-1.449954608600132</c:v>
                </c:pt>
                <c:pt idx="204">
                  <c:v>-1.4620233505144182</c:v>
                </c:pt>
                <c:pt idx="205">
                  <c:v>-1.4740920924287044</c:v>
                </c:pt>
                <c:pt idx="206">
                  <c:v>-1.4861608343429911</c:v>
                </c:pt>
                <c:pt idx="207">
                  <c:v>-1.4982295762572777</c:v>
                </c:pt>
                <c:pt idx="208">
                  <c:v>-1.5102983181715639</c:v>
                </c:pt>
                <c:pt idx="209">
                  <c:v>-1.5223670600858501</c:v>
                </c:pt>
                <c:pt idx="210">
                  <c:v>-1.5344358020001367</c:v>
                </c:pt>
                <c:pt idx="211">
                  <c:v>-1.5465045439144229</c:v>
                </c:pt>
                <c:pt idx="212">
                  <c:v>-1.5585732858287096</c:v>
                </c:pt>
                <c:pt idx="213">
                  <c:v>-1.5706420277429958</c:v>
                </c:pt>
                <c:pt idx="214">
                  <c:v>-1.582710769657282</c:v>
                </c:pt>
                <c:pt idx="215">
                  <c:v>-1.5947795115715686</c:v>
                </c:pt>
                <c:pt idx="216">
                  <c:v>-1.6068482534858548</c:v>
                </c:pt>
                <c:pt idx="217">
                  <c:v>-1.618916995400141</c:v>
                </c:pt>
                <c:pt idx="218">
                  <c:v>-1.6309857373144276</c:v>
                </c:pt>
                <c:pt idx="219">
                  <c:v>-1.6430544792287138</c:v>
                </c:pt>
                <c:pt idx="220">
                  <c:v>-1.6551232211430005</c:v>
                </c:pt>
                <c:pt idx="221">
                  <c:v>-1.6671919630572867</c:v>
                </c:pt>
                <c:pt idx="222">
                  <c:v>-1.6792607049715729</c:v>
                </c:pt>
                <c:pt idx="223">
                  <c:v>-1.6913294468858595</c:v>
                </c:pt>
                <c:pt idx="224">
                  <c:v>-1.7033981888001457</c:v>
                </c:pt>
                <c:pt idx="225">
                  <c:v>-1.7154669307144319</c:v>
                </c:pt>
                <c:pt idx="226">
                  <c:v>-1.7275356726287185</c:v>
                </c:pt>
                <c:pt idx="227">
                  <c:v>-1.7396044145430047</c:v>
                </c:pt>
                <c:pt idx="228">
                  <c:v>-1.7516731564572914</c:v>
                </c:pt>
                <c:pt idx="229">
                  <c:v>-1.7637418983715776</c:v>
                </c:pt>
                <c:pt idx="230">
                  <c:v>-1.7758106402858638</c:v>
                </c:pt>
                <c:pt idx="231">
                  <c:v>-1.7878793822001504</c:v>
                </c:pt>
                <c:pt idx="232">
                  <c:v>-1.7999481241144366</c:v>
                </c:pt>
                <c:pt idx="233">
                  <c:v>-1.8120168660287228</c:v>
                </c:pt>
                <c:pt idx="234">
                  <c:v>-1.8240856079430094</c:v>
                </c:pt>
                <c:pt idx="235">
                  <c:v>-1.8361543498572961</c:v>
                </c:pt>
                <c:pt idx="236">
                  <c:v>-1.8482230917715818</c:v>
                </c:pt>
                <c:pt idx="237">
                  <c:v>-1.8602918336858685</c:v>
                </c:pt>
                <c:pt idx="238">
                  <c:v>-1.8723605756001547</c:v>
                </c:pt>
                <c:pt idx="239">
                  <c:v>-1.8844293175144413</c:v>
                </c:pt>
                <c:pt idx="240">
                  <c:v>-1.896498059428728</c:v>
                </c:pt>
                <c:pt idx="241">
                  <c:v>-1.9085668013430137</c:v>
                </c:pt>
                <c:pt idx="242">
                  <c:v>-1.9206355432573003</c:v>
                </c:pt>
                <c:pt idx="243">
                  <c:v>-1.9327042851715865</c:v>
                </c:pt>
                <c:pt idx="244">
                  <c:v>-1.9447730270858732</c:v>
                </c:pt>
                <c:pt idx="245">
                  <c:v>-1.9568417690001598</c:v>
                </c:pt>
                <c:pt idx="246">
                  <c:v>-1.9689105109144456</c:v>
                </c:pt>
                <c:pt idx="247">
                  <c:v>-1.9809792528287322</c:v>
                </c:pt>
                <c:pt idx="248">
                  <c:v>-1.993047994743018</c:v>
                </c:pt>
                <c:pt idx="249">
                  <c:v>-2.0051167366573046</c:v>
                </c:pt>
                <c:pt idx="250">
                  <c:v>-2.0171854785715908</c:v>
                </c:pt>
                <c:pt idx="251">
                  <c:v>-2.0292542204858774</c:v>
                </c:pt>
                <c:pt idx="252">
                  <c:v>-2.0413229624001641</c:v>
                </c:pt>
                <c:pt idx="253">
                  <c:v>-2.0533917043144498</c:v>
                </c:pt>
                <c:pt idx="254">
                  <c:v>-2.0654604462287365</c:v>
                </c:pt>
                <c:pt idx="255">
                  <c:v>-2.0775291881430227</c:v>
                </c:pt>
                <c:pt idx="256">
                  <c:v>-2.0895979300573093</c:v>
                </c:pt>
                <c:pt idx="257">
                  <c:v>-2.101666671971596</c:v>
                </c:pt>
                <c:pt idx="258">
                  <c:v>-2.1137354138858817</c:v>
                </c:pt>
                <c:pt idx="259">
                  <c:v>-2.1258041558001683</c:v>
                </c:pt>
                <c:pt idx="260">
                  <c:v>-2.1378728977144545</c:v>
                </c:pt>
                <c:pt idx="261">
                  <c:v>-2.1499416396287412</c:v>
                </c:pt>
                <c:pt idx="262">
                  <c:v>-2.1620103815430278</c:v>
                </c:pt>
                <c:pt idx="263">
                  <c:v>-2.1740791234573136</c:v>
                </c:pt>
                <c:pt idx="264">
                  <c:v>-2.1861478653716002</c:v>
                </c:pt>
                <c:pt idx="265">
                  <c:v>-2.1982166072858864</c:v>
                </c:pt>
                <c:pt idx="266">
                  <c:v>-2.2102853492001731</c:v>
                </c:pt>
                <c:pt idx="267">
                  <c:v>-2.2223540911144588</c:v>
                </c:pt>
                <c:pt idx="268">
                  <c:v>-2.2344228330287454</c:v>
                </c:pt>
                <c:pt idx="269">
                  <c:v>-2.2464915749430321</c:v>
                </c:pt>
                <c:pt idx="270">
                  <c:v>-2.2585603168573183</c:v>
                </c:pt>
                <c:pt idx="271">
                  <c:v>-2.2706290587716049</c:v>
                </c:pt>
                <c:pt idx="272">
                  <c:v>-2.2826978006858907</c:v>
                </c:pt>
                <c:pt idx="273">
                  <c:v>-2.2947665426001773</c:v>
                </c:pt>
                <c:pt idx="274">
                  <c:v>-2.306835284514464</c:v>
                </c:pt>
                <c:pt idx="275">
                  <c:v>-2.3189040264287502</c:v>
                </c:pt>
                <c:pt idx="276">
                  <c:v>-2.3309727683430368</c:v>
                </c:pt>
                <c:pt idx="277">
                  <c:v>-2.343041510257323</c:v>
                </c:pt>
                <c:pt idx="278">
                  <c:v>-2.3551102521716096</c:v>
                </c:pt>
                <c:pt idx="279">
                  <c:v>-2.3671789940858963</c:v>
                </c:pt>
                <c:pt idx="280">
                  <c:v>-2.379247736000182</c:v>
                </c:pt>
                <c:pt idx="281">
                  <c:v>-2.3913164779144687</c:v>
                </c:pt>
                <c:pt idx="282">
                  <c:v>-2.4033852198287549</c:v>
                </c:pt>
                <c:pt idx="283">
                  <c:v>-2.4154539617430415</c:v>
                </c:pt>
                <c:pt idx="284">
                  <c:v>-2.4275227036573281</c:v>
                </c:pt>
                <c:pt idx="285">
                  <c:v>-2.4395914455716139</c:v>
                </c:pt>
                <c:pt idx="286">
                  <c:v>-2.4516601874859005</c:v>
                </c:pt>
                <c:pt idx="287">
                  <c:v>-2.4637289294001867</c:v>
                </c:pt>
                <c:pt idx="288">
                  <c:v>-2.4757976713144734</c:v>
                </c:pt>
                <c:pt idx="289">
                  <c:v>-2.4878664132287591</c:v>
                </c:pt>
                <c:pt idx="290">
                  <c:v>-2.4999351551430458</c:v>
                </c:pt>
                <c:pt idx="291">
                  <c:v>-2.5120038970573324</c:v>
                </c:pt>
                <c:pt idx="292">
                  <c:v>-2.5240726389716186</c:v>
                </c:pt>
                <c:pt idx="293">
                  <c:v>-2.5361413808859052</c:v>
                </c:pt>
                <c:pt idx="294">
                  <c:v>-2.548210122800191</c:v>
                </c:pt>
                <c:pt idx="295">
                  <c:v>-2.5602788647144776</c:v>
                </c:pt>
                <c:pt idx="296">
                  <c:v>-2.5723476066287643</c:v>
                </c:pt>
                <c:pt idx="297">
                  <c:v>-2.5844163485430505</c:v>
                </c:pt>
                <c:pt idx="298">
                  <c:v>-2.5964850904573371</c:v>
                </c:pt>
                <c:pt idx="299">
                  <c:v>-2.6085538323716229</c:v>
                </c:pt>
                <c:pt idx="300">
                  <c:v>-2.6206225742859095</c:v>
                </c:pt>
                <c:pt idx="301">
                  <c:v>-2.6326913162001961</c:v>
                </c:pt>
                <c:pt idx="302">
                  <c:v>-2.6447600581144819</c:v>
                </c:pt>
                <c:pt idx="303">
                  <c:v>-2.6568288000287685</c:v>
                </c:pt>
                <c:pt idx="304">
                  <c:v>-2.6688975419430547</c:v>
                </c:pt>
                <c:pt idx="305">
                  <c:v>-2.6809662838573414</c:v>
                </c:pt>
                <c:pt idx="306">
                  <c:v>-2.6930350257716271</c:v>
                </c:pt>
                <c:pt idx="307">
                  <c:v>-2.7051037676859138</c:v>
                </c:pt>
                <c:pt idx="308">
                  <c:v>-2.7171725096002004</c:v>
                </c:pt>
                <c:pt idx="309">
                  <c:v>-2.7292412515144866</c:v>
                </c:pt>
                <c:pt idx="310">
                  <c:v>-2.7413099934287732</c:v>
                </c:pt>
                <c:pt idx="311">
                  <c:v>-2.753378735343059</c:v>
                </c:pt>
                <c:pt idx="312">
                  <c:v>-2.7654474772573456</c:v>
                </c:pt>
                <c:pt idx="313">
                  <c:v>-2.7775162191716323</c:v>
                </c:pt>
                <c:pt idx="314">
                  <c:v>-2.7895849610859185</c:v>
                </c:pt>
                <c:pt idx="315">
                  <c:v>-2.8016537030002051</c:v>
                </c:pt>
                <c:pt idx="316">
                  <c:v>-2.8137224449144909</c:v>
                </c:pt>
                <c:pt idx="317">
                  <c:v>-2.8257911868287775</c:v>
                </c:pt>
                <c:pt idx="318">
                  <c:v>-2.8378599287430641</c:v>
                </c:pt>
                <c:pt idx="319">
                  <c:v>-2.8499286706573503</c:v>
                </c:pt>
                <c:pt idx="320">
                  <c:v>-2.861997412571637</c:v>
                </c:pt>
                <c:pt idx="321">
                  <c:v>-2.8740661544859227</c:v>
                </c:pt>
                <c:pt idx="322">
                  <c:v>-2.8861348964002094</c:v>
                </c:pt>
                <c:pt idx="323">
                  <c:v>-2.898203638314496</c:v>
                </c:pt>
                <c:pt idx="324">
                  <c:v>-2.9102723802287822</c:v>
                </c:pt>
                <c:pt idx="325">
                  <c:v>-2.9223411221430688</c:v>
                </c:pt>
                <c:pt idx="326">
                  <c:v>-2.9344098640573546</c:v>
                </c:pt>
                <c:pt idx="327">
                  <c:v>-2.9464786059716412</c:v>
                </c:pt>
                <c:pt idx="328">
                  <c:v>-2.958547347885927</c:v>
                </c:pt>
                <c:pt idx="329">
                  <c:v>-2.9706160898002141</c:v>
                </c:pt>
                <c:pt idx="330">
                  <c:v>-2.9826848317145007</c:v>
                </c:pt>
                <c:pt idx="331">
                  <c:v>-2.9947535736287865</c:v>
                </c:pt>
                <c:pt idx="332">
                  <c:v>-3.0068223155430731</c:v>
                </c:pt>
                <c:pt idx="333">
                  <c:v>-3.0188910574573589</c:v>
                </c:pt>
                <c:pt idx="334">
                  <c:v>-3.0309597993716455</c:v>
                </c:pt>
                <c:pt idx="335">
                  <c:v>-3.0430285412859321</c:v>
                </c:pt>
                <c:pt idx="336">
                  <c:v>-3.0550972832002179</c:v>
                </c:pt>
                <c:pt idx="337">
                  <c:v>-3.0671660251145045</c:v>
                </c:pt>
                <c:pt idx="338">
                  <c:v>-3.0792347670287912</c:v>
                </c:pt>
                <c:pt idx="339">
                  <c:v>-3.0913035089430778</c:v>
                </c:pt>
                <c:pt idx="340">
                  <c:v>-3.1033722508573645</c:v>
                </c:pt>
                <c:pt idx="341">
                  <c:v>-3.1154409927716502</c:v>
                </c:pt>
                <c:pt idx="342">
                  <c:v>-3.1275097346859368</c:v>
                </c:pt>
                <c:pt idx="343">
                  <c:v>-3.1395784766002226</c:v>
                </c:pt>
                <c:pt idx="344">
                  <c:v>-3.1516472185145092</c:v>
                </c:pt>
                <c:pt idx="345">
                  <c:v>-3.163715960428795</c:v>
                </c:pt>
                <c:pt idx="346">
                  <c:v>-3.1757847023430816</c:v>
                </c:pt>
                <c:pt idx="347">
                  <c:v>-3.1878534442573683</c:v>
                </c:pt>
                <c:pt idx="348">
                  <c:v>-3.1999221861716549</c:v>
                </c:pt>
                <c:pt idx="349">
                  <c:v>-3.2119909280859416</c:v>
                </c:pt>
                <c:pt idx="350">
                  <c:v>-3.2240596700002273</c:v>
                </c:pt>
                <c:pt idx="351">
                  <c:v>-3.2361284119145139</c:v>
                </c:pt>
                <c:pt idx="352">
                  <c:v>-3.2481971538288006</c:v>
                </c:pt>
                <c:pt idx="353">
                  <c:v>-3.2602658957430863</c:v>
                </c:pt>
                <c:pt idx="354">
                  <c:v>-3.272334637657373</c:v>
                </c:pt>
                <c:pt idx="355">
                  <c:v>-3.2844033795716587</c:v>
                </c:pt>
                <c:pt idx="356">
                  <c:v>-3.2964721214859454</c:v>
                </c:pt>
                <c:pt idx="357">
                  <c:v>-3.308540863400232</c:v>
                </c:pt>
                <c:pt idx="358">
                  <c:v>-3.3206096053145187</c:v>
                </c:pt>
                <c:pt idx="359">
                  <c:v>-3.3326783472288053</c:v>
                </c:pt>
                <c:pt idx="360">
                  <c:v>-3.344747089143091</c:v>
                </c:pt>
                <c:pt idx="361">
                  <c:v>-3.3568158310573777</c:v>
                </c:pt>
                <c:pt idx="362">
                  <c:v>-3.3688845729716643</c:v>
                </c:pt>
                <c:pt idx="363">
                  <c:v>-3.3809533148859501</c:v>
                </c:pt>
                <c:pt idx="364">
                  <c:v>-3.3930220568002367</c:v>
                </c:pt>
                <c:pt idx="365">
                  <c:v>-3.4050907987145225</c:v>
                </c:pt>
                <c:pt idx="366">
                  <c:v>-3.4171595406288091</c:v>
                </c:pt>
                <c:pt idx="367">
                  <c:v>-3.4292282825430949</c:v>
                </c:pt>
                <c:pt idx="368">
                  <c:v>-3.4412970244573815</c:v>
                </c:pt>
                <c:pt idx="369">
                  <c:v>-3.4533657663716681</c:v>
                </c:pt>
                <c:pt idx="370">
                  <c:v>-3.4654345082859548</c:v>
                </c:pt>
                <c:pt idx="371">
                  <c:v>-3.4775032502002414</c:v>
                </c:pt>
                <c:pt idx="372">
                  <c:v>-3.4895719921145272</c:v>
                </c:pt>
                <c:pt idx="373">
                  <c:v>-3.5016407340288138</c:v>
                </c:pt>
                <c:pt idx="374">
                  <c:v>-3.5137094759431005</c:v>
                </c:pt>
                <c:pt idx="375">
                  <c:v>-3.5257782178573862</c:v>
                </c:pt>
                <c:pt idx="376">
                  <c:v>-3.5378469597716729</c:v>
                </c:pt>
                <c:pt idx="377">
                  <c:v>-3.5499157016859586</c:v>
                </c:pt>
                <c:pt idx="378">
                  <c:v>-3.5619844436002452</c:v>
                </c:pt>
                <c:pt idx="379">
                  <c:v>-3.5740531855145319</c:v>
                </c:pt>
                <c:pt idx="380">
                  <c:v>-3.5861219274288185</c:v>
                </c:pt>
                <c:pt idx="381">
                  <c:v>-3.5981906693431052</c:v>
                </c:pt>
                <c:pt idx="382">
                  <c:v>-3.6102594112573909</c:v>
                </c:pt>
                <c:pt idx="383">
                  <c:v>-3.6223281531716776</c:v>
                </c:pt>
                <c:pt idx="384">
                  <c:v>-3.6343968950859633</c:v>
                </c:pt>
                <c:pt idx="385">
                  <c:v>-3.6464656370002499</c:v>
                </c:pt>
                <c:pt idx="386">
                  <c:v>-3.6585343789145366</c:v>
                </c:pt>
                <c:pt idx="387">
                  <c:v>-3.6706031208288223</c:v>
                </c:pt>
                <c:pt idx="388">
                  <c:v>-3.682671862743109</c:v>
                </c:pt>
                <c:pt idx="389">
                  <c:v>-3.6947406046573947</c:v>
                </c:pt>
                <c:pt idx="390">
                  <c:v>-3.7068093465716823</c:v>
                </c:pt>
                <c:pt idx="391">
                  <c:v>-3.7188780884859689</c:v>
                </c:pt>
                <c:pt idx="392">
                  <c:v>-3.7309468304002547</c:v>
                </c:pt>
                <c:pt idx="393">
                  <c:v>-3.7430155723145413</c:v>
                </c:pt>
                <c:pt idx="394">
                  <c:v>-3.755084314228827</c:v>
                </c:pt>
                <c:pt idx="395">
                  <c:v>-3.7671530561431137</c:v>
                </c:pt>
                <c:pt idx="396">
                  <c:v>-3.7792217980574003</c:v>
                </c:pt>
                <c:pt idx="397">
                  <c:v>-3.7912905399716861</c:v>
                </c:pt>
                <c:pt idx="398">
                  <c:v>-3.8033592818859727</c:v>
                </c:pt>
                <c:pt idx="399">
                  <c:v>-3.8154280238002585</c:v>
                </c:pt>
                <c:pt idx="400">
                  <c:v>-3.8274967657145451</c:v>
                </c:pt>
              </c:numCache>
            </c:numRef>
          </c:yVal>
          <c:smooth val="0"/>
          <c:extLst>
            <c:ext xmlns:c16="http://schemas.microsoft.com/office/drawing/2014/chart" uri="{C3380CC4-5D6E-409C-BE32-E72D297353CC}">
              <c16:uniqueId val="{00000002-1DFF-4DFC-B6E9-D86B6FD0EE9D}"/>
            </c:ext>
          </c:extLst>
        </c:ser>
        <c:ser>
          <c:idx val="3"/>
          <c:order val="3"/>
          <c:tx>
            <c:strRef>
              <c:f>'V-N Diagram'!$S$36</c:f>
              <c:strCache>
                <c:ptCount val="1"/>
                <c:pt idx="0">
                  <c:v>ng2</c:v>
                </c:pt>
              </c:strCache>
            </c:strRef>
          </c:tx>
          <c:spPr>
            <a:ln w="12700" cap="rnd">
              <a:solidFill>
                <a:schemeClr val="accent4"/>
              </a:solidFill>
              <a:prstDash val="dash"/>
              <a:round/>
            </a:ln>
            <a:effectLst/>
          </c:spPr>
          <c:marker>
            <c:symbol val="none"/>
          </c:marker>
          <c:xVal>
            <c:numRef>
              <c:f>'V-N Diagram'!$O$37:$O$437</c:f>
              <c:numCache>
                <c:formatCode>General</c:formatCode>
                <c:ptCount val="4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numCache>
            </c:numRef>
          </c:xVal>
          <c:yVal>
            <c:numRef>
              <c:f>'V-N Diagram'!$S$37:$S$437</c:f>
              <c:numCache>
                <c:formatCode>General</c:formatCode>
                <c:ptCount val="401"/>
                <c:pt idx="0">
                  <c:v>1</c:v>
                </c:pt>
                <c:pt idx="1">
                  <c:v>0.99396562904285679</c:v>
                </c:pt>
                <c:pt idx="2">
                  <c:v>0.98793125808571358</c:v>
                </c:pt>
                <c:pt idx="3">
                  <c:v>0.98189688712857048</c:v>
                </c:pt>
                <c:pt idx="4">
                  <c:v>0.97586251617142727</c:v>
                </c:pt>
                <c:pt idx="5">
                  <c:v>0.96982814521428407</c:v>
                </c:pt>
                <c:pt idx="6">
                  <c:v>0.96379377425714097</c:v>
                </c:pt>
                <c:pt idx="7">
                  <c:v>0.95775940329999776</c:v>
                </c:pt>
                <c:pt idx="8">
                  <c:v>0.95172503234285455</c:v>
                </c:pt>
                <c:pt idx="9">
                  <c:v>0.94569066138571134</c:v>
                </c:pt>
                <c:pt idx="10">
                  <c:v>0.93965629042856813</c:v>
                </c:pt>
                <c:pt idx="11">
                  <c:v>0.93362191947142503</c:v>
                </c:pt>
                <c:pt idx="12">
                  <c:v>0.92758754851428182</c:v>
                </c:pt>
                <c:pt idx="13">
                  <c:v>0.92155317755713861</c:v>
                </c:pt>
                <c:pt idx="14">
                  <c:v>0.91551880659999541</c:v>
                </c:pt>
                <c:pt idx="15">
                  <c:v>0.9094844356428522</c:v>
                </c:pt>
                <c:pt idx="16">
                  <c:v>0.9034500646857091</c:v>
                </c:pt>
                <c:pt idx="17">
                  <c:v>0.89741569372856589</c:v>
                </c:pt>
                <c:pt idx="18">
                  <c:v>0.89138132277142268</c:v>
                </c:pt>
                <c:pt idx="19">
                  <c:v>0.88534695181427958</c:v>
                </c:pt>
                <c:pt idx="20">
                  <c:v>0.87931258085713637</c:v>
                </c:pt>
                <c:pt idx="21">
                  <c:v>0.87327820989999316</c:v>
                </c:pt>
                <c:pt idx="22">
                  <c:v>0.86724383894284995</c:v>
                </c:pt>
                <c:pt idx="23">
                  <c:v>0.86120946798570686</c:v>
                </c:pt>
                <c:pt idx="24">
                  <c:v>0.85517509702856365</c:v>
                </c:pt>
                <c:pt idx="25">
                  <c:v>0.84914072607142044</c:v>
                </c:pt>
                <c:pt idx="26">
                  <c:v>0.84310635511427723</c:v>
                </c:pt>
                <c:pt idx="27">
                  <c:v>0.83707198415713413</c:v>
                </c:pt>
                <c:pt idx="28">
                  <c:v>0.83103761319999092</c:v>
                </c:pt>
                <c:pt idx="29">
                  <c:v>0.82500324224284771</c:v>
                </c:pt>
                <c:pt idx="30">
                  <c:v>0.8189688712857045</c:v>
                </c:pt>
                <c:pt idx="31">
                  <c:v>0.8129345003285614</c:v>
                </c:pt>
                <c:pt idx="32">
                  <c:v>0.8069001293714182</c:v>
                </c:pt>
                <c:pt idx="33">
                  <c:v>0.80086575841427499</c:v>
                </c:pt>
                <c:pt idx="34">
                  <c:v>0.79483138745713178</c:v>
                </c:pt>
                <c:pt idx="35">
                  <c:v>0.78879701649998868</c:v>
                </c:pt>
                <c:pt idx="36">
                  <c:v>0.78276264554284536</c:v>
                </c:pt>
                <c:pt idx="37">
                  <c:v>0.77672827458570226</c:v>
                </c:pt>
                <c:pt idx="38">
                  <c:v>0.77069390362855905</c:v>
                </c:pt>
                <c:pt idx="39">
                  <c:v>0.76465953267141584</c:v>
                </c:pt>
                <c:pt idx="40">
                  <c:v>0.75862516171427274</c:v>
                </c:pt>
                <c:pt idx="41">
                  <c:v>0.75259079075712954</c:v>
                </c:pt>
                <c:pt idx="42">
                  <c:v>0.74655641979998633</c:v>
                </c:pt>
                <c:pt idx="43">
                  <c:v>0.74052204884284323</c:v>
                </c:pt>
                <c:pt idx="44">
                  <c:v>0.73448767788569991</c:v>
                </c:pt>
                <c:pt idx="45">
                  <c:v>0.72845330692855681</c:v>
                </c:pt>
                <c:pt idx="46">
                  <c:v>0.72241893597141371</c:v>
                </c:pt>
                <c:pt idx="47">
                  <c:v>0.71638456501427039</c:v>
                </c:pt>
                <c:pt idx="48">
                  <c:v>0.71035019405712729</c:v>
                </c:pt>
                <c:pt idx="49">
                  <c:v>0.70431582309998408</c:v>
                </c:pt>
                <c:pt idx="50">
                  <c:v>0.69828145214284087</c:v>
                </c:pt>
                <c:pt idx="51">
                  <c:v>0.69224708118569778</c:v>
                </c:pt>
                <c:pt idx="52">
                  <c:v>0.68621271022855446</c:v>
                </c:pt>
                <c:pt idx="53">
                  <c:v>0.68017833927141136</c:v>
                </c:pt>
                <c:pt idx="54">
                  <c:v>0.67414396831426815</c:v>
                </c:pt>
                <c:pt idx="55">
                  <c:v>0.66810959735712494</c:v>
                </c:pt>
                <c:pt idx="56">
                  <c:v>0.66207522639998184</c:v>
                </c:pt>
                <c:pt idx="57">
                  <c:v>0.65604085544283852</c:v>
                </c:pt>
                <c:pt idx="58">
                  <c:v>0.65000648448569542</c:v>
                </c:pt>
                <c:pt idx="59">
                  <c:v>0.64397211352855233</c:v>
                </c:pt>
                <c:pt idx="60">
                  <c:v>0.63793774257140901</c:v>
                </c:pt>
                <c:pt idx="61">
                  <c:v>0.63190337161426591</c:v>
                </c:pt>
                <c:pt idx="62">
                  <c:v>0.62586900065712281</c:v>
                </c:pt>
                <c:pt idx="63">
                  <c:v>0.61983462969997949</c:v>
                </c:pt>
                <c:pt idx="64">
                  <c:v>0.61380025874283639</c:v>
                </c:pt>
                <c:pt idx="65">
                  <c:v>0.60776588778569318</c:v>
                </c:pt>
                <c:pt idx="66">
                  <c:v>0.60173151682854997</c:v>
                </c:pt>
                <c:pt idx="67">
                  <c:v>0.59569714587140687</c:v>
                </c:pt>
                <c:pt idx="68">
                  <c:v>0.58966277491426367</c:v>
                </c:pt>
                <c:pt idx="69">
                  <c:v>0.58362840395712046</c:v>
                </c:pt>
                <c:pt idx="70">
                  <c:v>0.57759403299997725</c:v>
                </c:pt>
                <c:pt idx="71">
                  <c:v>0.57155966204283404</c:v>
                </c:pt>
                <c:pt idx="72">
                  <c:v>0.56552529108569083</c:v>
                </c:pt>
                <c:pt idx="73">
                  <c:v>0.55949092012854762</c:v>
                </c:pt>
                <c:pt idx="74">
                  <c:v>0.55345654917140452</c:v>
                </c:pt>
                <c:pt idx="75">
                  <c:v>0.54742217821426131</c:v>
                </c:pt>
                <c:pt idx="76">
                  <c:v>0.5413878072571181</c:v>
                </c:pt>
                <c:pt idx="77">
                  <c:v>0.53535343629997501</c:v>
                </c:pt>
                <c:pt idx="78">
                  <c:v>0.5293190653428318</c:v>
                </c:pt>
                <c:pt idx="79">
                  <c:v>0.52328469438568859</c:v>
                </c:pt>
                <c:pt idx="80">
                  <c:v>0.51725032342854538</c:v>
                </c:pt>
                <c:pt idx="81">
                  <c:v>0.51121595247140217</c:v>
                </c:pt>
                <c:pt idx="82">
                  <c:v>0.50518158151425907</c:v>
                </c:pt>
                <c:pt idx="83">
                  <c:v>0.49914721055711586</c:v>
                </c:pt>
                <c:pt idx="84">
                  <c:v>0.49311283959997276</c:v>
                </c:pt>
                <c:pt idx="85">
                  <c:v>0.48707846864282944</c:v>
                </c:pt>
                <c:pt idx="86">
                  <c:v>0.48104409768568634</c:v>
                </c:pt>
                <c:pt idx="87">
                  <c:v>0.47500972672854314</c:v>
                </c:pt>
                <c:pt idx="88">
                  <c:v>0.46897535577139993</c:v>
                </c:pt>
                <c:pt idx="89">
                  <c:v>0.46294098481425683</c:v>
                </c:pt>
                <c:pt idx="90">
                  <c:v>0.45690661385711362</c:v>
                </c:pt>
                <c:pt idx="91">
                  <c:v>0.45087224289997041</c:v>
                </c:pt>
                <c:pt idx="92">
                  <c:v>0.44483787194282731</c:v>
                </c:pt>
                <c:pt idx="93">
                  <c:v>0.4388035009856841</c:v>
                </c:pt>
                <c:pt idx="94">
                  <c:v>0.43276913002854089</c:v>
                </c:pt>
                <c:pt idx="95">
                  <c:v>0.42673475907139768</c:v>
                </c:pt>
                <c:pt idx="96">
                  <c:v>0.42070038811425459</c:v>
                </c:pt>
                <c:pt idx="97">
                  <c:v>0.41466601715711138</c:v>
                </c:pt>
                <c:pt idx="98">
                  <c:v>0.40863164619996817</c:v>
                </c:pt>
                <c:pt idx="99">
                  <c:v>0.40259727524282496</c:v>
                </c:pt>
                <c:pt idx="100">
                  <c:v>0.39656290428568186</c:v>
                </c:pt>
                <c:pt idx="101">
                  <c:v>0.39052853332853865</c:v>
                </c:pt>
                <c:pt idx="102">
                  <c:v>0.38449416237139544</c:v>
                </c:pt>
                <c:pt idx="103">
                  <c:v>0.37845979141425223</c:v>
                </c:pt>
                <c:pt idx="104">
                  <c:v>0.37242542045710902</c:v>
                </c:pt>
                <c:pt idx="105">
                  <c:v>0.36639104949996582</c:v>
                </c:pt>
                <c:pt idx="106">
                  <c:v>0.36035667854282261</c:v>
                </c:pt>
                <c:pt idx="107">
                  <c:v>0.35432230758567951</c:v>
                </c:pt>
                <c:pt idx="108">
                  <c:v>0.3482879366285363</c:v>
                </c:pt>
                <c:pt idx="109">
                  <c:v>0.34225356567139309</c:v>
                </c:pt>
                <c:pt idx="110">
                  <c:v>0.33621919471424988</c:v>
                </c:pt>
                <c:pt idx="111">
                  <c:v>0.33018482375710678</c:v>
                </c:pt>
                <c:pt idx="112">
                  <c:v>0.32415045279996357</c:v>
                </c:pt>
                <c:pt idx="113">
                  <c:v>0.31811608184282036</c:v>
                </c:pt>
                <c:pt idx="114">
                  <c:v>0.31208171088567715</c:v>
                </c:pt>
                <c:pt idx="115">
                  <c:v>0.30604733992853406</c:v>
                </c:pt>
                <c:pt idx="116">
                  <c:v>0.30001296897139085</c:v>
                </c:pt>
                <c:pt idx="117">
                  <c:v>0.29397859801424764</c:v>
                </c:pt>
                <c:pt idx="118">
                  <c:v>0.28794422705710454</c:v>
                </c:pt>
                <c:pt idx="119">
                  <c:v>0.28190985609996133</c:v>
                </c:pt>
                <c:pt idx="120">
                  <c:v>0.27587548514281801</c:v>
                </c:pt>
                <c:pt idx="121">
                  <c:v>0.26984111418567491</c:v>
                </c:pt>
                <c:pt idx="122">
                  <c:v>0.2638067432285317</c:v>
                </c:pt>
                <c:pt idx="123">
                  <c:v>0.25777237227138861</c:v>
                </c:pt>
                <c:pt idx="124">
                  <c:v>0.25173800131424551</c:v>
                </c:pt>
                <c:pt idx="125">
                  <c:v>0.2457036303571023</c:v>
                </c:pt>
                <c:pt idx="126">
                  <c:v>0.23966925939995898</c:v>
                </c:pt>
                <c:pt idx="127">
                  <c:v>0.23363488844281588</c:v>
                </c:pt>
                <c:pt idx="128">
                  <c:v>0.22760051748567267</c:v>
                </c:pt>
                <c:pt idx="129">
                  <c:v>0.22156614652852957</c:v>
                </c:pt>
                <c:pt idx="130">
                  <c:v>0.21553177557138636</c:v>
                </c:pt>
                <c:pt idx="131">
                  <c:v>0.20949740461424304</c:v>
                </c:pt>
                <c:pt idx="132">
                  <c:v>0.20346303365709995</c:v>
                </c:pt>
                <c:pt idx="133">
                  <c:v>0.19742866269995674</c:v>
                </c:pt>
                <c:pt idx="134">
                  <c:v>0.19139429174281364</c:v>
                </c:pt>
                <c:pt idx="135">
                  <c:v>0.18535992078567043</c:v>
                </c:pt>
                <c:pt idx="136">
                  <c:v>0.17932554982852733</c:v>
                </c:pt>
                <c:pt idx="137">
                  <c:v>0.17329117887138401</c:v>
                </c:pt>
                <c:pt idx="138">
                  <c:v>0.1672568079142408</c:v>
                </c:pt>
                <c:pt idx="139">
                  <c:v>0.16122243695709759</c:v>
                </c:pt>
                <c:pt idx="140">
                  <c:v>0.15518806599995449</c:v>
                </c:pt>
                <c:pt idx="141">
                  <c:v>0.14915369504281129</c:v>
                </c:pt>
                <c:pt idx="142">
                  <c:v>0.14311932408566796</c:v>
                </c:pt>
                <c:pt idx="143">
                  <c:v>0.13708495312852487</c:v>
                </c:pt>
                <c:pt idx="144">
                  <c:v>0.13105058217138166</c:v>
                </c:pt>
                <c:pt idx="145">
                  <c:v>0.12501621121423856</c:v>
                </c:pt>
                <c:pt idx="146">
                  <c:v>0.11898184025709535</c:v>
                </c:pt>
                <c:pt idx="147">
                  <c:v>0.11294746929995225</c:v>
                </c:pt>
                <c:pt idx="148">
                  <c:v>0.10691309834280893</c:v>
                </c:pt>
                <c:pt idx="149">
                  <c:v>0.10087872738566572</c:v>
                </c:pt>
                <c:pt idx="150">
                  <c:v>9.4844356428522625E-2</c:v>
                </c:pt>
                <c:pt idx="151">
                  <c:v>8.8809985471379527E-2</c:v>
                </c:pt>
                <c:pt idx="152">
                  <c:v>8.2775614514236318E-2</c:v>
                </c:pt>
                <c:pt idx="153">
                  <c:v>7.6741243557093219E-2</c:v>
                </c:pt>
                <c:pt idx="154">
                  <c:v>7.0706872599949899E-2</c:v>
                </c:pt>
                <c:pt idx="155">
                  <c:v>6.467250164280669E-2</c:v>
                </c:pt>
                <c:pt idx="156">
                  <c:v>5.8638130685663592E-2</c:v>
                </c:pt>
                <c:pt idx="157">
                  <c:v>5.2603759728520383E-2</c:v>
                </c:pt>
                <c:pt idx="158">
                  <c:v>4.6569388771377285E-2</c:v>
                </c:pt>
                <c:pt idx="159">
                  <c:v>4.0535017814233965E-2</c:v>
                </c:pt>
                <c:pt idx="160">
                  <c:v>3.4500646857090755E-2</c:v>
                </c:pt>
                <c:pt idx="161">
                  <c:v>2.8466275899947657E-2</c:v>
                </c:pt>
                <c:pt idx="162">
                  <c:v>2.2431904942804448E-2</c:v>
                </c:pt>
                <c:pt idx="163">
                  <c:v>1.639753398566135E-2</c:v>
                </c:pt>
                <c:pt idx="164">
                  <c:v>1.0363163028518252E-2</c:v>
                </c:pt>
                <c:pt idx="165">
                  <c:v>4.3287920713748207E-3</c:v>
                </c:pt>
                <c:pt idx="166">
                  <c:v>-1.7055788857682774E-3</c:v>
                </c:pt>
                <c:pt idx="167">
                  <c:v>-7.7399498429113756E-3</c:v>
                </c:pt>
                <c:pt idx="168">
                  <c:v>-1.3774320800054474E-2</c:v>
                </c:pt>
                <c:pt idx="169">
                  <c:v>-1.9808691757197794E-2</c:v>
                </c:pt>
                <c:pt idx="170">
                  <c:v>-2.5843062714341114E-2</c:v>
                </c:pt>
                <c:pt idx="171">
                  <c:v>-3.1877433671484212E-2</c:v>
                </c:pt>
                <c:pt idx="172">
                  <c:v>-3.791180462862731E-2</c:v>
                </c:pt>
                <c:pt idx="173">
                  <c:v>-4.3946175585770408E-2</c:v>
                </c:pt>
                <c:pt idx="174">
                  <c:v>-4.9980546542913729E-2</c:v>
                </c:pt>
                <c:pt idx="175">
                  <c:v>-5.6014917500056827E-2</c:v>
                </c:pt>
                <c:pt idx="176">
                  <c:v>-6.2049288457200147E-2</c:v>
                </c:pt>
                <c:pt idx="177">
                  <c:v>-6.8083659414343245E-2</c:v>
                </c:pt>
                <c:pt idx="178">
                  <c:v>-7.4118030371486343E-2</c:v>
                </c:pt>
                <c:pt idx="179">
                  <c:v>-8.0152401328629663E-2</c:v>
                </c:pt>
                <c:pt idx="180">
                  <c:v>-8.6186772285772761E-2</c:v>
                </c:pt>
                <c:pt idx="181">
                  <c:v>-9.2221143242916082E-2</c:v>
                </c:pt>
                <c:pt idx="182">
                  <c:v>-9.825551420005918E-2</c:v>
                </c:pt>
                <c:pt idx="183">
                  <c:v>-0.10428988515720228</c:v>
                </c:pt>
                <c:pt idx="184">
                  <c:v>-0.11032425611434538</c:v>
                </c:pt>
                <c:pt idx="185">
                  <c:v>-0.1163586270714887</c:v>
                </c:pt>
                <c:pt idx="186">
                  <c:v>-0.12239299802863179</c:v>
                </c:pt>
                <c:pt idx="187">
                  <c:v>-0.12842736898577511</c:v>
                </c:pt>
                <c:pt idx="188">
                  <c:v>-0.13446173994291821</c:v>
                </c:pt>
                <c:pt idx="189">
                  <c:v>-0.14049611090006131</c:v>
                </c:pt>
                <c:pt idx="190">
                  <c:v>-0.14653048185720463</c:v>
                </c:pt>
                <c:pt idx="191">
                  <c:v>-0.15256485281434773</c:v>
                </c:pt>
                <c:pt idx="192">
                  <c:v>-0.15859922377149083</c:v>
                </c:pt>
                <c:pt idx="193">
                  <c:v>-0.16463359472863415</c:v>
                </c:pt>
                <c:pt idx="194">
                  <c:v>-0.17066796568577725</c:v>
                </c:pt>
                <c:pt idx="195">
                  <c:v>-0.17670233664292057</c:v>
                </c:pt>
                <c:pt idx="196">
                  <c:v>-0.18273670760006366</c:v>
                </c:pt>
                <c:pt idx="197">
                  <c:v>-0.18877107855720676</c:v>
                </c:pt>
                <c:pt idx="198">
                  <c:v>-0.19480544951435008</c:v>
                </c:pt>
                <c:pt idx="199">
                  <c:v>-0.20083982047149318</c:v>
                </c:pt>
                <c:pt idx="200">
                  <c:v>-0.20687419142863628</c:v>
                </c:pt>
                <c:pt idx="201">
                  <c:v>-0.2129085623857796</c:v>
                </c:pt>
                <c:pt idx="202">
                  <c:v>-0.2189429333429227</c:v>
                </c:pt>
                <c:pt idx="203">
                  <c:v>-0.22497730430006602</c:v>
                </c:pt>
                <c:pt idx="204">
                  <c:v>-0.23101167525720911</c:v>
                </c:pt>
                <c:pt idx="205">
                  <c:v>-0.23704604621435221</c:v>
                </c:pt>
                <c:pt idx="206">
                  <c:v>-0.24308041717149553</c:v>
                </c:pt>
                <c:pt idx="207">
                  <c:v>-0.24911478812863885</c:v>
                </c:pt>
                <c:pt idx="208">
                  <c:v>-0.25514915908578195</c:v>
                </c:pt>
                <c:pt idx="209">
                  <c:v>-0.26118353004292505</c:v>
                </c:pt>
                <c:pt idx="210">
                  <c:v>-0.26721790100006837</c:v>
                </c:pt>
                <c:pt idx="211">
                  <c:v>-0.27325227195721147</c:v>
                </c:pt>
                <c:pt idx="212">
                  <c:v>-0.27928664291435479</c:v>
                </c:pt>
                <c:pt idx="213">
                  <c:v>-0.28532101387149789</c:v>
                </c:pt>
                <c:pt idx="214">
                  <c:v>-0.29135538482864098</c:v>
                </c:pt>
                <c:pt idx="215">
                  <c:v>-0.2973897557857843</c:v>
                </c:pt>
                <c:pt idx="216">
                  <c:v>-0.3034241267429274</c:v>
                </c:pt>
                <c:pt idx="217">
                  <c:v>-0.3094584977000705</c:v>
                </c:pt>
                <c:pt idx="218">
                  <c:v>-0.31549286865721382</c:v>
                </c:pt>
                <c:pt idx="219">
                  <c:v>-0.32152723961435692</c:v>
                </c:pt>
                <c:pt idx="220">
                  <c:v>-0.32756161057150024</c:v>
                </c:pt>
                <c:pt idx="221">
                  <c:v>-0.33359598152864334</c:v>
                </c:pt>
                <c:pt idx="222">
                  <c:v>-0.33963035248578644</c:v>
                </c:pt>
                <c:pt idx="223">
                  <c:v>-0.34566472344292976</c:v>
                </c:pt>
                <c:pt idx="224">
                  <c:v>-0.35169909440007285</c:v>
                </c:pt>
                <c:pt idx="225">
                  <c:v>-0.35773346535721595</c:v>
                </c:pt>
                <c:pt idx="226">
                  <c:v>-0.36376783631435927</c:v>
                </c:pt>
                <c:pt idx="227">
                  <c:v>-0.36980220727150237</c:v>
                </c:pt>
                <c:pt idx="228">
                  <c:v>-0.37583657822864569</c:v>
                </c:pt>
                <c:pt idx="229">
                  <c:v>-0.38187094918578879</c:v>
                </c:pt>
                <c:pt idx="230">
                  <c:v>-0.38790532014293189</c:v>
                </c:pt>
                <c:pt idx="231">
                  <c:v>-0.39393969110007521</c:v>
                </c:pt>
                <c:pt idx="232">
                  <c:v>-0.3999740620572183</c:v>
                </c:pt>
                <c:pt idx="233">
                  <c:v>-0.4060084330143614</c:v>
                </c:pt>
                <c:pt idx="234">
                  <c:v>-0.41204280397150472</c:v>
                </c:pt>
                <c:pt idx="235">
                  <c:v>-0.41807717492864804</c:v>
                </c:pt>
                <c:pt idx="236">
                  <c:v>-0.42411154588579092</c:v>
                </c:pt>
                <c:pt idx="237">
                  <c:v>-0.43014591684293424</c:v>
                </c:pt>
                <c:pt idx="238">
                  <c:v>-0.43618028780007734</c:v>
                </c:pt>
                <c:pt idx="239">
                  <c:v>-0.44221465875722066</c:v>
                </c:pt>
                <c:pt idx="240">
                  <c:v>-0.44824902971436398</c:v>
                </c:pt>
                <c:pt idx="241">
                  <c:v>-0.45428340067150685</c:v>
                </c:pt>
                <c:pt idx="242">
                  <c:v>-0.46031777162865017</c:v>
                </c:pt>
                <c:pt idx="243">
                  <c:v>-0.46635214258579327</c:v>
                </c:pt>
                <c:pt idx="244">
                  <c:v>-0.47238651354293659</c:v>
                </c:pt>
                <c:pt idx="245">
                  <c:v>-0.47842088450007991</c:v>
                </c:pt>
                <c:pt idx="246">
                  <c:v>-0.48445525545722279</c:v>
                </c:pt>
                <c:pt idx="247">
                  <c:v>-0.49048962641436611</c:v>
                </c:pt>
                <c:pt idx="248">
                  <c:v>-0.49652399737150898</c:v>
                </c:pt>
                <c:pt idx="249">
                  <c:v>-0.50255836832865231</c:v>
                </c:pt>
                <c:pt idx="250">
                  <c:v>-0.5085927392857954</c:v>
                </c:pt>
                <c:pt idx="251">
                  <c:v>-0.51462711024293872</c:v>
                </c:pt>
                <c:pt idx="252">
                  <c:v>-0.52066148120008204</c:v>
                </c:pt>
                <c:pt idx="253">
                  <c:v>-0.52669585215722492</c:v>
                </c:pt>
                <c:pt idx="254">
                  <c:v>-0.53273022311436824</c:v>
                </c:pt>
                <c:pt idx="255">
                  <c:v>-0.53876459407151134</c:v>
                </c:pt>
                <c:pt idx="256">
                  <c:v>-0.54479896502865466</c:v>
                </c:pt>
                <c:pt idx="257">
                  <c:v>-0.55083333598579798</c:v>
                </c:pt>
                <c:pt idx="258">
                  <c:v>-0.55686770694294085</c:v>
                </c:pt>
                <c:pt idx="259">
                  <c:v>-0.56290207790008417</c:v>
                </c:pt>
                <c:pt idx="260">
                  <c:v>-0.56893644885722727</c:v>
                </c:pt>
                <c:pt idx="261">
                  <c:v>-0.57497081981437059</c:v>
                </c:pt>
                <c:pt idx="262">
                  <c:v>-0.58100519077151391</c:v>
                </c:pt>
                <c:pt idx="263">
                  <c:v>-0.58703956172865679</c:v>
                </c:pt>
                <c:pt idx="264">
                  <c:v>-0.59307393268580011</c:v>
                </c:pt>
                <c:pt idx="265">
                  <c:v>-0.59910830364294321</c:v>
                </c:pt>
                <c:pt idx="266">
                  <c:v>-0.60514267460008653</c:v>
                </c:pt>
                <c:pt idx="267">
                  <c:v>-0.6111770455572294</c:v>
                </c:pt>
                <c:pt idx="268">
                  <c:v>-0.61721141651437272</c:v>
                </c:pt>
                <c:pt idx="269">
                  <c:v>-0.62324578747151604</c:v>
                </c:pt>
                <c:pt idx="270">
                  <c:v>-0.62928015842865914</c:v>
                </c:pt>
                <c:pt idx="271">
                  <c:v>-0.63531452938580246</c:v>
                </c:pt>
                <c:pt idx="272">
                  <c:v>-0.64134890034294534</c:v>
                </c:pt>
                <c:pt idx="273">
                  <c:v>-0.64738327130008866</c:v>
                </c:pt>
                <c:pt idx="274">
                  <c:v>-0.65341764225723198</c:v>
                </c:pt>
                <c:pt idx="275">
                  <c:v>-0.65945201321437508</c:v>
                </c:pt>
                <c:pt idx="276">
                  <c:v>-0.6654863841715184</c:v>
                </c:pt>
                <c:pt idx="277">
                  <c:v>-0.6715207551286615</c:v>
                </c:pt>
                <c:pt idx="278">
                  <c:v>-0.67755512608580482</c:v>
                </c:pt>
                <c:pt idx="279">
                  <c:v>-0.68358949704294814</c:v>
                </c:pt>
                <c:pt idx="280">
                  <c:v>-0.68962386800009101</c:v>
                </c:pt>
                <c:pt idx="281">
                  <c:v>-0.69565823895723433</c:v>
                </c:pt>
                <c:pt idx="282">
                  <c:v>-0.70169260991437743</c:v>
                </c:pt>
                <c:pt idx="283">
                  <c:v>-0.70772698087152075</c:v>
                </c:pt>
                <c:pt idx="284">
                  <c:v>-0.71376135182866407</c:v>
                </c:pt>
                <c:pt idx="285">
                  <c:v>-0.71979572278580695</c:v>
                </c:pt>
                <c:pt idx="286">
                  <c:v>-0.72583009374295027</c:v>
                </c:pt>
                <c:pt idx="287">
                  <c:v>-0.73186446470009336</c:v>
                </c:pt>
                <c:pt idx="288">
                  <c:v>-0.73789883565723668</c:v>
                </c:pt>
                <c:pt idx="289">
                  <c:v>-0.74393320661437956</c:v>
                </c:pt>
                <c:pt idx="290">
                  <c:v>-0.74996757757152288</c:v>
                </c:pt>
                <c:pt idx="291">
                  <c:v>-0.7560019485286662</c:v>
                </c:pt>
                <c:pt idx="292">
                  <c:v>-0.7620363194858093</c:v>
                </c:pt>
                <c:pt idx="293">
                  <c:v>-0.76807069044295262</c:v>
                </c:pt>
                <c:pt idx="294">
                  <c:v>-0.7741050614000955</c:v>
                </c:pt>
                <c:pt idx="295">
                  <c:v>-0.78013943235723882</c:v>
                </c:pt>
                <c:pt idx="296">
                  <c:v>-0.78617380331438214</c:v>
                </c:pt>
                <c:pt idx="297">
                  <c:v>-0.79220817427152523</c:v>
                </c:pt>
                <c:pt idx="298">
                  <c:v>-0.79824254522866855</c:v>
                </c:pt>
                <c:pt idx="299">
                  <c:v>-0.80427691618581143</c:v>
                </c:pt>
                <c:pt idx="300">
                  <c:v>-0.81031128714295475</c:v>
                </c:pt>
                <c:pt idx="301">
                  <c:v>-0.81634565810009807</c:v>
                </c:pt>
                <c:pt idx="302">
                  <c:v>-0.82238002905724095</c:v>
                </c:pt>
                <c:pt idx="303">
                  <c:v>-0.82841440001438427</c:v>
                </c:pt>
                <c:pt idx="304">
                  <c:v>-0.83444877097152736</c:v>
                </c:pt>
                <c:pt idx="305">
                  <c:v>-0.84048314192867069</c:v>
                </c:pt>
                <c:pt idx="306">
                  <c:v>-0.84651751288581356</c:v>
                </c:pt>
                <c:pt idx="307">
                  <c:v>-0.85255188384295688</c:v>
                </c:pt>
                <c:pt idx="308">
                  <c:v>-0.8585862548001002</c:v>
                </c:pt>
                <c:pt idx="309">
                  <c:v>-0.8646206257572433</c:v>
                </c:pt>
                <c:pt idx="310">
                  <c:v>-0.87065499671438662</c:v>
                </c:pt>
                <c:pt idx="311">
                  <c:v>-0.8766893676715295</c:v>
                </c:pt>
                <c:pt idx="312">
                  <c:v>-0.88272373862867282</c:v>
                </c:pt>
                <c:pt idx="313">
                  <c:v>-0.88875810958581614</c:v>
                </c:pt>
                <c:pt idx="314">
                  <c:v>-0.89479248054295923</c:v>
                </c:pt>
                <c:pt idx="315">
                  <c:v>-0.90082685150010255</c:v>
                </c:pt>
                <c:pt idx="316">
                  <c:v>-0.90686122245724543</c:v>
                </c:pt>
                <c:pt idx="317">
                  <c:v>-0.91289559341438875</c:v>
                </c:pt>
                <c:pt idx="318">
                  <c:v>-0.91892996437153207</c:v>
                </c:pt>
                <c:pt idx="319">
                  <c:v>-0.92496433532867517</c:v>
                </c:pt>
                <c:pt idx="320">
                  <c:v>-0.93099870628581849</c:v>
                </c:pt>
                <c:pt idx="321">
                  <c:v>-0.93703307724296137</c:v>
                </c:pt>
                <c:pt idx="322">
                  <c:v>-0.94306744820010469</c:v>
                </c:pt>
                <c:pt idx="323">
                  <c:v>-0.94910181915724801</c:v>
                </c:pt>
                <c:pt idx="324">
                  <c:v>-0.9551361901143911</c:v>
                </c:pt>
                <c:pt idx="325">
                  <c:v>-0.96117056107153442</c:v>
                </c:pt>
                <c:pt idx="326">
                  <c:v>-0.9672049320286773</c:v>
                </c:pt>
                <c:pt idx="327">
                  <c:v>-0.97323930298582062</c:v>
                </c:pt>
                <c:pt idx="328">
                  <c:v>-0.9792736739429635</c:v>
                </c:pt>
                <c:pt idx="329">
                  <c:v>-0.98530804490010704</c:v>
                </c:pt>
                <c:pt idx="330">
                  <c:v>-0.99134241585725036</c:v>
                </c:pt>
                <c:pt idx="331">
                  <c:v>-0.99737678681439323</c:v>
                </c:pt>
                <c:pt idx="332">
                  <c:v>-1.0034111577715366</c:v>
                </c:pt>
                <c:pt idx="333">
                  <c:v>-1.0094455287286794</c:v>
                </c:pt>
                <c:pt idx="334">
                  <c:v>-1.0154798996858228</c:v>
                </c:pt>
                <c:pt idx="335">
                  <c:v>-1.0215142706429661</c:v>
                </c:pt>
                <c:pt idx="336">
                  <c:v>-1.0275486416001089</c:v>
                </c:pt>
                <c:pt idx="337">
                  <c:v>-1.0335830125572523</c:v>
                </c:pt>
                <c:pt idx="338">
                  <c:v>-1.0396173835143956</c:v>
                </c:pt>
                <c:pt idx="339">
                  <c:v>-1.0456517544715389</c:v>
                </c:pt>
                <c:pt idx="340">
                  <c:v>-1.0516861254286822</c:v>
                </c:pt>
                <c:pt idx="341">
                  <c:v>-1.0577204963858251</c:v>
                </c:pt>
                <c:pt idx="342">
                  <c:v>-1.0637548673429684</c:v>
                </c:pt>
                <c:pt idx="343">
                  <c:v>-1.0697892383001113</c:v>
                </c:pt>
                <c:pt idx="344">
                  <c:v>-1.0758236092572546</c:v>
                </c:pt>
                <c:pt idx="345">
                  <c:v>-1.0818579802143975</c:v>
                </c:pt>
                <c:pt idx="346">
                  <c:v>-1.0878923511715408</c:v>
                </c:pt>
                <c:pt idx="347">
                  <c:v>-1.0939267221286841</c:v>
                </c:pt>
                <c:pt idx="348">
                  <c:v>-1.0999610930858275</c:v>
                </c:pt>
                <c:pt idx="349">
                  <c:v>-1.1059954640429708</c:v>
                </c:pt>
                <c:pt idx="350">
                  <c:v>-1.1120298350001137</c:v>
                </c:pt>
                <c:pt idx="351">
                  <c:v>-1.118064205957257</c:v>
                </c:pt>
                <c:pt idx="352">
                  <c:v>-1.1240985769144003</c:v>
                </c:pt>
                <c:pt idx="353">
                  <c:v>-1.1301329478715432</c:v>
                </c:pt>
                <c:pt idx="354">
                  <c:v>-1.1361673188286865</c:v>
                </c:pt>
                <c:pt idx="355">
                  <c:v>-1.1422016897858294</c:v>
                </c:pt>
                <c:pt idx="356">
                  <c:v>-1.1482360607429727</c:v>
                </c:pt>
                <c:pt idx="357">
                  <c:v>-1.154270431700116</c:v>
                </c:pt>
                <c:pt idx="358">
                  <c:v>-1.1603048026572593</c:v>
                </c:pt>
                <c:pt idx="359">
                  <c:v>-1.1663391736144026</c:v>
                </c:pt>
                <c:pt idx="360">
                  <c:v>-1.1723735445715455</c:v>
                </c:pt>
                <c:pt idx="361">
                  <c:v>-1.1784079155286888</c:v>
                </c:pt>
                <c:pt idx="362">
                  <c:v>-1.1844422864858322</c:v>
                </c:pt>
                <c:pt idx="363">
                  <c:v>-1.190476657442975</c:v>
                </c:pt>
                <c:pt idx="364">
                  <c:v>-1.1965110284001184</c:v>
                </c:pt>
                <c:pt idx="365">
                  <c:v>-1.2025453993572612</c:v>
                </c:pt>
                <c:pt idx="366">
                  <c:v>-1.2085797703144046</c:v>
                </c:pt>
                <c:pt idx="367">
                  <c:v>-1.2146141412715474</c:v>
                </c:pt>
                <c:pt idx="368">
                  <c:v>-1.2206485122286908</c:v>
                </c:pt>
                <c:pt idx="369">
                  <c:v>-1.2266828831858341</c:v>
                </c:pt>
                <c:pt idx="370">
                  <c:v>-1.2327172541429774</c:v>
                </c:pt>
                <c:pt idx="371">
                  <c:v>-1.2387516251001207</c:v>
                </c:pt>
                <c:pt idx="372">
                  <c:v>-1.2447859960572636</c:v>
                </c:pt>
                <c:pt idx="373">
                  <c:v>-1.2508203670144069</c:v>
                </c:pt>
                <c:pt idx="374">
                  <c:v>-1.2568547379715502</c:v>
                </c:pt>
                <c:pt idx="375">
                  <c:v>-1.2628891089286931</c:v>
                </c:pt>
                <c:pt idx="376">
                  <c:v>-1.2689234798858364</c:v>
                </c:pt>
                <c:pt idx="377">
                  <c:v>-1.2749578508429793</c:v>
                </c:pt>
                <c:pt idx="378">
                  <c:v>-1.2809922218001226</c:v>
                </c:pt>
                <c:pt idx="379">
                  <c:v>-1.2870265927572659</c:v>
                </c:pt>
                <c:pt idx="380">
                  <c:v>-1.2930609637144093</c:v>
                </c:pt>
                <c:pt idx="381">
                  <c:v>-1.2990953346715526</c:v>
                </c:pt>
                <c:pt idx="382">
                  <c:v>-1.3051297056286955</c:v>
                </c:pt>
                <c:pt idx="383">
                  <c:v>-1.3111640765858388</c:v>
                </c:pt>
                <c:pt idx="384">
                  <c:v>-1.3171984475429817</c:v>
                </c:pt>
                <c:pt idx="385">
                  <c:v>-1.323232818500125</c:v>
                </c:pt>
                <c:pt idx="386">
                  <c:v>-1.3292671894572683</c:v>
                </c:pt>
                <c:pt idx="387">
                  <c:v>-1.3353015604144112</c:v>
                </c:pt>
                <c:pt idx="388">
                  <c:v>-1.3413359313715545</c:v>
                </c:pt>
                <c:pt idx="389">
                  <c:v>-1.3473703023286974</c:v>
                </c:pt>
                <c:pt idx="390">
                  <c:v>-1.3534046732858411</c:v>
                </c:pt>
                <c:pt idx="391">
                  <c:v>-1.3594390442429845</c:v>
                </c:pt>
                <c:pt idx="392">
                  <c:v>-1.3654734152001273</c:v>
                </c:pt>
                <c:pt idx="393">
                  <c:v>-1.3715077861572706</c:v>
                </c:pt>
                <c:pt idx="394">
                  <c:v>-1.3775421571144135</c:v>
                </c:pt>
                <c:pt idx="395">
                  <c:v>-1.3835765280715568</c:v>
                </c:pt>
                <c:pt idx="396">
                  <c:v>-1.3896108990287002</c:v>
                </c:pt>
                <c:pt idx="397">
                  <c:v>-1.395645269985843</c:v>
                </c:pt>
                <c:pt idx="398">
                  <c:v>-1.4016796409429864</c:v>
                </c:pt>
                <c:pt idx="399">
                  <c:v>-1.4077140119001292</c:v>
                </c:pt>
                <c:pt idx="400">
                  <c:v>-1.4137483828572726</c:v>
                </c:pt>
              </c:numCache>
            </c:numRef>
          </c:yVal>
          <c:smooth val="0"/>
          <c:extLst>
            <c:ext xmlns:c16="http://schemas.microsoft.com/office/drawing/2014/chart" uri="{C3380CC4-5D6E-409C-BE32-E72D297353CC}">
              <c16:uniqueId val="{00000003-1DFF-4DFC-B6E9-D86B6FD0EE9D}"/>
            </c:ext>
          </c:extLst>
        </c:ser>
        <c:ser>
          <c:idx val="4"/>
          <c:order val="4"/>
          <c:tx>
            <c:strRef>
              <c:f>'V-N Diagram'!$T$36</c:f>
              <c:strCache>
                <c:ptCount val="1"/>
                <c:pt idx="0">
                  <c:v>ng3</c:v>
                </c:pt>
              </c:strCache>
            </c:strRef>
          </c:tx>
          <c:spPr>
            <a:ln w="12700" cap="rnd">
              <a:solidFill>
                <a:schemeClr val="accent5"/>
              </a:solidFill>
              <a:prstDash val="dash"/>
              <a:round/>
            </a:ln>
            <a:effectLst/>
          </c:spPr>
          <c:marker>
            <c:symbol val="none"/>
          </c:marker>
          <c:xVal>
            <c:numRef>
              <c:f>'V-N Diagram'!$O$37:$O$437</c:f>
              <c:numCache>
                <c:formatCode>General</c:formatCode>
                <c:ptCount val="4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numCache>
            </c:numRef>
          </c:xVal>
          <c:yVal>
            <c:numRef>
              <c:f>'V-N Diagram'!$T$37:$T$437</c:f>
              <c:numCache>
                <c:formatCode>General</c:formatCode>
                <c:ptCount val="401"/>
                <c:pt idx="0">
                  <c:v>1</c:v>
                </c:pt>
                <c:pt idx="1">
                  <c:v>1.0060343709571431</c:v>
                </c:pt>
                <c:pt idx="2">
                  <c:v>1.0120687419142864</c:v>
                </c:pt>
                <c:pt idx="3">
                  <c:v>1.0181031128714295</c:v>
                </c:pt>
                <c:pt idx="4">
                  <c:v>1.0241374838285728</c:v>
                </c:pt>
                <c:pt idx="5">
                  <c:v>1.0301718547857159</c:v>
                </c:pt>
                <c:pt idx="6">
                  <c:v>1.036206225742859</c:v>
                </c:pt>
                <c:pt idx="7">
                  <c:v>1.0422405967000024</c:v>
                </c:pt>
                <c:pt idx="8">
                  <c:v>1.0482749676571455</c:v>
                </c:pt>
                <c:pt idx="9">
                  <c:v>1.0543093386142885</c:v>
                </c:pt>
                <c:pt idx="10">
                  <c:v>1.0603437095714319</c:v>
                </c:pt>
                <c:pt idx="11">
                  <c:v>1.066378080528575</c:v>
                </c:pt>
                <c:pt idx="12">
                  <c:v>1.0724124514857181</c:v>
                </c:pt>
                <c:pt idx="13">
                  <c:v>1.0784468224428614</c:v>
                </c:pt>
                <c:pt idx="14">
                  <c:v>1.0844811934000045</c:v>
                </c:pt>
                <c:pt idx="15">
                  <c:v>1.0905155643571478</c:v>
                </c:pt>
                <c:pt idx="16">
                  <c:v>1.0965499353142909</c:v>
                </c:pt>
                <c:pt idx="17">
                  <c:v>1.102584306271434</c:v>
                </c:pt>
                <c:pt idx="18">
                  <c:v>1.1086186772285773</c:v>
                </c:pt>
                <c:pt idx="19">
                  <c:v>1.1146530481857204</c:v>
                </c:pt>
                <c:pt idx="20">
                  <c:v>1.1206874191428637</c:v>
                </c:pt>
                <c:pt idx="21">
                  <c:v>1.1267217901000068</c:v>
                </c:pt>
                <c:pt idx="22">
                  <c:v>1.1327561610571499</c:v>
                </c:pt>
                <c:pt idx="23">
                  <c:v>1.1387905320142933</c:v>
                </c:pt>
                <c:pt idx="24">
                  <c:v>1.1448249029714364</c:v>
                </c:pt>
                <c:pt idx="25">
                  <c:v>1.1508592739285795</c:v>
                </c:pt>
                <c:pt idx="26">
                  <c:v>1.1568936448857228</c:v>
                </c:pt>
                <c:pt idx="27">
                  <c:v>1.1629280158428659</c:v>
                </c:pt>
                <c:pt idx="28">
                  <c:v>1.1689623868000092</c:v>
                </c:pt>
                <c:pt idx="29">
                  <c:v>1.1749967577571523</c:v>
                </c:pt>
                <c:pt idx="30">
                  <c:v>1.1810311287142956</c:v>
                </c:pt>
                <c:pt idx="31">
                  <c:v>1.1870654996714387</c:v>
                </c:pt>
                <c:pt idx="32">
                  <c:v>1.1930998706285818</c:v>
                </c:pt>
                <c:pt idx="33">
                  <c:v>1.1991342415857251</c:v>
                </c:pt>
                <c:pt idx="34">
                  <c:v>1.2051686125428682</c:v>
                </c:pt>
                <c:pt idx="35">
                  <c:v>1.2112029835000113</c:v>
                </c:pt>
                <c:pt idx="36">
                  <c:v>1.2172373544571546</c:v>
                </c:pt>
                <c:pt idx="37">
                  <c:v>1.2232717254142977</c:v>
                </c:pt>
                <c:pt idx="38">
                  <c:v>1.2293060963714408</c:v>
                </c:pt>
                <c:pt idx="39">
                  <c:v>1.2353404673285842</c:v>
                </c:pt>
                <c:pt idx="40">
                  <c:v>1.2413748382857273</c:v>
                </c:pt>
                <c:pt idx="41">
                  <c:v>1.2474092092428704</c:v>
                </c:pt>
                <c:pt idx="42">
                  <c:v>1.2534435802000137</c:v>
                </c:pt>
                <c:pt idx="43">
                  <c:v>1.2594779511571568</c:v>
                </c:pt>
                <c:pt idx="44">
                  <c:v>1.2655123221143001</c:v>
                </c:pt>
                <c:pt idx="45">
                  <c:v>1.2715466930714432</c:v>
                </c:pt>
                <c:pt idx="46">
                  <c:v>1.2775810640285863</c:v>
                </c:pt>
                <c:pt idx="47">
                  <c:v>1.2836154349857296</c:v>
                </c:pt>
                <c:pt idx="48">
                  <c:v>1.2896498059428727</c:v>
                </c:pt>
                <c:pt idx="49">
                  <c:v>1.295684176900016</c:v>
                </c:pt>
                <c:pt idx="50">
                  <c:v>1.3017185478571591</c:v>
                </c:pt>
                <c:pt idx="51">
                  <c:v>1.3077529188143022</c:v>
                </c:pt>
                <c:pt idx="52">
                  <c:v>1.3137872897714455</c:v>
                </c:pt>
                <c:pt idx="53">
                  <c:v>1.3198216607285886</c:v>
                </c:pt>
                <c:pt idx="54">
                  <c:v>1.3258560316857317</c:v>
                </c:pt>
                <c:pt idx="55">
                  <c:v>1.3318904026428751</c:v>
                </c:pt>
                <c:pt idx="56">
                  <c:v>1.3379247736000182</c:v>
                </c:pt>
                <c:pt idx="57">
                  <c:v>1.3439591445571615</c:v>
                </c:pt>
                <c:pt idx="58">
                  <c:v>1.3499935155143046</c:v>
                </c:pt>
                <c:pt idx="59">
                  <c:v>1.3560278864714477</c:v>
                </c:pt>
                <c:pt idx="60">
                  <c:v>1.362062257428591</c:v>
                </c:pt>
                <c:pt idx="61">
                  <c:v>1.3680966283857341</c:v>
                </c:pt>
                <c:pt idx="62">
                  <c:v>1.3741309993428772</c:v>
                </c:pt>
                <c:pt idx="63">
                  <c:v>1.3801653703000205</c:v>
                </c:pt>
                <c:pt idx="64">
                  <c:v>1.3861997412571636</c:v>
                </c:pt>
                <c:pt idx="65">
                  <c:v>1.3922341122143069</c:v>
                </c:pt>
                <c:pt idx="66">
                  <c:v>1.39826848317145</c:v>
                </c:pt>
                <c:pt idx="67">
                  <c:v>1.4043028541285931</c:v>
                </c:pt>
                <c:pt idx="68">
                  <c:v>1.4103372250857364</c:v>
                </c:pt>
                <c:pt idx="69">
                  <c:v>1.4163715960428795</c:v>
                </c:pt>
                <c:pt idx="70">
                  <c:v>1.4224059670000226</c:v>
                </c:pt>
                <c:pt idx="71">
                  <c:v>1.428440337957166</c:v>
                </c:pt>
                <c:pt idx="72">
                  <c:v>1.4344747089143093</c:v>
                </c:pt>
                <c:pt idx="73">
                  <c:v>1.4405090798714524</c:v>
                </c:pt>
                <c:pt idx="74">
                  <c:v>1.4465434508285955</c:v>
                </c:pt>
                <c:pt idx="75">
                  <c:v>1.4525778217857388</c:v>
                </c:pt>
                <c:pt idx="76">
                  <c:v>1.4586121927428819</c:v>
                </c:pt>
                <c:pt idx="77">
                  <c:v>1.464646563700025</c:v>
                </c:pt>
                <c:pt idx="78">
                  <c:v>1.4706809346571683</c:v>
                </c:pt>
                <c:pt idx="79">
                  <c:v>1.4767153056143114</c:v>
                </c:pt>
                <c:pt idx="80">
                  <c:v>1.4827496765714545</c:v>
                </c:pt>
                <c:pt idx="81">
                  <c:v>1.4887840475285978</c:v>
                </c:pt>
                <c:pt idx="82">
                  <c:v>1.4948184184857409</c:v>
                </c:pt>
                <c:pt idx="83">
                  <c:v>1.500852789442884</c:v>
                </c:pt>
                <c:pt idx="84">
                  <c:v>1.5068871604000273</c:v>
                </c:pt>
                <c:pt idx="85">
                  <c:v>1.5129215313571707</c:v>
                </c:pt>
                <c:pt idx="86">
                  <c:v>1.5189559023143135</c:v>
                </c:pt>
                <c:pt idx="87">
                  <c:v>1.5249902732714569</c:v>
                </c:pt>
                <c:pt idx="88">
                  <c:v>1.5310246442286002</c:v>
                </c:pt>
                <c:pt idx="89">
                  <c:v>1.5370590151857431</c:v>
                </c:pt>
                <c:pt idx="90">
                  <c:v>1.5430933861428864</c:v>
                </c:pt>
                <c:pt idx="91">
                  <c:v>1.5491277571000297</c:v>
                </c:pt>
                <c:pt idx="92">
                  <c:v>1.5551621280571726</c:v>
                </c:pt>
                <c:pt idx="93">
                  <c:v>1.5611964990143159</c:v>
                </c:pt>
                <c:pt idx="94">
                  <c:v>1.5672308699714592</c:v>
                </c:pt>
                <c:pt idx="95">
                  <c:v>1.5732652409286023</c:v>
                </c:pt>
                <c:pt idx="96">
                  <c:v>1.5792996118857454</c:v>
                </c:pt>
                <c:pt idx="97">
                  <c:v>1.5853339828428887</c:v>
                </c:pt>
                <c:pt idx="98">
                  <c:v>1.5913683538000318</c:v>
                </c:pt>
                <c:pt idx="99">
                  <c:v>1.5974027247571749</c:v>
                </c:pt>
                <c:pt idx="100">
                  <c:v>1.6034370957143183</c:v>
                </c:pt>
                <c:pt idx="101">
                  <c:v>1.6094714666714613</c:v>
                </c:pt>
                <c:pt idx="102">
                  <c:v>1.6155058376286044</c:v>
                </c:pt>
                <c:pt idx="103">
                  <c:v>1.6215402085857478</c:v>
                </c:pt>
                <c:pt idx="104">
                  <c:v>1.6275745795428911</c:v>
                </c:pt>
                <c:pt idx="105">
                  <c:v>1.6336089505000342</c:v>
                </c:pt>
                <c:pt idx="106">
                  <c:v>1.6396433214571773</c:v>
                </c:pt>
                <c:pt idx="107">
                  <c:v>1.6456776924143206</c:v>
                </c:pt>
                <c:pt idx="108">
                  <c:v>1.6517120633714637</c:v>
                </c:pt>
                <c:pt idx="109">
                  <c:v>1.6577464343286068</c:v>
                </c:pt>
                <c:pt idx="110">
                  <c:v>1.6637808052857501</c:v>
                </c:pt>
                <c:pt idx="111">
                  <c:v>1.6698151762428932</c:v>
                </c:pt>
                <c:pt idx="112">
                  <c:v>1.6758495472000363</c:v>
                </c:pt>
                <c:pt idx="113">
                  <c:v>1.6818839181571796</c:v>
                </c:pt>
                <c:pt idx="114">
                  <c:v>1.687918289114323</c:v>
                </c:pt>
                <c:pt idx="115">
                  <c:v>1.6939526600714658</c:v>
                </c:pt>
                <c:pt idx="116">
                  <c:v>1.6999870310286092</c:v>
                </c:pt>
                <c:pt idx="117">
                  <c:v>1.7060214019857525</c:v>
                </c:pt>
                <c:pt idx="118">
                  <c:v>1.7120557729428953</c:v>
                </c:pt>
                <c:pt idx="119">
                  <c:v>1.7180901439000387</c:v>
                </c:pt>
                <c:pt idx="120">
                  <c:v>1.724124514857182</c:v>
                </c:pt>
                <c:pt idx="121">
                  <c:v>1.7301588858143251</c:v>
                </c:pt>
                <c:pt idx="122">
                  <c:v>1.7361932567714682</c:v>
                </c:pt>
                <c:pt idx="123">
                  <c:v>1.7422276277286115</c:v>
                </c:pt>
                <c:pt idx="124">
                  <c:v>1.7482619986857544</c:v>
                </c:pt>
                <c:pt idx="125">
                  <c:v>1.7542963696428977</c:v>
                </c:pt>
                <c:pt idx="126">
                  <c:v>1.760330740600041</c:v>
                </c:pt>
                <c:pt idx="127">
                  <c:v>1.7663651115571841</c:v>
                </c:pt>
                <c:pt idx="128">
                  <c:v>1.7723994825143272</c:v>
                </c:pt>
                <c:pt idx="129">
                  <c:v>1.7784338534714705</c:v>
                </c:pt>
                <c:pt idx="130">
                  <c:v>1.7844682244286136</c:v>
                </c:pt>
                <c:pt idx="131">
                  <c:v>1.790502595385757</c:v>
                </c:pt>
                <c:pt idx="132">
                  <c:v>1.7965369663429001</c:v>
                </c:pt>
                <c:pt idx="133">
                  <c:v>1.8025713373000434</c:v>
                </c:pt>
                <c:pt idx="134">
                  <c:v>1.8086057082571863</c:v>
                </c:pt>
                <c:pt idx="135">
                  <c:v>1.8146400792143296</c:v>
                </c:pt>
                <c:pt idx="136">
                  <c:v>1.8206744501714727</c:v>
                </c:pt>
                <c:pt idx="137">
                  <c:v>1.826708821128616</c:v>
                </c:pt>
                <c:pt idx="138">
                  <c:v>1.8327431920857591</c:v>
                </c:pt>
                <c:pt idx="139">
                  <c:v>1.8387775630429024</c:v>
                </c:pt>
                <c:pt idx="140">
                  <c:v>1.8448119340000455</c:v>
                </c:pt>
                <c:pt idx="141">
                  <c:v>1.8508463049571886</c:v>
                </c:pt>
                <c:pt idx="142">
                  <c:v>1.8568806759143319</c:v>
                </c:pt>
                <c:pt idx="143">
                  <c:v>1.8629150468714752</c:v>
                </c:pt>
                <c:pt idx="144">
                  <c:v>1.8689494178286183</c:v>
                </c:pt>
                <c:pt idx="145">
                  <c:v>1.8749837887857614</c:v>
                </c:pt>
                <c:pt idx="146">
                  <c:v>1.8810181597429048</c:v>
                </c:pt>
                <c:pt idx="147">
                  <c:v>1.8870525307000476</c:v>
                </c:pt>
                <c:pt idx="148">
                  <c:v>1.893086901657191</c:v>
                </c:pt>
                <c:pt idx="149">
                  <c:v>1.8991212726143343</c:v>
                </c:pt>
                <c:pt idx="150">
                  <c:v>1.9051556435714774</c:v>
                </c:pt>
                <c:pt idx="151">
                  <c:v>1.9111900145286205</c:v>
                </c:pt>
                <c:pt idx="152">
                  <c:v>1.9172243854857638</c:v>
                </c:pt>
                <c:pt idx="153">
                  <c:v>1.9232587564429067</c:v>
                </c:pt>
                <c:pt idx="154">
                  <c:v>1.92929312740005</c:v>
                </c:pt>
                <c:pt idx="155">
                  <c:v>1.9353274983571933</c:v>
                </c:pt>
                <c:pt idx="156">
                  <c:v>1.9413618693143364</c:v>
                </c:pt>
                <c:pt idx="157">
                  <c:v>1.9473962402714795</c:v>
                </c:pt>
                <c:pt idx="158">
                  <c:v>1.9534306112286228</c:v>
                </c:pt>
                <c:pt idx="159">
                  <c:v>1.9594649821857661</c:v>
                </c:pt>
                <c:pt idx="160">
                  <c:v>1.9654993531429092</c:v>
                </c:pt>
                <c:pt idx="161">
                  <c:v>1.9715337241000523</c:v>
                </c:pt>
                <c:pt idx="162">
                  <c:v>1.9775680950571957</c:v>
                </c:pt>
                <c:pt idx="163">
                  <c:v>1.9836024660143385</c:v>
                </c:pt>
                <c:pt idx="164">
                  <c:v>1.9896368369714819</c:v>
                </c:pt>
                <c:pt idx="165">
                  <c:v>1.9956712079286252</c:v>
                </c:pt>
                <c:pt idx="166">
                  <c:v>2.0017055788857681</c:v>
                </c:pt>
                <c:pt idx="167">
                  <c:v>2.0077399498429114</c:v>
                </c:pt>
                <c:pt idx="168">
                  <c:v>2.0137743208000547</c:v>
                </c:pt>
                <c:pt idx="169">
                  <c:v>2.0198086917571976</c:v>
                </c:pt>
                <c:pt idx="170">
                  <c:v>2.0258430627143413</c:v>
                </c:pt>
                <c:pt idx="171">
                  <c:v>2.0318774336714842</c:v>
                </c:pt>
                <c:pt idx="172">
                  <c:v>2.0379118046286271</c:v>
                </c:pt>
                <c:pt idx="173">
                  <c:v>2.0439461755857704</c:v>
                </c:pt>
                <c:pt idx="174">
                  <c:v>2.0499805465429137</c:v>
                </c:pt>
                <c:pt idx="175">
                  <c:v>2.0560149175000566</c:v>
                </c:pt>
                <c:pt idx="176">
                  <c:v>2.0620492884572004</c:v>
                </c:pt>
                <c:pt idx="177">
                  <c:v>2.0680836594143432</c:v>
                </c:pt>
                <c:pt idx="178">
                  <c:v>2.0741180303714861</c:v>
                </c:pt>
                <c:pt idx="179">
                  <c:v>2.0801524013286299</c:v>
                </c:pt>
                <c:pt idx="180">
                  <c:v>2.0861867722857728</c:v>
                </c:pt>
                <c:pt idx="181">
                  <c:v>2.0922211432429161</c:v>
                </c:pt>
                <c:pt idx="182">
                  <c:v>2.0982555142000594</c:v>
                </c:pt>
                <c:pt idx="183">
                  <c:v>2.1042898851572023</c:v>
                </c:pt>
                <c:pt idx="184">
                  <c:v>2.1103242561143452</c:v>
                </c:pt>
                <c:pt idx="185">
                  <c:v>2.1163586270714889</c:v>
                </c:pt>
                <c:pt idx="186">
                  <c:v>2.1223929980286318</c:v>
                </c:pt>
                <c:pt idx="187">
                  <c:v>2.1284273689857751</c:v>
                </c:pt>
                <c:pt idx="188">
                  <c:v>2.1344617399429184</c:v>
                </c:pt>
                <c:pt idx="189">
                  <c:v>2.1404961109000613</c:v>
                </c:pt>
                <c:pt idx="190">
                  <c:v>2.1465304818572046</c:v>
                </c:pt>
                <c:pt idx="191">
                  <c:v>2.152564852814348</c:v>
                </c:pt>
                <c:pt idx="192">
                  <c:v>2.1585992237714908</c:v>
                </c:pt>
                <c:pt idx="193">
                  <c:v>2.1646335947286341</c:v>
                </c:pt>
                <c:pt idx="194">
                  <c:v>2.1706679656857775</c:v>
                </c:pt>
                <c:pt idx="195">
                  <c:v>2.1767023366429203</c:v>
                </c:pt>
                <c:pt idx="196">
                  <c:v>2.1827367076000637</c:v>
                </c:pt>
                <c:pt idx="197">
                  <c:v>2.188771078557207</c:v>
                </c:pt>
                <c:pt idx="198">
                  <c:v>2.1948054495143499</c:v>
                </c:pt>
                <c:pt idx="199">
                  <c:v>2.2008398204714932</c:v>
                </c:pt>
                <c:pt idx="200">
                  <c:v>2.2068741914286365</c:v>
                </c:pt>
                <c:pt idx="201">
                  <c:v>2.2129085623857794</c:v>
                </c:pt>
                <c:pt idx="202">
                  <c:v>2.2189429333429227</c:v>
                </c:pt>
                <c:pt idx="203">
                  <c:v>2.224977304300066</c:v>
                </c:pt>
                <c:pt idx="204">
                  <c:v>2.2310116752572089</c:v>
                </c:pt>
                <c:pt idx="205">
                  <c:v>2.2370460462143522</c:v>
                </c:pt>
                <c:pt idx="206">
                  <c:v>2.2430804171714955</c:v>
                </c:pt>
                <c:pt idx="207">
                  <c:v>2.2491147881286389</c:v>
                </c:pt>
                <c:pt idx="208">
                  <c:v>2.2551491590857822</c:v>
                </c:pt>
                <c:pt idx="209">
                  <c:v>2.261183530042925</c:v>
                </c:pt>
                <c:pt idx="210">
                  <c:v>2.2672179010000684</c:v>
                </c:pt>
                <c:pt idx="211">
                  <c:v>2.2732522719572117</c:v>
                </c:pt>
                <c:pt idx="212">
                  <c:v>2.2792866429143546</c:v>
                </c:pt>
                <c:pt idx="213">
                  <c:v>2.2853210138714979</c:v>
                </c:pt>
                <c:pt idx="214">
                  <c:v>2.2913553848286412</c:v>
                </c:pt>
                <c:pt idx="215">
                  <c:v>2.2973897557857841</c:v>
                </c:pt>
                <c:pt idx="216">
                  <c:v>2.3034241267429274</c:v>
                </c:pt>
                <c:pt idx="217">
                  <c:v>2.3094584977000707</c:v>
                </c:pt>
                <c:pt idx="218">
                  <c:v>2.3154928686572136</c:v>
                </c:pt>
                <c:pt idx="219">
                  <c:v>2.3215272396143569</c:v>
                </c:pt>
                <c:pt idx="220">
                  <c:v>2.3275616105715002</c:v>
                </c:pt>
                <c:pt idx="221">
                  <c:v>2.3335959815286431</c:v>
                </c:pt>
                <c:pt idx="222">
                  <c:v>2.3396303524857864</c:v>
                </c:pt>
                <c:pt idx="223">
                  <c:v>2.3456647234429298</c:v>
                </c:pt>
                <c:pt idx="224">
                  <c:v>2.3516990944000726</c:v>
                </c:pt>
                <c:pt idx="225">
                  <c:v>2.357733465357216</c:v>
                </c:pt>
                <c:pt idx="226">
                  <c:v>2.3637678363143593</c:v>
                </c:pt>
                <c:pt idx="227">
                  <c:v>2.3698022072715021</c:v>
                </c:pt>
                <c:pt idx="228">
                  <c:v>2.3758365782286459</c:v>
                </c:pt>
                <c:pt idx="229">
                  <c:v>2.3818709491857888</c:v>
                </c:pt>
                <c:pt idx="230">
                  <c:v>2.3879053201429317</c:v>
                </c:pt>
                <c:pt idx="231">
                  <c:v>2.3939396911000754</c:v>
                </c:pt>
                <c:pt idx="232">
                  <c:v>2.3999740620572183</c:v>
                </c:pt>
                <c:pt idx="233">
                  <c:v>2.4060084330143612</c:v>
                </c:pt>
                <c:pt idx="234">
                  <c:v>2.4120428039715049</c:v>
                </c:pt>
                <c:pt idx="235">
                  <c:v>2.4180771749286478</c:v>
                </c:pt>
                <c:pt idx="236">
                  <c:v>2.4241115458857907</c:v>
                </c:pt>
                <c:pt idx="237">
                  <c:v>2.4301459168429345</c:v>
                </c:pt>
                <c:pt idx="238">
                  <c:v>2.4361802878000773</c:v>
                </c:pt>
                <c:pt idx="239">
                  <c:v>2.4422146587572207</c:v>
                </c:pt>
                <c:pt idx="240">
                  <c:v>2.448249029714364</c:v>
                </c:pt>
                <c:pt idx="241">
                  <c:v>2.4542834006715069</c:v>
                </c:pt>
                <c:pt idx="242">
                  <c:v>2.4603177716286502</c:v>
                </c:pt>
                <c:pt idx="243">
                  <c:v>2.4663521425857935</c:v>
                </c:pt>
                <c:pt idx="244">
                  <c:v>2.4723865135429364</c:v>
                </c:pt>
                <c:pt idx="245">
                  <c:v>2.4784208845000801</c:v>
                </c:pt>
                <c:pt idx="246">
                  <c:v>2.484455255457223</c:v>
                </c:pt>
                <c:pt idx="247">
                  <c:v>2.4904896264143659</c:v>
                </c:pt>
                <c:pt idx="248">
                  <c:v>2.4965239973715088</c:v>
                </c:pt>
                <c:pt idx="249">
                  <c:v>2.5025583683286525</c:v>
                </c:pt>
                <c:pt idx="250">
                  <c:v>2.5085927392857954</c:v>
                </c:pt>
                <c:pt idx="251">
                  <c:v>2.5146271102429387</c:v>
                </c:pt>
                <c:pt idx="252">
                  <c:v>2.520661481200082</c:v>
                </c:pt>
                <c:pt idx="253">
                  <c:v>2.5266958521572249</c:v>
                </c:pt>
                <c:pt idx="254">
                  <c:v>2.5327302231143682</c:v>
                </c:pt>
                <c:pt idx="255">
                  <c:v>2.5387645940715116</c:v>
                </c:pt>
                <c:pt idx="256">
                  <c:v>2.5447989650286544</c:v>
                </c:pt>
                <c:pt idx="257">
                  <c:v>2.5508333359857982</c:v>
                </c:pt>
                <c:pt idx="258">
                  <c:v>2.5568677069429411</c:v>
                </c:pt>
                <c:pt idx="259">
                  <c:v>2.562902077900084</c:v>
                </c:pt>
                <c:pt idx="260">
                  <c:v>2.5689364488572273</c:v>
                </c:pt>
                <c:pt idx="261">
                  <c:v>2.5749708198143706</c:v>
                </c:pt>
                <c:pt idx="262">
                  <c:v>2.5810051907715139</c:v>
                </c:pt>
                <c:pt idx="263">
                  <c:v>2.5870395617286568</c:v>
                </c:pt>
                <c:pt idx="264">
                  <c:v>2.5930739326858001</c:v>
                </c:pt>
                <c:pt idx="265">
                  <c:v>2.599108303642943</c:v>
                </c:pt>
                <c:pt idx="266">
                  <c:v>2.6051426746000867</c:v>
                </c:pt>
                <c:pt idx="267">
                  <c:v>2.6111770455572296</c:v>
                </c:pt>
                <c:pt idx="268">
                  <c:v>2.6172114165143725</c:v>
                </c:pt>
                <c:pt idx="269">
                  <c:v>2.6232457874715163</c:v>
                </c:pt>
                <c:pt idx="270">
                  <c:v>2.6292801584286591</c:v>
                </c:pt>
                <c:pt idx="271">
                  <c:v>2.6353145293858025</c:v>
                </c:pt>
                <c:pt idx="272">
                  <c:v>2.6413489003429453</c:v>
                </c:pt>
                <c:pt idx="273">
                  <c:v>2.6473832713000887</c:v>
                </c:pt>
                <c:pt idx="274">
                  <c:v>2.653417642257232</c:v>
                </c:pt>
                <c:pt idx="275">
                  <c:v>2.6594520132143753</c:v>
                </c:pt>
                <c:pt idx="276">
                  <c:v>2.6654863841715182</c:v>
                </c:pt>
                <c:pt idx="277">
                  <c:v>2.6715207551286615</c:v>
                </c:pt>
                <c:pt idx="278">
                  <c:v>2.6775551260858048</c:v>
                </c:pt>
                <c:pt idx="279">
                  <c:v>2.6835894970429481</c:v>
                </c:pt>
                <c:pt idx="280">
                  <c:v>2.689623868000091</c:v>
                </c:pt>
                <c:pt idx="281">
                  <c:v>2.6956582389572343</c:v>
                </c:pt>
                <c:pt idx="282">
                  <c:v>2.7016926099143772</c:v>
                </c:pt>
                <c:pt idx="283">
                  <c:v>2.707726980871521</c:v>
                </c:pt>
                <c:pt idx="284">
                  <c:v>2.7137613518286638</c:v>
                </c:pt>
                <c:pt idx="285">
                  <c:v>2.7197957227858067</c:v>
                </c:pt>
                <c:pt idx="286">
                  <c:v>2.7258300937429505</c:v>
                </c:pt>
                <c:pt idx="287">
                  <c:v>2.7318644647000934</c:v>
                </c:pt>
                <c:pt idx="288">
                  <c:v>2.7378988356572367</c:v>
                </c:pt>
                <c:pt idx="289">
                  <c:v>2.7439332066143796</c:v>
                </c:pt>
                <c:pt idx="290">
                  <c:v>2.7499675775715229</c:v>
                </c:pt>
                <c:pt idx="291">
                  <c:v>2.7560019485286662</c:v>
                </c:pt>
                <c:pt idx="292">
                  <c:v>2.7620363194858095</c:v>
                </c:pt>
                <c:pt idx="293">
                  <c:v>2.7680706904429524</c:v>
                </c:pt>
                <c:pt idx="294">
                  <c:v>2.7741050614000953</c:v>
                </c:pt>
                <c:pt idx="295">
                  <c:v>2.780139432357239</c:v>
                </c:pt>
                <c:pt idx="296">
                  <c:v>2.7861738033143819</c:v>
                </c:pt>
                <c:pt idx="297">
                  <c:v>2.7922081742715252</c:v>
                </c:pt>
                <c:pt idx="298">
                  <c:v>2.7982425452286686</c:v>
                </c:pt>
                <c:pt idx="299">
                  <c:v>2.8042769161858114</c:v>
                </c:pt>
                <c:pt idx="300">
                  <c:v>2.8103112871429548</c:v>
                </c:pt>
                <c:pt idx="301">
                  <c:v>2.8163456581000981</c:v>
                </c:pt>
                <c:pt idx="302">
                  <c:v>2.8223800290572409</c:v>
                </c:pt>
                <c:pt idx="303">
                  <c:v>2.8284144000143843</c:v>
                </c:pt>
                <c:pt idx="304">
                  <c:v>2.8344487709715276</c:v>
                </c:pt>
                <c:pt idx="305">
                  <c:v>2.8404831419286705</c:v>
                </c:pt>
                <c:pt idx="306">
                  <c:v>2.8465175128858133</c:v>
                </c:pt>
                <c:pt idx="307">
                  <c:v>2.8525518838429571</c:v>
                </c:pt>
                <c:pt idx="308">
                  <c:v>2.8585862548001</c:v>
                </c:pt>
                <c:pt idx="309">
                  <c:v>2.8646206257572433</c:v>
                </c:pt>
                <c:pt idx="310">
                  <c:v>2.8706549967143866</c:v>
                </c:pt>
                <c:pt idx="311">
                  <c:v>2.8766893676715295</c:v>
                </c:pt>
                <c:pt idx="312">
                  <c:v>2.8827237386286728</c:v>
                </c:pt>
                <c:pt idx="313">
                  <c:v>2.8887581095858161</c:v>
                </c:pt>
                <c:pt idx="314">
                  <c:v>2.894792480542959</c:v>
                </c:pt>
                <c:pt idx="315">
                  <c:v>2.9008268515001028</c:v>
                </c:pt>
                <c:pt idx="316">
                  <c:v>2.9068612224572457</c:v>
                </c:pt>
                <c:pt idx="317">
                  <c:v>2.9128955934143885</c:v>
                </c:pt>
                <c:pt idx="318">
                  <c:v>2.9189299643715323</c:v>
                </c:pt>
                <c:pt idx="319">
                  <c:v>2.9249643353286752</c:v>
                </c:pt>
                <c:pt idx="320">
                  <c:v>2.9309987062858185</c:v>
                </c:pt>
                <c:pt idx="321">
                  <c:v>2.9370330772429614</c:v>
                </c:pt>
                <c:pt idx="322">
                  <c:v>2.9430674482001047</c:v>
                </c:pt>
                <c:pt idx="323">
                  <c:v>2.949101819157248</c:v>
                </c:pt>
                <c:pt idx="324">
                  <c:v>2.9551361901143913</c:v>
                </c:pt>
                <c:pt idx="325">
                  <c:v>2.9611705610715342</c:v>
                </c:pt>
                <c:pt idx="326">
                  <c:v>2.9672049320286771</c:v>
                </c:pt>
                <c:pt idx="327">
                  <c:v>2.9732393029858208</c:v>
                </c:pt>
                <c:pt idx="328">
                  <c:v>2.9792736739429637</c:v>
                </c:pt>
                <c:pt idx="329">
                  <c:v>2.985308044900107</c:v>
                </c:pt>
                <c:pt idx="330">
                  <c:v>2.9913424158572504</c:v>
                </c:pt>
                <c:pt idx="331">
                  <c:v>2.9973767868143932</c:v>
                </c:pt>
                <c:pt idx="332">
                  <c:v>3.0034111577715366</c:v>
                </c:pt>
                <c:pt idx="333">
                  <c:v>3.0094455287286794</c:v>
                </c:pt>
                <c:pt idx="334">
                  <c:v>3.0154798996858228</c:v>
                </c:pt>
                <c:pt idx="335">
                  <c:v>3.0215142706429661</c:v>
                </c:pt>
                <c:pt idx="336">
                  <c:v>3.0275486416001089</c:v>
                </c:pt>
                <c:pt idx="337">
                  <c:v>3.0335830125572523</c:v>
                </c:pt>
                <c:pt idx="338">
                  <c:v>3.0396173835143956</c:v>
                </c:pt>
                <c:pt idx="339">
                  <c:v>3.0456517544715389</c:v>
                </c:pt>
                <c:pt idx="340">
                  <c:v>3.0516861254286822</c:v>
                </c:pt>
                <c:pt idx="341">
                  <c:v>3.0577204963858251</c:v>
                </c:pt>
                <c:pt idx="342">
                  <c:v>3.0637548673429684</c:v>
                </c:pt>
                <c:pt idx="343">
                  <c:v>3.0697892383001113</c:v>
                </c:pt>
                <c:pt idx="344">
                  <c:v>3.0758236092572546</c:v>
                </c:pt>
                <c:pt idx="345">
                  <c:v>3.0818579802143975</c:v>
                </c:pt>
                <c:pt idx="346">
                  <c:v>3.0878923511715408</c:v>
                </c:pt>
                <c:pt idx="347">
                  <c:v>3.0939267221286841</c:v>
                </c:pt>
                <c:pt idx="348">
                  <c:v>3.0999610930858275</c:v>
                </c:pt>
                <c:pt idx="349">
                  <c:v>3.1059954640429708</c:v>
                </c:pt>
                <c:pt idx="350">
                  <c:v>3.1120298350001137</c:v>
                </c:pt>
                <c:pt idx="351">
                  <c:v>3.118064205957257</c:v>
                </c:pt>
                <c:pt idx="352">
                  <c:v>3.1240985769144003</c:v>
                </c:pt>
                <c:pt idx="353">
                  <c:v>3.1301329478715432</c:v>
                </c:pt>
                <c:pt idx="354">
                  <c:v>3.1361673188286865</c:v>
                </c:pt>
                <c:pt idx="355">
                  <c:v>3.1422016897858294</c:v>
                </c:pt>
                <c:pt idx="356">
                  <c:v>3.1482360607429727</c:v>
                </c:pt>
                <c:pt idx="357">
                  <c:v>3.154270431700116</c:v>
                </c:pt>
                <c:pt idx="358">
                  <c:v>3.1603048026572593</c:v>
                </c:pt>
                <c:pt idx="359">
                  <c:v>3.1663391736144026</c:v>
                </c:pt>
                <c:pt idx="360">
                  <c:v>3.1723735445715455</c:v>
                </c:pt>
                <c:pt idx="361">
                  <c:v>3.1784079155286888</c:v>
                </c:pt>
                <c:pt idx="362">
                  <c:v>3.1844422864858322</c:v>
                </c:pt>
                <c:pt idx="363">
                  <c:v>3.190476657442975</c:v>
                </c:pt>
                <c:pt idx="364">
                  <c:v>3.1965110284001184</c:v>
                </c:pt>
                <c:pt idx="365">
                  <c:v>3.2025453993572612</c:v>
                </c:pt>
                <c:pt idx="366">
                  <c:v>3.2085797703144046</c:v>
                </c:pt>
                <c:pt idx="367">
                  <c:v>3.2146141412715474</c:v>
                </c:pt>
                <c:pt idx="368">
                  <c:v>3.2206485122286908</c:v>
                </c:pt>
                <c:pt idx="369">
                  <c:v>3.2266828831858341</c:v>
                </c:pt>
                <c:pt idx="370">
                  <c:v>3.2327172541429774</c:v>
                </c:pt>
                <c:pt idx="371">
                  <c:v>3.2387516251001207</c:v>
                </c:pt>
                <c:pt idx="372">
                  <c:v>3.2447859960572636</c:v>
                </c:pt>
                <c:pt idx="373">
                  <c:v>3.2508203670144069</c:v>
                </c:pt>
                <c:pt idx="374">
                  <c:v>3.2568547379715502</c:v>
                </c:pt>
                <c:pt idx="375">
                  <c:v>3.2628891089286931</c:v>
                </c:pt>
                <c:pt idx="376">
                  <c:v>3.2689234798858364</c:v>
                </c:pt>
                <c:pt idx="377">
                  <c:v>3.2749578508429793</c:v>
                </c:pt>
                <c:pt idx="378">
                  <c:v>3.2809922218001226</c:v>
                </c:pt>
                <c:pt idx="379">
                  <c:v>3.2870265927572659</c:v>
                </c:pt>
                <c:pt idx="380">
                  <c:v>3.2930609637144093</c:v>
                </c:pt>
                <c:pt idx="381">
                  <c:v>3.2990953346715526</c:v>
                </c:pt>
                <c:pt idx="382">
                  <c:v>3.3051297056286955</c:v>
                </c:pt>
                <c:pt idx="383">
                  <c:v>3.3111640765858388</c:v>
                </c:pt>
                <c:pt idx="384">
                  <c:v>3.3171984475429817</c:v>
                </c:pt>
                <c:pt idx="385">
                  <c:v>3.323232818500125</c:v>
                </c:pt>
                <c:pt idx="386">
                  <c:v>3.3292671894572683</c:v>
                </c:pt>
                <c:pt idx="387">
                  <c:v>3.3353015604144112</c:v>
                </c:pt>
                <c:pt idx="388">
                  <c:v>3.3413359313715545</c:v>
                </c:pt>
                <c:pt idx="389">
                  <c:v>3.3473703023286974</c:v>
                </c:pt>
                <c:pt idx="390">
                  <c:v>3.3534046732858411</c:v>
                </c:pt>
                <c:pt idx="391">
                  <c:v>3.3594390442429845</c:v>
                </c:pt>
                <c:pt idx="392">
                  <c:v>3.3654734152001273</c:v>
                </c:pt>
                <c:pt idx="393">
                  <c:v>3.3715077861572706</c:v>
                </c:pt>
                <c:pt idx="394">
                  <c:v>3.3775421571144135</c:v>
                </c:pt>
                <c:pt idx="395">
                  <c:v>3.3835765280715568</c:v>
                </c:pt>
                <c:pt idx="396">
                  <c:v>3.3896108990287002</c:v>
                </c:pt>
                <c:pt idx="397">
                  <c:v>3.395645269985843</c:v>
                </c:pt>
                <c:pt idx="398">
                  <c:v>3.4016796409429864</c:v>
                </c:pt>
                <c:pt idx="399">
                  <c:v>3.4077140119001292</c:v>
                </c:pt>
                <c:pt idx="400">
                  <c:v>3.4137483828572726</c:v>
                </c:pt>
              </c:numCache>
            </c:numRef>
          </c:yVal>
          <c:smooth val="0"/>
          <c:extLst>
            <c:ext xmlns:c16="http://schemas.microsoft.com/office/drawing/2014/chart" uri="{C3380CC4-5D6E-409C-BE32-E72D297353CC}">
              <c16:uniqueId val="{00000004-1DFF-4DFC-B6E9-D86B6FD0EE9D}"/>
            </c:ext>
          </c:extLst>
        </c:ser>
        <c:ser>
          <c:idx val="5"/>
          <c:order val="5"/>
          <c:tx>
            <c:strRef>
              <c:f>'V-N Diagram'!$U$36</c:f>
              <c:strCache>
                <c:ptCount val="1"/>
                <c:pt idx="0">
                  <c:v>ng4</c:v>
                </c:pt>
              </c:strCache>
            </c:strRef>
          </c:tx>
          <c:spPr>
            <a:ln w="25400" cap="rnd">
              <a:solidFill>
                <a:schemeClr val="accent4"/>
              </a:solidFill>
              <a:prstDash val="solid"/>
              <a:round/>
            </a:ln>
            <a:effectLst/>
          </c:spPr>
          <c:marker>
            <c:symbol val="none"/>
          </c:marker>
          <c:xVal>
            <c:numRef>
              <c:f>'V-N Diagram'!$O$187:$O$287</c:f>
              <c:numCache>
                <c:formatCode>General</c:formatCode>
                <c:ptCount val="101"/>
                <c:pt idx="0">
                  <c:v>150</c:v>
                </c:pt>
                <c:pt idx="1">
                  <c:v>151</c:v>
                </c:pt>
                <c:pt idx="2">
                  <c:v>152</c:v>
                </c:pt>
                <c:pt idx="3">
                  <c:v>153</c:v>
                </c:pt>
                <c:pt idx="4">
                  <c:v>154</c:v>
                </c:pt>
                <c:pt idx="5">
                  <c:v>155</c:v>
                </c:pt>
                <c:pt idx="6">
                  <c:v>156</c:v>
                </c:pt>
                <c:pt idx="7">
                  <c:v>157</c:v>
                </c:pt>
                <c:pt idx="8">
                  <c:v>158</c:v>
                </c:pt>
                <c:pt idx="9">
                  <c:v>159</c:v>
                </c:pt>
                <c:pt idx="10">
                  <c:v>160</c:v>
                </c:pt>
                <c:pt idx="11">
                  <c:v>161</c:v>
                </c:pt>
                <c:pt idx="12">
                  <c:v>162</c:v>
                </c:pt>
                <c:pt idx="13">
                  <c:v>163</c:v>
                </c:pt>
                <c:pt idx="14">
                  <c:v>164</c:v>
                </c:pt>
                <c:pt idx="15">
                  <c:v>165</c:v>
                </c:pt>
                <c:pt idx="16">
                  <c:v>166</c:v>
                </c:pt>
                <c:pt idx="17">
                  <c:v>167</c:v>
                </c:pt>
                <c:pt idx="18">
                  <c:v>168</c:v>
                </c:pt>
                <c:pt idx="19">
                  <c:v>169</c:v>
                </c:pt>
                <c:pt idx="20">
                  <c:v>170</c:v>
                </c:pt>
                <c:pt idx="21">
                  <c:v>171</c:v>
                </c:pt>
                <c:pt idx="22">
                  <c:v>172</c:v>
                </c:pt>
                <c:pt idx="23">
                  <c:v>173</c:v>
                </c:pt>
                <c:pt idx="24">
                  <c:v>174</c:v>
                </c:pt>
                <c:pt idx="25">
                  <c:v>175</c:v>
                </c:pt>
                <c:pt idx="26">
                  <c:v>176</c:v>
                </c:pt>
                <c:pt idx="27">
                  <c:v>177</c:v>
                </c:pt>
                <c:pt idx="28">
                  <c:v>178</c:v>
                </c:pt>
                <c:pt idx="29">
                  <c:v>179</c:v>
                </c:pt>
                <c:pt idx="30">
                  <c:v>180</c:v>
                </c:pt>
                <c:pt idx="31">
                  <c:v>181</c:v>
                </c:pt>
                <c:pt idx="32">
                  <c:v>182</c:v>
                </c:pt>
                <c:pt idx="33">
                  <c:v>183</c:v>
                </c:pt>
                <c:pt idx="34">
                  <c:v>184</c:v>
                </c:pt>
                <c:pt idx="35">
                  <c:v>185</c:v>
                </c:pt>
                <c:pt idx="36">
                  <c:v>186</c:v>
                </c:pt>
                <c:pt idx="37">
                  <c:v>187</c:v>
                </c:pt>
                <c:pt idx="38">
                  <c:v>188</c:v>
                </c:pt>
                <c:pt idx="39">
                  <c:v>189</c:v>
                </c:pt>
                <c:pt idx="40">
                  <c:v>190</c:v>
                </c:pt>
                <c:pt idx="41">
                  <c:v>191</c:v>
                </c:pt>
                <c:pt idx="42">
                  <c:v>192</c:v>
                </c:pt>
                <c:pt idx="43">
                  <c:v>193</c:v>
                </c:pt>
                <c:pt idx="44">
                  <c:v>194</c:v>
                </c:pt>
                <c:pt idx="45">
                  <c:v>195</c:v>
                </c:pt>
                <c:pt idx="46">
                  <c:v>196</c:v>
                </c:pt>
                <c:pt idx="47">
                  <c:v>197</c:v>
                </c:pt>
                <c:pt idx="48">
                  <c:v>198</c:v>
                </c:pt>
                <c:pt idx="49">
                  <c:v>199</c:v>
                </c:pt>
                <c:pt idx="50">
                  <c:v>200</c:v>
                </c:pt>
                <c:pt idx="51">
                  <c:v>201</c:v>
                </c:pt>
                <c:pt idx="52">
                  <c:v>202</c:v>
                </c:pt>
                <c:pt idx="53">
                  <c:v>203</c:v>
                </c:pt>
                <c:pt idx="54">
                  <c:v>204</c:v>
                </c:pt>
                <c:pt idx="55">
                  <c:v>205</c:v>
                </c:pt>
                <c:pt idx="56">
                  <c:v>206</c:v>
                </c:pt>
                <c:pt idx="57">
                  <c:v>207</c:v>
                </c:pt>
                <c:pt idx="58">
                  <c:v>208</c:v>
                </c:pt>
                <c:pt idx="59">
                  <c:v>209</c:v>
                </c:pt>
                <c:pt idx="60">
                  <c:v>210</c:v>
                </c:pt>
                <c:pt idx="61">
                  <c:v>211</c:v>
                </c:pt>
                <c:pt idx="62">
                  <c:v>212</c:v>
                </c:pt>
                <c:pt idx="63">
                  <c:v>213</c:v>
                </c:pt>
                <c:pt idx="64">
                  <c:v>214</c:v>
                </c:pt>
                <c:pt idx="65">
                  <c:v>215</c:v>
                </c:pt>
                <c:pt idx="66">
                  <c:v>216</c:v>
                </c:pt>
                <c:pt idx="67">
                  <c:v>217</c:v>
                </c:pt>
                <c:pt idx="68">
                  <c:v>218</c:v>
                </c:pt>
                <c:pt idx="69">
                  <c:v>219</c:v>
                </c:pt>
                <c:pt idx="70">
                  <c:v>220</c:v>
                </c:pt>
                <c:pt idx="71">
                  <c:v>221</c:v>
                </c:pt>
                <c:pt idx="72">
                  <c:v>222</c:v>
                </c:pt>
                <c:pt idx="73">
                  <c:v>223</c:v>
                </c:pt>
                <c:pt idx="74">
                  <c:v>224</c:v>
                </c:pt>
                <c:pt idx="75">
                  <c:v>225</c:v>
                </c:pt>
                <c:pt idx="76">
                  <c:v>226</c:v>
                </c:pt>
                <c:pt idx="77">
                  <c:v>227</c:v>
                </c:pt>
                <c:pt idx="78">
                  <c:v>228</c:v>
                </c:pt>
                <c:pt idx="79">
                  <c:v>229</c:v>
                </c:pt>
                <c:pt idx="80">
                  <c:v>230</c:v>
                </c:pt>
                <c:pt idx="81">
                  <c:v>231</c:v>
                </c:pt>
                <c:pt idx="82">
                  <c:v>232</c:v>
                </c:pt>
                <c:pt idx="83">
                  <c:v>233</c:v>
                </c:pt>
                <c:pt idx="84">
                  <c:v>234</c:v>
                </c:pt>
                <c:pt idx="85">
                  <c:v>235</c:v>
                </c:pt>
                <c:pt idx="86">
                  <c:v>236</c:v>
                </c:pt>
                <c:pt idx="87">
                  <c:v>237</c:v>
                </c:pt>
                <c:pt idx="88">
                  <c:v>238</c:v>
                </c:pt>
                <c:pt idx="89">
                  <c:v>239</c:v>
                </c:pt>
                <c:pt idx="90">
                  <c:v>240</c:v>
                </c:pt>
                <c:pt idx="91">
                  <c:v>241</c:v>
                </c:pt>
                <c:pt idx="92">
                  <c:v>242</c:v>
                </c:pt>
                <c:pt idx="93">
                  <c:v>243</c:v>
                </c:pt>
                <c:pt idx="94">
                  <c:v>244</c:v>
                </c:pt>
                <c:pt idx="95">
                  <c:v>245</c:v>
                </c:pt>
                <c:pt idx="96">
                  <c:v>246</c:v>
                </c:pt>
                <c:pt idx="97">
                  <c:v>247</c:v>
                </c:pt>
                <c:pt idx="98">
                  <c:v>248</c:v>
                </c:pt>
                <c:pt idx="99">
                  <c:v>249</c:v>
                </c:pt>
                <c:pt idx="100">
                  <c:v>250</c:v>
                </c:pt>
              </c:numCache>
            </c:numRef>
          </c:xVal>
          <c:yVal>
            <c:numRef>
              <c:f>'V-N Diagram'!$U$187:$U$287</c:f>
              <c:numCache>
                <c:formatCode>General</c:formatCode>
                <c:ptCount val="101"/>
                <c:pt idx="0">
                  <c:v>2.8103112871429548</c:v>
                </c:pt>
                <c:pt idx="1">
                  <c:v>2.8223800290572409</c:v>
                </c:pt>
                <c:pt idx="2">
                  <c:v>2.8344487709715276</c:v>
                </c:pt>
                <c:pt idx="3">
                  <c:v>2.8465175128858133</c:v>
                </c:pt>
                <c:pt idx="4">
                  <c:v>2.8585862548001</c:v>
                </c:pt>
                <c:pt idx="5">
                  <c:v>2.8706549967143866</c:v>
                </c:pt>
                <c:pt idx="6">
                  <c:v>2.8827237386286728</c:v>
                </c:pt>
                <c:pt idx="7">
                  <c:v>2.894792480542959</c:v>
                </c:pt>
                <c:pt idx="8">
                  <c:v>2.9068612224572457</c:v>
                </c:pt>
                <c:pt idx="9">
                  <c:v>2.9189299643715323</c:v>
                </c:pt>
                <c:pt idx="10">
                  <c:v>2.9309987062858185</c:v>
                </c:pt>
                <c:pt idx="11">
                  <c:v>2.9430674482001047</c:v>
                </c:pt>
                <c:pt idx="12">
                  <c:v>2.9551361901143913</c:v>
                </c:pt>
                <c:pt idx="13">
                  <c:v>2.9672049320286771</c:v>
                </c:pt>
                <c:pt idx="14">
                  <c:v>2.9792736739429637</c:v>
                </c:pt>
                <c:pt idx="15">
                  <c:v>2.9913424158572504</c:v>
                </c:pt>
                <c:pt idx="16">
                  <c:v>3.0034111577715366</c:v>
                </c:pt>
                <c:pt idx="17">
                  <c:v>3.0154798996858228</c:v>
                </c:pt>
                <c:pt idx="18">
                  <c:v>3.0275486416001089</c:v>
                </c:pt>
                <c:pt idx="19">
                  <c:v>3.0396173835143956</c:v>
                </c:pt>
                <c:pt idx="20">
                  <c:v>3.0516861254286822</c:v>
                </c:pt>
                <c:pt idx="21">
                  <c:v>3.0637548673429684</c:v>
                </c:pt>
                <c:pt idx="22">
                  <c:v>3.0758236092572546</c:v>
                </c:pt>
                <c:pt idx="23">
                  <c:v>3.0878923511715408</c:v>
                </c:pt>
                <c:pt idx="24">
                  <c:v>3.0999610930858275</c:v>
                </c:pt>
                <c:pt idx="25">
                  <c:v>3.1120298350001137</c:v>
                </c:pt>
                <c:pt idx="26">
                  <c:v>3.1240985769144003</c:v>
                </c:pt>
                <c:pt idx="27">
                  <c:v>3.1361673188286865</c:v>
                </c:pt>
                <c:pt idx="28">
                  <c:v>3.1482360607429727</c:v>
                </c:pt>
                <c:pt idx="29">
                  <c:v>3.1603048026572593</c:v>
                </c:pt>
                <c:pt idx="30">
                  <c:v>3.1723735445715455</c:v>
                </c:pt>
                <c:pt idx="31">
                  <c:v>3.1844422864858322</c:v>
                </c:pt>
                <c:pt idx="32">
                  <c:v>3.1965110284001184</c:v>
                </c:pt>
                <c:pt idx="33">
                  <c:v>3.2085797703144046</c:v>
                </c:pt>
                <c:pt idx="34">
                  <c:v>3.2206485122286908</c:v>
                </c:pt>
                <c:pt idx="35">
                  <c:v>3.2327172541429774</c:v>
                </c:pt>
                <c:pt idx="36">
                  <c:v>3.2447859960572636</c:v>
                </c:pt>
                <c:pt idx="37">
                  <c:v>3.2568547379715502</c:v>
                </c:pt>
                <c:pt idx="38">
                  <c:v>3.2689234798858364</c:v>
                </c:pt>
                <c:pt idx="39">
                  <c:v>3.2809922218001226</c:v>
                </c:pt>
                <c:pt idx="40">
                  <c:v>3.2930609637144093</c:v>
                </c:pt>
                <c:pt idx="41">
                  <c:v>3.3051297056286955</c:v>
                </c:pt>
                <c:pt idx="42">
                  <c:v>3.3171984475429817</c:v>
                </c:pt>
                <c:pt idx="43">
                  <c:v>3.3292671894572683</c:v>
                </c:pt>
                <c:pt idx="44">
                  <c:v>3.3413359313715545</c:v>
                </c:pt>
                <c:pt idx="45">
                  <c:v>3.3534046732858411</c:v>
                </c:pt>
                <c:pt idx="46">
                  <c:v>3.3654734152001273</c:v>
                </c:pt>
                <c:pt idx="47">
                  <c:v>3.3775421571144135</c:v>
                </c:pt>
                <c:pt idx="48">
                  <c:v>3.3896108990287002</c:v>
                </c:pt>
                <c:pt idx="49">
                  <c:v>3.4016796409429864</c:v>
                </c:pt>
                <c:pt idx="50">
                  <c:v>3.4137483828572726</c:v>
                </c:pt>
                <c:pt idx="51">
                  <c:v>3.4258171247715592</c:v>
                </c:pt>
                <c:pt idx="52">
                  <c:v>3.4378858666858454</c:v>
                </c:pt>
                <c:pt idx="53">
                  <c:v>3.449954608600132</c:v>
                </c:pt>
                <c:pt idx="54">
                  <c:v>3.4620233505144182</c:v>
                </c:pt>
                <c:pt idx="55">
                  <c:v>3.4740920924287044</c:v>
                </c:pt>
                <c:pt idx="56">
                  <c:v>3.4861608343429911</c:v>
                </c:pt>
                <c:pt idx="57">
                  <c:v>3.4982295762572777</c:v>
                </c:pt>
                <c:pt idx="58">
                  <c:v>3.5102983181715639</c:v>
                </c:pt>
                <c:pt idx="59">
                  <c:v>3.5223670600858501</c:v>
                </c:pt>
                <c:pt idx="60">
                  <c:v>3.5344358020001367</c:v>
                </c:pt>
                <c:pt idx="61">
                  <c:v>3.5465045439144229</c:v>
                </c:pt>
                <c:pt idx="62">
                  <c:v>3.5585732858287096</c:v>
                </c:pt>
                <c:pt idx="63">
                  <c:v>3.5706420277429958</c:v>
                </c:pt>
                <c:pt idx="64">
                  <c:v>3.582710769657282</c:v>
                </c:pt>
                <c:pt idx="65">
                  <c:v>3.5947795115715686</c:v>
                </c:pt>
                <c:pt idx="66">
                  <c:v>3.6068482534858548</c:v>
                </c:pt>
                <c:pt idx="67">
                  <c:v>3.618916995400141</c:v>
                </c:pt>
                <c:pt idx="68">
                  <c:v>3.6309857373144276</c:v>
                </c:pt>
                <c:pt idx="69">
                  <c:v>3.6430544792287138</c:v>
                </c:pt>
                <c:pt idx="70">
                  <c:v>3.6551232211430005</c:v>
                </c:pt>
                <c:pt idx="71">
                  <c:v>3.6671919630572867</c:v>
                </c:pt>
                <c:pt idx="72">
                  <c:v>3.6792607049715729</c:v>
                </c:pt>
                <c:pt idx="73">
                  <c:v>3.6913294468858595</c:v>
                </c:pt>
                <c:pt idx="74">
                  <c:v>3.7033981888001457</c:v>
                </c:pt>
                <c:pt idx="75">
                  <c:v>3.7154669307144319</c:v>
                </c:pt>
                <c:pt idx="76">
                  <c:v>3.7275356726287185</c:v>
                </c:pt>
                <c:pt idx="77">
                  <c:v>3.7396044145430047</c:v>
                </c:pt>
                <c:pt idx="78">
                  <c:v>3.7516731564572914</c:v>
                </c:pt>
                <c:pt idx="79">
                  <c:v>3.7637418983715776</c:v>
                </c:pt>
                <c:pt idx="80">
                  <c:v>3.7758106402858638</c:v>
                </c:pt>
                <c:pt idx="81">
                  <c:v>3.7878793822001504</c:v>
                </c:pt>
                <c:pt idx="82">
                  <c:v>3.7999481241144366</c:v>
                </c:pt>
                <c:pt idx="83">
                  <c:v>3.8120168660287228</c:v>
                </c:pt>
                <c:pt idx="84">
                  <c:v>3.8240856079430094</c:v>
                </c:pt>
                <c:pt idx="85">
                  <c:v>3.8361543498572961</c:v>
                </c:pt>
                <c:pt idx="86">
                  <c:v>3.8482230917715818</c:v>
                </c:pt>
                <c:pt idx="87">
                  <c:v>3.8602918336858685</c:v>
                </c:pt>
                <c:pt idx="88">
                  <c:v>3.8723605756001547</c:v>
                </c:pt>
                <c:pt idx="89">
                  <c:v>3.8844293175144413</c:v>
                </c:pt>
                <c:pt idx="90">
                  <c:v>3.896498059428728</c:v>
                </c:pt>
                <c:pt idx="91">
                  <c:v>3.9085668013430137</c:v>
                </c:pt>
                <c:pt idx="92">
                  <c:v>3.9206355432573003</c:v>
                </c:pt>
                <c:pt idx="93">
                  <c:v>3.9327042851715865</c:v>
                </c:pt>
                <c:pt idx="94">
                  <c:v>3.9447730270858732</c:v>
                </c:pt>
                <c:pt idx="95">
                  <c:v>3.9568417690001598</c:v>
                </c:pt>
                <c:pt idx="96">
                  <c:v>3.9689105109144456</c:v>
                </c:pt>
                <c:pt idx="97">
                  <c:v>3.9809792528287322</c:v>
                </c:pt>
                <c:pt idx="98">
                  <c:v>3.993047994743018</c:v>
                </c:pt>
                <c:pt idx="99">
                  <c:v>4.0051167366573051</c:v>
                </c:pt>
                <c:pt idx="100">
                  <c:v>4.0171854785715908</c:v>
                </c:pt>
              </c:numCache>
            </c:numRef>
          </c:yVal>
          <c:smooth val="0"/>
          <c:extLst>
            <c:ext xmlns:c16="http://schemas.microsoft.com/office/drawing/2014/chart" uri="{C3380CC4-5D6E-409C-BE32-E72D297353CC}">
              <c16:uniqueId val="{00000005-1DFF-4DFC-B6E9-D86B6FD0EE9D}"/>
            </c:ext>
          </c:extLst>
        </c:ser>
        <c:ser>
          <c:idx val="6"/>
          <c:order val="6"/>
          <c:tx>
            <c:strRef>
              <c:f>'V-N Diagram'!$N$36</c:f>
              <c:strCache>
                <c:ptCount val="1"/>
                <c:pt idx="0">
                  <c:v>VS+</c:v>
                </c:pt>
              </c:strCache>
            </c:strRef>
          </c:tx>
          <c:spPr>
            <a:ln w="25400" cap="rnd">
              <a:solidFill>
                <a:schemeClr val="accent4"/>
              </a:solidFill>
              <a:round/>
            </a:ln>
            <a:effectLst/>
          </c:spPr>
          <c:marker>
            <c:symbol val="none"/>
          </c:marker>
          <c:dPt>
            <c:idx val="228"/>
            <c:marker>
              <c:symbol val="circle"/>
              <c:size val="7"/>
              <c:spPr>
                <a:solidFill>
                  <a:schemeClr val="accent4"/>
                </a:solidFill>
                <a:ln w="9525">
                  <a:solidFill>
                    <a:schemeClr val="accent4"/>
                  </a:solidFill>
                </a:ln>
                <a:effectLst/>
              </c:spPr>
            </c:marker>
            <c:bubble3D val="0"/>
            <c:extLst>
              <c:ext xmlns:c16="http://schemas.microsoft.com/office/drawing/2014/chart" uri="{C3380CC4-5D6E-409C-BE32-E72D297353CC}">
                <c16:uniqueId val="{00000000-39A8-4244-80C4-D331D53613C5}"/>
              </c:ext>
            </c:extLst>
          </c:dPt>
          <c:xVal>
            <c:numRef>
              <c:f>'V-N Diagram'!$N$37:$N$437</c:f>
              <c:numCache>
                <c:formatCode>0.00</c:formatCode>
                <c:ptCount val="401"/>
                <c:pt idx="0">
                  <c:v>91.394094063596299</c:v>
                </c:pt>
                <c:pt idx="1">
                  <c:v>91.394094063596299</c:v>
                </c:pt>
                <c:pt idx="2">
                  <c:v>91.394094063596299</c:v>
                </c:pt>
                <c:pt idx="3">
                  <c:v>91.394094063596299</c:v>
                </c:pt>
                <c:pt idx="4">
                  <c:v>91.394094063596299</c:v>
                </c:pt>
                <c:pt idx="5">
                  <c:v>91.394094063596299</c:v>
                </c:pt>
                <c:pt idx="6">
                  <c:v>91.394094063596299</c:v>
                </c:pt>
                <c:pt idx="7">
                  <c:v>91.394094063596299</c:v>
                </c:pt>
                <c:pt idx="8">
                  <c:v>91.394094063596299</c:v>
                </c:pt>
                <c:pt idx="9">
                  <c:v>91.394094063596299</c:v>
                </c:pt>
                <c:pt idx="10">
                  <c:v>91.394094063596299</c:v>
                </c:pt>
                <c:pt idx="11">
                  <c:v>91.394094063596299</c:v>
                </c:pt>
                <c:pt idx="12">
                  <c:v>91.394094063596299</c:v>
                </c:pt>
                <c:pt idx="13">
                  <c:v>91.394094063596299</c:v>
                </c:pt>
                <c:pt idx="14">
                  <c:v>91.394094063596299</c:v>
                </c:pt>
                <c:pt idx="15">
                  <c:v>91.394094063596299</c:v>
                </c:pt>
                <c:pt idx="16">
                  <c:v>91.394094063596299</c:v>
                </c:pt>
                <c:pt idx="17">
                  <c:v>91.394094063596299</c:v>
                </c:pt>
                <c:pt idx="18">
                  <c:v>91.394094063596299</c:v>
                </c:pt>
                <c:pt idx="19">
                  <c:v>91.394094063596299</c:v>
                </c:pt>
                <c:pt idx="20">
                  <c:v>91.394094063596299</c:v>
                </c:pt>
                <c:pt idx="21">
                  <c:v>91.394094063596299</c:v>
                </c:pt>
                <c:pt idx="22">
                  <c:v>91.394094063596299</c:v>
                </c:pt>
                <c:pt idx="23">
                  <c:v>91.394094063596299</c:v>
                </c:pt>
                <c:pt idx="24">
                  <c:v>91.394094063596299</c:v>
                </c:pt>
                <c:pt idx="25">
                  <c:v>91.394094063596299</c:v>
                </c:pt>
                <c:pt idx="26">
                  <c:v>91.394094063596299</c:v>
                </c:pt>
                <c:pt idx="27">
                  <c:v>91.394094063596299</c:v>
                </c:pt>
                <c:pt idx="28">
                  <c:v>91.394094063596299</c:v>
                </c:pt>
                <c:pt idx="29">
                  <c:v>91.394094063596299</c:v>
                </c:pt>
                <c:pt idx="30">
                  <c:v>91.394094063596299</c:v>
                </c:pt>
                <c:pt idx="31">
                  <c:v>91.394094063596299</c:v>
                </c:pt>
                <c:pt idx="32">
                  <c:v>91.394094063596299</c:v>
                </c:pt>
                <c:pt idx="33">
                  <c:v>91.394094063596299</c:v>
                </c:pt>
                <c:pt idx="34">
                  <c:v>91.394094063596299</c:v>
                </c:pt>
                <c:pt idx="35">
                  <c:v>91.394094063596299</c:v>
                </c:pt>
                <c:pt idx="36">
                  <c:v>91.394094063596299</c:v>
                </c:pt>
                <c:pt idx="37">
                  <c:v>91.394094063596299</c:v>
                </c:pt>
                <c:pt idx="38">
                  <c:v>91.394094063596299</c:v>
                </c:pt>
                <c:pt idx="39">
                  <c:v>91.394094063596299</c:v>
                </c:pt>
                <c:pt idx="40">
                  <c:v>91.394094063596299</c:v>
                </c:pt>
                <c:pt idx="41">
                  <c:v>91.394094063596299</c:v>
                </c:pt>
                <c:pt idx="42">
                  <c:v>91.394094063596299</c:v>
                </c:pt>
                <c:pt idx="43">
                  <c:v>91.394094063596299</c:v>
                </c:pt>
                <c:pt idx="44">
                  <c:v>91.394094063596299</c:v>
                </c:pt>
                <c:pt idx="45">
                  <c:v>91.394094063596299</c:v>
                </c:pt>
                <c:pt idx="46">
                  <c:v>91.394094063596299</c:v>
                </c:pt>
                <c:pt idx="47">
                  <c:v>91.394094063596299</c:v>
                </c:pt>
                <c:pt idx="48">
                  <c:v>91.394094063596299</c:v>
                </c:pt>
                <c:pt idx="49">
                  <c:v>91.394094063596299</c:v>
                </c:pt>
                <c:pt idx="50">
                  <c:v>91.394094063596299</c:v>
                </c:pt>
                <c:pt idx="51">
                  <c:v>91.394094063596299</c:v>
                </c:pt>
                <c:pt idx="52">
                  <c:v>91.394094063596299</c:v>
                </c:pt>
                <c:pt idx="53">
                  <c:v>91.394094063596299</c:v>
                </c:pt>
                <c:pt idx="54">
                  <c:v>91.394094063596299</c:v>
                </c:pt>
                <c:pt idx="55">
                  <c:v>91.394094063596299</c:v>
                </c:pt>
                <c:pt idx="56">
                  <c:v>91.394094063596299</c:v>
                </c:pt>
                <c:pt idx="57">
                  <c:v>91.394094063596299</c:v>
                </c:pt>
                <c:pt idx="58">
                  <c:v>91.394094063596299</c:v>
                </c:pt>
                <c:pt idx="59">
                  <c:v>91.394094063596299</c:v>
                </c:pt>
                <c:pt idx="60">
                  <c:v>91.394094063596299</c:v>
                </c:pt>
                <c:pt idx="61">
                  <c:v>91.394094063596299</c:v>
                </c:pt>
                <c:pt idx="62">
                  <c:v>91.394094063596299</c:v>
                </c:pt>
                <c:pt idx="63">
                  <c:v>91.394094063596299</c:v>
                </c:pt>
                <c:pt idx="64">
                  <c:v>91.394094063596299</c:v>
                </c:pt>
                <c:pt idx="65">
                  <c:v>91.394094063596299</c:v>
                </c:pt>
                <c:pt idx="66">
                  <c:v>91.394094063596299</c:v>
                </c:pt>
                <c:pt idx="67">
                  <c:v>91.394094063596299</c:v>
                </c:pt>
                <c:pt idx="68">
                  <c:v>91.394094063596299</c:v>
                </c:pt>
                <c:pt idx="69">
                  <c:v>91.394094063596299</c:v>
                </c:pt>
                <c:pt idx="70">
                  <c:v>91.394094063596299</c:v>
                </c:pt>
                <c:pt idx="71">
                  <c:v>91.394094063596299</c:v>
                </c:pt>
                <c:pt idx="72">
                  <c:v>91.394094063596299</c:v>
                </c:pt>
                <c:pt idx="73">
                  <c:v>91.394094063596299</c:v>
                </c:pt>
                <c:pt idx="74">
                  <c:v>91.394094063596299</c:v>
                </c:pt>
                <c:pt idx="75">
                  <c:v>91.394094063596299</c:v>
                </c:pt>
                <c:pt idx="76">
                  <c:v>91.394094063596299</c:v>
                </c:pt>
                <c:pt idx="77">
                  <c:v>91.394094063596299</c:v>
                </c:pt>
                <c:pt idx="78">
                  <c:v>91.394094063596299</c:v>
                </c:pt>
                <c:pt idx="79">
                  <c:v>91.394094063596299</c:v>
                </c:pt>
                <c:pt idx="80">
                  <c:v>91.394094063596299</c:v>
                </c:pt>
                <c:pt idx="81">
                  <c:v>91.394094063596299</c:v>
                </c:pt>
                <c:pt idx="82">
                  <c:v>91.394094063596299</c:v>
                </c:pt>
                <c:pt idx="83">
                  <c:v>91.394094063596299</c:v>
                </c:pt>
                <c:pt idx="84">
                  <c:v>91.394094063596299</c:v>
                </c:pt>
                <c:pt idx="85">
                  <c:v>91.394094063596299</c:v>
                </c:pt>
                <c:pt idx="86">
                  <c:v>91.394094063596299</c:v>
                </c:pt>
                <c:pt idx="87">
                  <c:v>91.394094063596299</c:v>
                </c:pt>
                <c:pt idx="88">
                  <c:v>91.394094063596299</c:v>
                </c:pt>
                <c:pt idx="89">
                  <c:v>91.394094063596299</c:v>
                </c:pt>
                <c:pt idx="90">
                  <c:v>91.394094063596299</c:v>
                </c:pt>
                <c:pt idx="91">
                  <c:v>91.394094063596299</c:v>
                </c:pt>
                <c:pt idx="92">
                  <c:v>91.394094063596299</c:v>
                </c:pt>
                <c:pt idx="93">
                  <c:v>91.394094063596299</c:v>
                </c:pt>
                <c:pt idx="94">
                  <c:v>91.394094063596299</c:v>
                </c:pt>
                <c:pt idx="95">
                  <c:v>91.394094063596299</c:v>
                </c:pt>
                <c:pt idx="96">
                  <c:v>91.394094063596299</c:v>
                </c:pt>
                <c:pt idx="97">
                  <c:v>91.394094063596299</c:v>
                </c:pt>
                <c:pt idx="98">
                  <c:v>91.394094063596299</c:v>
                </c:pt>
                <c:pt idx="99">
                  <c:v>91.394094063596299</c:v>
                </c:pt>
                <c:pt idx="100">
                  <c:v>91.394094063596299</c:v>
                </c:pt>
                <c:pt idx="101">
                  <c:v>91.394094063596299</c:v>
                </c:pt>
                <c:pt idx="102">
                  <c:v>91.394094063596299</c:v>
                </c:pt>
                <c:pt idx="103">
                  <c:v>91.394094063596299</c:v>
                </c:pt>
                <c:pt idx="104">
                  <c:v>91.394094063596299</c:v>
                </c:pt>
                <c:pt idx="105">
                  <c:v>91.394094063596299</c:v>
                </c:pt>
                <c:pt idx="106">
                  <c:v>91.394094063596299</c:v>
                </c:pt>
                <c:pt idx="107">
                  <c:v>91.394094063596299</c:v>
                </c:pt>
                <c:pt idx="108">
                  <c:v>91.394094063596299</c:v>
                </c:pt>
                <c:pt idx="109">
                  <c:v>91.394094063596299</c:v>
                </c:pt>
                <c:pt idx="110">
                  <c:v>91.394094063596299</c:v>
                </c:pt>
                <c:pt idx="111">
                  <c:v>91.394094063596299</c:v>
                </c:pt>
                <c:pt idx="112">
                  <c:v>91.394094063596299</c:v>
                </c:pt>
                <c:pt idx="113">
                  <c:v>91.394094063596299</c:v>
                </c:pt>
                <c:pt idx="114">
                  <c:v>91.394094063596299</c:v>
                </c:pt>
                <c:pt idx="115">
                  <c:v>91.394094063596299</c:v>
                </c:pt>
                <c:pt idx="116">
                  <c:v>91.394094063596299</c:v>
                </c:pt>
                <c:pt idx="117">
                  <c:v>91.394094063596299</c:v>
                </c:pt>
                <c:pt idx="118">
                  <c:v>91.394094063596299</c:v>
                </c:pt>
                <c:pt idx="119">
                  <c:v>91.394094063596299</c:v>
                </c:pt>
                <c:pt idx="120">
                  <c:v>91.394094063596299</c:v>
                </c:pt>
                <c:pt idx="121">
                  <c:v>91.394094063596299</c:v>
                </c:pt>
                <c:pt idx="122">
                  <c:v>91.394094063596299</c:v>
                </c:pt>
                <c:pt idx="123">
                  <c:v>91.394094063596299</c:v>
                </c:pt>
                <c:pt idx="124">
                  <c:v>91.394094063596299</c:v>
                </c:pt>
                <c:pt idx="125">
                  <c:v>91.394094063596299</c:v>
                </c:pt>
                <c:pt idx="126">
                  <c:v>91.394094063596299</c:v>
                </c:pt>
                <c:pt idx="127">
                  <c:v>91.394094063596299</c:v>
                </c:pt>
                <c:pt idx="128">
                  <c:v>91.394094063596299</c:v>
                </c:pt>
                <c:pt idx="129">
                  <c:v>91.394094063596299</c:v>
                </c:pt>
                <c:pt idx="130">
                  <c:v>91.394094063596299</c:v>
                </c:pt>
                <c:pt idx="131">
                  <c:v>91.394094063596299</c:v>
                </c:pt>
                <c:pt idx="132">
                  <c:v>91.394094063596299</c:v>
                </c:pt>
                <c:pt idx="133">
                  <c:v>91.394094063596299</c:v>
                </c:pt>
                <c:pt idx="134">
                  <c:v>91.394094063596299</c:v>
                </c:pt>
                <c:pt idx="135">
                  <c:v>91.394094063596299</c:v>
                </c:pt>
                <c:pt idx="136">
                  <c:v>91.394094063596299</c:v>
                </c:pt>
                <c:pt idx="137">
                  <c:v>91.394094063596299</c:v>
                </c:pt>
                <c:pt idx="138">
                  <c:v>91.394094063596299</c:v>
                </c:pt>
                <c:pt idx="139">
                  <c:v>91.394094063596299</c:v>
                </c:pt>
                <c:pt idx="140">
                  <c:v>91.394094063596299</c:v>
                </c:pt>
                <c:pt idx="141">
                  <c:v>91.394094063596299</c:v>
                </c:pt>
                <c:pt idx="142">
                  <c:v>91.394094063596299</c:v>
                </c:pt>
                <c:pt idx="143">
                  <c:v>91.394094063596299</c:v>
                </c:pt>
                <c:pt idx="144">
                  <c:v>91.394094063596299</c:v>
                </c:pt>
                <c:pt idx="145">
                  <c:v>91.394094063596299</c:v>
                </c:pt>
                <c:pt idx="146">
                  <c:v>91.394094063596299</c:v>
                </c:pt>
                <c:pt idx="147">
                  <c:v>91.394094063596299</c:v>
                </c:pt>
                <c:pt idx="148">
                  <c:v>91.394094063596299</c:v>
                </c:pt>
                <c:pt idx="149">
                  <c:v>91.394094063596299</c:v>
                </c:pt>
                <c:pt idx="150">
                  <c:v>91.394094063596299</c:v>
                </c:pt>
                <c:pt idx="151">
                  <c:v>91.394094063596299</c:v>
                </c:pt>
                <c:pt idx="152">
                  <c:v>91.394094063596299</c:v>
                </c:pt>
                <c:pt idx="153">
                  <c:v>91.394094063596299</c:v>
                </c:pt>
                <c:pt idx="154">
                  <c:v>91.394094063596299</c:v>
                </c:pt>
                <c:pt idx="155">
                  <c:v>91.394094063596299</c:v>
                </c:pt>
                <c:pt idx="156">
                  <c:v>91.394094063596299</c:v>
                </c:pt>
                <c:pt idx="157">
                  <c:v>91.394094063596299</c:v>
                </c:pt>
                <c:pt idx="158">
                  <c:v>91.394094063596299</c:v>
                </c:pt>
                <c:pt idx="159">
                  <c:v>91.394094063596299</c:v>
                </c:pt>
                <c:pt idx="160">
                  <c:v>91.394094063596299</c:v>
                </c:pt>
                <c:pt idx="161">
                  <c:v>91.394094063596299</c:v>
                </c:pt>
                <c:pt idx="162">
                  <c:v>91.394094063596299</c:v>
                </c:pt>
                <c:pt idx="163">
                  <c:v>91.394094063596299</c:v>
                </c:pt>
                <c:pt idx="164">
                  <c:v>91.394094063596299</c:v>
                </c:pt>
                <c:pt idx="165">
                  <c:v>91.394094063596299</c:v>
                </c:pt>
                <c:pt idx="166">
                  <c:v>91.394094063596299</c:v>
                </c:pt>
                <c:pt idx="167">
                  <c:v>91.394094063596299</c:v>
                </c:pt>
                <c:pt idx="168">
                  <c:v>91.394094063596299</c:v>
                </c:pt>
                <c:pt idx="169">
                  <c:v>91.394094063596299</c:v>
                </c:pt>
                <c:pt idx="170">
                  <c:v>91.394094063596299</c:v>
                </c:pt>
                <c:pt idx="171">
                  <c:v>91.394094063596299</c:v>
                </c:pt>
                <c:pt idx="172">
                  <c:v>91.394094063596299</c:v>
                </c:pt>
                <c:pt idx="173">
                  <c:v>91.394094063596299</c:v>
                </c:pt>
                <c:pt idx="174">
                  <c:v>91.394094063596299</c:v>
                </c:pt>
                <c:pt idx="175">
                  <c:v>91.394094063596299</c:v>
                </c:pt>
                <c:pt idx="176">
                  <c:v>91.394094063596299</c:v>
                </c:pt>
                <c:pt idx="177">
                  <c:v>91.394094063596299</c:v>
                </c:pt>
                <c:pt idx="178">
                  <c:v>91.394094063596299</c:v>
                </c:pt>
                <c:pt idx="179">
                  <c:v>91.394094063596299</c:v>
                </c:pt>
                <c:pt idx="180">
                  <c:v>91.394094063596299</c:v>
                </c:pt>
                <c:pt idx="181">
                  <c:v>91.394094063596299</c:v>
                </c:pt>
                <c:pt idx="182">
                  <c:v>91.394094063596299</c:v>
                </c:pt>
                <c:pt idx="183">
                  <c:v>91.394094063596299</c:v>
                </c:pt>
                <c:pt idx="184">
                  <c:v>91.394094063596299</c:v>
                </c:pt>
                <c:pt idx="185">
                  <c:v>91.394094063596299</c:v>
                </c:pt>
                <c:pt idx="186">
                  <c:v>91.394094063596299</c:v>
                </c:pt>
                <c:pt idx="187">
                  <c:v>91.394094063596299</c:v>
                </c:pt>
                <c:pt idx="188">
                  <c:v>91.394094063596299</c:v>
                </c:pt>
                <c:pt idx="189">
                  <c:v>91.394094063596299</c:v>
                </c:pt>
                <c:pt idx="190">
                  <c:v>91.394094063596299</c:v>
                </c:pt>
                <c:pt idx="191">
                  <c:v>91.394094063596299</c:v>
                </c:pt>
                <c:pt idx="192">
                  <c:v>91.394094063596299</c:v>
                </c:pt>
                <c:pt idx="193">
                  <c:v>91.394094063596299</c:v>
                </c:pt>
                <c:pt idx="194">
                  <c:v>91.394094063596299</c:v>
                </c:pt>
                <c:pt idx="195">
                  <c:v>91.394094063596299</c:v>
                </c:pt>
                <c:pt idx="196">
                  <c:v>91.394094063596299</c:v>
                </c:pt>
                <c:pt idx="197">
                  <c:v>91.394094063596299</c:v>
                </c:pt>
                <c:pt idx="198">
                  <c:v>91.394094063596299</c:v>
                </c:pt>
                <c:pt idx="199">
                  <c:v>91.394094063596299</c:v>
                </c:pt>
                <c:pt idx="200">
                  <c:v>91.394094063596299</c:v>
                </c:pt>
                <c:pt idx="201">
                  <c:v>91.394094063596299</c:v>
                </c:pt>
                <c:pt idx="202">
                  <c:v>91.394094063596299</c:v>
                </c:pt>
                <c:pt idx="203">
                  <c:v>91.394094063596299</c:v>
                </c:pt>
                <c:pt idx="204">
                  <c:v>91.394094063596299</c:v>
                </c:pt>
                <c:pt idx="205">
                  <c:v>91.394094063596299</c:v>
                </c:pt>
                <c:pt idx="206">
                  <c:v>91.394094063596299</c:v>
                </c:pt>
                <c:pt idx="207">
                  <c:v>91.394094063596299</c:v>
                </c:pt>
                <c:pt idx="208">
                  <c:v>91.394094063596299</c:v>
                </c:pt>
                <c:pt idx="209">
                  <c:v>91.394094063596299</c:v>
                </c:pt>
                <c:pt idx="210">
                  <c:v>91.394094063596299</c:v>
                </c:pt>
                <c:pt idx="211">
                  <c:v>91.394094063596299</c:v>
                </c:pt>
                <c:pt idx="212">
                  <c:v>91.394094063596299</c:v>
                </c:pt>
                <c:pt idx="213">
                  <c:v>91.394094063596299</c:v>
                </c:pt>
                <c:pt idx="214">
                  <c:v>91.394094063596299</c:v>
                </c:pt>
                <c:pt idx="215">
                  <c:v>91.394094063596299</c:v>
                </c:pt>
                <c:pt idx="216">
                  <c:v>91.394094063596299</c:v>
                </c:pt>
                <c:pt idx="217">
                  <c:v>91.394094063596299</c:v>
                </c:pt>
                <c:pt idx="218">
                  <c:v>91.394094063596299</c:v>
                </c:pt>
                <c:pt idx="219">
                  <c:v>91.394094063596299</c:v>
                </c:pt>
                <c:pt idx="220">
                  <c:v>91.394094063596299</c:v>
                </c:pt>
                <c:pt idx="221">
                  <c:v>91.394094063596299</c:v>
                </c:pt>
                <c:pt idx="222">
                  <c:v>91.394094063596299</c:v>
                </c:pt>
                <c:pt idx="223">
                  <c:v>91.394094063596299</c:v>
                </c:pt>
                <c:pt idx="224">
                  <c:v>91.394094063596299</c:v>
                </c:pt>
                <c:pt idx="225">
                  <c:v>91.394094063596299</c:v>
                </c:pt>
                <c:pt idx="226">
                  <c:v>91.394094063596299</c:v>
                </c:pt>
                <c:pt idx="227">
                  <c:v>91.394094063596299</c:v>
                </c:pt>
                <c:pt idx="228">
                  <c:v>91.394094063596299</c:v>
                </c:pt>
                <c:pt idx="229">
                  <c:v>91.394094063596299</c:v>
                </c:pt>
                <c:pt idx="230">
                  <c:v>91.394094063596299</c:v>
                </c:pt>
                <c:pt idx="231">
                  <c:v>91.394094063596299</c:v>
                </c:pt>
                <c:pt idx="232">
                  <c:v>91.394094063596299</c:v>
                </c:pt>
                <c:pt idx="233">
                  <c:v>91.394094063596299</c:v>
                </c:pt>
                <c:pt idx="234">
                  <c:v>91.394094063596299</c:v>
                </c:pt>
                <c:pt idx="235">
                  <c:v>91.394094063596299</c:v>
                </c:pt>
                <c:pt idx="236">
                  <c:v>91.394094063596299</c:v>
                </c:pt>
                <c:pt idx="237">
                  <c:v>91.394094063596299</c:v>
                </c:pt>
                <c:pt idx="238">
                  <c:v>91.394094063596299</c:v>
                </c:pt>
                <c:pt idx="239">
                  <c:v>91.394094063596299</c:v>
                </c:pt>
                <c:pt idx="240">
                  <c:v>91.394094063596299</c:v>
                </c:pt>
                <c:pt idx="241">
                  <c:v>91.394094063596299</c:v>
                </c:pt>
                <c:pt idx="242">
                  <c:v>91.394094063596299</c:v>
                </c:pt>
                <c:pt idx="243">
                  <c:v>91.394094063596299</c:v>
                </c:pt>
                <c:pt idx="244">
                  <c:v>91.394094063596299</c:v>
                </c:pt>
                <c:pt idx="245">
                  <c:v>91.394094063596299</c:v>
                </c:pt>
                <c:pt idx="246">
                  <c:v>91.394094063596299</c:v>
                </c:pt>
                <c:pt idx="247">
                  <c:v>91.394094063596299</c:v>
                </c:pt>
                <c:pt idx="248">
                  <c:v>91.394094063596299</c:v>
                </c:pt>
                <c:pt idx="249">
                  <c:v>91.394094063596299</c:v>
                </c:pt>
                <c:pt idx="250">
                  <c:v>91.394094063596299</c:v>
                </c:pt>
                <c:pt idx="251">
                  <c:v>91.394094063596299</c:v>
                </c:pt>
                <c:pt idx="252">
                  <c:v>91.394094063596299</c:v>
                </c:pt>
                <c:pt idx="253">
                  <c:v>91.394094063596299</c:v>
                </c:pt>
                <c:pt idx="254">
                  <c:v>91.394094063596299</c:v>
                </c:pt>
                <c:pt idx="255">
                  <c:v>91.394094063596299</c:v>
                </c:pt>
                <c:pt idx="256">
                  <c:v>91.394094063596299</c:v>
                </c:pt>
                <c:pt idx="257">
                  <c:v>91.394094063596299</c:v>
                </c:pt>
                <c:pt idx="258">
                  <c:v>91.394094063596299</c:v>
                </c:pt>
                <c:pt idx="259">
                  <c:v>91.394094063596299</c:v>
                </c:pt>
                <c:pt idx="260">
                  <c:v>91.394094063596299</c:v>
                </c:pt>
                <c:pt idx="261">
                  <c:v>91.394094063596299</c:v>
                </c:pt>
                <c:pt idx="262">
                  <c:v>91.394094063596299</c:v>
                </c:pt>
                <c:pt idx="263">
                  <c:v>91.394094063596299</c:v>
                </c:pt>
                <c:pt idx="264">
                  <c:v>91.394094063596299</c:v>
                </c:pt>
                <c:pt idx="265">
                  <c:v>91.394094063596299</c:v>
                </c:pt>
                <c:pt idx="266">
                  <c:v>91.394094063596299</c:v>
                </c:pt>
                <c:pt idx="267">
                  <c:v>91.394094063596299</c:v>
                </c:pt>
                <c:pt idx="268">
                  <c:v>91.394094063596299</c:v>
                </c:pt>
                <c:pt idx="269">
                  <c:v>91.394094063596299</c:v>
                </c:pt>
                <c:pt idx="270">
                  <c:v>91.394094063596299</c:v>
                </c:pt>
                <c:pt idx="271">
                  <c:v>91.394094063596299</c:v>
                </c:pt>
                <c:pt idx="272">
                  <c:v>91.394094063596299</c:v>
                </c:pt>
                <c:pt idx="273">
                  <c:v>91.394094063596299</c:v>
                </c:pt>
                <c:pt idx="274">
                  <c:v>91.394094063596299</c:v>
                </c:pt>
                <c:pt idx="275">
                  <c:v>91.394094063596299</c:v>
                </c:pt>
                <c:pt idx="276">
                  <c:v>91.394094063596299</c:v>
                </c:pt>
                <c:pt idx="277">
                  <c:v>91.394094063596299</c:v>
                </c:pt>
                <c:pt idx="278">
                  <c:v>91.394094063596299</c:v>
                </c:pt>
                <c:pt idx="279">
                  <c:v>91.394094063596299</c:v>
                </c:pt>
                <c:pt idx="280">
                  <c:v>91.394094063596299</c:v>
                </c:pt>
                <c:pt idx="281">
                  <c:v>91.394094063596299</c:v>
                </c:pt>
                <c:pt idx="282">
                  <c:v>91.394094063596299</c:v>
                </c:pt>
                <c:pt idx="283">
                  <c:v>91.394094063596299</c:v>
                </c:pt>
                <c:pt idx="284">
                  <c:v>91.394094063596299</c:v>
                </c:pt>
                <c:pt idx="285">
                  <c:v>91.394094063596299</c:v>
                </c:pt>
                <c:pt idx="286">
                  <c:v>91.394094063596299</c:v>
                </c:pt>
                <c:pt idx="287">
                  <c:v>91.394094063596299</c:v>
                </c:pt>
                <c:pt idx="288">
                  <c:v>91.394094063596299</c:v>
                </c:pt>
                <c:pt idx="289">
                  <c:v>91.394094063596299</c:v>
                </c:pt>
                <c:pt idx="290">
                  <c:v>91.394094063596299</c:v>
                </c:pt>
                <c:pt idx="291">
                  <c:v>91.394094063596299</c:v>
                </c:pt>
                <c:pt idx="292">
                  <c:v>91.394094063596299</c:v>
                </c:pt>
                <c:pt idx="293">
                  <c:v>91.394094063596299</c:v>
                </c:pt>
                <c:pt idx="294">
                  <c:v>91.394094063596299</c:v>
                </c:pt>
                <c:pt idx="295">
                  <c:v>91.394094063596299</c:v>
                </c:pt>
                <c:pt idx="296">
                  <c:v>91.394094063596299</c:v>
                </c:pt>
                <c:pt idx="297">
                  <c:v>91.394094063596299</c:v>
                </c:pt>
                <c:pt idx="298">
                  <c:v>91.394094063596299</c:v>
                </c:pt>
                <c:pt idx="299">
                  <c:v>91.394094063596299</c:v>
                </c:pt>
                <c:pt idx="300">
                  <c:v>91.394094063596299</c:v>
                </c:pt>
                <c:pt idx="301">
                  <c:v>91.394094063596299</c:v>
                </c:pt>
                <c:pt idx="302">
                  <c:v>91.394094063596299</c:v>
                </c:pt>
                <c:pt idx="303">
                  <c:v>91.394094063596299</c:v>
                </c:pt>
                <c:pt idx="304">
                  <c:v>91.394094063596299</c:v>
                </c:pt>
                <c:pt idx="305">
                  <c:v>91.394094063596299</c:v>
                </c:pt>
                <c:pt idx="306">
                  <c:v>91.394094063596299</c:v>
                </c:pt>
                <c:pt idx="307">
                  <c:v>91.394094063596299</c:v>
                </c:pt>
                <c:pt idx="308">
                  <c:v>91.394094063596299</c:v>
                </c:pt>
                <c:pt idx="309">
                  <c:v>91.394094063596299</c:v>
                </c:pt>
                <c:pt idx="310">
                  <c:v>91.394094063596299</c:v>
                </c:pt>
                <c:pt idx="311">
                  <c:v>91.394094063596299</c:v>
                </c:pt>
                <c:pt idx="312">
                  <c:v>91.394094063596299</c:v>
                </c:pt>
                <c:pt idx="313">
                  <c:v>91.394094063596299</c:v>
                </c:pt>
                <c:pt idx="314">
                  <c:v>91.394094063596299</c:v>
                </c:pt>
                <c:pt idx="315">
                  <c:v>91.394094063596299</c:v>
                </c:pt>
                <c:pt idx="316">
                  <c:v>91.394094063596299</c:v>
                </c:pt>
                <c:pt idx="317">
                  <c:v>91.394094063596299</c:v>
                </c:pt>
                <c:pt idx="318">
                  <c:v>91.394094063596299</c:v>
                </c:pt>
                <c:pt idx="319">
                  <c:v>91.394094063596299</c:v>
                </c:pt>
                <c:pt idx="320">
                  <c:v>91.394094063596299</c:v>
                </c:pt>
                <c:pt idx="321">
                  <c:v>91.394094063596299</c:v>
                </c:pt>
                <c:pt idx="322">
                  <c:v>91.394094063596299</c:v>
                </c:pt>
                <c:pt idx="323">
                  <c:v>91.394094063596299</c:v>
                </c:pt>
                <c:pt idx="324">
                  <c:v>91.394094063596299</c:v>
                </c:pt>
                <c:pt idx="325">
                  <c:v>91.394094063596299</c:v>
                </c:pt>
                <c:pt idx="326">
                  <c:v>91.394094063596299</c:v>
                </c:pt>
                <c:pt idx="327">
                  <c:v>91.394094063596299</c:v>
                </c:pt>
                <c:pt idx="328">
                  <c:v>91.394094063596299</c:v>
                </c:pt>
                <c:pt idx="329">
                  <c:v>91.394094063596299</c:v>
                </c:pt>
                <c:pt idx="330">
                  <c:v>91.394094063596299</c:v>
                </c:pt>
                <c:pt idx="331">
                  <c:v>91.394094063596299</c:v>
                </c:pt>
                <c:pt idx="332">
                  <c:v>91.394094063596299</c:v>
                </c:pt>
                <c:pt idx="333">
                  <c:v>91.394094063596299</c:v>
                </c:pt>
                <c:pt idx="334">
                  <c:v>91.394094063596299</c:v>
                </c:pt>
                <c:pt idx="335">
                  <c:v>91.394094063596299</c:v>
                </c:pt>
                <c:pt idx="336">
                  <c:v>91.394094063596299</c:v>
                </c:pt>
                <c:pt idx="337">
                  <c:v>91.394094063596299</c:v>
                </c:pt>
                <c:pt idx="338">
                  <c:v>91.394094063596299</c:v>
                </c:pt>
                <c:pt idx="339">
                  <c:v>91.394094063596299</c:v>
                </c:pt>
                <c:pt idx="340">
                  <c:v>91.394094063596299</c:v>
                </c:pt>
                <c:pt idx="341">
                  <c:v>91.394094063596299</c:v>
                </c:pt>
                <c:pt idx="342">
                  <c:v>91.394094063596299</c:v>
                </c:pt>
                <c:pt idx="343">
                  <c:v>91.394094063596299</c:v>
                </c:pt>
                <c:pt idx="344">
                  <c:v>91.394094063596299</c:v>
                </c:pt>
                <c:pt idx="345">
                  <c:v>91.394094063596299</c:v>
                </c:pt>
                <c:pt idx="346">
                  <c:v>91.394094063596299</c:v>
                </c:pt>
                <c:pt idx="347">
                  <c:v>91.394094063596299</c:v>
                </c:pt>
                <c:pt idx="348">
                  <c:v>91.394094063596299</c:v>
                </c:pt>
                <c:pt idx="349">
                  <c:v>91.394094063596299</c:v>
                </c:pt>
                <c:pt idx="350">
                  <c:v>91.394094063596299</c:v>
                </c:pt>
                <c:pt idx="351">
                  <c:v>91.394094063596299</c:v>
                </c:pt>
                <c:pt idx="352">
                  <c:v>91.394094063596299</c:v>
                </c:pt>
                <c:pt idx="353">
                  <c:v>91.394094063596299</c:v>
                </c:pt>
                <c:pt idx="354">
                  <c:v>91.394094063596299</c:v>
                </c:pt>
                <c:pt idx="355">
                  <c:v>91.394094063596299</c:v>
                </c:pt>
                <c:pt idx="356">
                  <c:v>91.394094063596299</c:v>
                </c:pt>
                <c:pt idx="357">
                  <c:v>91.394094063596299</c:v>
                </c:pt>
                <c:pt idx="358">
                  <c:v>91.394094063596299</c:v>
                </c:pt>
                <c:pt idx="359">
                  <c:v>91.394094063596299</c:v>
                </c:pt>
                <c:pt idx="360">
                  <c:v>91.394094063596299</c:v>
                </c:pt>
                <c:pt idx="361">
                  <c:v>91.394094063596299</c:v>
                </c:pt>
                <c:pt idx="362">
                  <c:v>91.394094063596299</c:v>
                </c:pt>
                <c:pt idx="363">
                  <c:v>91.394094063596299</c:v>
                </c:pt>
                <c:pt idx="364">
                  <c:v>91.394094063596299</c:v>
                </c:pt>
                <c:pt idx="365">
                  <c:v>91.394094063596299</c:v>
                </c:pt>
                <c:pt idx="366">
                  <c:v>91.394094063596299</c:v>
                </c:pt>
                <c:pt idx="367">
                  <c:v>91.394094063596299</c:v>
                </c:pt>
                <c:pt idx="368">
                  <c:v>91.394094063596299</c:v>
                </c:pt>
                <c:pt idx="369">
                  <c:v>91.394094063596299</c:v>
                </c:pt>
                <c:pt idx="370">
                  <c:v>91.394094063596299</c:v>
                </c:pt>
                <c:pt idx="371">
                  <c:v>91.394094063596299</c:v>
                </c:pt>
                <c:pt idx="372">
                  <c:v>91.394094063596299</c:v>
                </c:pt>
                <c:pt idx="373">
                  <c:v>91.394094063596299</c:v>
                </c:pt>
                <c:pt idx="374">
                  <c:v>91.394094063596299</c:v>
                </c:pt>
                <c:pt idx="375">
                  <c:v>91.394094063596299</c:v>
                </c:pt>
                <c:pt idx="376">
                  <c:v>91.394094063596299</c:v>
                </c:pt>
                <c:pt idx="377">
                  <c:v>91.394094063596299</c:v>
                </c:pt>
                <c:pt idx="378">
                  <c:v>91.394094063596299</c:v>
                </c:pt>
                <c:pt idx="379">
                  <c:v>91.394094063596299</c:v>
                </c:pt>
                <c:pt idx="380">
                  <c:v>91.394094063596299</c:v>
                </c:pt>
                <c:pt idx="381">
                  <c:v>91.394094063596299</c:v>
                </c:pt>
                <c:pt idx="382">
                  <c:v>91.394094063596299</c:v>
                </c:pt>
                <c:pt idx="383">
                  <c:v>91.394094063596299</c:v>
                </c:pt>
                <c:pt idx="384">
                  <c:v>91.394094063596299</c:v>
                </c:pt>
                <c:pt idx="385">
                  <c:v>91.394094063596299</c:v>
                </c:pt>
                <c:pt idx="386">
                  <c:v>91.394094063596299</c:v>
                </c:pt>
                <c:pt idx="387">
                  <c:v>91.394094063596299</c:v>
                </c:pt>
                <c:pt idx="388">
                  <c:v>91.394094063596299</c:v>
                </c:pt>
                <c:pt idx="389">
                  <c:v>91.394094063596299</c:v>
                </c:pt>
                <c:pt idx="390">
                  <c:v>91.394094063596299</c:v>
                </c:pt>
                <c:pt idx="391">
                  <c:v>91.394094063596299</c:v>
                </c:pt>
                <c:pt idx="392">
                  <c:v>91.394094063596299</c:v>
                </c:pt>
                <c:pt idx="393">
                  <c:v>91.394094063596299</c:v>
                </c:pt>
                <c:pt idx="394">
                  <c:v>91.394094063596299</c:v>
                </c:pt>
                <c:pt idx="395">
                  <c:v>91.394094063596299</c:v>
                </c:pt>
                <c:pt idx="396">
                  <c:v>91.394094063596299</c:v>
                </c:pt>
                <c:pt idx="397">
                  <c:v>91.394094063596299</c:v>
                </c:pt>
                <c:pt idx="398">
                  <c:v>91.394094063596299</c:v>
                </c:pt>
                <c:pt idx="399">
                  <c:v>91.394094063596299</c:v>
                </c:pt>
                <c:pt idx="400">
                  <c:v>91.394094063596299</c:v>
                </c:pt>
              </c:numCache>
            </c:numRef>
          </c:xVal>
          <c:yVal>
            <c:numRef>
              <c:f>'V-N Diagram'!$V$37:$V$437</c:f>
              <c:numCache>
                <c:formatCode>General</c:formatCode>
                <c:ptCount val="401"/>
                <c:pt idx="0">
                  <c:v>-3</c:v>
                </c:pt>
                <c:pt idx="1">
                  <c:v>-2.98</c:v>
                </c:pt>
                <c:pt idx="2">
                  <c:v>-2.96</c:v>
                </c:pt>
                <c:pt idx="3">
                  <c:v>-2.94</c:v>
                </c:pt>
                <c:pt idx="4">
                  <c:v>-2.92</c:v>
                </c:pt>
                <c:pt idx="5">
                  <c:v>-2.9</c:v>
                </c:pt>
                <c:pt idx="6">
                  <c:v>-2.88</c:v>
                </c:pt>
                <c:pt idx="7">
                  <c:v>-2.86</c:v>
                </c:pt>
                <c:pt idx="8">
                  <c:v>-2.84</c:v>
                </c:pt>
                <c:pt idx="9">
                  <c:v>-2.82</c:v>
                </c:pt>
                <c:pt idx="10">
                  <c:v>-2.8</c:v>
                </c:pt>
                <c:pt idx="11">
                  <c:v>-2.78</c:v>
                </c:pt>
                <c:pt idx="12">
                  <c:v>-2.76</c:v>
                </c:pt>
                <c:pt idx="13">
                  <c:v>-2.74</c:v>
                </c:pt>
                <c:pt idx="14">
                  <c:v>-2.72</c:v>
                </c:pt>
                <c:pt idx="15">
                  <c:v>-2.7</c:v>
                </c:pt>
                <c:pt idx="16">
                  <c:v>-2.68</c:v>
                </c:pt>
                <c:pt idx="17">
                  <c:v>-2.66</c:v>
                </c:pt>
                <c:pt idx="18">
                  <c:v>-2.64</c:v>
                </c:pt>
                <c:pt idx="19">
                  <c:v>-2.62</c:v>
                </c:pt>
                <c:pt idx="20">
                  <c:v>-2.6</c:v>
                </c:pt>
                <c:pt idx="21">
                  <c:v>-2.58</c:v>
                </c:pt>
                <c:pt idx="22">
                  <c:v>-2.56</c:v>
                </c:pt>
                <c:pt idx="23">
                  <c:v>-2.54</c:v>
                </c:pt>
                <c:pt idx="24">
                  <c:v>-2.52</c:v>
                </c:pt>
                <c:pt idx="25">
                  <c:v>-2.5</c:v>
                </c:pt>
                <c:pt idx="26">
                  <c:v>-2.48</c:v>
                </c:pt>
                <c:pt idx="27">
                  <c:v>-2.46</c:v>
                </c:pt>
                <c:pt idx="28">
                  <c:v>-2.44</c:v>
                </c:pt>
                <c:pt idx="29">
                  <c:v>-2.42</c:v>
                </c:pt>
                <c:pt idx="30">
                  <c:v>-2.4</c:v>
                </c:pt>
                <c:pt idx="31">
                  <c:v>-2.38</c:v>
                </c:pt>
                <c:pt idx="32">
                  <c:v>-2.36</c:v>
                </c:pt>
                <c:pt idx="33">
                  <c:v>-2.34</c:v>
                </c:pt>
                <c:pt idx="34">
                  <c:v>-2.3199999999999998</c:v>
                </c:pt>
                <c:pt idx="35">
                  <c:v>-2.2999999999999998</c:v>
                </c:pt>
                <c:pt idx="36">
                  <c:v>-2.2799999999999998</c:v>
                </c:pt>
                <c:pt idx="37">
                  <c:v>-2.2599999999999998</c:v>
                </c:pt>
                <c:pt idx="38">
                  <c:v>-2.2400000000000002</c:v>
                </c:pt>
                <c:pt idx="39">
                  <c:v>-2.2200000000000002</c:v>
                </c:pt>
                <c:pt idx="40">
                  <c:v>-2.2000000000000002</c:v>
                </c:pt>
                <c:pt idx="41">
                  <c:v>-2.1800000000000002</c:v>
                </c:pt>
                <c:pt idx="42">
                  <c:v>-2.16</c:v>
                </c:pt>
                <c:pt idx="43">
                  <c:v>-2.14</c:v>
                </c:pt>
                <c:pt idx="44">
                  <c:v>-2.12</c:v>
                </c:pt>
                <c:pt idx="45">
                  <c:v>-2.1</c:v>
                </c:pt>
                <c:pt idx="46">
                  <c:v>-2.08</c:v>
                </c:pt>
                <c:pt idx="47">
                  <c:v>-2.06</c:v>
                </c:pt>
                <c:pt idx="48">
                  <c:v>-2.04</c:v>
                </c:pt>
                <c:pt idx="49">
                  <c:v>-2.02</c:v>
                </c:pt>
                <c:pt idx="50">
                  <c:v>-2</c:v>
                </c:pt>
                <c:pt idx="51">
                  <c:v>-1.98</c:v>
                </c:pt>
                <c:pt idx="52">
                  <c:v>-1.96</c:v>
                </c:pt>
                <c:pt idx="53">
                  <c:v>-1.94</c:v>
                </c:pt>
                <c:pt idx="54">
                  <c:v>-1.92</c:v>
                </c:pt>
                <c:pt idx="55">
                  <c:v>-1.9</c:v>
                </c:pt>
                <c:pt idx="56">
                  <c:v>-1.88</c:v>
                </c:pt>
                <c:pt idx="57">
                  <c:v>-1.86</c:v>
                </c:pt>
                <c:pt idx="58">
                  <c:v>-1.84</c:v>
                </c:pt>
                <c:pt idx="59">
                  <c:v>-1.82</c:v>
                </c:pt>
                <c:pt idx="60">
                  <c:v>-1.8</c:v>
                </c:pt>
                <c:pt idx="61">
                  <c:v>-1.78</c:v>
                </c:pt>
                <c:pt idx="62">
                  <c:v>-1.76</c:v>
                </c:pt>
                <c:pt idx="63">
                  <c:v>-1.74</c:v>
                </c:pt>
                <c:pt idx="64">
                  <c:v>-1.72</c:v>
                </c:pt>
                <c:pt idx="65">
                  <c:v>-1.7</c:v>
                </c:pt>
                <c:pt idx="66">
                  <c:v>-1.68</c:v>
                </c:pt>
                <c:pt idx="67">
                  <c:v>-1.66</c:v>
                </c:pt>
                <c:pt idx="68">
                  <c:v>-1.64</c:v>
                </c:pt>
                <c:pt idx="69">
                  <c:v>-1.62</c:v>
                </c:pt>
                <c:pt idx="70">
                  <c:v>-1.6</c:v>
                </c:pt>
                <c:pt idx="71">
                  <c:v>-1.58</c:v>
                </c:pt>
                <c:pt idx="72">
                  <c:v>-1.56</c:v>
                </c:pt>
                <c:pt idx="73">
                  <c:v>-1.54</c:v>
                </c:pt>
                <c:pt idx="74">
                  <c:v>-1.52</c:v>
                </c:pt>
                <c:pt idx="75">
                  <c:v>-1.5</c:v>
                </c:pt>
                <c:pt idx="76">
                  <c:v>-1.48</c:v>
                </c:pt>
                <c:pt idx="77">
                  <c:v>-1.46</c:v>
                </c:pt>
                <c:pt idx="78">
                  <c:v>-1.44</c:v>
                </c:pt>
                <c:pt idx="79">
                  <c:v>-1.42</c:v>
                </c:pt>
                <c:pt idx="80">
                  <c:v>-1.4</c:v>
                </c:pt>
                <c:pt idx="81">
                  <c:v>-1.38</c:v>
                </c:pt>
                <c:pt idx="82">
                  <c:v>-1.36</c:v>
                </c:pt>
                <c:pt idx="83">
                  <c:v>-1.34</c:v>
                </c:pt>
                <c:pt idx="84">
                  <c:v>-1.32</c:v>
                </c:pt>
                <c:pt idx="85">
                  <c:v>-1.3</c:v>
                </c:pt>
                <c:pt idx="86">
                  <c:v>-1.28</c:v>
                </c:pt>
                <c:pt idx="87">
                  <c:v>-1.26</c:v>
                </c:pt>
                <c:pt idx="88">
                  <c:v>-1.24</c:v>
                </c:pt>
                <c:pt idx="89">
                  <c:v>-1.22</c:v>
                </c:pt>
                <c:pt idx="90">
                  <c:v>-1.2</c:v>
                </c:pt>
                <c:pt idx="91">
                  <c:v>-1.18</c:v>
                </c:pt>
                <c:pt idx="92">
                  <c:v>-1.1599999999999999</c:v>
                </c:pt>
                <c:pt idx="93">
                  <c:v>-1.1399999999999999</c:v>
                </c:pt>
                <c:pt idx="94">
                  <c:v>-1.1200000000000001</c:v>
                </c:pt>
                <c:pt idx="95">
                  <c:v>-1.1000000000000001</c:v>
                </c:pt>
                <c:pt idx="96">
                  <c:v>-1.08</c:v>
                </c:pt>
                <c:pt idx="97">
                  <c:v>-1.06</c:v>
                </c:pt>
                <c:pt idx="98">
                  <c:v>-1.04</c:v>
                </c:pt>
                <c:pt idx="99">
                  <c:v>-1.02</c:v>
                </c:pt>
                <c:pt idx="100">
                  <c:v>-1</c:v>
                </c:pt>
                <c:pt idx="101">
                  <c:v>-0.98</c:v>
                </c:pt>
                <c:pt idx="102">
                  <c:v>-0.96</c:v>
                </c:pt>
                <c:pt idx="103">
                  <c:v>-0.94</c:v>
                </c:pt>
                <c:pt idx="104">
                  <c:v>-0.92</c:v>
                </c:pt>
                <c:pt idx="105">
                  <c:v>-0.9</c:v>
                </c:pt>
                <c:pt idx="106">
                  <c:v>-0.88</c:v>
                </c:pt>
                <c:pt idx="107">
                  <c:v>-0.86</c:v>
                </c:pt>
                <c:pt idx="108">
                  <c:v>-0.84</c:v>
                </c:pt>
                <c:pt idx="109">
                  <c:v>-0.82</c:v>
                </c:pt>
                <c:pt idx="110">
                  <c:v>-0.8</c:v>
                </c:pt>
                <c:pt idx="111">
                  <c:v>-0.78</c:v>
                </c:pt>
                <c:pt idx="112">
                  <c:v>-0.76</c:v>
                </c:pt>
                <c:pt idx="113">
                  <c:v>-0.74</c:v>
                </c:pt>
                <c:pt idx="114">
                  <c:v>-0.72</c:v>
                </c:pt>
                <c:pt idx="115">
                  <c:v>-0.7</c:v>
                </c:pt>
                <c:pt idx="116">
                  <c:v>-0.68</c:v>
                </c:pt>
                <c:pt idx="117">
                  <c:v>-0.66</c:v>
                </c:pt>
                <c:pt idx="118">
                  <c:v>-0.64</c:v>
                </c:pt>
                <c:pt idx="119">
                  <c:v>-0.62</c:v>
                </c:pt>
                <c:pt idx="120">
                  <c:v>-0.6</c:v>
                </c:pt>
                <c:pt idx="121">
                  <c:v>-0.57999999999999996</c:v>
                </c:pt>
                <c:pt idx="122">
                  <c:v>-0.56000000000000005</c:v>
                </c:pt>
                <c:pt idx="123">
                  <c:v>-0.54</c:v>
                </c:pt>
                <c:pt idx="124">
                  <c:v>-0.52</c:v>
                </c:pt>
                <c:pt idx="125">
                  <c:v>-0.5</c:v>
                </c:pt>
                <c:pt idx="126">
                  <c:v>-0.48</c:v>
                </c:pt>
                <c:pt idx="127">
                  <c:v>-0.46</c:v>
                </c:pt>
                <c:pt idx="128">
                  <c:v>-0.44</c:v>
                </c:pt>
                <c:pt idx="129">
                  <c:v>-0.42</c:v>
                </c:pt>
                <c:pt idx="130">
                  <c:v>-0.4</c:v>
                </c:pt>
                <c:pt idx="131">
                  <c:v>-0.38</c:v>
                </c:pt>
                <c:pt idx="132">
                  <c:v>-0.36</c:v>
                </c:pt>
                <c:pt idx="133">
                  <c:v>-0.34</c:v>
                </c:pt>
                <c:pt idx="134">
                  <c:v>-0.32</c:v>
                </c:pt>
                <c:pt idx="135">
                  <c:v>-0.3</c:v>
                </c:pt>
                <c:pt idx="136">
                  <c:v>-0.28000000000000003</c:v>
                </c:pt>
                <c:pt idx="137">
                  <c:v>-0.26</c:v>
                </c:pt>
                <c:pt idx="138">
                  <c:v>-0.24</c:v>
                </c:pt>
                <c:pt idx="139">
                  <c:v>-0.22</c:v>
                </c:pt>
                <c:pt idx="140">
                  <c:v>-0.2</c:v>
                </c:pt>
                <c:pt idx="141">
                  <c:v>-0.18</c:v>
                </c:pt>
                <c:pt idx="142">
                  <c:v>-0.16</c:v>
                </c:pt>
                <c:pt idx="143">
                  <c:v>-0.14000000000000001</c:v>
                </c:pt>
                <c:pt idx="144">
                  <c:v>-0.12</c:v>
                </c:pt>
                <c:pt idx="145">
                  <c:v>-0.1</c:v>
                </c:pt>
                <c:pt idx="146">
                  <c:v>-8.0000000000000099E-2</c:v>
                </c:pt>
                <c:pt idx="147">
                  <c:v>-6.0000000000000102E-2</c:v>
                </c:pt>
                <c:pt idx="148">
                  <c:v>-0.04</c:v>
                </c:pt>
                <c:pt idx="149">
                  <c:v>-0.02</c:v>
                </c:pt>
                <c:pt idx="150">
                  <c:v>0</c:v>
                </c:pt>
                <c:pt idx="151">
                  <c:v>0.02</c:v>
                </c:pt>
                <c:pt idx="152">
                  <c:v>0.04</c:v>
                </c:pt>
                <c:pt idx="153">
                  <c:v>6.0000000000000102E-2</c:v>
                </c:pt>
                <c:pt idx="154">
                  <c:v>8.0000000000000099E-2</c:v>
                </c:pt>
                <c:pt idx="155">
                  <c:v>0.1</c:v>
                </c:pt>
                <c:pt idx="156">
                  <c:v>0.12</c:v>
                </c:pt>
                <c:pt idx="157">
                  <c:v>0.14000000000000001</c:v>
                </c:pt>
                <c:pt idx="158">
                  <c:v>0.16</c:v>
                </c:pt>
                <c:pt idx="159">
                  <c:v>0.18</c:v>
                </c:pt>
                <c:pt idx="160">
                  <c:v>0.2</c:v>
                </c:pt>
                <c:pt idx="161">
                  <c:v>0.22</c:v>
                </c:pt>
                <c:pt idx="162">
                  <c:v>0.24</c:v>
                </c:pt>
                <c:pt idx="163">
                  <c:v>0.26</c:v>
                </c:pt>
                <c:pt idx="164">
                  <c:v>0.28000000000000003</c:v>
                </c:pt>
                <c:pt idx="165">
                  <c:v>0.3</c:v>
                </c:pt>
                <c:pt idx="166">
                  <c:v>0.32</c:v>
                </c:pt>
                <c:pt idx="167">
                  <c:v>0.34</c:v>
                </c:pt>
                <c:pt idx="168">
                  <c:v>0.36</c:v>
                </c:pt>
                <c:pt idx="169">
                  <c:v>0.38</c:v>
                </c:pt>
                <c:pt idx="170">
                  <c:v>0.4</c:v>
                </c:pt>
                <c:pt idx="171">
                  <c:v>0.42</c:v>
                </c:pt>
                <c:pt idx="172">
                  <c:v>0.44</c:v>
                </c:pt>
                <c:pt idx="173">
                  <c:v>0.46</c:v>
                </c:pt>
                <c:pt idx="174">
                  <c:v>0.48</c:v>
                </c:pt>
                <c:pt idx="175">
                  <c:v>0.5</c:v>
                </c:pt>
                <c:pt idx="176">
                  <c:v>0.52</c:v>
                </c:pt>
                <c:pt idx="177">
                  <c:v>0.54</c:v>
                </c:pt>
                <c:pt idx="178">
                  <c:v>0.56000000000000005</c:v>
                </c:pt>
                <c:pt idx="179">
                  <c:v>0.57999999999999996</c:v>
                </c:pt>
                <c:pt idx="180">
                  <c:v>0.6</c:v>
                </c:pt>
                <c:pt idx="181">
                  <c:v>0.62</c:v>
                </c:pt>
                <c:pt idx="182">
                  <c:v>0.64</c:v>
                </c:pt>
                <c:pt idx="183">
                  <c:v>0.66</c:v>
                </c:pt>
                <c:pt idx="184">
                  <c:v>0.68</c:v>
                </c:pt>
                <c:pt idx="185">
                  <c:v>0.7</c:v>
                </c:pt>
                <c:pt idx="186">
                  <c:v>0.72</c:v>
                </c:pt>
                <c:pt idx="187">
                  <c:v>0.74</c:v>
                </c:pt>
                <c:pt idx="188">
                  <c:v>0.76</c:v>
                </c:pt>
                <c:pt idx="189">
                  <c:v>0.78</c:v>
                </c:pt>
                <c:pt idx="190">
                  <c:v>0.8</c:v>
                </c:pt>
                <c:pt idx="191">
                  <c:v>0.82</c:v>
                </c:pt>
                <c:pt idx="192">
                  <c:v>0.84</c:v>
                </c:pt>
                <c:pt idx="193">
                  <c:v>0.86</c:v>
                </c:pt>
                <c:pt idx="194">
                  <c:v>0.88</c:v>
                </c:pt>
                <c:pt idx="195">
                  <c:v>0.9</c:v>
                </c:pt>
                <c:pt idx="196">
                  <c:v>0.92</c:v>
                </c:pt>
                <c:pt idx="197">
                  <c:v>0.94</c:v>
                </c:pt>
                <c:pt idx="198">
                  <c:v>0.96</c:v>
                </c:pt>
                <c:pt idx="199">
                  <c:v>0.98</c:v>
                </c:pt>
                <c:pt idx="200">
                  <c:v>1</c:v>
                </c:pt>
                <c:pt idx="201">
                  <c:v>1.02</c:v>
                </c:pt>
                <c:pt idx="202">
                  <c:v>1.04</c:v>
                </c:pt>
                <c:pt idx="203">
                  <c:v>1.06</c:v>
                </c:pt>
                <c:pt idx="204">
                  <c:v>1.08</c:v>
                </c:pt>
                <c:pt idx="205">
                  <c:v>1.1000000000000001</c:v>
                </c:pt>
                <c:pt idx="206">
                  <c:v>1.1200000000000001</c:v>
                </c:pt>
                <c:pt idx="207">
                  <c:v>1.1399999999999999</c:v>
                </c:pt>
                <c:pt idx="208">
                  <c:v>1.1599999999999999</c:v>
                </c:pt>
                <c:pt idx="209">
                  <c:v>1.18</c:v>
                </c:pt>
                <c:pt idx="210">
                  <c:v>1.2</c:v>
                </c:pt>
                <c:pt idx="211">
                  <c:v>1.22</c:v>
                </c:pt>
                <c:pt idx="212">
                  <c:v>1.24</c:v>
                </c:pt>
                <c:pt idx="213">
                  <c:v>1.26</c:v>
                </c:pt>
                <c:pt idx="214">
                  <c:v>1.28</c:v>
                </c:pt>
                <c:pt idx="215">
                  <c:v>1.3</c:v>
                </c:pt>
                <c:pt idx="216">
                  <c:v>1.32</c:v>
                </c:pt>
                <c:pt idx="217">
                  <c:v>1.34</c:v>
                </c:pt>
                <c:pt idx="218">
                  <c:v>1.36</c:v>
                </c:pt>
                <c:pt idx="219">
                  <c:v>1.38</c:v>
                </c:pt>
                <c:pt idx="220">
                  <c:v>1.4</c:v>
                </c:pt>
                <c:pt idx="221">
                  <c:v>1.42</c:v>
                </c:pt>
                <c:pt idx="222">
                  <c:v>1.44</c:v>
                </c:pt>
                <c:pt idx="223">
                  <c:v>1.46</c:v>
                </c:pt>
                <c:pt idx="224">
                  <c:v>1.48</c:v>
                </c:pt>
                <c:pt idx="225">
                  <c:v>1.5</c:v>
                </c:pt>
                <c:pt idx="226">
                  <c:v>1.52</c:v>
                </c:pt>
                <c:pt idx="227">
                  <c:v>1.54</c:v>
                </c:pt>
                <c:pt idx="228">
                  <c:v>1.56</c:v>
                </c:pt>
                <c:pt idx="229">
                  <c:v>1.58</c:v>
                </c:pt>
                <c:pt idx="230">
                  <c:v>1.6</c:v>
                </c:pt>
                <c:pt idx="231">
                  <c:v>1.62</c:v>
                </c:pt>
                <c:pt idx="232">
                  <c:v>1.64</c:v>
                </c:pt>
                <c:pt idx="233">
                  <c:v>1.66</c:v>
                </c:pt>
                <c:pt idx="234">
                  <c:v>1.68</c:v>
                </c:pt>
                <c:pt idx="235">
                  <c:v>1.7</c:v>
                </c:pt>
                <c:pt idx="236">
                  <c:v>1.72</c:v>
                </c:pt>
                <c:pt idx="237">
                  <c:v>1.74</c:v>
                </c:pt>
                <c:pt idx="238">
                  <c:v>1.76</c:v>
                </c:pt>
                <c:pt idx="239">
                  <c:v>1.78</c:v>
                </c:pt>
                <c:pt idx="240">
                  <c:v>1.8</c:v>
                </c:pt>
                <c:pt idx="241">
                  <c:v>1.82</c:v>
                </c:pt>
                <c:pt idx="242">
                  <c:v>1.84</c:v>
                </c:pt>
                <c:pt idx="243">
                  <c:v>1.86</c:v>
                </c:pt>
                <c:pt idx="244">
                  <c:v>1.88</c:v>
                </c:pt>
                <c:pt idx="245">
                  <c:v>1.9</c:v>
                </c:pt>
                <c:pt idx="246">
                  <c:v>1.92</c:v>
                </c:pt>
                <c:pt idx="247">
                  <c:v>1.94</c:v>
                </c:pt>
                <c:pt idx="248">
                  <c:v>1.96</c:v>
                </c:pt>
                <c:pt idx="249">
                  <c:v>1.98</c:v>
                </c:pt>
                <c:pt idx="250">
                  <c:v>2</c:v>
                </c:pt>
                <c:pt idx="251">
                  <c:v>2.02</c:v>
                </c:pt>
                <c:pt idx="252">
                  <c:v>2.04</c:v>
                </c:pt>
                <c:pt idx="253">
                  <c:v>2.06</c:v>
                </c:pt>
                <c:pt idx="254">
                  <c:v>2.08</c:v>
                </c:pt>
                <c:pt idx="255">
                  <c:v>2.1</c:v>
                </c:pt>
                <c:pt idx="256">
                  <c:v>2.12</c:v>
                </c:pt>
                <c:pt idx="257">
                  <c:v>2.14</c:v>
                </c:pt>
                <c:pt idx="258">
                  <c:v>2.16</c:v>
                </c:pt>
                <c:pt idx="259">
                  <c:v>2.1800000000000099</c:v>
                </c:pt>
                <c:pt idx="260">
                  <c:v>2.2000000000000002</c:v>
                </c:pt>
                <c:pt idx="261">
                  <c:v>2.2200000000000002</c:v>
                </c:pt>
                <c:pt idx="262">
                  <c:v>2.2400000000000002</c:v>
                </c:pt>
                <c:pt idx="263">
                  <c:v>2.26000000000001</c:v>
                </c:pt>
                <c:pt idx="264">
                  <c:v>2.2799999999999998</c:v>
                </c:pt>
                <c:pt idx="265">
                  <c:v>2.2999999999999998</c:v>
                </c:pt>
                <c:pt idx="266">
                  <c:v>2.3199999999999998</c:v>
                </c:pt>
                <c:pt idx="267">
                  <c:v>2.3400000000000101</c:v>
                </c:pt>
                <c:pt idx="268">
                  <c:v>2.36</c:v>
                </c:pt>
                <c:pt idx="269">
                  <c:v>2.38</c:v>
                </c:pt>
                <c:pt idx="270">
                  <c:v>2.4</c:v>
                </c:pt>
                <c:pt idx="271">
                  <c:v>2.4200000000000101</c:v>
                </c:pt>
                <c:pt idx="272">
                  <c:v>2.44</c:v>
                </c:pt>
                <c:pt idx="273">
                  <c:v>2.46</c:v>
                </c:pt>
                <c:pt idx="274">
                  <c:v>2.48</c:v>
                </c:pt>
                <c:pt idx="275">
                  <c:v>2.5000000000000102</c:v>
                </c:pt>
                <c:pt idx="276">
                  <c:v>2.52</c:v>
                </c:pt>
                <c:pt idx="277">
                  <c:v>2.54</c:v>
                </c:pt>
                <c:pt idx="278">
                  <c:v>2.56</c:v>
                </c:pt>
                <c:pt idx="279">
                  <c:v>2.5800000000000098</c:v>
                </c:pt>
                <c:pt idx="280">
                  <c:v>2.6</c:v>
                </c:pt>
                <c:pt idx="281">
                  <c:v>2.62</c:v>
                </c:pt>
                <c:pt idx="282">
                  <c:v>2.6400000000000099</c:v>
                </c:pt>
                <c:pt idx="283">
                  <c:v>2.6600000000000099</c:v>
                </c:pt>
                <c:pt idx="284">
                  <c:v>2.6800000000000099</c:v>
                </c:pt>
                <c:pt idx="285">
                  <c:v>2.7</c:v>
                </c:pt>
                <c:pt idx="286">
                  <c:v>2.72000000000001</c:v>
                </c:pt>
                <c:pt idx="287">
                  <c:v>2.74000000000001</c:v>
                </c:pt>
                <c:pt idx="288">
                  <c:v>2.76000000000001</c:v>
                </c:pt>
                <c:pt idx="289">
                  <c:v>2.78</c:v>
                </c:pt>
                <c:pt idx="290">
                  <c:v>2.80000000000001</c:v>
                </c:pt>
                <c:pt idx="291">
                  <c:v>2.8200000000000101</c:v>
                </c:pt>
                <c:pt idx="292">
                  <c:v>2.8400000000000101</c:v>
                </c:pt>
                <c:pt idx="293">
                  <c:v>2.86</c:v>
                </c:pt>
                <c:pt idx="294">
                  <c:v>2.8800000000000101</c:v>
                </c:pt>
                <c:pt idx="295">
                  <c:v>2.9000000000000101</c:v>
                </c:pt>
                <c:pt idx="296">
                  <c:v>2.9200000000000101</c:v>
                </c:pt>
                <c:pt idx="297">
                  <c:v>2.94</c:v>
                </c:pt>
                <c:pt idx="298">
                  <c:v>2.9600000000000102</c:v>
                </c:pt>
                <c:pt idx="299">
                  <c:v>2.9800000000000102</c:v>
                </c:pt>
                <c:pt idx="300">
                  <c:v>3.0000000000000102</c:v>
                </c:pt>
                <c:pt idx="301">
                  <c:v>3.02</c:v>
                </c:pt>
                <c:pt idx="302">
                  <c:v>3.0400000000000098</c:v>
                </c:pt>
                <c:pt idx="303">
                  <c:v>3.0600000000000098</c:v>
                </c:pt>
                <c:pt idx="304">
                  <c:v>3.0800000000000098</c:v>
                </c:pt>
                <c:pt idx="305">
                  <c:v>3.1</c:v>
                </c:pt>
                <c:pt idx="306">
                  <c:v>3.1200000000000099</c:v>
                </c:pt>
                <c:pt idx="307">
                  <c:v>3.1400000000000099</c:v>
                </c:pt>
                <c:pt idx="308">
                  <c:v>3.1600000000000099</c:v>
                </c:pt>
                <c:pt idx="309">
                  <c:v>3.1800000000000099</c:v>
                </c:pt>
                <c:pt idx="310">
                  <c:v>3.2000000000000099</c:v>
                </c:pt>
                <c:pt idx="311">
                  <c:v>3.22000000000001</c:v>
                </c:pt>
                <c:pt idx="312">
                  <c:v>3.24000000000001</c:v>
                </c:pt>
                <c:pt idx="313">
                  <c:v>3.26000000000001</c:v>
                </c:pt>
                <c:pt idx="314">
                  <c:v>3.28000000000001</c:v>
                </c:pt>
                <c:pt idx="315">
                  <c:v>3.30000000000001</c:v>
                </c:pt>
                <c:pt idx="316">
                  <c:v>3.3200000000000101</c:v>
                </c:pt>
                <c:pt idx="317">
                  <c:v>3.3400000000000101</c:v>
                </c:pt>
                <c:pt idx="318">
                  <c:v>3.3600000000000101</c:v>
                </c:pt>
                <c:pt idx="319">
                  <c:v>3.3800000000000101</c:v>
                </c:pt>
                <c:pt idx="320">
                  <c:v>3.4000000000000101</c:v>
                </c:pt>
                <c:pt idx="321">
                  <c:v>3.4200000000000101</c:v>
                </c:pt>
                <c:pt idx="322">
                  <c:v>3.4400000000000102</c:v>
                </c:pt>
                <c:pt idx="323">
                  <c:v>3.4600000000000102</c:v>
                </c:pt>
                <c:pt idx="324">
                  <c:v>3.4800000000000102</c:v>
                </c:pt>
                <c:pt idx="325">
                  <c:v>3.5000000000000102</c:v>
                </c:pt>
                <c:pt idx="326">
                  <c:v>3.5200000000000098</c:v>
                </c:pt>
                <c:pt idx="327">
                  <c:v>3.5400000000000098</c:v>
                </c:pt>
                <c:pt idx="328">
                  <c:v>3.5600000000000098</c:v>
                </c:pt>
                <c:pt idx="329">
                  <c:v>3.5800000000000098</c:v>
                </c:pt>
                <c:pt idx="330">
                  <c:v>3.6000000000000099</c:v>
                </c:pt>
                <c:pt idx="331">
                  <c:v>3.6200000000000099</c:v>
                </c:pt>
                <c:pt idx="332">
                  <c:v>3.6400000000000099</c:v>
                </c:pt>
                <c:pt idx="333">
                  <c:v>3.6600000000000099</c:v>
                </c:pt>
                <c:pt idx="334">
                  <c:v>3.6800000000000099</c:v>
                </c:pt>
                <c:pt idx="335">
                  <c:v>3.7000000000000099</c:v>
                </c:pt>
                <c:pt idx="336">
                  <c:v>3.72000000000001</c:v>
                </c:pt>
                <c:pt idx="337">
                  <c:v>3.74000000000001</c:v>
                </c:pt>
                <c:pt idx="338">
                  <c:v>3.76000000000001</c:v>
                </c:pt>
                <c:pt idx="339">
                  <c:v>3.78000000000001</c:v>
                </c:pt>
                <c:pt idx="340">
                  <c:v>3.80000000000001</c:v>
                </c:pt>
                <c:pt idx="341">
                  <c:v>3.8200000000000101</c:v>
                </c:pt>
                <c:pt idx="342">
                  <c:v>3.8400000000000101</c:v>
                </c:pt>
                <c:pt idx="343">
                  <c:v>3.8600000000000101</c:v>
                </c:pt>
                <c:pt idx="344">
                  <c:v>3.8800000000000101</c:v>
                </c:pt>
                <c:pt idx="345">
                  <c:v>3.9000000000000101</c:v>
                </c:pt>
                <c:pt idx="346">
                  <c:v>3.9200000000000101</c:v>
                </c:pt>
                <c:pt idx="347">
                  <c:v>3.9400000000000102</c:v>
                </c:pt>
                <c:pt idx="348">
                  <c:v>3.9600000000000102</c:v>
                </c:pt>
                <c:pt idx="349">
                  <c:v>3.9800000000000102</c:v>
                </c:pt>
                <c:pt idx="350">
                  <c:v>4.0000000000000098</c:v>
                </c:pt>
                <c:pt idx="351">
                  <c:v>4.0200000000000102</c:v>
                </c:pt>
                <c:pt idx="352">
                  <c:v>4.0400000000000098</c:v>
                </c:pt>
                <c:pt idx="353">
                  <c:v>4.0600000000000103</c:v>
                </c:pt>
                <c:pt idx="354">
                  <c:v>4.0800000000000098</c:v>
                </c:pt>
                <c:pt idx="355">
                  <c:v>4.1000000000000103</c:v>
                </c:pt>
                <c:pt idx="356">
                  <c:v>4.1200000000000099</c:v>
                </c:pt>
                <c:pt idx="357">
                  <c:v>4.1400000000000103</c:v>
                </c:pt>
                <c:pt idx="358">
                  <c:v>4.1600000000000099</c:v>
                </c:pt>
                <c:pt idx="359">
                  <c:v>4.1800000000000104</c:v>
                </c:pt>
                <c:pt idx="360">
                  <c:v>4.2000000000000099</c:v>
                </c:pt>
                <c:pt idx="361">
                  <c:v>4.2200000000000104</c:v>
                </c:pt>
                <c:pt idx="362">
                  <c:v>4.24000000000001</c:v>
                </c:pt>
                <c:pt idx="363">
                  <c:v>4.2600000000000096</c:v>
                </c:pt>
                <c:pt idx="364">
                  <c:v>4.28000000000001</c:v>
                </c:pt>
                <c:pt idx="365">
                  <c:v>4.3000000000000096</c:v>
                </c:pt>
                <c:pt idx="366">
                  <c:v>4.3200000000000101</c:v>
                </c:pt>
                <c:pt idx="367">
                  <c:v>4.3400000000000096</c:v>
                </c:pt>
                <c:pt idx="368">
                  <c:v>4.3600000000000101</c:v>
                </c:pt>
                <c:pt idx="369">
                  <c:v>4.3800000000000097</c:v>
                </c:pt>
                <c:pt idx="370">
                  <c:v>4.4000000000000101</c:v>
                </c:pt>
                <c:pt idx="371">
                  <c:v>4.4200000000000097</c:v>
                </c:pt>
                <c:pt idx="372">
                  <c:v>4.4400000000000102</c:v>
                </c:pt>
                <c:pt idx="373">
                  <c:v>4.4600000000000097</c:v>
                </c:pt>
                <c:pt idx="374">
                  <c:v>4.4800000000000102</c:v>
                </c:pt>
                <c:pt idx="375">
                  <c:v>4.5000000000000098</c:v>
                </c:pt>
                <c:pt idx="376">
                  <c:v>4.5200000000000102</c:v>
                </c:pt>
                <c:pt idx="377">
                  <c:v>4.5400000000000098</c:v>
                </c:pt>
                <c:pt idx="378">
                  <c:v>4.5600000000000103</c:v>
                </c:pt>
                <c:pt idx="379">
                  <c:v>4.5800000000000098</c:v>
                </c:pt>
                <c:pt idx="380">
                  <c:v>4.6000000000000103</c:v>
                </c:pt>
                <c:pt idx="381">
                  <c:v>4.6200000000000099</c:v>
                </c:pt>
                <c:pt idx="382">
                  <c:v>4.6400000000000103</c:v>
                </c:pt>
                <c:pt idx="383">
                  <c:v>4.6600000000000099</c:v>
                </c:pt>
                <c:pt idx="384">
                  <c:v>4.6800000000000104</c:v>
                </c:pt>
                <c:pt idx="385">
                  <c:v>4.7000000000000099</c:v>
                </c:pt>
                <c:pt idx="386">
                  <c:v>4.7200000000000104</c:v>
                </c:pt>
                <c:pt idx="387">
                  <c:v>4.74000000000001</c:v>
                </c:pt>
                <c:pt idx="388">
                  <c:v>4.7600000000000096</c:v>
                </c:pt>
                <c:pt idx="389">
                  <c:v>4.78000000000001</c:v>
                </c:pt>
                <c:pt idx="390">
                  <c:v>4.8000000000000096</c:v>
                </c:pt>
                <c:pt idx="391">
                  <c:v>4.8200000000000101</c:v>
                </c:pt>
                <c:pt idx="392">
                  <c:v>4.8400000000000096</c:v>
                </c:pt>
                <c:pt idx="393">
                  <c:v>4.8600000000000101</c:v>
                </c:pt>
                <c:pt idx="394">
                  <c:v>4.8800000000000097</c:v>
                </c:pt>
                <c:pt idx="395">
                  <c:v>4.9000000000000101</c:v>
                </c:pt>
                <c:pt idx="396">
                  <c:v>4.9200000000000097</c:v>
                </c:pt>
                <c:pt idx="397">
                  <c:v>4.9400000000000102</c:v>
                </c:pt>
                <c:pt idx="398">
                  <c:v>4.9600000000000097</c:v>
                </c:pt>
                <c:pt idx="399">
                  <c:v>4.9800000000000102</c:v>
                </c:pt>
                <c:pt idx="400">
                  <c:v>5.0000000000000098</c:v>
                </c:pt>
              </c:numCache>
            </c:numRef>
          </c:yVal>
          <c:smooth val="0"/>
          <c:extLst>
            <c:ext xmlns:c16="http://schemas.microsoft.com/office/drawing/2014/chart" uri="{C3380CC4-5D6E-409C-BE32-E72D297353CC}">
              <c16:uniqueId val="{00000007-1DFF-4DFC-B6E9-D86B6FD0EE9D}"/>
            </c:ext>
          </c:extLst>
        </c:ser>
        <c:ser>
          <c:idx val="7"/>
          <c:order val="7"/>
          <c:tx>
            <c:strRef>
              <c:f>'V-N Diagram'!$M$36</c:f>
              <c:strCache>
                <c:ptCount val="1"/>
                <c:pt idx="0">
                  <c:v>VS-</c:v>
                </c:pt>
              </c:strCache>
            </c:strRef>
          </c:tx>
          <c:spPr>
            <a:ln w="25400" cap="rnd">
              <a:solidFill>
                <a:schemeClr val="accent4"/>
              </a:solidFill>
              <a:round/>
            </a:ln>
            <a:effectLst/>
          </c:spPr>
          <c:marker>
            <c:symbol val="none"/>
          </c:marker>
          <c:dPt>
            <c:idx val="102"/>
            <c:marker>
              <c:symbol val="circle"/>
              <c:size val="7"/>
              <c:spPr>
                <a:solidFill>
                  <a:schemeClr val="accent4"/>
                </a:solidFill>
                <a:ln w="9525">
                  <a:solidFill>
                    <a:schemeClr val="accent4"/>
                  </a:solidFill>
                </a:ln>
                <a:effectLst/>
              </c:spPr>
            </c:marker>
            <c:bubble3D val="0"/>
            <c:extLst>
              <c:ext xmlns:c16="http://schemas.microsoft.com/office/drawing/2014/chart" uri="{C3380CC4-5D6E-409C-BE32-E72D297353CC}">
                <c16:uniqueId val="{00000001-39A8-4244-80C4-D331D53613C5}"/>
              </c:ext>
            </c:extLst>
          </c:dPt>
          <c:xVal>
            <c:numRef>
              <c:f>'V-N Diagram'!$M$37:$M$437</c:f>
              <c:numCache>
                <c:formatCode>General</c:formatCode>
                <c:ptCount val="401"/>
                <c:pt idx="0">
                  <c:v>108.13895043686934</c:v>
                </c:pt>
                <c:pt idx="1">
                  <c:v>108.13895043686934</c:v>
                </c:pt>
                <c:pt idx="2">
                  <c:v>108.13895043686934</c:v>
                </c:pt>
                <c:pt idx="3">
                  <c:v>108.13895043686934</c:v>
                </c:pt>
                <c:pt idx="4">
                  <c:v>108.13895043686934</c:v>
                </c:pt>
                <c:pt idx="5">
                  <c:v>108.13895043686934</c:v>
                </c:pt>
                <c:pt idx="6">
                  <c:v>108.13895043686934</c:v>
                </c:pt>
                <c:pt idx="7">
                  <c:v>108.13895043686934</c:v>
                </c:pt>
                <c:pt idx="8">
                  <c:v>108.13895043686934</c:v>
                </c:pt>
                <c:pt idx="9">
                  <c:v>108.13895043686934</c:v>
                </c:pt>
                <c:pt idx="10">
                  <c:v>108.13895043686934</c:v>
                </c:pt>
                <c:pt idx="11">
                  <c:v>108.13895043686934</c:v>
                </c:pt>
                <c:pt idx="12">
                  <c:v>108.13895043686934</c:v>
                </c:pt>
                <c:pt idx="13">
                  <c:v>108.13895043686934</c:v>
                </c:pt>
                <c:pt idx="14">
                  <c:v>108.13895043686934</c:v>
                </c:pt>
                <c:pt idx="15">
                  <c:v>108.13895043686934</c:v>
                </c:pt>
                <c:pt idx="16">
                  <c:v>108.13895043686934</c:v>
                </c:pt>
                <c:pt idx="17">
                  <c:v>108.13895043686934</c:v>
                </c:pt>
                <c:pt idx="18">
                  <c:v>108.13895043686934</c:v>
                </c:pt>
                <c:pt idx="19">
                  <c:v>108.13895043686934</c:v>
                </c:pt>
                <c:pt idx="20">
                  <c:v>108.13895043686934</c:v>
                </c:pt>
                <c:pt idx="21">
                  <c:v>108.13895043686934</c:v>
                </c:pt>
                <c:pt idx="22">
                  <c:v>108.13895043686934</c:v>
                </c:pt>
                <c:pt idx="23">
                  <c:v>108.13895043686934</c:v>
                </c:pt>
                <c:pt idx="24">
                  <c:v>108.13895043686934</c:v>
                </c:pt>
                <c:pt idx="25">
                  <c:v>108.13895043686934</c:v>
                </c:pt>
                <c:pt idx="26">
                  <c:v>108.13895043686934</c:v>
                </c:pt>
                <c:pt idx="27">
                  <c:v>108.13895043686934</c:v>
                </c:pt>
                <c:pt idx="28">
                  <c:v>108.13895043686934</c:v>
                </c:pt>
                <c:pt idx="29">
                  <c:v>108.13895043686934</c:v>
                </c:pt>
                <c:pt idx="30">
                  <c:v>108.13895043686934</c:v>
                </c:pt>
                <c:pt idx="31">
                  <c:v>108.13895043686934</c:v>
                </c:pt>
                <c:pt idx="32">
                  <c:v>108.13895043686934</c:v>
                </c:pt>
                <c:pt idx="33">
                  <c:v>108.13895043686934</c:v>
                </c:pt>
                <c:pt idx="34">
                  <c:v>108.13895043686934</c:v>
                </c:pt>
                <c:pt idx="35">
                  <c:v>108.13895043686934</c:v>
                </c:pt>
                <c:pt idx="36">
                  <c:v>108.13895043686934</c:v>
                </c:pt>
                <c:pt idx="37">
                  <c:v>108.13895043686934</c:v>
                </c:pt>
                <c:pt idx="38">
                  <c:v>108.13895043686934</c:v>
                </c:pt>
                <c:pt idx="39">
                  <c:v>108.13895043686934</c:v>
                </c:pt>
                <c:pt idx="40">
                  <c:v>108.13895043686934</c:v>
                </c:pt>
                <c:pt idx="41">
                  <c:v>108.13895043686934</c:v>
                </c:pt>
                <c:pt idx="42">
                  <c:v>108.13895043686934</c:v>
                </c:pt>
                <c:pt idx="43">
                  <c:v>108.13895043686934</c:v>
                </c:pt>
                <c:pt idx="44">
                  <c:v>108.13895043686934</c:v>
                </c:pt>
                <c:pt idx="45">
                  <c:v>108.13895043686934</c:v>
                </c:pt>
                <c:pt idx="46">
                  <c:v>108.13895043686934</c:v>
                </c:pt>
                <c:pt idx="47">
                  <c:v>108.13895043686934</c:v>
                </c:pt>
                <c:pt idx="48">
                  <c:v>108.13895043686934</c:v>
                </c:pt>
                <c:pt idx="49">
                  <c:v>108.13895043686934</c:v>
                </c:pt>
                <c:pt idx="50">
                  <c:v>108.13895043686934</c:v>
                </c:pt>
                <c:pt idx="51">
                  <c:v>108.13895043686934</c:v>
                </c:pt>
                <c:pt idx="52">
                  <c:v>108.13895043686934</c:v>
                </c:pt>
                <c:pt idx="53">
                  <c:v>108.13895043686934</c:v>
                </c:pt>
                <c:pt idx="54">
                  <c:v>108.13895043686934</c:v>
                </c:pt>
                <c:pt idx="55">
                  <c:v>108.13895043686934</c:v>
                </c:pt>
                <c:pt idx="56">
                  <c:v>108.13895043686934</c:v>
                </c:pt>
                <c:pt idx="57">
                  <c:v>108.13895043686934</c:v>
                </c:pt>
                <c:pt idx="58">
                  <c:v>108.13895043686934</c:v>
                </c:pt>
                <c:pt idx="59">
                  <c:v>108.13895043686934</c:v>
                </c:pt>
                <c:pt idx="60">
                  <c:v>108.13895043686934</c:v>
                </c:pt>
                <c:pt idx="61">
                  <c:v>108.13895043686934</c:v>
                </c:pt>
                <c:pt idx="62">
                  <c:v>108.13895043686934</c:v>
                </c:pt>
                <c:pt idx="63">
                  <c:v>108.13895043686934</c:v>
                </c:pt>
                <c:pt idx="64">
                  <c:v>108.13895043686934</c:v>
                </c:pt>
                <c:pt idx="65">
                  <c:v>108.13895043686934</c:v>
                </c:pt>
                <c:pt idx="66">
                  <c:v>108.13895043686934</c:v>
                </c:pt>
                <c:pt idx="67">
                  <c:v>108.13895043686934</c:v>
                </c:pt>
                <c:pt idx="68">
                  <c:v>108.13895043686934</c:v>
                </c:pt>
                <c:pt idx="69">
                  <c:v>108.13895043686934</c:v>
                </c:pt>
                <c:pt idx="70">
                  <c:v>108.13895043686934</c:v>
                </c:pt>
                <c:pt idx="71">
                  <c:v>108.13895043686934</c:v>
                </c:pt>
                <c:pt idx="72">
                  <c:v>108.13895043686934</c:v>
                </c:pt>
                <c:pt idx="73">
                  <c:v>108.13895043686934</c:v>
                </c:pt>
                <c:pt idx="74">
                  <c:v>108.13895043686934</c:v>
                </c:pt>
                <c:pt idx="75">
                  <c:v>108.13895043686934</c:v>
                </c:pt>
                <c:pt idx="76">
                  <c:v>108.13895043686934</c:v>
                </c:pt>
                <c:pt idx="77">
                  <c:v>108.13895043686934</c:v>
                </c:pt>
                <c:pt idx="78">
                  <c:v>108.13895043686934</c:v>
                </c:pt>
                <c:pt idx="79">
                  <c:v>108.13895043686934</c:v>
                </c:pt>
                <c:pt idx="80">
                  <c:v>108.13895043686934</c:v>
                </c:pt>
                <c:pt idx="81">
                  <c:v>108.13895043686934</c:v>
                </c:pt>
                <c:pt idx="82">
                  <c:v>108.13895043686934</c:v>
                </c:pt>
                <c:pt idx="83">
                  <c:v>108.13895043686934</c:v>
                </c:pt>
                <c:pt idx="84">
                  <c:v>108.13895043686934</c:v>
                </c:pt>
                <c:pt idx="85">
                  <c:v>108.13895043686934</c:v>
                </c:pt>
                <c:pt idx="86">
                  <c:v>108.13895043686934</c:v>
                </c:pt>
                <c:pt idx="87">
                  <c:v>108.13895043686934</c:v>
                </c:pt>
                <c:pt idx="88">
                  <c:v>108.13895043686934</c:v>
                </c:pt>
                <c:pt idx="89">
                  <c:v>108.13895043686934</c:v>
                </c:pt>
                <c:pt idx="90">
                  <c:v>108.13895043686934</c:v>
                </c:pt>
                <c:pt idx="91">
                  <c:v>108.13895043686934</c:v>
                </c:pt>
                <c:pt idx="92">
                  <c:v>108.13895043686934</c:v>
                </c:pt>
                <c:pt idx="93">
                  <c:v>108.13895043686934</c:v>
                </c:pt>
                <c:pt idx="94">
                  <c:v>108.13895043686934</c:v>
                </c:pt>
                <c:pt idx="95">
                  <c:v>108.13895043686934</c:v>
                </c:pt>
                <c:pt idx="96">
                  <c:v>108.13895043686934</c:v>
                </c:pt>
                <c:pt idx="97">
                  <c:v>108.13895043686934</c:v>
                </c:pt>
                <c:pt idx="98">
                  <c:v>108.13895043686934</c:v>
                </c:pt>
                <c:pt idx="99">
                  <c:v>108.13895043686934</c:v>
                </c:pt>
                <c:pt idx="100">
                  <c:v>108.13895043686934</c:v>
                </c:pt>
                <c:pt idx="101">
                  <c:v>108.13895043686934</c:v>
                </c:pt>
                <c:pt idx="102">
                  <c:v>108.13895043686934</c:v>
                </c:pt>
                <c:pt idx="103">
                  <c:v>108.13895043686934</c:v>
                </c:pt>
                <c:pt idx="104">
                  <c:v>108.13895043686934</c:v>
                </c:pt>
                <c:pt idx="105">
                  <c:v>108.13895043686934</c:v>
                </c:pt>
                <c:pt idx="106">
                  <c:v>108.13895043686934</c:v>
                </c:pt>
                <c:pt idx="107">
                  <c:v>108.13895043686934</c:v>
                </c:pt>
                <c:pt idx="108">
                  <c:v>108.13895043686934</c:v>
                </c:pt>
                <c:pt idx="109">
                  <c:v>108.13895043686934</c:v>
                </c:pt>
                <c:pt idx="110">
                  <c:v>108.13895043686934</c:v>
                </c:pt>
                <c:pt idx="111">
                  <c:v>108.13895043686934</c:v>
                </c:pt>
                <c:pt idx="112">
                  <c:v>108.13895043686934</c:v>
                </c:pt>
                <c:pt idx="113">
                  <c:v>108.13895043686934</c:v>
                </c:pt>
                <c:pt idx="114">
                  <c:v>108.13895043686934</c:v>
                </c:pt>
                <c:pt idx="115">
                  <c:v>108.13895043686934</c:v>
                </c:pt>
                <c:pt idx="116">
                  <c:v>108.13895043686934</c:v>
                </c:pt>
                <c:pt idx="117">
                  <c:v>108.13895043686934</c:v>
                </c:pt>
                <c:pt idx="118">
                  <c:v>108.13895043686934</c:v>
                </c:pt>
                <c:pt idx="119">
                  <c:v>108.13895043686934</c:v>
                </c:pt>
                <c:pt idx="120">
                  <c:v>108.13895043686934</c:v>
                </c:pt>
                <c:pt idx="121">
                  <c:v>108.13895043686934</c:v>
                </c:pt>
                <c:pt idx="122">
                  <c:v>108.13895043686934</c:v>
                </c:pt>
                <c:pt idx="123">
                  <c:v>108.13895043686934</c:v>
                </c:pt>
                <c:pt idx="124">
                  <c:v>108.13895043686934</c:v>
                </c:pt>
                <c:pt idx="125">
                  <c:v>108.13895043686934</c:v>
                </c:pt>
                <c:pt idx="126">
                  <c:v>108.13895043686934</c:v>
                </c:pt>
                <c:pt idx="127">
                  <c:v>108.13895043686934</c:v>
                </c:pt>
                <c:pt idx="128">
                  <c:v>108.13895043686934</c:v>
                </c:pt>
                <c:pt idx="129">
                  <c:v>108.13895043686934</c:v>
                </c:pt>
                <c:pt idx="130">
                  <c:v>108.13895043686934</c:v>
                </c:pt>
                <c:pt idx="131">
                  <c:v>108.13895043686934</c:v>
                </c:pt>
                <c:pt idx="132">
                  <c:v>108.13895043686934</c:v>
                </c:pt>
                <c:pt idx="133">
                  <c:v>108.13895043686934</c:v>
                </c:pt>
                <c:pt idx="134">
                  <c:v>108.13895043686934</c:v>
                </c:pt>
                <c:pt idx="135">
                  <c:v>108.13895043686934</c:v>
                </c:pt>
                <c:pt idx="136">
                  <c:v>108.13895043686934</c:v>
                </c:pt>
                <c:pt idx="137">
                  <c:v>108.13895043686934</c:v>
                </c:pt>
                <c:pt idx="138">
                  <c:v>108.13895043686934</c:v>
                </c:pt>
                <c:pt idx="139">
                  <c:v>108.13895043686934</c:v>
                </c:pt>
                <c:pt idx="140">
                  <c:v>108.13895043686934</c:v>
                </c:pt>
                <c:pt idx="141">
                  <c:v>108.13895043686934</c:v>
                </c:pt>
                <c:pt idx="142">
                  <c:v>108.13895043686934</c:v>
                </c:pt>
                <c:pt idx="143">
                  <c:v>108.13895043686934</c:v>
                </c:pt>
                <c:pt idx="144">
                  <c:v>108.13895043686934</c:v>
                </c:pt>
                <c:pt idx="145">
                  <c:v>108.13895043686934</c:v>
                </c:pt>
                <c:pt idx="146">
                  <c:v>108.13895043686934</c:v>
                </c:pt>
                <c:pt idx="147">
                  <c:v>108.13895043686934</c:v>
                </c:pt>
                <c:pt idx="148">
                  <c:v>108.13895043686934</c:v>
                </c:pt>
                <c:pt idx="149">
                  <c:v>108.13895043686934</c:v>
                </c:pt>
                <c:pt idx="150">
                  <c:v>108.13895043686934</c:v>
                </c:pt>
                <c:pt idx="151">
                  <c:v>108.13895043686934</c:v>
                </c:pt>
                <c:pt idx="152">
                  <c:v>108.13895043686934</c:v>
                </c:pt>
                <c:pt idx="153">
                  <c:v>108.13895043686934</c:v>
                </c:pt>
                <c:pt idx="154">
                  <c:v>108.13895043686934</c:v>
                </c:pt>
                <c:pt idx="155">
                  <c:v>108.13895043686934</c:v>
                </c:pt>
                <c:pt idx="156">
                  <c:v>108.13895043686934</c:v>
                </c:pt>
                <c:pt idx="157">
                  <c:v>108.13895043686934</c:v>
                </c:pt>
                <c:pt idx="158">
                  <c:v>108.13895043686934</c:v>
                </c:pt>
                <c:pt idx="159">
                  <c:v>108.13895043686934</c:v>
                </c:pt>
                <c:pt idx="160">
                  <c:v>108.13895043686934</c:v>
                </c:pt>
                <c:pt idx="161">
                  <c:v>108.13895043686934</c:v>
                </c:pt>
                <c:pt idx="162">
                  <c:v>108.13895043686934</c:v>
                </c:pt>
                <c:pt idx="163">
                  <c:v>108.13895043686934</c:v>
                </c:pt>
                <c:pt idx="164">
                  <c:v>108.13895043686934</c:v>
                </c:pt>
                <c:pt idx="165">
                  <c:v>108.13895043686934</c:v>
                </c:pt>
                <c:pt idx="166">
                  <c:v>108.13895043686934</c:v>
                </c:pt>
                <c:pt idx="167">
                  <c:v>108.13895043686934</c:v>
                </c:pt>
                <c:pt idx="168">
                  <c:v>108.13895043686934</c:v>
                </c:pt>
                <c:pt idx="169">
                  <c:v>108.13895043686934</c:v>
                </c:pt>
                <c:pt idx="170">
                  <c:v>108.13895043686934</c:v>
                </c:pt>
                <c:pt idx="171">
                  <c:v>108.13895043686934</c:v>
                </c:pt>
                <c:pt idx="172">
                  <c:v>108.13895043686934</c:v>
                </c:pt>
                <c:pt idx="173">
                  <c:v>108.13895043686934</c:v>
                </c:pt>
                <c:pt idx="174">
                  <c:v>108.13895043686934</c:v>
                </c:pt>
                <c:pt idx="175">
                  <c:v>108.13895043686934</c:v>
                </c:pt>
                <c:pt idx="176">
                  <c:v>108.13895043686934</c:v>
                </c:pt>
                <c:pt idx="177">
                  <c:v>108.13895043686934</c:v>
                </c:pt>
                <c:pt idx="178">
                  <c:v>108.13895043686934</c:v>
                </c:pt>
                <c:pt idx="179">
                  <c:v>108.13895043686934</c:v>
                </c:pt>
                <c:pt idx="180">
                  <c:v>108.13895043686934</c:v>
                </c:pt>
                <c:pt idx="181">
                  <c:v>108.13895043686934</c:v>
                </c:pt>
                <c:pt idx="182">
                  <c:v>108.13895043686934</c:v>
                </c:pt>
                <c:pt idx="183">
                  <c:v>108.13895043686934</c:v>
                </c:pt>
                <c:pt idx="184">
                  <c:v>108.13895043686934</c:v>
                </c:pt>
                <c:pt idx="185">
                  <c:v>108.13895043686934</c:v>
                </c:pt>
                <c:pt idx="186">
                  <c:v>108.13895043686934</c:v>
                </c:pt>
                <c:pt idx="187">
                  <c:v>108.13895043686934</c:v>
                </c:pt>
                <c:pt idx="188">
                  <c:v>108.13895043686934</c:v>
                </c:pt>
                <c:pt idx="189">
                  <c:v>108.13895043686934</c:v>
                </c:pt>
                <c:pt idx="190">
                  <c:v>108.13895043686934</c:v>
                </c:pt>
                <c:pt idx="191">
                  <c:v>108.13895043686934</c:v>
                </c:pt>
                <c:pt idx="192">
                  <c:v>108.13895043686934</c:v>
                </c:pt>
                <c:pt idx="193">
                  <c:v>108.13895043686934</c:v>
                </c:pt>
                <c:pt idx="194">
                  <c:v>108.13895043686934</c:v>
                </c:pt>
                <c:pt idx="195">
                  <c:v>108.13895043686934</c:v>
                </c:pt>
                <c:pt idx="196">
                  <c:v>108.13895043686934</c:v>
                </c:pt>
                <c:pt idx="197">
                  <c:v>108.13895043686934</c:v>
                </c:pt>
                <c:pt idx="198">
                  <c:v>108.13895043686934</c:v>
                </c:pt>
                <c:pt idx="199">
                  <c:v>108.13895043686934</c:v>
                </c:pt>
                <c:pt idx="200">
                  <c:v>108.13895043686934</c:v>
                </c:pt>
                <c:pt idx="201">
                  <c:v>108.13895043686934</c:v>
                </c:pt>
                <c:pt idx="202">
                  <c:v>108.13895043686934</c:v>
                </c:pt>
                <c:pt idx="203">
                  <c:v>108.13895043686934</c:v>
                </c:pt>
                <c:pt idx="204">
                  <c:v>108.13895043686934</c:v>
                </c:pt>
                <c:pt idx="205">
                  <c:v>108.13895043686934</c:v>
                </c:pt>
                <c:pt idx="206">
                  <c:v>108.13895043686934</c:v>
                </c:pt>
                <c:pt idx="207">
                  <c:v>108.13895043686934</c:v>
                </c:pt>
                <c:pt idx="208">
                  <c:v>108.13895043686934</c:v>
                </c:pt>
                <c:pt idx="209">
                  <c:v>108.13895043686934</c:v>
                </c:pt>
                <c:pt idx="210">
                  <c:v>108.13895043686934</c:v>
                </c:pt>
                <c:pt idx="211">
                  <c:v>108.13895043686934</c:v>
                </c:pt>
                <c:pt idx="212">
                  <c:v>108.13895043686934</c:v>
                </c:pt>
                <c:pt idx="213">
                  <c:v>108.13895043686934</c:v>
                </c:pt>
                <c:pt idx="214">
                  <c:v>108.13895043686934</c:v>
                </c:pt>
                <c:pt idx="215">
                  <c:v>108.13895043686934</c:v>
                </c:pt>
                <c:pt idx="216">
                  <c:v>108.13895043686934</c:v>
                </c:pt>
                <c:pt idx="217">
                  <c:v>108.13895043686934</c:v>
                </c:pt>
                <c:pt idx="218">
                  <c:v>108.13895043686934</c:v>
                </c:pt>
                <c:pt idx="219">
                  <c:v>108.13895043686934</c:v>
                </c:pt>
                <c:pt idx="220">
                  <c:v>108.13895043686934</c:v>
                </c:pt>
                <c:pt idx="221">
                  <c:v>108.13895043686934</c:v>
                </c:pt>
                <c:pt idx="222">
                  <c:v>108.13895043686934</c:v>
                </c:pt>
                <c:pt idx="223">
                  <c:v>108.13895043686934</c:v>
                </c:pt>
                <c:pt idx="224">
                  <c:v>108.13895043686934</c:v>
                </c:pt>
                <c:pt idx="225">
                  <c:v>108.13895043686934</c:v>
                </c:pt>
                <c:pt idx="226">
                  <c:v>108.13895043686934</c:v>
                </c:pt>
                <c:pt idx="227">
                  <c:v>108.13895043686934</c:v>
                </c:pt>
                <c:pt idx="228">
                  <c:v>108.13895043686934</c:v>
                </c:pt>
                <c:pt idx="229">
                  <c:v>108.13895043686934</c:v>
                </c:pt>
                <c:pt idx="230">
                  <c:v>108.13895043686934</c:v>
                </c:pt>
                <c:pt idx="231">
                  <c:v>108.13895043686934</c:v>
                </c:pt>
                <c:pt idx="232">
                  <c:v>108.13895043686934</c:v>
                </c:pt>
                <c:pt idx="233">
                  <c:v>108.13895043686934</c:v>
                </c:pt>
                <c:pt idx="234">
                  <c:v>108.13895043686934</c:v>
                </c:pt>
                <c:pt idx="235">
                  <c:v>108.13895043686934</c:v>
                </c:pt>
                <c:pt idx="236">
                  <c:v>108.13895043686934</c:v>
                </c:pt>
                <c:pt idx="237">
                  <c:v>108.13895043686934</c:v>
                </c:pt>
                <c:pt idx="238">
                  <c:v>108.13895043686934</c:v>
                </c:pt>
                <c:pt idx="239">
                  <c:v>108.13895043686934</c:v>
                </c:pt>
                <c:pt idx="240">
                  <c:v>108.13895043686934</c:v>
                </c:pt>
                <c:pt idx="241">
                  <c:v>108.13895043686934</c:v>
                </c:pt>
                <c:pt idx="242">
                  <c:v>108.13895043686934</c:v>
                </c:pt>
                <c:pt idx="243">
                  <c:v>108.13895043686934</c:v>
                </c:pt>
                <c:pt idx="244">
                  <c:v>108.13895043686934</c:v>
                </c:pt>
                <c:pt idx="245">
                  <c:v>108.13895043686934</c:v>
                </c:pt>
                <c:pt idx="246">
                  <c:v>108.13895043686934</c:v>
                </c:pt>
                <c:pt idx="247">
                  <c:v>108.13895043686934</c:v>
                </c:pt>
                <c:pt idx="248">
                  <c:v>108.13895043686934</c:v>
                </c:pt>
                <c:pt idx="249">
                  <c:v>108.13895043686934</c:v>
                </c:pt>
                <c:pt idx="250">
                  <c:v>108.13895043686934</c:v>
                </c:pt>
                <c:pt idx="251">
                  <c:v>108.13895043686934</c:v>
                </c:pt>
                <c:pt idx="252">
                  <c:v>108.13895043686934</c:v>
                </c:pt>
                <c:pt idx="253">
                  <c:v>108.13895043686934</c:v>
                </c:pt>
                <c:pt idx="254">
                  <c:v>108.13895043686934</c:v>
                </c:pt>
                <c:pt idx="255">
                  <c:v>108.13895043686934</c:v>
                </c:pt>
                <c:pt idx="256">
                  <c:v>108.13895043686934</c:v>
                </c:pt>
                <c:pt idx="257">
                  <c:v>108.13895043686934</c:v>
                </c:pt>
                <c:pt idx="258">
                  <c:v>108.13895043686934</c:v>
                </c:pt>
                <c:pt idx="259">
                  <c:v>108.13895043686934</c:v>
                </c:pt>
                <c:pt idx="260">
                  <c:v>108.13895043686934</c:v>
                </c:pt>
                <c:pt idx="261">
                  <c:v>108.13895043686934</c:v>
                </c:pt>
                <c:pt idx="262">
                  <c:v>108.13895043686934</c:v>
                </c:pt>
                <c:pt idx="263">
                  <c:v>108.13895043686934</c:v>
                </c:pt>
                <c:pt idx="264">
                  <c:v>108.13895043686934</c:v>
                </c:pt>
                <c:pt idx="265">
                  <c:v>108.13895043686934</c:v>
                </c:pt>
                <c:pt idx="266">
                  <c:v>108.13895043686934</c:v>
                </c:pt>
                <c:pt idx="267">
                  <c:v>108.13895043686934</c:v>
                </c:pt>
                <c:pt idx="268">
                  <c:v>108.13895043686934</c:v>
                </c:pt>
                <c:pt idx="269">
                  <c:v>108.13895043686934</c:v>
                </c:pt>
                <c:pt idx="270">
                  <c:v>108.13895043686934</c:v>
                </c:pt>
                <c:pt idx="271">
                  <c:v>108.13895043686934</c:v>
                </c:pt>
                <c:pt idx="272">
                  <c:v>108.13895043686934</c:v>
                </c:pt>
                <c:pt idx="273">
                  <c:v>108.13895043686934</c:v>
                </c:pt>
                <c:pt idx="274">
                  <c:v>108.13895043686934</c:v>
                </c:pt>
                <c:pt idx="275">
                  <c:v>108.13895043686934</c:v>
                </c:pt>
                <c:pt idx="276">
                  <c:v>108.13895043686934</c:v>
                </c:pt>
                <c:pt idx="277">
                  <c:v>108.13895043686934</c:v>
                </c:pt>
                <c:pt idx="278">
                  <c:v>108.13895043686934</c:v>
                </c:pt>
                <c:pt idx="279">
                  <c:v>108.13895043686934</c:v>
                </c:pt>
                <c:pt idx="280">
                  <c:v>108.13895043686934</c:v>
                </c:pt>
                <c:pt idx="281">
                  <c:v>108.13895043686934</c:v>
                </c:pt>
                <c:pt idx="282">
                  <c:v>108.13895043686934</c:v>
                </c:pt>
                <c:pt idx="283">
                  <c:v>108.13895043686934</c:v>
                </c:pt>
                <c:pt idx="284">
                  <c:v>108.13895043686934</c:v>
                </c:pt>
                <c:pt idx="285">
                  <c:v>108.13895043686934</c:v>
                </c:pt>
                <c:pt idx="286">
                  <c:v>108.13895043686934</c:v>
                </c:pt>
                <c:pt idx="287">
                  <c:v>108.13895043686934</c:v>
                </c:pt>
                <c:pt idx="288">
                  <c:v>108.13895043686934</c:v>
                </c:pt>
                <c:pt idx="289">
                  <c:v>108.13895043686934</c:v>
                </c:pt>
                <c:pt idx="290">
                  <c:v>108.13895043686934</c:v>
                </c:pt>
                <c:pt idx="291">
                  <c:v>108.13895043686934</c:v>
                </c:pt>
                <c:pt idx="292">
                  <c:v>108.13895043686934</c:v>
                </c:pt>
                <c:pt idx="293">
                  <c:v>108.13895043686934</c:v>
                </c:pt>
                <c:pt idx="294">
                  <c:v>108.13895043686934</c:v>
                </c:pt>
                <c:pt idx="295">
                  <c:v>108.13895043686934</c:v>
                </c:pt>
                <c:pt idx="296">
                  <c:v>108.13895043686934</c:v>
                </c:pt>
                <c:pt idx="297">
                  <c:v>108.13895043686934</c:v>
                </c:pt>
                <c:pt idx="298">
                  <c:v>108.13895043686934</c:v>
                </c:pt>
                <c:pt idx="299">
                  <c:v>108.13895043686934</c:v>
                </c:pt>
                <c:pt idx="300">
                  <c:v>108.13895043686934</c:v>
                </c:pt>
                <c:pt idx="301">
                  <c:v>108.13895043686934</c:v>
                </c:pt>
                <c:pt idx="302">
                  <c:v>108.13895043686934</c:v>
                </c:pt>
                <c:pt idx="303">
                  <c:v>108.13895043686934</c:v>
                </c:pt>
                <c:pt idx="304">
                  <c:v>108.13895043686934</c:v>
                </c:pt>
                <c:pt idx="305">
                  <c:v>108.13895043686934</c:v>
                </c:pt>
                <c:pt idx="306">
                  <c:v>108.13895043686934</c:v>
                </c:pt>
                <c:pt idx="307">
                  <c:v>108.13895043686934</c:v>
                </c:pt>
                <c:pt idx="308">
                  <c:v>108.13895043686934</c:v>
                </c:pt>
                <c:pt idx="309">
                  <c:v>108.13895043686934</c:v>
                </c:pt>
                <c:pt idx="310">
                  <c:v>108.13895043686934</c:v>
                </c:pt>
                <c:pt idx="311">
                  <c:v>108.13895043686934</c:v>
                </c:pt>
                <c:pt idx="312">
                  <c:v>108.13895043686934</c:v>
                </c:pt>
                <c:pt idx="313">
                  <c:v>108.13895043686934</c:v>
                </c:pt>
                <c:pt idx="314">
                  <c:v>108.13895043686934</c:v>
                </c:pt>
                <c:pt idx="315">
                  <c:v>108.13895043686934</c:v>
                </c:pt>
                <c:pt idx="316">
                  <c:v>108.13895043686934</c:v>
                </c:pt>
                <c:pt idx="317">
                  <c:v>108.13895043686934</c:v>
                </c:pt>
                <c:pt idx="318">
                  <c:v>108.13895043686934</c:v>
                </c:pt>
                <c:pt idx="319">
                  <c:v>108.13895043686934</c:v>
                </c:pt>
                <c:pt idx="320">
                  <c:v>108.13895043686934</c:v>
                </c:pt>
                <c:pt idx="321">
                  <c:v>108.13895043686934</c:v>
                </c:pt>
                <c:pt idx="322">
                  <c:v>108.13895043686934</c:v>
                </c:pt>
                <c:pt idx="323">
                  <c:v>108.13895043686934</c:v>
                </c:pt>
                <c:pt idx="324">
                  <c:v>108.13895043686934</c:v>
                </c:pt>
                <c:pt idx="325">
                  <c:v>108.13895043686934</c:v>
                </c:pt>
                <c:pt idx="326">
                  <c:v>108.13895043686934</c:v>
                </c:pt>
                <c:pt idx="327">
                  <c:v>108.13895043686934</c:v>
                </c:pt>
                <c:pt idx="328">
                  <c:v>108.13895043686934</c:v>
                </c:pt>
                <c:pt idx="329">
                  <c:v>108.13895043686934</c:v>
                </c:pt>
                <c:pt idx="330">
                  <c:v>108.13895043686934</c:v>
                </c:pt>
                <c:pt idx="331">
                  <c:v>108.13895043686934</c:v>
                </c:pt>
                <c:pt idx="332">
                  <c:v>108.13895043686934</c:v>
                </c:pt>
                <c:pt idx="333">
                  <c:v>108.13895043686934</c:v>
                </c:pt>
                <c:pt idx="334">
                  <c:v>108.13895043686934</c:v>
                </c:pt>
                <c:pt idx="335">
                  <c:v>108.13895043686934</c:v>
                </c:pt>
                <c:pt idx="336">
                  <c:v>108.13895043686934</c:v>
                </c:pt>
                <c:pt idx="337">
                  <c:v>108.13895043686934</c:v>
                </c:pt>
                <c:pt idx="338">
                  <c:v>108.13895043686934</c:v>
                </c:pt>
                <c:pt idx="339">
                  <c:v>108.13895043686934</c:v>
                </c:pt>
                <c:pt idx="340">
                  <c:v>108.13895043686934</c:v>
                </c:pt>
                <c:pt idx="341">
                  <c:v>108.13895043686934</c:v>
                </c:pt>
                <c:pt idx="342">
                  <c:v>108.13895043686934</c:v>
                </c:pt>
                <c:pt idx="343">
                  <c:v>108.13895043686934</c:v>
                </c:pt>
                <c:pt idx="344">
                  <c:v>108.13895043686934</c:v>
                </c:pt>
                <c:pt idx="345">
                  <c:v>108.13895043686934</c:v>
                </c:pt>
                <c:pt idx="346">
                  <c:v>108.13895043686934</c:v>
                </c:pt>
                <c:pt idx="347">
                  <c:v>108.13895043686934</c:v>
                </c:pt>
                <c:pt idx="348">
                  <c:v>108.13895043686934</c:v>
                </c:pt>
                <c:pt idx="349">
                  <c:v>108.13895043686934</c:v>
                </c:pt>
                <c:pt idx="350">
                  <c:v>108.13895043686934</c:v>
                </c:pt>
                <c:pt idx="351">
                  <c:v>108.13895043686934</c:v>
                </c:pt>
                <c:pt idx="352">
                  <c:v>108.13895043686934</c:v>
                </c:pt>
                <c:pt idx="353">
                  <c:v>108.13895043686934</c:v>
                </c:pt>
                <c:pt idx="354">
                  <c:v>108.13895043686934</c:v>
                </c:pt>
                <c:pt idx="355">
                  <c:v>108.13895043686934</c:v>
                </c:pt>
                <c:pt idx="356">
                  <c:v>108.13895043686934</c:v>
                </c:pt>
                <c:pt idx="357">
                  <c:v>108.13895043686934</c:v>
                </c:pt>
                <c:pt idx="358">
                  <c:v>108.13895043686934</c:v>
                </c:pt>
                <c:pt idx="359">
                  <c:v>108.13895043686934</c:v>
                </c:pt>
                <c:pt idx="360">
                  <c:v>108.13895043686934</c:v>
                </c:pt>
                <c:pt idx="361">
                  <c:v>108.13895043686934</c:v>
                </c:pt>
                <c:pt idx="362">
                  <c:v>108.13895043686934</c:v>
                </c:pt>
                <c:pt idx="363">
                  <c:v>108.13895043686934</c:v>
                </c:pt>
                <c:pt idx="364">
                  <c:v>108.13895043686934</c:v>
                </c:pt>
                <c:pt idx="365">
                  <c:v>108.13895043686934</c:v>
                </c:pt>
                <c:pt idx="366">
                  <c:v>108.13895043686934</c:v>
                </c:pt>
                <c:pt idx="367">
                  <c:v>108.13895043686934</c:v>
                </c:pt>
                <c:pt idx="368">
                  <c:v>108.13895043686934</c:v>
                </c:pt>
                <c:pt idx="369">
                  <c:v>108.13895043686934</c:v>
                </c:pt>
                <c:pt idx="370">
                  <c:v>108.13895043686934</c:v>
                </c:pt>
                <c:pt idx="371">
                  <c:v>108.13895043686934</c:v>
                </c:pt>
                <c:pt idx="372">
                  <c:v>108.13895043686934</c:v>
                </c:pt>
                <c:pt idx="373">
                  <c:v>108.13895043686934</c:v>
                </c:pt>
                <c:pt idx="374">
                  <c:v>108.13895043686934</c:v>
                </c:pt>
                <c:pt idx="375">
                  <c:v>108.13895043686934</c:v>
                </c:pt>
                <c:pt idx="376">
                  <c:v>108.13895043686934</c:v>
                </c:pt>
                <c:pt idx="377">
                  <c:v>108.13895043686934</c:v>
                </c:pt>
                <c:pt idx="378">
                  <c:v>108.13895043686934</c:v>
                </c:pt>
                <c:pt idx="379">
                  <c:v>108.13895043686934</c:v>
                </c:pt>
                <c:pt idx="380">
                  <c:v>108.13895043686934</c:v>
                </c:pt>
                <c:pt idx="381">
                  <c:v>108.13895043686934</c:v>
                </c:pt>
                <c:pt idx="382">
                  <c:v>108.13895043686934</c:v>
                </c:pt>
                <c:pt idx="383">
                  <c:v>108.13895043686934</c:v>
                </c:pt>
                <c:pt idx="384">
                  <c:v>108.13895043686934</c:v>
                </c:pt>
                <c:pt idx="385">
                  <c:v>108.13895043686934</c:v>
                </c:pt>
                <c:pt idx="386">
                  <c:v>108.13895043686934</c:v>
                </c:pt>
                <c:pt idx="387">
                  <c:v>108.13895043686934</c:v>
                </c:pt>
                <c:pt idx="388">
                  <c:v>108.13895043686934</c:v>
                </c:pt>
                <c:pt idx="389">
                  <c:v>108.13895043686934</c:v>
                </c:pt>
                <c:pt idx="390">
                  <c:v>108.13895043686934</c:v>
                </c:pt>
                <c:pt idx="391">
                  <c:v>108.13895043686934</c:v>
                </c:pt>
                <c:pt idx="392">
                  <c:v>108.13895043686934</c:v>
                </c:pt>
                <c:pt idx="393">
                  <c:v>108.13895043686934</c:v>
                </c:pt>
                <c:pt idx="394">
                  <c:v>108.13895043686934</c:v>
                </c:pt>
                <c:pt idx="395">
                  <c:v>108.13895043686934</c:v>
                </c:pt>
                <c:pt idx="396">
                  <c:v>108.13895043686934</c:v>
                </c:pt>
                <c:pt idx="397">
                  <c:v>108.13895043686934</c:v>
                </c:pt>
                <c:pt idx="398">
                  <c:v>108.13895043686934</c:v>
                </c:pt>
                <c:pt idx="399">
                  <c:v>108.13895043686934</c:v>
                </c:pt>
                <c:pt idx="400">
                  <c:v>108.13895043686934</c:v>
                </c:pt>
              </c:numCache>
            </c:numRef>
          </c:xVal>
          <c:yVal>
            <c:numRef>
              <c:f>'V-N Diagram'!$V$37:$V$437</c:f>
              <c:numCache>
                <c:formatCode>General</c:formatCode>
                <c:ptCount val="401"/>
                <c:pt idx="0">
                  <c:v>-3</c:v>
                </c:pt>
                <c:pt idx="1">
                  <c:v>-2.98</c:v>
                </c:pt>
                <c:pt idx="2">
                  <c:v>-2.96</c:v>
                </c:pt>
                <c:pt idx="3">
                  <c:v>-2.94</c:v>
                </c:pt>
                <c:pt idx="4">
                  <c:v>-2.92</c:v>
                </c:pt>
                <c:pt idx="5">
                  <c:v>-2.9</c:v>
                </c:pt>
                <c:pt idx="6">
                  <c:v>-2.88</c:v>
                </c:pt>
                <c:pt idx="7">
                  <c:v>-2.86</c:v>
                </c:pt>
                <c:pt idx="8">
                  <c:v>-2.84</c:v>
                </c:pt>
                <c:pt idx="9">
                  <c:v>-2.82</c:v>
                </c:pt>
                <c:pt idx="10">
                  <c:v>-2.8</c:v>
                </c:pt>
                <c:pt idx="11">
                  <c:v>-2.78</c:v>
                </c:pt>
                <c:pt idx="12">
                  <c:v>-2.76</c:v>
                </c:pt>
                <c:pt idx="13">
                  <c:v>-2.74</c:v>
                </c:pt>
                <c:pt idx="14">
                  <c:v>-2.72</c:v>
                </c:pt>
                <c:pt idx="15">
                  <c:v>-2.7</c:v>
                </c:pt>
                <c:pt idx="16">
                  <c:v>-2.68</c:v>
                </c:pt>
                <c:pt idx="17">
                  <c:v>-2.66</c:v>
                </c:pt>
                <c:pt idx="18">
                  <c:v>-2.64</c:v>
                </c:pt>
                <c:pt idx="19">
                  <c:v>-2.62</c:v>
                </c:pt>
                <c:pt idx="20">
                  <c:v>-2.6</c:v>
                </c:pt>
                <c:pt idx="21">
                  <c:v>-2.58</c:v>
                </c:pt>
                <c:pt idx="22">
                  <c:v>-2.56</c:v>
                </c:pt>
                <c:pt idx="23">
                  <c:v>-2.54</c:v>
                </c:pt>
                <c:pt idx="24">
                  <c:v>-2.52</c:v>
                </c:pt>
                <c:pt idx="25">
                  <c:v>-2.5</c:v>
                </c:pt>
                <c:pt idx="26">
                  <c:v>-2.48</c:v>
                </c:pt>
                <c:pt idx="27">
                  <c:v>-2.46</c:v>
                </c:pt>
                <c:pt idx="28">
                  <c:v>-2.44</c:v>
                </c:pt>
                <c:pt idx="29">
                  <c:v>-2.42</c:v>
                </c:pt>
                <c:pt idx="30">
                  <c:v>-2.4</c:v>
                </c:pt>
                <c:pt idx="31">
                  <c:v>-2.38</c:v>
                </c:pt>
                <c:pt idx="32">
                  <c:v>-2.36</c:v>
                </c:pt>
                <c:pt idx="33">
                  <c:v>-2.34</c:v>
                </c:pt>
                <c:pt idx="34">
                  <c:v>-2.3199999999999998</c:v>
                </c:pt>
                <c:pt idx="35">
                  <c:v>-2.2999999999999998</c:v>
                </c:pt>
                <c:pt idx="36">
                  <c:v>-2.2799999999999998</c:v>
                </c:pt>
                <c:pt idx="37">
                  <c:v>-2.2599999999999998</c:v>
                </c:pt>
                <c:pt idx="38">
                  <c:v>-2.2400000000000002</c:v>
                </c:pt>
                <c:pt idx="39">
                  <c:v>-2.2200000000000002</c:v>
                </c:pt>
                <c:pt idx="40">
                  <c:v>-2.2000000000000002</c:v>
                </c:pt>
                <c:pt idx="41">
                  <c:v>-2.1800000000000002</c:v>
                </c:pt>
                <c:pt idx="42">
                  <c:v>-2.16</c:v>
                </c:pt>
                <c:pt idx="43">
                  <c:v>-2.14</c:v>
                </c:pt>
                <c:pt idx="44">
                  <c:v>-2.12</c:v>
                </c:pt>
                <c:pt idx="45">
                  <c:v>-2.1</c:v>
                </c:pt>
                <c:pt idx="46">
                  <c:v>-2.08</c:v>
                </c:pt>
                <c:pt idx="47">
                  <c:v>-2.06</c:v>
                </c:pt>
                <c:pt idx="48">
                  <c:v>-2.04</c:v>
                </c:pt>
                <c:pt idx="49">
                  <c:v>-2.02</c:v>
                </c:pt>
                <c:pt idx="50">
                  <c:v>-2</c:v>
                </c:pt>
                <c:pt idx="51">
                  <c:v>-1.98</c:v>
                </c:pt>
                <c:pt idx="52">
                  <c:v>-1.96</c:v>
                </c:pt>
                <c:pt idx="53">
                  <c:v>-1.94</c:v>
                </c:pt>
                <c:pt idx="54">
                  <c:v>-1.92</c:v>
                </c:pt>
                <c:pt idx="55">
                  <c:v>-1.9</c:v>
                </c:pt>
                <c:pt idx="56">
                  <c:v>-1.88</c:v>
                </c:pt>
                <c:pt idx="57">
                  <c:v>-1.86</c:v>
                </c:pt>
                <c:pt idx="58">
                  <c:v>-1.84</c:v>
                </c:pt>
                <c:pt idx="59">
                  <c:v>-1.82</c:v>
                </c:pt>
                <c:pt idx="60">
                  <c:v>-1.8</c:v>
                </c:pt>
                <c:pt idx="61">
                  <c:v>-1.78</c:v>
                </c:pt>
                <c:pt idx="62">
                  <c:v>-1.76</c:v>
                </c:pt>
                <c:pt idx="63">
                  <c:v>-1.74</c:v>
                </c:pt>
                <c:pt idx="64">
                  <c:v>-1.72</c:v>
                </c:pt>
                <c:pt idx="65">
                  <c:v>-1.7</c:v>
                </c:pt>
                <c:pt idx="66">
                  <c:v>-1.68</c:v>
                </c:pt>
                <c:pt idx="67">
                  <c:v>-1.66</c:v>
                </c:pt>
                <c:pt idx="68">
                  <c:v>-1.64</c:v>
                </c:pt>
                <c:pt idx="69">
                  <c:v>-1.62</c:v>
                </c:pt>
                <c:pt idx="70">
                  <c:v>-1.6</c:v>
                </c:pt>
                <c:pt idx="71">
                  <c:v>-1.58</c:v>
                </c:pt>
                <c:pt idx="72">
                  <c:v>-1.56</c:v>
                </c:pt>
                <c:pt idx="73">
                  <c:v>-1.54</c:v>
                </c:pt>
                <c:pt idx="74">
                  <c:v>-1.52</c:v>
                </c:pt>
                <c:pt idx="75">
                  <c:v>-1.5</c:v>
                </c:pt>
                <c:pt idx="76">
                  <c:v>-1.48</c:v>
                </c:pt>
                <c:pt idx="77">
                  <c:v>-1.46</c:v>
                </c:pt>
                <c:pt idx="78">
                  <c:v>-1.44</c:v>
                </c:pt>
                <c:pt idx="79">
                  <c:v>-1.42</c:v>
                </c:pt>
                <c:pt idx="80">
                  <c:v>-1.4</c:v>
                </c:pt>
                <c:pt idx="81">
                  <c:v>-1.38</c:v>
                </c:pt>
                <c:pt idx="82">
                  <c:v>-1.36</c:v>
                </c:pt>
                <c:pt idx="83">
                  <c:v>-1.34</c:v>
                </c:pt>
                <c:pt idx="84">
                  <c:v>-1.32</c:v>
                </c:pt>
                <c:pt idx="85">
                  <c:v>-1.3</c:v>
                </c:pt>
                <c:pt idx="86">
                  <c:v>-1.28</c:v>
                </c:pt>
                <c:pt idx="87">
                  <c:v>-1.26</c:v>
                </c:pt>
                <c:pt idx="88">
                  <c:v>-1.24</c:v>
                </c:pt>
                <c:pt idx="89">
                  <c:v>-1.22</c:v>
                </c:pt>
                <c:pt idx="90">
                  <c:v>-1.2</c:v>
                </c:pt>
                <c:pt idx="91">
                  <c:v>-1.18</c:v>
                </c:pt>
                <c:pt idx="92">
                  <c:v>-1.1599999999999999</c:v>
                </c:pt>
                <c:pt idx="93">
                  <c:v>-1.1399999999999999</c:v>
                </c:pt>
                <c:pt idx="94">
                  <c:v>-1.1200000000000001</c:v>
                </c:pt>
                <c:pt idx="95">
                  <c:v>-1.1000000000000001</c:v>
                </c:pt>
                <c:pt idx="96">
                  <c:v>-1.08</c:v>
                </c:pt>
                <c:pt idx="97">
                  <c:v>-1.06</c:v>
                </c:pt>
                <c:pt idx="98">
                  <c:v>-1.04</c:v>
                </c:pt>
                <c:pt idx="99">
                  <c:v>-1.02</c:v>
                </c:pt>
                <c:pt idx="100">
                  <c:v>-1</c:v>
                </c:pt>
                <c:pt idx="101">
                  <c:v>-0.98</c:v>
                </c:pt>
                <c:pt idx="102">
                  <c:v>-0.96</c:v>
                </c:pt>
                <c:pt idx="103">
                  <c:v>-0.94</c:v>
                </c:pt>
                <c:pt idx="104">
                  <c:v>-0.92</c:v>
                </c:pt>
                <c:pt idx="105">
                  <c:v>-0.9</c:v>
                </c:pt>
                <c:pt idx="106">
                  <c:v>-0.88</c:v>
                </c:pt>
                <c:pt idx="107">
                  <c:v>-0.86</c:v>
                </c:pt>
                <c:pt idx="108">
                  <c:v>-0.84</c:v>
                </c:pt>
                <c:pt idx="109">
                  <c:v>-0.82</c:v>
                </c:pt>
                <c:pt idx="110">
                  <c:v>-0.8</c:v>
                </c:pt>
                <c:pt idx="111">
                  <c:v>-0.78</c:v>
                </c:pt>
                <c:pt idx="112">
                  <c:v>-0.76</c:v>
                </c:pt>
                <c:pt idx="113">
                  <c:v>-0.74</c:v>
                </c:pt>
                <c:pt idx="114">
                  <c:v>-0.72</c:v>
                </c:pt>
                <c:pt idx="115">
                  <c:v>-0.7</c:v>
                </c:pt>
                <c:pt idx="116">
                  <c:v>-0.68</c:v>
                </c:pt>
                <c:pt idx="117">
                  <c:v>-0.66</c:v>
                </c:pt>
                <c:pt idx="118">
                  <c:v>-0.64</c:v>
                </c:pt>
                <c:pt idx="119">
                  <c:v>-0.62</c:v>
                </c:pt>
                <c:pt idx="120">
                  <c:v>-0.6</c:v>
                </c:pt>
                <c:pt idx="121">
                  <c:v>-0.57999999999999996</c:v>
                </c:pt>
                <c:pt idx="122">
                  <c:v>-0.56000000000000005</c:v>
                </c:pt>
                <c:pt idx="123">
                  <c:v>-0.54</c:v>
                </c:pt>
                <c:pt idx="124">
                  <c:v>-0.52</c:v>
                </c:pt>
                <c:pt idx="125">
                  <c:v>-0.5</c:v>
                </c:pt>
                <c:pt idx="126">
                  <c:v>-0.48</c:v>
                </c:pt>
                <c:pt idx="127">
                  <c:v>-0.46</c:v>
                </c:pt>
                <c:pt idx="128">
                  <c:v>-0.44</c:v>
                </c:pt>
                <c:pt idx="129">
                  <c:v>-0.42</c:v>
                </c:pt>
                <c:pt idx="130">
                  <c:v>-0.4</c:v>
                </c:pt>
                <c:pt idx="131">
                  <c:v>-0.38</c:v>
                </c:pt>
                <c:pt idx="132">
                  <c:v>-0.36</c:v>
                </c:pt>
                <c:pt idx="133">
                  <c:v>-0.34</c:v>
                </c:pt>
                <c:pt idx="134">
                  <c:v>-0.32</c:v>
                </c:pt>
                <c:pt idx="135">
                  <c:v>-0.3</c:v>
                </c:pt>
                <c:pt idx="136">
                  <c:v>-0.28000000000000003</c:v>
                </c:pt>
                <c:pt idx="137">
                  <c:v>-0.26</c:v>
                </c:pt>
                <c:pt idx="138">
                  <c:v>-0.24</c:v>
                </c:pt>
                <c:pt idx="139">
                  <c:v>-0.22</c:v>
                </c:pt>
                <c:pt idx="140">
                  <c:v>-0.2</c:v>
                </c:pt>
                <c:pt idx="141">
                  <c:v>-0.18</c:v>
                </c:pt>
                <c:pt idx="142">
                  <c:v>-0.16</c:v>
                </c:pt>
                <c:pt idx="143">
                  <c:v>-0.14000000000000001</c:v>
                </c:pt>
                <c:pt idx="144">
                  <c:v>-0.12</c:v>
                </c:pt>
                <c:pt idx="145">
                  <c:v>-0.1</c:v>
                </c:pt>
                <c:pt idx="146">
                  <c:v>-8.0000000000000099E-2</c:v>
                </c:pt>
                <c:pt idx="147">
                  <c:v>-6.0000000000000102E-2</c:v>
                </c:pt>
                <c:pt idx="148">
                  <c:v>-0.04</c:v>
                </c:pt>
                <c:pt idx="149">
                  <c:v>-0.02</c:v>
                </c:pt>
                <c:pt idx="150">
                  <c:v>0</c:v>
                </c:pt>
                <c:pt idx="151">
                  <c:v>0.02</c:v>
                </c:pt>
                <c:pt idx="152">
                  <c:v>0.04</c:v>
                </c:pt>
                <c:pt idx="153">
                  <c:v>6.0000000000000102E-2</c:v>
                </c:pt>
                <c:pt idx="154">
                  <c:v>8.0000000000000099E-2</c:v>
                </c:pt>
                <c:pt idx="155">
                  <c:v>0.1</c:v>
                </c:pt>
                <c:pt idx="156">
                  <c:v>0.12</c:v>
                </c:pt>
                <c:pt idx="157">
                  <c:v>0.14000000000000001</c:v>
                </c:pt>
                <c:pt idx="158">
                  <c:v>0.16</c:v>
                </c:pt>
                <c:pt idx="159">
                  <c:v>0.18</c:v>
                </c:pt>
                <c:pt idx="160">
                  <c:v>0.2</c:v>
                </c:pt>
                <c:pt idx="161">
                  <c:v>0.22</c:v>
                </c:pt>
                <c:pt idx="162">
                  <c:v>0.24</c:v>
                </c:pt>
                <c:pt idx="163">
                  <c:v>0.26</c:v>
                </c:pt>
                <c:pt idx="164">
                  <c:v>0.28000000000000003</c:v>
                </c:pt>
                <c:pt idx="165">
                  <c:v>0.3</c:v>
                </c:pt>
                <c:pt idx="166">
                  <c:v>0.32</c:v>
                </c:pt>
                <c:pt idx="167">
                  <c:v>0.34</c:v>
                </c:pt>
                <c:pt idx="168">
                  <c:v>0.36</c:v>
                </c:pt>
                <c:pt idx="169">
                  <c:v>0.38</c:v>
                </c:pt>
                <c:pt idx="170">
                  <c:v>0.4</c:v>
                </c:pt>
                <c:pt idx="171">
                  <c:v>0.42</c:v>
                </c:pt>
                <c:pt idx="172">
                  <c:v>0.44</c:v>
                </c:pt>
                <c:pt idx="173">
                  <c:v>0.46</c:v>
                </c:pt>
                <c:pt idx="174">
                  <c:v>0.48</c:v>
                </c:pt>
                <c:pt idx="175">
                  <c:v>0.5</c:v>
                </c:pt>
                <c:pt idx="176">
                  <c:v>0.52</c:v>
                </c:pt>
                <c:pt idx="177">
                  <c:v>0.54</c:v>
                </c:pt>
                <c:pt idx="178">
                  <c:v>0.56000000000000005</c:v>
                </c:pt>
                <c:pt idx="179">
                  <c:v>0.57999999999999996</c:v>
                </c:pt>
                <c:pt idx="180">
                  <c:v>0.6</c:v>
                </c:pt>
                <c:pt idx="181">
                  <c:v>0.62</c:v>
                </c:pt>
                <c:pt idx="182">
                  <c:v>0.64</c:v>
                </c:pt>
                <c:pt idx="183">
                  <c:v>0.66</c:v>
                </c:pt>
                <c:pt idx="184">
                  <c:v>0.68</c:v>
                </c:pt>
                <c:pt idx="185">
                  <c:v>0.7</c:v>
                </c:pt>
                <c:pt idx="186">
                  <c:v>0.72</c:v>
                </c:pt>
                <c:pt idx="187">
                  <c:v>0.74</c:v>
                </c:pt>
                <c:pt idx="188">
                  <c:v>0.76</c:v>
                </c:pt>
                <c:pt idx="189">
                  <c:v>0.78</c:v>
                </c:pt>
                <c:pt idx="190">
                  <c:v>0.8</c:v>
                </c:pt>
                <c:pt idx="191">
                  <c:v>0.82</c:v>
                </c:pt>
                <c:pt idx="192">
                  <c:v>0.84</c:v>
                </c:pt>
                <c:pt idx="193">
                  <c:v>0.86</c:v>
                </c:pt>
                <c:pt idx="194">
                  <c:v>0.88</c:v>
                </c:pt>
                <c:pt idx="195">
                  <c:v>0.9</c:v>
                </c:pt>
                <c:pt idx="196">
                  <c:v>0.92</c:v>
                </c:pt>
                <c:pt idx="197">
                  <c:v>0.94</c:v>
                </c:pt>
                <c:pt idx="198">
                  <c:v>0.96</c:v>
                </c:pt>
                <c:pt idx="199">
                  <c:v>0.98</c:v>
                </c:pt>
                <c:pt idx="200">
                  <c:v>1</c:v>
                </c:pt>
                <c:pt idx="201">
                  <c:v>1.02</c:v>
                </c:pt>
                <c:pt idx="202">
                  <c:v>1.04</c:v>
                </c:pt>
                <c:pt idx="203">
                  <c:v>1.06</c:v>
                </c:pt>
                <c:pt idx="204">
                  <c:v>1.08</c:v>
                </c:pt>
                <c:pt idx="205">
                  <c:v>1.1000000000000001</c:v>
                </c:pt>
                <c:pt idx="206">
                  <c:v>1.1200000000000001</c:v>
                </c:pt>
                <c:pt idx="207">
                  <c:v>1.1399999999999999</c:v>
                </c:pt>
                <c:pt idx="208">
                  <c:v>1.1599999999999999</c:v>
                </c:pt>
                <c:pt idx="209">
                  <c:v>1.18</c:v>
                </c:pt>
                <c:pt idx="210">
                  <c:v>1.2</c:v>
                </c:pt>
                <c:pt idx="211">
                  <c:v>1.22</c:v>
                </c:pt>
                <c:pt idx="212">
                  <c:v>1.24</c:v>
                </c:pt>
                <c:pt idx="213">
                  <c:v>1.26</c:v>
                </c:pt>
                <c:pt idx="214">
                  <c:v>1.28</c:v>
                </c:pt>
                <c:pt idx="215">
                  <c:v>1.3</c:v>
                </c:pt>
                <c:pt idx="216">
                  <c:v>1.32</c:v>
                </c:pt>
                <c:pt idx="217">
                  <c:v>1.34</c:v>
                </c:pt>
                <c:pt idx="218">
                  <c:v>1.36</c:v>
                </c:pt>
                <c:pt idx="219">
                  <c:v>1.38</c:v>
                </c:pt>
                <c:pt idx="220">
                  <c:v>1.4</c:v>
                </c:pt>
                <c:pt idx="221">
                  <c:v>1.42</c:v>
                </c:pt>
                <c:pt idx="222">
                  <c:v>1.44</c:v>
                </c:pt>
                <c:pt idx="223">
                  <c:v>1.46</c:v>
                </c:pt>
                <c:pt idx="224">
                  <c:v>1.48</c:v>
                </c:pt>
                <c:pt idx="225">
                  <c:v>1.5</c:v>
                </c:pt>
                <c:pt idx="226">
                  <c:v>1.52</c:v>
                </c:pt>
                <c:pt idx="227">
                  <c:v>1.54</c:v>
                </c:pt>
                <c:pt idx="228">
                  <c:v>1.56</c:v>
                </c:pt>
                <c:pt idx="229">
                  <c:v>1.58</c:v>
                </c:pt>
                <c:pt idx="230">
                  <c:v>1.6</c:v>
                </c:pt>
                <c:pt idx="231">
                  <c:v>1.62</c:v>
                </c:pt>
                <c:pt idx="232">
                  <c:v>1.64</c:v>
                </c:pt>
                <c:pt idx="233">
                  <c:v>1.66</c:v>
                </c:pt>
                <c:pt idx="234">
                  <c:v>1.68</c:v>
                </c:pt>
                <c:pt idx="235">
                  <c:v>1.7</c:v>
                </c:pt>
                <c:pt idx="236">
                  <c:v>1.72</c:v>
                </c:pt>
                <c:pt idx="237">
                  <c:v>1.74</c:v>
                </c:pt>
                <c:pt idx="238">
                  <c:v>1.76</c:v>
                </c:pt>
                <c:pt idx="239">
                  <c:v>1.78</c:v>
                </c:pt>
                <c:pt idx="240">
                  <c:v>1.8</c:v>
                </c:pt>
                <c:pt idx="241">
                  <c:v>1.82</c:v>
                </c:pt>
                <c:pt idx="242">
                  <c:v>1.84</c:v>
                </c:pt>
                <c:pt idx="243">
                  <c:v>1.86</c:v>
                </c:pt>
                <c:pt idx="244">
                  <c:v>1.88</c:v>
                </c:pt>
                <c:pt idx="245">
                  <c:v>1.9</c:v>
                </c:pt>
                <c:pt idx="246">
                  <c:v>1.92</c:v>
                </c:pt>
                <c:pt idx="247">
                  <c:v>1.94</c:v>
                </c:pt>
                <c:pt idx="248">
                  <c:v>1.96</c:v>
                </c:pt>
                <c:pt idx="249">
                  <c:v>1.98</c:v>
                </c:pt>
                <c:pt idx="250">
                  <c:v>2</c:v>
                </c:pt>
                <c:pt idx="251">
                  <c:v>2.02</c:v>
                </c:pt>
                <c:pt idx="252">
                  <c:v>2.04</c:v>
                </c:pt>
                <c:pt idx="253">
                  <c:v>2.06</c:v>
                </c:pt>
                <c:pt idx="254">
                  <c:v>2.08</c:v>
                </c:pt>
                <c:pt idx="255">
                  <c:v>2.1</c:v>
                </c:pt>
                <c:pt idx="256">
                  <c:v>2.12</c:v>
                </c:pt>
                <c:pt idx="257">
                  <c:v>2.14</c:v>
                </c:pt>
                <c:pt idx="258">
                  <c:v>2.16</c:v>
                </c:pt>
                <c:pt idx="259">
                  <c:v>2.1800000000000099</c:v>
                </c:pt>
                <c:pt idx="260">
                  <c:v>2.2000000000000002</c:v>
                </c:pt>
                <c:pt idx="261">
                  <c:v>2.2200000000000002</c:v>
                </c:pt>
                <c:pt idx="262">
                  <c:v>2.2400000000000002</c:v>
                </c:pt>
                <c:pt idx="263">
                  <c:v>2.26000000000001</c:v>
                </c:pt>
                <c:pt idx="264">
                  <c:v>2.2799999999999998</c:v>
                </c:pt>
                <c:pt idx="265">
                  <c:v>2.2999999999999998</c:v>
                </c:pt>
                <c:pt idx="266">
                  <c:v>2.3199999999999998</c:v>
                </c:pt>
                <c:pt idx="267">
                  <c:v>2.3400000000000101</c:v>
                </c:pt>
                <c:pt idx="268">
                  <c:v>2.36</c:v>
                </c:pt>
                <c:pt idx="269">
                  <c:v>2.38</c:v>
                </c:pt>
                <c:pt idx="270">
                  <c:v>2.4</c:v>
                </c:pt>
                <c:pt idx="271">
                  <c:v>2.4200000000000101</c:v>
                </c:pt>
                <c:pt idx="272">
                  <c:v>2.44</c:v>
                </c:pt>
                <c:pt idx="273">
                  <c:v>2.46</c:v>
                </c:pt>
                <c:pt idx="274">
                  <c:v>2.48</c:v>
                </c:pt>
                <c:pt idx="275">
                  <c:v>2.5000000000000102</c:v>
                </c:pt>
                <c:pt idx="276">
                  <c:v>2.52</c:v>
                </c:pt>
                <c:pt idx="277">
                  <c:v>2.54</c:v>
                </c:pt>
                <c:pt idx="278">
                  <c:v>2.56</c:v>
                </c:pt>
                <c:pt idx="279">
                  <c:v>2.5800000000000098</c:v>
                </c:pt>
                <c:pt idx="280">
                  <c:v>2.6</c:v>
                </c:pt>
                <c:pt idx="281">
                  <c:v>2.62</c:v>
                </c:pt>
                <c:pt idx="282">
                  <c:v>2.6400000000000099</c:v>
                </c:pt>
                <c:pt idx="283">
                  <c:v>2.6600000000000099</c:v>
                </c:pt>
                <c:pt idx="284">
                  <c:v>2.6800000000000099</c:v>
                </c:pt>
                <c:pt idx="285">
                  <c:v>2.7</c:v>
                </c:pt>
                <c:pt idx="286">
                  <c:v>2.72000000000001</c:v>
                </c:pt>
                <c:pt idx="287">
                  <c:v>2.74000000000001</c:v>
                </c:pt>
                <c:pt idx="288">
                  <c:v>2.76000000000001</c:v>
                </c:pt>
                <c:pt idx="289">
                  <c:v>2.78</c:v>
                </c:pt>
                <c:pt idx="290">
                  <c:v>2.80000000000001</c:v>
                </c:pt>
                <c:pt idx="291">
                  <c:v>2.8200000000000101</c:v>
                </c:pt>
                <c:pt idx="292">
                  <c:v>2.8400000000000101</c:v>
                </c:pt>
                <c:pt idx="293">
                  <c:v>2.86</c:v>
                </c:pt>
                <c:pt idx="294">
                  <c:v>2.8800000000000101</c:v>
                </c:pt>
                <c:pt idx="295">
                  <c:v>2.9000000000000101</c:v>
                </c:pt>
                <c:pt idx="296">
                  <c:v>2.9200000000000101</c:v>
                </c:pt>
                <c:pt idx="297">
                  <c:v>2.94</c:v>
                </c:pt>
                <c:pt idx="298">
                  <c:v>2.9600000000000102</c:v>
                </c:pt>
                <c:pt idx="299">
                  <c:v>2.9800000000000102</c:v>
                </c:pt>
                <c:pt idx="300">
                  <c:v>3.0000000000000102</c:v>
                </c:pt>
                <c:pt idx="301">
                  <c:v>3.02</c:v>
                </c:pt>
                <c:pt idx="302">
                  <c:v>3.0400000000000098</c:v>
                </c:pt>
                <c:pt idx="303">
                  <c:v>3.0600000000000098</c:v>
                </c:pt>
                <c:pt idx="304">
                  <c:v>3.0800000000000098</c:v>
                </c:pt>
                <c:pt idx="305">
                  <c:v>3.1</c:v>
                </c:pt>
                <c:pt idx="306">
                  <c:v>3.1200000000000099</c:v>
                </c:pt>
                <c:pt idx="307">
                  <c:v>3.1400000000000099</c:v>
                </c:pt>
                <c:pt idx="308">
                  <c:v>3.1600000000000099</c:v>
                </c:pt>
                <c:pt idx="309">
                  <c:v>3.1800000000000099</c:v>
                </c:pt>
                <c:pt idx="310">
                  <c:v>3.2000000000000099</c:v>
                </c:pt>
                <c:pt idx="311">
                  <c:v>3.22000000000001</c:v>
                </c:pt>
                <c:pt idx="312">
                  <c:v>3.24000000000001</c:v>
                </c:pt>
                <c:pt idx="313">
                  <c:v>3.26000000000001</c:v>
                </c:pt>
                <c:pt idx="314">
                  <c:v>3.28000000000001</c:v>
                </c:pt>
                <c:pt idx="315">
                  <c:v>3.30000000000001</c:v>
                </c:pt>
                <c:pt idx="316">
                  <c:v>3.3200000000000101</c:v>
                </c:pt>
                <c:pt idx="317">
                  <c:v>3.3400000000000101</c:v>
                </c:pt>
                <c:pt idx="318">
                  <c:v>3.3600000000000101</c:v>
                </c:pt>
                <c:pt idx="319">
                  <c:v>3.3800000000000101</c:v>
                </c:pt>
                <c:pt idx="320">
                  <c:v>3.4000000000000101</c:v>
                </c:pt>
                <c:pt idx="321">
                  <c:v>3.4200000000000101</c:v>
                </c:pt>
                <c:pt idx="322">
                  <c:v>3.4400000000000102</c:v>
                </c:pt>
                <c:pt idx="323">
                  <c:v>3.4600000000000102</c:v>
                </c:pt>
                <c:pt idx="324">
                  <c:v>3.4800000000000102</c:v>
                </c:pt>
                <c:pt idx="325">
                  <c:v>3.5000000000000102</c:v>
                </c:pt>
                <c:pt idx="326">
                  <c:v>3.5200000000000098</c:v>
                </c:pt>
                <c:pt idx="327">
                  <c:v>3.5400000000000098</c:v>
                </c:pt>
                <c:pt idx="328">
                  <c:v>3.5600000000000098</c:v>
                </c:pt>
                <c:pt idx="329">
                  <c:v>3.5800000000000098</c:v>
                </c:pt>
                <c:pt idx="330">
                  <c:v>3.6000000000000099</c:v>
                </c:pt>
                <c:pt idx="331">
                  <c:v>3.6200000000000099</c:v>
                </c:pt>
                <c:pt idx="332">
                  <c:v>3.6400000000000099</c:v>
                </c:pt>
                <c:pt idx="333">
                  <c:v>3.6600000000000099</c:v>
                </c:pt>
                <c:pt idx="334">
                  <c:v>3.6800000000000099</c:v>
                </c:pt>
                <c:pt idx="335">
                  <c:v>3.7000000000000099</c:v>
                </c:pt>
                <c:pt idx="336">
                  <c:v>3.72000000000001</c:v>
                </c:pt>
                <c:pt idx="337">
                  <c:v>3.74000000000001</c:v>
                </c:pt>
                <c:pt idx="338">
                  <c:v>3.76000000000001</c:v>
                </c:pt>
                <c:pt idx="339">
                  <c:v>3.78000000000001</c:v>
                </c:pt>
                <c:pt idx="340">
                  <c:v>3.80000000000001</c:v>
                </c:pt>
                <c:pt idx="341">
                  <c:v>3.8200000000000101</c:v>
                </c:pt>
                <c:pt idx="342">
                  <c:v>3.8400000000000101</c:v>
                </c:pt>
                <c:pt idx="343">
                  <c:v>3.8600000000000101</c:v>
                </c:pt>
                <c:pt idx="344">
                  <c:v>3.8800000000000101</c:v>
                </c:pt>
                <c:pt idx="345">
                  <c:v>3.9000000000000101</c:v>
                </c:pt>
                <c:pt idx="346">
                  <c:v>3.9200000000000101</c:v>
                </c:pt>
                <c:pt idx="347">
                  <c:v>3.9400000000000102</c:v>
                </c:pt>
                <c:pt idx="348">
                  <c:v>3.9600000000000102</c:v>
                </c:pt>
                <c:pt idx="349">
                  <c:v>3.9800000000000102</c:v>
                </c:pt>
                <c:pt idx="350">
                  <c:v>4.0000000000000098</c:v>
                </c:pt>
                <c:pt idx="351">
                  <c:v>4.0200000000000102</c:v>
                </c:pt>
                <c:pt idx="352">
                  <c:v>4.0400000000000098</c:v>
                </c:pt>
                <c:pt idx="353">
                  <c:v>4.0600000000000103</c:v>
                </c:pt>
                <c:pt idx="354">
                  <c:v>4.0800000000000098</c:v>
                </c:pt>
                <c:pt idx="355">
                  <c:v>4.1000000000000103</c:v>
                </c:pt>
                <c:pt idx="356">
                  <c:v>4.1200000000000099</c:v>
                </c:pt>
                <c:pt idx="357">
                  <c:v>4.1400000000000103</c:v>
                </c:pt>
                <c:pt idx="358">
                  <c:v>4.1600000000000099</c:v>
                </c:pt>
                <c:pt idx="359">
                  <c:v>4.1800000000000104</c:v>
                </c:pt>
                <c:pt idx="360">
                  <c:v>4.2000000000000099</c:v>
                </c:pt>
                <c:pt idx="361">
                  <c:v>4.2200000000000104</c:v>
                </c:pt>
                <c:pt idx="362">
                  <c:v>4.24000000000001</c:v>
                </c:pt>
                <c:pt idx="363">
                  <c:v>4.2600000000000096</c:v>
                </c:pt>
                <c:pt idx="364">
                  <c:v>4.28000000000001</c:v>
                </c:pt>
                <c:pt idx="365">
                  <c:v>4.3000000000000096</c:v>
                </c:pt>
                <c:pt idx="366">
                  <c:v>4.3200000000000101</c:v>
                </c:pt>
                <c:pt idx="367">
                  <c:v>4.3400000000000096</c:v>
                </c:pt>
                <c:pt idx="368">
                  <c:v>4.3600000000000101</c:v>
                </c:pt>
                <c:pt idx="369">
                  <c:v>4.3800000000000097</c:v>
                </c:pt>
                <c:pt idx="370">
                  <c:v>4.4000000000000101</c:v>
                </c:pt>
                <c:pt idx="371">
                  <c:v>4.4200000000000097</c:v>
                </c:pt>
                <c:pt idx="372">
                  <c:v>4.4400000000000102</c:v>
                </c:pt>
                <c:pt idx="373">
                  <c:v>4.4600000000000097</c:v>
                </c:pt>
                <c:pt idx="374">
                  <c:v>4.4800000000000102</c:v>
                </c:pt>
                <c:pt idx="375">
                  <c:v>4.5000000000000098</c:v>
                </c:pt>
                <c:pt idx="376">
                  <c:v>4.5200000000000102</c:v>
                </c:pt>
                <c:pt idx="377">
                  <c:v>4.5400000000000098</c:v>
                </c:pt>
                <c:pt idx="378">
                  <c:v>4.5600000000000103</c:v>
                </c:pt>
                <c:pt idx="379">
                  <c:v>4.5800000000000098</c:v>
                </c:pt>
                <c:pt idx="380">
                  <c:v>4.6000000000000103</c:v>
                </c:pt>
                <c:pt idx="381">
                  <c:v>4.6200000000000099</c:v>
                </c:pt>
                <c:pt idx="382">
                  <c:v>4.6400000000000103</c:v>
                </c:pt>
                <c:pt idx="383">
                  <c:v>4.6600000000000099</c:v>
                </c:pt>
                <c:pt idx="384">
                  <c:v>4.6800000000000104</c:v>
                </c:pt>
                <c:pt idx="385">
                  <c:v>4.7000000000000099</c:v>
                </c:pt>
                <c:pt idx="386">
                  <c:v>4.7200000000000104</c:v>
                </c:pt>
                <c:pt idx="387">
                  <c:v>4.74000000000001</c:v>
                </c:pt>
                <c:pt idx="388">
                  <c:v>4.7600000000000096</c:v>
                </c:pt>
                <c:pt idx="389">
                  <c:v>4.78000000000001</c:v>
                </c:pt>
                <c:pt idx="390">
                  <c:v>4.8000000000000096</c:v>
                </c:pt>
                <c:pt idx="391">
                  <c:v>4.8200000000000101</c:v>
                </c:pt>
                <c:pt idx="392">
                  <c:v>4.8400000000000096</c:v>
                </c:pt>
                <c:pt idx="393">
                  <c:v>4.8600000000000101</c:v>
                </c:pt>
                <c:pt idx="394">
                  <c:v>4.8800000000000097</c:v>
                </c:pt>
                <c:pt idx="395">
                  <c:v>4.9000000000000101</c:v>
                </c:pt>
                <c:pt idx="396">
                  <c:v>4.9200000000000097</c:v>
                </c:pt>
                <c:pt idx="397">
                  <c:v>4.9400000000000102</c:v>
                </c:pt>
                <c:pt idx="398">
                  <c:v>4.9600000000000097</c:v>
                </c:pt>
                <c:pt idx="399">
                  <c:v>4.9800000000000102</c:v>
                </c:pt>
                <c:pt idx="400">
                  <c:v>5.0000000000000098</c:v>
                </c:pt>
              </c:numCache>
            </c:numRef>
          </c:yVal>
          <c:smooth val="0"/>
          <c:extLst>
            <c:ext xmlns:c16="http://schemas.microsoft.com/office/drawing/2014/chart" uri="{C3380CC4-5D6E-409C-BE32-E72D297353CC}">
              <c16:uniqueId val="{00000009-1DFF-4DFC-B6E9-D86B6FD0EE9D}"/>
            </c:ext>
          </c:extLst>
        </c:ser>
        <c:ser>
          <c:idx val="8"/>
          <c:order val="8"/>
          <c:tx>
            <c:strRef>
              <c:f>'V-N Diagram'!$I$36</c:f>
              <c:strCache>
                <c:ptCount val="1"/>
                <c:pt idx="0">
                  <c:v>Vg</c:v>
                </c:pt>
              </c:strCache>
              <c:extLst xmlns:c15="http://schemas.microsoft.com/office/drawing/2012/chart"/>
            </c:strRef>
          </c:tx>
          <c:spPr>
            <a:ln w="19050" cap="rnd">
              <a:noFill/>
              <a:round/>
            </a:ln>
            <a:effectLst/>
          </c:spPr>
          <c:marker>
            <c:symbol val="none"/>
          </c:marker>
          <c:dPt>
            <c:idx val="370"/>
            <c:marker>
              <c:symbol val="none"/>
            </c:marker>
            <c:bubble3D val="0"/>
            <c:extLst>
              <c:ext xmlns:c16="http://schemas.microsoft.com/office/drawing/2014/chart" uri="{C3380CC4-5D6E-409C-BE32-E72D297353CC}">
                <c16:uniqueId val="{0000001A-1DFF-4DFC-B6E9-D86B6FD0EE9D}"/>
              </c:ext>
            </c:extLst>
          </c:dPt>
          <c:xVal>
            <c:numRef>
              <c:f>'V-N Diagram'!$I$37:$I$437</c:f>
              <c:numCache>
                <c:formatCode>General</c:formatCode>
                <c:ptCount val="401"/>
                <c:pt idx="0">
                  <c:v>197.721490063907</c:v>
                </c:pt>
                <c:pt idx="1">
                  <c:v>197.721490063907</c:v>
                </c:pt>
                <c:pt idx="2">
                  <c:v>197.721490063907</c:v>
                </c:pt>
                <c:pt idx="3">
                  <c:v>197.721490063907</c:v>
                </c:pt>
                <c:pt idx="4">
                  <c:v>197.721490063907</c:v>
                </c:pt>
                <c:pt idx="5">
                  <c:v>197.721490063907</c:v>
                </c:pt>
                <c:pt idx="6">
                  <c:v>197.721490063907</c:v>
                </c:pt>
                <c:pt idx="7">
                  <c:v>197.721490063907</c:v>
                </c:pt>
                <c:pt idx="8">
                  <c:v>197.721490063907</c:v>
                </c:pt>
                <c:pt idx="9">
                  <c:v>197.721490063907</c:v>
                </c:pt>
                <c:pt idx="10">
                  <c:v>197.721490063907</c:v>
                </c:pt>
                <c:pt idx="11">
                  <c:v>197.721490063907</c:v>
                </c:pt>
                <c:pt idx="12">
                  <c:v>197.721490063907</c:v>
                </c:pt>
                <c:pt idx="13">
                  <c:v>197.721490063907</c:v>
                </c:pt>
                <c:pt idx="14">
                  <c:v>197.721490063907</c:v>
                </c:pt>
                <c:pt idx="15">
                  <c:v>197.721490063907</c:v>
                </c:pt>
                <c:pt idx="16">
                  <c:v>197.721490063907</c:v>
                </c:pt>
                <c:pt idx="17">
                  <c:v>197.721490063907</c:v>
                </c:pt>
                <c:pt idx="18">
                  <c:v>197.721490063907</c:v>
                </c:pt>
                <c:pt idx="19">
                  <c:v>197.721490063907</c:v>
                </c:pt>
                <c:pt idx="20">
                  <c:v>197.721490063907</c:v>
                </c:pt>
                <c:pt idx="21">
                  <c:v>197.721490063907</c:v>
                </c:pt>
                <c:pt idx="22">
                  <c:v>197.721490063907</c:v>
                </c:pt>
                <c:pt idx="23">
                  <c:v>197.721490063907</c:v>
                </c:pt>
                <c:pt idx="24">
                  <c:v>197.721490063907</c:v>
                </c:pt>
                <c:pt idx="25">
                  <c:v>197.721490063907</c:v>
                </c:pt>
                <c:pt idx="26">
                  <c:v>197.721490063907</c:v>
                </c:pt>
                <c:pt idx="27">
                  <c:v>197.721490063907</c:v>
                </c:pt>
                <c:pt idx="28">
                  <c:v>197.721490063907</c:v>
                </c:pt>
                <c:pt idx="29">
                  <c:v>197.721490063907</c:v>
                </c:pt>
                <c:pt idx="30">
                  <c:v>197.721490063907</c:v>
                </c:pt>
                <c:pt idx="31">
                  <c:v>197.721490063907</c:v>
                </c:pt>
                <c:pt idx="32">
                  <c:v>197.721490063907</c:v>
                </c:pt>
                <c:pt idx="33">
                  <c:v>197.721490063907</c:v>
                </c:pt>
                <c:pt idx="34">
                  <c:v>197.721490063907</c:v>
                </c:pt>
                <c:pt idx="35">
                  <c:v>197.721490063907</c:v>
                </c:pt>
                <c:pt idx="36">
                  <c:v>197.721490063907</c:v>
                </c:pt>
                <c:pt idx="37">
                  <c:v>197.721490063907</c:v>
                </c:pt>
                <c:pt idx="38">
                  <c:v>197.721490063907</c:v>
                </c:pt>
                <c:pt idx="39">
                  <c:v>197.721490063907</c:v>
                </c:pt>
                <c:pt idx="40">
                  <c:v>197.721490063907</c:v>
                </c:pt>
                <c:pt idx="41">
                  <c:v>197.721490063907</c:v>
                </c:pt>
                <c:pt idx="42">
                  <c:v>197.721490063907</c:v>
                </c:pt>
                <c:pt idx="43">
                  <c:v>197.721490063907</c:v>
                </c:pt>
                <c:pt idx="44">
                  <c:v>197.721490063907</c:v>
                </c:pt>
                <c:pt idx="45">
                  <c:v>197.721490063907</c:v>
                </c:pt>
                <c:pt idx="46">
                  <c:v>197.721490063907</c:v>
                </c:pt>
                <c:pt idx="47">
                  <c:v>197.721490063907</c:v>
                </c:pt>
                <c:pt idx="48">
                  <c:v>197.721490063907</c:v>
                </c:pt>
                <c:pt idx="49">
                  <c:v>197.721490063907</c:v>
                </c:pt>
                <c:pt idx="50">
                  <c:v>197.721490063907</c:v>
                </c:pt>
                <c:pt idx="51">
                  <c:v>197.721490063907</c:v>
                </c:pt>
                <c:pt idx="52">
                  <c:v>197.721490063907</c:v>
                </c:pt>
                <c:pt idx="53">
                  <c:v>197.721490063907</c:v>
                </c:pt>
                <c:pt idx="54">
                  <c:v>197.721490063907</c:v>
                </c:pt>
                <c:pt idx="55">
                  <c:v>197.721490063907</c:v>
                </c:pt>
                <c:pt idx="56">
                  <c:v>197.721490063907</c:v>
                </c:pt>
                <c:pt idx="57">
                  <c:v>197.721490063907</c:v>
                </c:pt>
                <c:pt idx="58">
                  <c:v>197.721490063907</c:v>
                </c:pt>
                <c:pt idx="59">
                  <c:v>197.721490063907</c:v>
                </c:pt>
                <c:pt idx="60">
                  <c:v>197.721490063907</c:v>
                </c:pt>
                <c:pt idx="61">
                  <c:v>197.721490063907</c:v>
                </c:pt>
                <c:pt idx="62">
                  <c:v>197.721490063907</c:v>
                </c:pt>
                <c:pt idx="63">
                  <c:v>197.721490063907</c:v>
                </c:pt>
                <c:pt idx="64">
                  <c:v>197.721490063907</c:v>
                </c:pt>
                <c:pt idx="65">
                  <c:v>197.721490063907</c:v>
                </c:pt>
                <c:pt idx="66">
                  <c:v>197.721490063907</c:v>
                </c:pt>
                <c:pt idx="67">
                  <c:v>197.721490063907</c:v>
                </c:pt>
                <c:pt idx="68">
                  <c:v>197.721490063907</c:v>
                </c:pt>
                <c:pt idx="69">
                  <c:v>197.721490063907</c:v>
                </c:pt>
                <c:pt idx="70">
                  <c:v>197.721490063907</c:v>
                </c:pt>
                <c:pt idx="71">
                  <c:v>197.721490063907</c:v>
                </c:pt>
                <c:pt idx="72">
                  <c:v>197.721490063907</c:v>
                </c:pt>
                <c:pt idx="73">
                  <c:v>197.721490063907</c:v>
                </c:pt>
                <c:pt idx="74">
                  <c:v>197.721490063907</c:v>
                </c:pt>
                <c:pt idx="75">
                  <c:v>197.721490063907</c:v>
                </c:pt>
                <c:pt idx="76">
                  <c:v>197.721490063907</c:v>
                </c:pt>
                <c:pt idx="77">
                  <c:v>197.721490063907</c:v>
                </c:pt>
                <c:pt idx="78">
                  <c:v>197.721490063907</c:v>
                </c:pt>
                <c:pt idx="79">
                  <c:v>197.721490063907</c:v>
                </c:pt>
                <c:pt idx="80">
                  <c:v>197.721490063907</c:v>
                </c:pt>
                <c:pt idx="81">
                  <c:v>197.721490063907</c:v>
                </c:pt>
                <c:pt idx="82">
                  <c:v>197.721490063907</c:v>
                </c:pt>
                <c:pt idx="83">
                  <c:v>197.721490063907</c:v>
                </c:pt>
                <c:pt idx="84">
                  <c:v>197.721490063907</c:v>
                </c:pt>
                <c:pt idx="85">
                  <c:v>197.721490063907</c:v>
                </c:pt>
                <c:pt idx="86">
                  <c:v>197.721490063907</c:v>
                </c:pt>
                <c:pt idx="87">
                  <c:v>197.721490063907</c:v>
                </c:pt>
                <c:pt idx="88">
                  <c:v>197.721490063907</c:v>
                </c:pt>
                <c:pt idx="89">
                  <c:v>197.721490063907</c:v>
                </c:pt>
                <c:pt idx="90">
                  <c:v>197.721490063907</c:v>
                </c:pt>
                <c:pt idx="91">
                  <c:v>197.721490063907</c:v>
                </c:pt>
                <c:pt idx="92">
                  <c:v>197.721490063907</c:v>
                </c:pt>
                <c:pt idx="93">
                  <c:v>197.721490063907</c:v>
                </c:pt>
                <c:pt idx="94">
                  <c:v>197.721490063907</c:v>
                </c:pt>
                <c:pt idx="95">
                  <c:v>197.721490063907</c:v>
                </c:pt>
                <c:pt idx="96">
                  <c:v>197.721490063907</c:v>
                </c:pt>
                <c:pt idx="97">
                  <c:v>197.721490063907</c:v>
                </c:pt>
                <c:pt idx="98">
                  <c:v>197.721490063907</c:v>
                </c:pt>
                <c:pt idx="99">
                  <c:v>197.721490063907</c:v>
                </c:pt>
                <c:pt idx="100">
                  <c:v>197.721490063907</c:v>
                </c:pt>
                <c:pt idx="101">
                  <c:v>197.721490063907</c:v>
                </c:pt>
                <c:pt idx="102">
                  <c:v>197.721490063907</c:v>
                </c:pt>
                <c:pt idx="103">
                  <c:v>197.721490063907</c:v>
                </c:pt>
                <c:pt idx="104">
                  <c:v>197.721490063907</c:v>
                </c:pt>
                <c:pt idx="105">
                  <c:v>197.721490063907</c:v>
                </c:pt>
                <c:pt idx="106">
                  <c:v>197.721490063907</c:v>
                </c:pt>
                <c:pt idx="107">
                  <c:v>197.721490063907</c:v>
                </c:pt>
                <c:pt idx="108">
                  <c:v>197.721490063907</c:v>
                </c:pt>
                <c:pt idx="109">
                  <c:v>197.721490063907</c:v>
                </c:pt>
                <c:pt idx="110">
                  <c:v>197.721490063907</c:v>
                </c:pt>
                <c:pt idx="111">
                  <c:v>197.721490063907</c:v>
                </c:pt>
                <c:pt idx="112">
                  <c:v>197.721490063907</c:v>
                </c:pt>
                <c:pt idx="113">
                  <c:v>197.721490063907</c:v>
                </c:pt>
                <c:pt idx="114">
                  <c:v>197.721490063907</c:v>
                </c:pt>
                <c:pt idx="115">
                  <c:v>197.721490063907</c:v>
                </c:pt>
                <c:pt idx="116">
                  <c:v>197.721490063907</c:v>
                </c:pt>
                <c:pt idx="117">
                  <c:v>197.721490063907</c:v>
                </c:pt>
                <c:pt idx="118">
                  <c:v>197.721490063907</c:v>
                </c:pt>
                <c:pt idx="119">
                  <c:v>197.721490063907</c:v>
                </c:pt>
                <c:pt idx="120">
                  <c:v>197.721490063907</c:v>
                </c:pt>
                <c:pt idx="121">
                  <c:v>197.721490063907</c:v>
                </c:pt>
                <c:pt idx="122">
                  <c:v>197.721490063907</c:v>
                </c:pt>
                <c:pt idx="123">
                  <c:v>197.721490063907</c:v>
                </c:pt>
                <c:pt idx="124">
                  <c:v>197.721490063907</c:v>
                </c:pt>
                <c:pt idx="125">
                  <c:v>197.721490063907</c:v>
                </c:pt>
                <c:pt idx="126">
                  <c:v>197.721490063907</c:v>
                </c:pt>
                <c:pt idx="127">
                  <c:v>197.721490063907</c:v>
                </c:pt>
                <c:pt idx="128">
                  <c:v>197.721490063907</c:v>
                </c:pt>
                <c:pt idx="129">
                  <c:v>197.721490063907</c:v>
                </c:pt>
                <c:pt idx="130">
                  <c:v>197.721490063907</c:v>
                </c:pt>
                <c:pt idx="131">
                  <c:v>197.721490063907</c:v>
                </c:pt>
                <c:pt idx="132">
                  <c:v>197.721490063907</c:v>
                </c:pt>
                <c:pt idx="133">
                  <c:v>197.721490063907</c:v>
                </c:pt>
                <c:pt idx="134">
                  <c:v>197.721490063907</c:v>
                </c:pt>
                <c:pt idx="135">
                  <c:v>197.721490063907</c:v>
                </c:pt>
                <c:pt idx="136">
                  <c:v>197.721490063907</c:v>
                </c:pt>
                <c:pt idx="137">
                  <c:v>197.721490063907</c:v>
                </c:pt>
                <c:pt idx="138">
                  <c:v>197.721490063907</c:v>
                </c:pt>
                <c:pt idx="139">
                  <c:v>197.721490063907</c:v>
                </c:pt>
                <c:pt idx="140">
                  <c:v>197.721490063907</c:v>
                </c:pt>
                <c:pt idx="141">
                  <c:v>197.721490063907</c:v>
                </c:pt>
                <c:pt idx="142">
                  <c:v>197.721490063907</c:v>
                </c:pt>
                <c:pt idx="143">
                  <c:v>197.721490063907</c:v>
                </c:pt>
                <c:pt idx="144">
                  <c:v>197.721490063907</c:v>
                </c:pt>
                <c:pt idx="145">
                  <c:v>197.721490063907</c:v>
                </c:pt>
                <c:pt idx="146">
                  <c:v>197.721490063907</c:v>
                </c:pt>
                <c:pt idx="147">
                  <c:v>197.721490063907</c:v>
                </c:pt>
                <c:pt idx="148">
                  <c:v>197.721490063907</c:v>
                </c:pt>
                <c:pt idx="149">
                  <c:v>197.721490063907</c:v>
                </c:pt>
                <c:pt idx="150">
                  <c:v>197.721490063907</c:v>
                </c:pt>
                <c:pt idx="151">
                  <c:v>197.721490063907</c:v>
                </c:pt>
                <c:pt idx="152">
                  <c:v>197.721490063907</c:v>
                </c:pt>
                <c:pt idx="153">
                  <c:v>197.721490063907</c:v>
                </c:pt>
                <c:pt idx="154">
                  <c:v>197.721490063907</c:v>
                </c:pt>
                <c:pt idx="155">
                  <c:v>197.721490063907</c:v>
                </c:pt>
                <c:pt idx="156">
                  <c:v>197.721490063907</c:v>
                </c:pt>
                <c:pt idx="157">
                  <c:v>197.721490063907</c:v>
                </c:pt>
                <c:pt idx="158">
                  <c:v>197.721490063907</c:v>
                </c:pt>
                <c:pt idx="159">
                  <c:v>197.721490063907</c:v>
                </c:pt>
                <c:pt idx="160">
                  <c:v>197.721490063907</c:v>
                </c:pt>
                <c:pt idx="161">
                  <c:v>197.721490063907</c:v>
                </c:pt>
                <c:pt idx="162">
                  <c:v>197.721490063907</c:v>
                </c:pt>
                <c:pt idx="163">
                  <c:v>197.721490063907</c:v>
                </c:pt>
                <c:pt idx="164">
                  <c:v>197.721490063907</c:v>
                </c:pt>
                <c:pt idx="165">
                  <c:v>197.721490063907</c:v>
                </c:pt>
                <c:pt idx="166">
                  <c:v>197.721490063907</c:v>
                </c:pt>
                <c:pt idx="167">
                  <c:v>197.721490063907</c:v>
                </c:pt>
                <c:pt idx="168">
                  <c:v>197.721490063907</c:v>
                </c:pt>
                <c:pt idx="169">
                  <c:v>197.721490063907</c:v>
                </c:pt>
                <c:pt idx="170">
                  <c:v>197.721490063907</c:v>
                </c:pt>
                <c:pt idx="171">
                  <c:v>197.721490063907</c:v>
                </c:pt>
                <c:pt idx="172">
                  <c:v>197.721490063907</c:v>
                </c:pt>
                <c:pt idx="173">
                  <c:v>197.721490063907</c:v>
                </c:pt>
                <c:pt idx="174">
                  <c:v>197.721490063907</c:v>
                </c:pt>
                <c:pt idx="175">
                  <c:v>197.721490063907</c:v>
                </c:pt>
                <c:pt idx="176">
                  <c:v>197.721490063907</c:v>
                </c:pt>
                <c:pt idx="177">
                  <c:v>197.721490063907</c:v>
                </c:pt>
                <c:pt idx="178">
                  <c:v>197.721490063907</c:v>
                </c:pt>
                <c:pt idx="179">
                  <c:v>197.721490063907</c:v>
                </c:pt>
                <c:pt idx="180">
                  <c:v>197.721490063907</c:v>
                </c:pt>
                <c:pt idx="181">
                  <c:v>197.721490063907</c:v>
                </c:pt>
                <c:pt idx="182">
                  <c:v>197.721490063907</c:v>
                </c:pt>
                <c:pt idx="183">
                  <c:v>197.721490063907</c:v>
                </c:pt>
                <c:pt idx="184">
                  <c:v>197.721490063907</c:v>
                </c:pt>
                <c:pt idx="185">
                  <c:v>197.721490063907</c:v>
                </c:pt>
                <c:pt idx="186">
                  <c:v>197.721490063907</c:v>
                </c:pt>
                <c:pt idx="187">
                  <c:v>197.721490063907</c:v>
                </c:pt>
                <c:pt idx="188">
                  <c:v>197.721490063907</c:v>
                </c:pt>
                <c:pt idx="189">
                  <c:v>197.721490063907</c:v>
                </c:pt>
                <c:pt idx="190">
                  <c:v>197.721490063907</c:v>
                </c:pt>
                <c:pt idx="191">
                  <c:v>197.721490063907</c:v>
                </c:pt>
                <c:pt idx="192">
                  <c:v>197.721490063907</c:v>
                </c:pt>
                <c:pt idx="193">
                  <c:v>197.721490063907</c:v>
                </c:pt>
                <c:pt idx="194">
                  <c:v>197.721490063907</c:v>
                </c:pt>
                <c:pt idx="195">
                  <c:v>197.721490063907</c:v>
                </c:pt>
                <c:pt idx="196">
                  <c:v>197.721490063907</c:v>
                </c:pt>
                <c:pt idx="197">
                  <c:v>197.721490063907</c:v>
                </c:pt>
                <c:pt idx="198">
                  <c:v>197.721490063907</c:v>
                </c:pt>
                <c:pt idx="199">
                  <c:v>197.721490063907</c:v>
                </c:pt>
                <c:pt idx="200">
                  <c:v>197.721490063907</c:v>
                </c:pt>
                <c:pt idx="201">
                  <c:v>197.721490063907</c:v>
                </c:pt>
                <c:pt idx="202">
                  <c:v>197.721490063907</c:v>
                </c:pt>
                <c:pt idx="203">
                  <c:v>197.721490063907</c:v>
                </c:pt>
                <c:pt idx="204">
                  <c:v>197.721490063907</c:v>
                </c:pt>
                <c:pt idx="205">
                  <c:v>197.721490063907</c:v>
                </c:pt>
                <c:pt idx="206">
                  <c:v>197.721490063907</c:v>
                </c:pt>
                <c:pt idx="207">
                  <c:v>197.721490063907</c:v>
                </c:pt>
                <c:pt idx="208">
                  <c:v>197.721490063907</c:v>
                </c:pt>
                <c:pt idx="209">
                  <c:v>197.721490063907</c:v>
                </c:pt>
                <c:pt idx="210">
                  <c:v>197.721490063907</c:v>
                </c:pt>
                <c:pt idx="211">
                  <c:v>197.721490063907</c:v>
                </c:pt>
                <c:pt idx="212">
                  <c:v>197.721490063907</c:v>
                </c:pt>
                <c:pt idx="213">
                  <c:v>197.721490063907</c:v>
                </c:pt>
                <c:pt idx="214">
                  <c:v>197.721490063907</c:v>
                </c:pt>
                <c:pt idx="215">
                  <c:v>197.721490063907</c:v>
                </c:pt>
                <c:pt idx="216">
                  <c:v>197.721490063907</c:v>
                </c:pt>
                <c:pt idx="217">
                  <c:v>197.721490063907</c:v>
                </c:pt>
                <c:pt idx="218">
                  <c:v>197.721490063907</c:v>
                </c:pt>
                <c:pt idx="219">
                  <c:v>197.721490063907</c:v>
                </c:pt>
                <c:pt idx="220">
                  <c:v>197.721490063907</c:v>
                </c:pt>
                <c:pt idx="221">
                  <c:v>197.721490063907</c:v>
                </c:pt>
                <c:pt idx="222">
                  <c:v>197.721490063907</c:v>
                </c:pt>
                <c:pt idx="223">
                  <c:v>197.721490063907</c:v>
                </c:pt>
                <c:pt idx="224">
                  <c:v>197.721490063907</c:v>
                </c:pt>
                <c:pt idx="225">
                  <c:v>197.721490063907</c:v>
                </c:pt>
                <c:pt idx="226">
                  <c:v>197.721490063907</c:v>
                </c:pt>
                <c:pt idx="227">
                  <c:v>197.721490063907</c:v>
                </c:pt>
                <c:pt idx="228">
                  <c:v>197.721490063907</c:v>
                </c:pt>
                <c:pt idx="229">
                  <c:v>197.721490063907</c:v>
                </c:pt>
                <c:pt idx="230">
                  <c:v>197.721490063907</c:v>
                </c:pt>
                <c:pt idx="231">
                  <c:v>197.721490063907</c:v>
                </c:pt>
                <c:pt idx="232">
                  <c:v>197.721490063907</c:v>
                </c:pt>
                <c:pt idx="233">
                  <c:v>197.721490063907</c:v>
                </c:pt>
                <c:pt idx="234">
                  <c:v>197.721490063907</c:v>
                </c:pt>
                <c:pt idx="235">
                  <c:v>197.721490063907</c:v>
                </c:pt>
                <c:pt idx="236">
                  <c:v>197.721490063907</c:v>
                </c:pt>
                <c:pt idx="237">
                  <c:v>197.721490063907</c:v>
                </c:pt>
                <c:pt idx="238">
                  <c:v>197.721490063907</c:v>
                </c:pt>
                <c:pt idx="239">
                  <c:v>197.721490063907</c:v>
                </c:pt>
                <c:pt idx="240">
                  <c:v>197.721490063907</c:v>
                </c:pt>
                <c:pt idx="241">
                  <c:v>197.721490063907</c:v>
                </c:pt>
                <c:pt idx="242">
                  <c:v>197.721490063907</c:v>
                </c:pt>
                <c:pt idx="243">
                  <c:v>197.721490063907</c:v>
                </c:pt>
                <c:pt idx="244">
                  <c:v>197.721490063907</c:v>
                </c:pt>
                <c:pt idx="245">
                  <c:v>197.721490063907</c:v>
                </c:pt>
                <c:pt idx="246">
                  <c:v>197.721490063907</c:v>
                </c:pt>
                <c:pt idx="247">
                  <c:v>197.721490063907</c:v>
                </c:pt>
                <c:pt idx="248">
                  <c:v>197.721490063907</c:v>
                </c:pt>
                <c:pt idx="249">
                  <c:v>197.721490063907</c:v>
                </c:pt>
                <c:pt idx="250">
                  <c:v>197.721490063907</c:v>
                </c:pt>
                <c:pt idx="251">
                  <c:v>197.721490063907</c:v>
                </c:pt>
                <c:pt idx="252">
                  <c:v>197.721490063907</c:v>
                </c:pt>
                <c:pt idx="253">
                  <c:v>197.721490063907</c:v>
                </c:pt>
                <c:pt idx="254">
                  <c:v>197.721490063907</c:v>
                </c:pt>
                <c:pt idx="255">
                  <c:v>197.721490063907</c:v>
                </c:pt>
                <c:pt idx="256">
                  <c:v>197.721490063907</c:v>
                </c:pt>
                <c:pt idx="257">
                  <c:v>197.721490063907</c:v>
                </c:pt>
                <c:pt idx="258">
                  <c:v>197.721490063907</c:v>
                </c:pt>
                <c:pt idx="259">
                  <c:v>197.721490063907</c:v>
                </c:pt>
                <c:pt idx="260">
                  <c:v>197.721490063907</c:v>
                </c:pt>
                <c:pt idx="261">
                  <c:v>197.721490063907</c:v>
                </c:pt>
                <c:pt idx="262">
                  <c:v>197.721490063907</c:v>
                </c:pt>
                <c:pt idx="263">
                  <c:v>197.721490063907</c:v>
                </c:pt>
                <c:pt idx="264">
                  <c:v>197.721490063907</c:v>
                </c:pt>
                <c:pt idx="265">
                  <c:v>197.721490063907</c:v>
                </c:pt>
                <c:pt idx="266">
                  <c:v>197.721490063907</c:v>
                </c:pt>
                <c:pt idx="267">
                  <c:v>197.721490063907</c:v>
                </c:pt>
                <c:pt idx="268">
                  <c:v>197.721490063907</c:v>
                </c:pt>
                <c:pt idx="269">
                  <c:v>197.721490063907</c:v>
                </c:pt>
                <c:pt idx="270">
                  <c:v>197.721490063907</c:v>
                </c:pt>
                <c:pt idx="271">
                  <c:v>197.721490063907</c:v>
                </c:pt>
                <c:pt idx="272">
                  <c:v>197.721490063907</c:v>
                </c:pt>
                <c:pt idx="273">
                  <c:v>197.721490063907</c:v>
                </c:pt>
                <c:pt idx="274">
                  <c:v>197.721490063907</c:v>
                </c:pt>
                <c:pt idx="275">
                  <c:v>197.721490063907</c:v>
                </c:pt>
                <c:pt idx="276">
                  <c:v>197.721490063907</c:v>
                </c:pt>
                <c:pt idx="277">
                  <c:v>197.721490063907</c:v>
                </c:pt>
                <c:pt idx="278">
                  <c:v>197.721490063907</c:v>
                </c:pt>
                <c:pt idx="279">
                  <c:v>197.721490063907</c:v>
                </c:pt>
                <c:pt idx="280">
                  <c:v>197.721490063907</c:v>
                </c:pt>
                <c:pt idx="281">
                  <c:v>197.721490063907</c:v>
                </c:pt>
                <c:pt idx="282">
                  <c:v>197.721490063907</c:v>
                </c:pt>
                <c:pt idx="283">
                  <c:v>197.721490063907</c:v>
                </c:pt>
                <c:pt idx="284">
                  <c:v>197.721490063907</c:v>
                </c:pt>
                <c:pt idx="285">
                  <c:v>197.721490063907</c:v>
                </c:pt>
                <c:pt idx="286">
                  <c:v>197.721490063907</c:v>
                </c:pt>
                <c:pt idx="287">
                  <c:v>197.721490063907</c:v>
                </c:pt>
                <c:pt idx="288">
                  <c:v>197.721490063907</c:v>
                </c:pt>
                <c:pt idx="289">
                  <c:v>197.721490063907</c:v>
                </c:pt>
                <c:pt idx="290">
                  <c:v>197.721490063907</c:v>
                </c:pt>
                <c:pt idx="291">
                  <c:v>197.721490063907</c:v>
                </c:pt>
                <c:pt idx="292">
                  <c:v>197.721490063907</c:v>
                </c:pt>
                <c:pt idx="293">
                  <c:v>197.721490063907</c:v>
                </c:pt>
                <c:pt idx="294">
                  <c:v>197.721490063907</c:v>
                </c:pt>
                <c:pt idx="295">
                  <c:v>197.721490063907</c:v>
                </c:pt>
                <c:pt idx="296">
                  <c:v>197.721490063907</c:v>
                </c:pt>
                <c:pt idx="297">
                  <c:v>197.721490063907</c:v>
                </c:pt>
                <c:pt idx="298">
                  <c:v>197.721490063907</c:v>
                </c:pt>
                <c:pt idx="299">
                  <c:v>197.721490063907</c:v>
                </c:pt>
                <c:pt idx="300">
                  <c:v>197.721490063907</c:v>
                </c:pt>
                <c:pt idx="301">
                  <c:v>197.721490063907</c:v>
                </c:pt>
                <c:pt idx="302">
                  <c:v>197.721490063907</c:v>
                </c:pt>
                <c:pt idx="303">
                  <c:v>197.721490063907</c:v>
                </c:pt>
                <c:pt idx="304">
                  <c:v>197.721490063907</c:v>
                </c:pt>
                <c:pt idx="305">
                  <c:v>197.721490063907</c:v>
                </c:pt>
                <c:pt idx="306">
                  <c:v>197.721490063907</c:v>
                </c:pt>
                <c:pt idx="307">
                  <c:v>197.721490063907</c:v>
                </c:pt>
                <c:pt idx="308">
                  <c:v>197.721490063907</c:v>
                </c:pt>
                <c:pt idx="309">
                  <c:v>197.721490063907</c:v>
                </c:pt>
                <c:pt idx="310">
                  <c:v>197.721490063907</c:v>
                </c:pt>
                <c:pt idx="311">
                  <c:v>197.721490063907</c:v>
                </c:pt>
                <c:pt idx="312">
                  <c:v>197.721490063907</c:v>
                </c:pt>
                <c:pt idx="313">
                  <c:v>197.721490063907</c:v>
                </c:pt>
                <c:pt idx="314">
                  <c:v>197.721490063907</c:v>
                </c:pt>
                <c:pt idx="315">
                  <c:v>197.721490063907</c:v>
                </c:pt>
                <c:pt idx="316">
                  <c:v>197.721490063907</c:v>
                </c:pt>
                <c:pt idx="317">
                  <c:v>197.721490063907</c:v>
                </c:pt>
                <c:pt idx="318">
                  <c:v>197.721490063907</c:v>
                </c:pt>
                <c:pt idx="319">
                  <c:v>197.721490063907</c:v>
                </c:pt>
                <c:pt idx="320">
                  <c:v>197.721490063907</c:v>
                </c:pt>
                <c:pt idx="321">
                  <c:v>197.721490063907</c:v>
                </c:pt>
                <c:pt idx="322">
                  <c:v>197.721490063907</c:v>
                </c:pt>
                <c:pt idx="323">
                  <c:v>197.721490063907</c:v>
                </c:pt>
                <c:pt idx="324">
                  <c:v>197.721490063907</c:v>
                </c:pt>
                <c:pt idx="325">
                  <c:v>197.721490063907</c:v>
                </c:pt>
                <c:pt idx="326">
                  <c:v>197.721490063907</c:v>
                </c:pt>
                <c:pt idx="327">
                  <c:v>197.721490063907</c:v>
                </c:pt>
                <c:pt idx="328">
                  <c:v>197.721490063907</c:v>
                </c:pt>
                <c:pt idx="329">
                  <c:v>197.721490063907</c:v>
                </c:pt>
                <c:pt idx="330">
                  <c:v>197.721490063907</c:v>
                </c:pt>
                <c:pt idx="331">
                  <c:v>197.721490063907</c:v>
                </c:pt>
                <c:pt idx="332">
                  <c:v>197.721490063907</c:v>
                </c:pt>
                <c:pt idx="333">
                  <c:v>197.721490063907</c:v>
                </c:pt>
                <c:pt idx="334">
                  <c:v>197.721490063907</c:v>
                </c:pt>
                <c:pt idx="335">
                  <c:v>197.721490063907</c:v>
                </c:pt>
                <c:pt idx="336">
                  <c:v>197.721490063907</c:v>
                </c:pt>
                <c:pt idx="337">
                  <c:v>197.721490063907</c:v>
                </c:pt>
                <c:pt idx="338">
                  <c:v>197.721490063907</c:v>
                </c:pt>
                <c:pt idx="339">
                  <c:v>197.721490063907</c:v>
                </c:pt>
                <c:pt idx="340">
                  <c:v>197.721490063907</c:v>
                </c:pt>
                <c:pt idx="341">
                  <c:v>197.721490063907</c:v>
                </c:pt>
                <c:pt idx="342">
                  <c:v>197.721490063907</c:v>
                </c:pt>
                <c:pt idx="343">
                  <c:v>197.721490063907</c:v>
                </c:pt>
                <c:pt idx="344">
                  <c:v>197.721490063907</c:v>
                </c:pt>
                <c:pt idx="345">
                  <c:v>197.721490063907</c:v>
                </c:pt>
                <c:pt idx="346">
                  <c:v>197.721490063907</c:v>
                </c:pt>
                <c:pt idx="347">
                  <c:v>197.721490063907</c:v>
                </c:pt>
                <c:pt idx="348">
                  <c:v>197.721490063907</c:v>
                </c:pt>
                <c:pt idx="349">
                  <c:v>197.721490063907</c:v>
                </c:pt>
                <c:pt idx="350">
                  <c:v>197.721490063907</c:v>
                </c:pt>
                <c:pt idx="351">
                  <c:v>197.721490063907</c:v>
                </c:pt>
                <c:pt idx="352">
                  <c:v>197.721490063907</c:v>
                </c:pt>
                <c:pt idx="353">
                  <c:v>197.721490063907</c:v>
                </c:pt>
                <c:pt idx="354">
                  <c:v>197.721490063907</c:v>
                </c:pt>
                <c:pt idx="355">
                  <c:v>197.721490063907</c:v>
                </c:pt>
                <c:pt idx="356">
                  <c:v>197.721490063907</c:v>
                </c:pt>
                <c:pt idx="357">
                  <c:v>197.721490063907</c:v>
                </c:pt>
                <c:pt idx="358">
                  <c:v>197.721490063907</c:v>
                </c:pt>
                <c:pt idx="359">
                  <c:v>197.721490063907</c:v>
                </c:pt>
                <c:pt idx="360">
                  <c:v>197.721490063907</c:v>
                </c:pt>
                <c:pt idx="361">
                  <c:v>197.721490063907</c:v>
                </c:pt>
                <c:pt idx="362">
                  <c:v>197.721490063907</c:v>
                </c:pt>
                <c:pt idx="363">
                  <c:v>197.721490063907</c:v>
                </c:pt>
                <c:pt idx="364">
                  <c:v>197.721490063907</c:v>
                </c:pt>
                <c:pt idx="365">
                  <c:v>197.721490063907</c:v>
                </c:pt>
                <c:pt idx="366">
                  <c:v>197.721490063907</c:v>
                </c:pt>
                <c:pt idx="367">
                  <c:v>197.721490063907</c:v>
                </c:pt>
                <c:pt idx="368">
                  <c:v>197.721490063907</c:v>
                </c:pt>
                <c:pt idx="369">
                  <c:v>197.721490063907</c:v>
                </c:pt>
                <c:pt idx="370">
                  <c:v>197.721490063907</c:v>
                </c:pt>
                <c:pt idx="371">
                  <c:v>197.721490063907</c:v>
                </c:pt>
                <c:pt idx="372">
                  <c:v>197.721490063907</c:v>
                </c:pt>
                <c:pt idx="373">
                  <c:v>197.721490063907</c:v>
                </c:pt>
                <c:pt idx="374">
                  <c:v>197.721490063907</c:v>
                </c:pt>
                <c:pt idx="375">
                  <c:v>197.721490063907</c:v>
                </c:pt>
                <c:pt idx="376">
                  <c:v>197.721490063907</c:v>
                </c:pt>
                <c:pt idx="377">
                  <c:v>197.721490063907</c:v>
                </c:pt>
                <c:pt idx="378">
                  <c:v>197.721490063907</c:v>
                </c:pt>
                <c:pt idx="379">
                  <c:v>197.721490063907</c:v>
                </c:pt>
                <c:pt idx="380">
                  <c:v>197.721490063907</c:v>
                </c:pt>
                <c:pt idx="381">
                  <c:v>197.721490063907</c:v>
                </c:pt>
                <c:pt idx="382">
                  <c:v>197.721490063907</c:v>
                </c:pt>
                <c:pt idx="383">
                  <c:v>197.721490063907</c:v>
                </c:pt>
                <c:pt idx="384">
                  <c:v>197.721490063907</c:v>
                </c:pt>
                <c:pt idx="385">
                  <c:v>197.721490063907</c:v>
                </c:pt>
                <c:pt idx="386">
                  <c:v>197.721490063907</c:v>
                </c:pt>
                <c:pt idx="387">
                  <c:v>197.721490063907</c:v>
                </c:pt>
                <c:pt idx="388">
                  <c:v>197.721490063907</c:v>
                </c:pt>
                <c:pt idx="389">
                  <c:v>197.721490063907</c:v>
                </c:pt>
                <c:pt idx="390">
                  <c:v>197.721490063907</c:v>
                </c:pt>
                <c:pt idx="391">
                  <c:v>197.721490063907</c:v>
                </c:pt>
                <c:pt idx="392">
                  <c:v>197.721490063907</c:v>
                </c:pt>
                <c:pt idx="393">
                  <c:v>197.721490063907</c:v>
                </c:pt>
                <c:pt idx="394">
                  <c:v>197.721490063907</c:v>
                </c:pt>
                <c:pt idx="395">
                  <c:v>197.721490063907</c:v>
                </c:pt>
                <c:pt idx="396">
                  <c:v>197.721490063907</c:v>
                </c:pt>
                <c:pt idx="397">
                  <c:v>197.721490063907</c:v>
                </c:pt>
                <c:pt idx="398">
                  <c:v>197.721490063907</c:v>
                </c:pt>
                <c:pt idx="399">
                  <c:v>197.721490063907</c:v>
                </c:pt>
                <c:pt idx="400">
                  <c:v>197.721490063907</c:v>
                </c:pt>
              </c:numCache>
              <c:extLst xmlns:c15="http://schemas.microsoft.com/office/drawing/2012/chart"/>
            </c:numRef>
          </c:xVal>
          <c:yVal>
            <c:numRef>
              <c:f>'V-N Diagram'!$V$37:$V$437</c:f>
              <c:numCache>
                <c:formatCode>General</c:formatCode>
                <c:ptCount val="401"/>
                <c:pt idx="0">
                  <c:v>-3</c:v>
                </c:pt>
                <c:pt idx="1">
                  <c:v>-2.98</c:v>
                </c:pt>
                <c:pt idx="2">
                  <c:v>-2.96</c:v>
                </c:pt>
                <c:pt idx="3">
                  <c:v>-2.94</c:v>
                </c:pt>
                <c:pt idx="4">
                  <c:v>-2.92</c:v>
                </c:pt>
                <c:pt idx="5">
                  <c:v>-2.9</c:v>
                </c:pt>
                <c:pt idx="6">
                  <c:v>-2.88</c:v>
                </c:pt>
                <c:pt idx="7">
                  <c:v>-2.86</c:v>
                </c:pt>
                <c:pt idx="8">
                  <c:v>-2.84</c:v>
                </c:pt>
                <c:pt idx="9">
                  <c:v>-2.82</c:v>
                </c:pt>
                <c:pt idx="10">
                  <c:v>-2.8</c:v>
                </c:pt>
                <c:pt idx="11">
                  <c:v>-2.78</c:v>
                </c:pt>
                <c:pt idx="12">
                  <c:v>-2.76</c:v>
                </c:pt>
                <c:pt idx="13">
                  <c:v>-2.74</c:v>
                </c:pt>
                <c:pt idx="14">
                  <c:v>-2.72</c:v>
                </c:pt>
                <c:pt idx="15">
                  <c:v>-2.7</c:v>
                </c:pt>
                <c:pt idx="16">
                  <c:v>-2.68</c:v>
                </c:pt>
                <c:pt idx="17">
                  <c:v>-2.66</c:v>
                </c:pt>
                <c:pt idx="18">
                  <c:v>-2.64</c:v>
                </c:pt>
                <c:pt idx="19">
                  <c:v>-2.62</c:v>
                </c:pt>
                <c:pt idx="20">
                  <c:v>-2.6</c:v>
                </c:pt>
                <c:pt idx="21">
                  <c:v>-2.58</c:v>
                </c:pt>
                <c:pt idx="22">
                  <c:v>-2.56</c:v>
                </c:pt>
                <c:pt idx="23">
                  <c:v>-2.54</c:v>
                </c:pt>
                <c:pt idx="24">
                  <c:v>-2.52</c:v>
                </c:pt>
                <c:pt idx="25">
                  <c:v>-2.5</c:v>
                </c:pt>
                <c:pt idx="26">
                  <c:v>-2.48</c:v>
                </c:pt>
                <c:pt idx="27">
                  <c:v>-2.46</c:v>
                </c:pt>
                <c:pt idx="28">
                  <c:v>-2.44</c:v>
                </c:pt>
                <c:pt idx="29">
                  <c:v>-2.42</c:v>
                </c:pt>
                <c:pt idx="30">
                  <c:v>-2.4</c:v>
                </c:pt>
                <c:pt idx="31">
                  <c:v>-2.38</c:v>
                </c:pt>
                <c:pt idx="32">
                  <c:v>-2.36</c:v>
                </c:pt>
                <c:pt idx="33">
                  <c:v>-2.34</c:v>
                </c:pt>
                <c:pt idx="34">
                  <c:v>-2.3199999999999998</c:v>
                </c:pt>
                <c:pt idx="35">
                  <c:v>-2.2999999999999998</c:v>
                </c:pt>
                <c:pt idx="36">
                  <c:v>-2.2799999999999998</c:v>
                </c:pt>
                <c:pt idx="37">
                  <c:v>-2.2599999999999998</c:v>
                </c:pt>
                <c:pt idx="38">
                  <c:v>-2.2400000000000002</c:v>
                </c:pt>
                <c:pt idx="39">
                  <c:v>-2.2200000000000002</c:v>
                </c:pt>
                <c:pt idx="40">
                  <c:v>-2.2000000000000002</c:v>
                </c:pt>
                <c:pt idx="41">
                  <c:v>-2.1800000000000002</c:v>
                </c:pt>
                <c:pt idx="42">
                  <c:v>-2.16</c:v>
                </c:pt>
                <c:pt idx="43">
                  <c:v>-2.14</c:v>
                </c:pt>
                <c:pt idx="44">
                  <c:v>-2.12</c:v>
                </c:pt>
                <c:pt idx="45">
                  <c:v>-2.1</c:v>
                </c:pt>
                <c:pt idx="46">
                  <c:v>-2.08</c:v>
                </c:pt>
                <c:pt idx="47">
                  <c:v>-2.06</c:v>
                </c:pt>
                <c:pt idx="48">
                  <c:v>-2.04</c:v>
                </c:pt>
                <c:pt idx="49">
                  <c:v>-2.02</c:v>
                </c:pt>
                <c:pt idx="50">
                  <c:v>-2</c:v>
                </c:pt>
                <c:pt idx="51">
                  <c:v>-1.98</c:v>
                </c:pt>
                <c:pt idx="52">
                  <c:v>-1.96</c:v>
                </c:pt>
                <c:pt idx="53">
                  <c:v>-1.94</c:v>
                </c:pt>
                <c:pt idx="54">
                  <c:v>-1.92</c:v>
                </c:pt>
                <c:pt idx="55">
                  <c:v>-1.9</c:v>
                </c:pt>
                <c:pt idx="56">
                  <c:v>-1.88</c:v>
                </c:pt>
                <c:pt idx="57">
                  <c:v>-1.86</c:v>
                </c:pt>
                <c:pt idx="58">
                  <c:v>-1.84</c:v>
                </c:pt>
                <c:pt idx="59">
                  <c:v>-1.82</c:v>
                </c:pt>
                <c:pt idx="60">
                  <c:v>-1.8</c:v>
                </c:pt>
                <c:pt idx="61">
                  <c:v>-1.78</c:v>
                </c:pt>
                <c:pt idx="62">
                  <c:v>-1.76</c:v>
                </c:pt>
                <c:pt idx="63">
                  <c:v>-1.74</c:v>
                </c:pt>
                <c:pt idx="64">
                  <c:v>-1.72</c:v>
                </c:pt>
                <c:pt idx="65">
                  <c:v>-1.7</c:v>
                </c:pt>
                <c:pt idx="66">
                  <c:v>-1.68</c:v>
                </c:pt>
                <c:pt idx="67">
                  <c:v>-1.66</c:v>
                </c:pt>
                <c:pt idx="68">
                  <c:v>-1.64</c:v>
                </c:pt>
                <c:pt idx="69">
                  <c:v>-1.62</c:v>
                </c:pt>
                <c:pt idx="70">
                  <c:v>-1.6</c:v>
                </c:pt>
                <c:pt idx="71">
                  <c:v>-1.58</c:v>
                </c:pt>
                <c:pt idx="72">
                  <c:v>-1.56</c:v>
                </c:pt>
                <c:pt idx="73">
                  <c:v>-1.54</c:v>
                </c:pt>
                <c:pt idx="74">
                  <c:v>-1.52</c:v>
                </c:pt>
                <c:pt idx="75">
                  <c:v>-1.5</c:v>
                </c:pt>
                <c:pt idx="76">
                  <c:v>-1.48</c:v>
                </c:pt>
                <c:pt idx="77">
                  <c:v>-1.46</c:v>
                </c:pt>
                <c:pt idx="78">
                  <c:v>-1.44</c:v>
                </c:pt>
                <c:pt idx="79">
                  <c:v>-1.42</c:v>
                </c:pt>
                <c:pt idx="80">
                  <c:v>-1.4</c:v>
                </c:pt>
                <c:pt idx="81">
                  <c:v>-1.38</c:v>
                </c:pt>
                <c:pt idx="82">
                  <c:v>-1.36</c:v>
                </c:pt>
                <c:pt idx="83">
                  <c:v>-1.34</c:v>
                </c:pt>
                <c:pt idx="84">
                  <c:v>-1.32</c:v>
                </c:pt>
                <c:pt idx="85">
                  <c:v>-1.3</c:v>
                </c:pt>
                <c:pt idx="86">
                  <c:v>-1.28</c:v>
                </c:pt>
                <c:pt idx="87">
                  <c:v>-1.26</c:v>
                </c:pt>
                <c:pt idx="88">
                  <c:v>-1.24</c:v>
                </c:pt>
                <c:pt idx="89">
                  <c:v>-1.22</c:v>
                </c:pt>
                <c:pt idx="90">
                  <c:v>-1.2</c:v>
                </c:pt>
                <c:pt idx="91">
                  <c:v>-1.18</c:v>
                </c:pt>
                <c:pt idx="92">
                  <c:v>-1.1599999999999999</c:v>
                </c:pt>
                <c:pt idx="93">
                  <c:v>-1.1399999999999999</c:v>
                </c:pt>
                <c:pt idx="94">
                  <c:v>-1.1200000000000001</c:v>
                </c:pt>
                <c:pt idx="95">
                  <c:v>-1.1000000000000001</c:v>
                </c:pt>
                <c:pt idx="96">
                  <c:v>-1.08</c:v>
                </c:pt>
                <c:pt idx="97">
                  <c:v>-1.06</c:v>
                </c:pt>
                <c:pt idx="98">
                  <c:v>-1.04</c:v>
                </c:pt>
                <c:pt idx="99">
                  <c:v>-1.02</c:v>
                </c:pt>
                <c:pt idx="100">
                  <c:v>-1</c:v>
                </c:pt>
                <c:pt idx="101">
                  <c:v>-0.98</c:v>
                </c:pt>
                <c:pt idx="102">
                  <c:v>-0.96</c:v>
                </c:pt>
                <c:pt idx="103">
                  <c:v>-0.94</c:v>
                </c:pt>
                <c:pt idx="104">
                  <c:v>-0.92</c:v>
                </c:pt>
                <c:pt idx="105">
                  <c:v>-0.9</c:v>
                </c:pt>
                <c:pt idx="106">
                  <c:v>-0.88</c:v>
                </c:pt>
                <c:pt idx="107">
                  <c:v>-0.86</c:v>
                </c:pt>
                <c:pt idx="108">
                  <c:v>-0.84</c:v>
                </c:pt>
                <c:pt idx="109">
                  <c:v>-0.82</c:v>
                </c:pt>
                <c:pt idx="110">
                  <c:v>-0.8</c:v>
                </c:pt>
                <c:pt idx="111">
                  <c:v>-0.78</c:v>
                </c:pt>
                <c:pt idx="112">
                  <c:v>-0.76</c:v>
                </c:pt>
                <c:pt idx="113">
                  <c:v>-0.74</c:v>
                </c:pt>
                <c:pt idx="114">
                  <c:v>-0.72</c:v>
                </c:pt>
                <c:pt idx="115">
                  <c:v>-0.7</c:v>
                </c:pt>
                <c:pt idx="116">
                  <c:v>-0.68</c:v>
                </c:pt>
                <c:pt idx="117">
                  <c:v>-0.66</c:v>
                </c:pt>
                <c:pt idx="118">
                  <c:v>-0.64</c:v>
                </c:pt>
                <c:pt idx="119">
                  <c:v>-0.62</c:v>
                </c:pt>
                <c:pt idx="120">
                  <c:v>-0.6</c:v>
                </c:pt>
                <c:pt idx="121">
                  <c:v>-0.57999999999999996</c:v>
                </c:pt>
                <c:pt idx="122">
                  <c:v>-0.56000000000000005</c:v>
                </c:pt>
                <c:pt idx="123">
                  <c:v>-0.54</c:v>
                </c:pt>
                <c:pt idx="124">
                  <c:v>-0.52</c:v>
                </c:pt>
                <c:pt idx="125">
                  <c:v>-0.5</c:v>
                </c:pt>
                <c:pt idx="126">
                  <c:v>-0.48</c:v>
                </c:pt>
                <c:pt idx="127">
                  <c:v>-0.46</c:v>
                </c:pt>
                <c:pt idx="128">
                  <c:v>-0.44</c:v>
                </c:pt>
                <c:pt idx="129">
                  <c:v>-0.42</c:v>
                </c:pt>
                <c:pt idx="130">
                  <c:v>-0.4</c:v>
                </c:pt>
                <c:pt idx="131">
                  <c:v>-0.38</c:v>
                </c:pt>
                <c:pt idx="132">
                  <c:v>-0.36</c:v>
                </c:pt>
                <c:pt idx="133">
                  <c:v>-0.34</c:v>
                </c:pt>
                <c:pt idx="134">
                  <c:v>-0.32</c:v>
                </c:pt>
                <c:pt idx="135">
                  <c:v>-0.3</c:v>
                </c:pt>
                <c:pt idx="136">
                  <c:v>-0.28000000000000003</c:v>
                </c:pt>
                <c:pt idx="137">
                  <c:v>-0.26</c:v>
                </c:pt>
                <c:pt idx="138">
                  <c:v>-0.24</c:v>
                </c:pt>
                <c:pt idx="139">
                  <c:v>-0.22</c:v>
                </c:pt>
                <c:pt idx="140">
                  <c:v>-0.2</c:v>
                </c:pt>
                <c:pt idx="141">
                  <c:v>-0.18</c:v>
                </c:pt>
                <c:pt idx="142">
                  <c:v>-0.16</c:v>
                </c:pt>
                <c:pt idx="143">
                  <c:v>-0.14000000000000001</c:v>
                </c:pt>
                <c:pt idx="144">
                  <c:v>-0.12</c:v>
                </c:pt>
                <c:pt idx="145">
                  <c:v>-0.1</c:v>
                </c:pt>
                <c:pt idx="146">
                  <c:v>-8.0000000000000099E-2</c:v>
                </c:pt>
                <c:pt idx="147">
                  <c:v>-6.0000000000000102E-2</c:v>
                </c:pt>
                <c:pt idx="148">
                  <c:v>-0.04</c:v>
                </c:pt>
                <c:pt idx="149">
                  <c:v>-0.02</c:v>
                </c:pt>
                <c:pt idx="150">
                  <c:v>0</c:v>
                </c:pt>
                <c:pt idx="151">
                  <c:v>0.02</c:v>
                </c:pt>
                <c:pt idx="152">
                  <c:v>0.04</c:v>
                </c:pt>
                <c:pt idx="153">
                  <c:v>6.0000000000000102E-2</c:v>
                </c:pt>
                <c:pt idx="154">
                  <c:v>8.0000000000000099E-2</c:v>
                </c:pt>
                <c:pt idx="155">
                  <c:v>0.1</c:v>
                </c:pt>
                <c:pt idx="156">
                  <c:v>0.12</c:v>
                </c:pt>
                <c:pt idx="157">
                  <c:v>0.14000000000000001</c:v>
                </c:pt>
                <c:pt idx="158">
                  <c:v>0.16</c:v>
                </c:pt>
                <c:pt idx="159">
                  <c:v>0.18</c:v>
                </c:pt>
                <c:pt idx="160">
                  <c:v>0.2</c:v>
                </c:pt>
                <c:pt idx="161">
                  <c:v>0.22</c:v>
                </c:pt>
                <c:pt idx="162">
                  <c:v>0.24</c:v>
                </c:pt>
                <c:pt idx="163">
                  <c:v>0.26</c:v>
                </c:pt>
                <c:pt idx="164">
                  <c:v>0.28000000000000003</c:v>
                </c:pt>
                <c:pt idx="165">
                  <c:v>0.3</c:v>
                </c:pt>
                <c:pt idx="166">
                  <c:v>0.32</c:v>
                </c:pt>
                <c:pt idx="167">
                  <c:v>0.34</c:v>
                </c:pt>
                <c:pt idx="168">
                  <c:v>0.36</c:v>
                </c:pt>
                <c:pt idx="169">
                  <c:v>0.38</c:v>
                </c:pt>
                <c:pt idx="170">
                  <c:v>0.4</c:v>
                </c:pt>
                <c:pt idx="171">
                  <c:v>0.42</c:v>
                </c:pt>
                <c:pt idx="172">
                  <c:v>0.44</c:v>
                </c:pt>
                <c:pt idx="173">
                  <c:v>0.46</c:v>
                </c:pt>
                <c:pt idx="174">
                  <c:v>0.48</c:v>
                </c:pt>
                <c:pt idx="175">
                  <c:v>0.5</c:v>
                </c:pt>
                <c:pt idx="176">
                  <c:v>0.52</c:v>
                </c:pt>
                <c:pt idx="177">
                  <c:v>0.54</c:v>
                </c:pt>
                <c:pt idx="178">
                  <c:v>0.56000000000000005</c:v>
                </c:pt>
                <c:pt idx="179">
                  <c:v>0.57999999999999996</c:v>
                </c:pt>
                <c:pt idx="180">
                  <c:v>0.6</c:v>
                </c:pt>
                <c:pt idx="181">
                  <c:v>0.62</c:v>
                </c:pt>
                <c:pt idx="182">
                  <c:v>0.64</c:v>
                </c:pt>
                <c:pt idx="183">
                  <c:v>0.66</c:v>
                </c:pt>
                <c:pt idx="184">
                  <c:v>0.68</c:v>
                </c:pt>
                <c:pt idx="185">
                  <c:v>0.7</c:v>
                </c:pt>
                <c:pt idx="186">
                  <c:v>0.72</c:v>
                </c:pt>
                <c:pt idx="187">
                  <c:v>0.74</c:v>
                </c:pt>
                <c:pt idx="188">
                  <c:v>0.76</c:v>
                </c:pt>
                <c:pt idx="189">
                  <c:v>0.78</c:v>
                </c:pt>
                <c:pt idx="190">
                  <c:v>0.8</c:v>
                </c:pt>
                <c:pt idx="191">
                  <c:v>0.82</c:v>
                </c:pt>
                <c:pt idx="192">
                  <c:v>0.84</c:v>
                </c:pt>
                <c:pt idx="193">
                  <c:v>0.86</c:v>
                </c:pt>
                <c:pt idx="194">
                  <c:v>0.88</c:v>
                </c:pt>
                <c:pt idx="195">
                  <c:v>0.9</c:v>
                </c:pt>
                <c:pt idx="196">
                  <c:v>0.92</c:v>
                </c:pt>
                <c:pt idx="197">
                  <c:v>0.94</c:v>
                </c:pt>
                <c:pt idx="198">
                  <c:v>0.96</c:v>
                </c:pt>
                <c:pt idx="199">
                  <c:v>0.98</c:v>
                </c:pt>
                <c:pt idx="200">
                  <c:v>1</c:v>
                </c:pt>
                <c:pt idx="201">
                  <c:v>1.02</c:v>
                </c:pt>
                <c:pt idx="202">
                  <c:v>1.04</c:v>
                </c:pt>
                <c:pt idx="203">
                  <c:v>1.06</c:v>
                </c:pt>
                <c:pt idx="204">
                  <c:v>1.08</c:v>
                </c:pt>
                <c:pt idx="205">
                  <c:v>1.1000000000000001</c:v>
                </c:pt>
                <c:pt idx="206">
                  <c:v>1.1200000000000001</c:v>
                </c:pt>
                <c:pt idx="207">
                  <c:v>1.1399999999999999</c:v>
                </c:pt>
                <c:pt idx="208">
                  <c:v>1.1599999999999999</c:v>
                </c:pt>
                <c:pt idx="209">
                  <c:v>1.18</c:v>
                </c:pt>
                <c:pt idx="210">
                  <c:v>1.2</c:v>
                </c:pt>
                <c:pt idx="211">
                  <c:v>1.22</c:v>
                </c:pt>
                <c:pt idx="212">
                  <c:v>1.24</c:v>
                </c:pt>
                <c:pt idx="213">
                  <c:v>1.26</c:v>
                </c:pt>
                <c:pt idx="214">
                  <c:v>1.28</c:v>
                </c:pt>
                <c:pt idx="215">
                  <c:v>1.3</c:v>
                </c:pt>
                <c:pt idx="216">
                  <c:v>1.32</c:v>
                </c:pt>
                <c:pt idx="217">
                  <c:v>1.34</c:v>
                </c:pt>
                <c:pt idx="218">
                  <c:v>1.36</c:v>
                </c:pt>
                <c:pt idx="219">
                  <c:v>1.38</c:v>
                </c:pt>
                <c:pt idx="220">
                  <c:v>1.4</c:v>
                </c:pt>
                <c:pt idx="221">
                  <c:v>1.42</c:v>
                </c:pt>
                <c:pt idx="222">
                  <c:v>1.44</c:v>
                </c:pt>
                <c:pt idx="223">
                  <c:v>1.46</c:v>
                </c:pt>
                <c:pt idx="224">
                  <c:v>1.48</c:v>
                </c:pt>
                <c:pt idx="225">
                  <c:v>1.5</c:v>
                </c:pt>
                <c:pt idx="226">
                  <c:v>1.52</c:v>
                </c:pt>
                <c:pt idx="227">
                  <c:v>1.54</c:v>
                </c:pt>
                <c:pt idx="228">
                  <c:v>1.56</c:v>
                </c:pt>
                <c:pt idx="229">
                  <c:v>1.58</c:v>
                </c:pt>
                <c:pt idx="230">
                  <c:v>1.6</c:v>
                </c:pt>
                <c:pt idx="231">
                  <c:v>1.62</c:v>
                </c:pt>
                <c:pt idx="232">
                  <c:v>1.64</c:v>
                </c:pt>
                <c:pt idx="233">
                  <c:v>1.66</c:v>
                </c:pt>
                <c:pt idx="234">
                  <c:v>1.68</c:v>
                </c:pt>
                <c:pt idx="235">
                  <c:v>1.7</c:v>
                </c:pt>
                <c:pt idx="236">
                  <c:v>1.72</c:v>
                </c:pt>
                <c:pt idx="237">
                  <c:v>1.74</c:v>
                </c:pt>
                <c:pt idx="238">
                  <c:v>1.76</c:v>
                </c:pt>
                <c:pt idx="239">
                  <c:v>1.78</c:v>
                </c:pt>
                <c:pt idx="240">
                  <c:v>1.8</c:v>
                </c:pt>
                <c:pt idx="241">
                  <c:v>1.82</c:v>
                </c:pt>
                <c:pt idx="242">
                  <c:v>1.84</c:v>
                </c:pt>
                <c:pt idx="243">
                  <c:v>1.86</c:v>
                </c:pt>
                <c:pt idx="244">
                  <c:v>1.88</c:v>
                </c:pt>
                <c:pt idx="245">
                  <c:v>1.9</c:v>
                </c:pt>
                <c:pt idx="246">
                  <c:v>1.92</c:v>
                </c:pt>
                <c:pt idx="247">
                  <c:v>1.94</c:v>
                </c:pt>
                <c:pt idx="248">
                  <c:v>1.96</c:v>
                </c:pt>
                <c:pt idx="249">
                  <c:v>1.98</c:v>
                </c:pt>
                <c:pt idx="250">
                  <c:v>2</c:v>
                </c:pt>
                <c:pt idx="251">
                  <c:v>2.02</c:v>
                </c:pt>
                <c:pt idx="252">
                  <c:v>2.04</c:v>
                </c:pt>
                <c:pt idx="253">
                  <c:v>2.06</c:v>
                </c:pt>
                <c:pt idx="254">
                  <c:v>2.08</c:v>
                </c:pt>
                <c:pt idx="255">
                  <c:v>2.1</c:v>
                </c:pt>
                <c:pt idx="256">
                  <c:v>2.12</c:v>
                </c:pt>
                <c:pt idx="257">
                  <c:v>2.14</c:v>
                </c:pt>
                <c:pt idx="258">
                  <c:v>2.16</c:v>
                </c:pt>
                <c:pt idx="259">
                  <c:v>2.1800000000000099</c:v>
                </c:pt>
                <c:pt idx="260">
                  <c:v>2.2000000000000002</c:v>
                </c:pt>
                <c:pt idx="261">
                  <c:v>2.2200000000000002</c:v>
                </c:pt>
                <c:pt idx="262">
                  <c:v>2.2400000000000002</c:v>
                </c:pt>
                <c:pt idx="263">
                  <c:v>2.26000000000001</c:v>
                </c:pt>
                <c:pt idx="264">
                  <c:v>2.2799999999999998</c:v>
                </c:pt>
                <c:pt idx="265">
                  <c:v>2.2999999999999998</c:v>
                </c:pt>
                <c:pt idx="266">
                  <c:v>2.3199999999999998</c:v>
                </c:pt>
                <c:pt idx="267">
                  <c:v>2.3400000000000101</c:v>
                </c:pt>
                <c:pt idx="268">
                  <c:v>2.36</c:v>
                </c:pt>
                <c:pt idx="269">
                  <c:v>2.38</c:v>
                </c:pt>
                <c:pt idx="270">
                  <c:v>2.4</c:v>
                </c:pt>
                <c:pt idx="271">
                  <c:v>2.4200000000000101</c:v>
                </c:pt>
                <c:pt idx="272">
                  <c:v>2.44</c:v>
                </c:pt>
                <c:pt idx="273">
                  <c:v>2.46</c:v>
                </c:pt>
                <c:pt idx="274">
                  <c:v>2.48</c:v>
                </c:pt>
                <c:pt idx="275">
                  <c:v>2.5000000000000102</c:v>
                </c:pt>
                <c:pt idx="276">
                  <c:v>2.52</c:v>
                </c:pt>
                <c:pt idx="277">
                  <c:v>2.54</c:v>
                </c:pt>
                <c:pt idx="278">
                  <c:v>2.56</c:v>
                </c:pt>
                <c:pt idx="279">
                  <c:v>2.5800000000000098</c:v>
                </c:pt>
                <c:pt idx="280">
                  <c:v>2.6</c:v>
                </c:pt>
                <c:pt idx="281">
                  <c:v>2.62</c:v>
                </c:pt>
                <c:pt idx="282">
                  <c:v>2.6400000000000099</c:v>
                </c:pt>
                <c:pt idx="283">
                  <c:v>2.6600000000000099</c:v>
                </c:pt>
                <c:pt idx="284">
                  <c:v>2.6800000000000099</c:v>
                </c:pt>
                <c:pt idx="285">
                  <c:v>2.7</c:v>
                </c:pt>
                <c:pt idx="286">
                  <c:v>2.72000000000001</c:v>
                </c:pt>
                <c:pt idx="287">
                  <c:v>2.74000000000001</c:v>
                </c:pt>
                <c:pt idx="288">
                  <c:v>2.76000000000001</c:v>
                </c:pt>
                <c:pt idx="289">
                  <c:v>2.78</c:v>
                </c:pt>
                <c:pt idx="290">
                  <c:v>2.80000000000001</c:v>
                </c:pt>
                <c:pt idx="291">
                  <c:v>2.8200000000000101</c:v>
                </c:pt>
                <c:pt idx="292">
                  <c:v>2.8400000000000101</c:v>
                </c:pt>
                <c:pt idx="293">
                  <c:v>2.86</c:v>
                </c:pt>
                <c:pt idx="294">
                  <c:v>2.8800000000000101</c:v>
                </c:pt>
                <c:pt idx="295">
                  <c:v>2.9000000000000101</c:v>
                </c:pt>
                <c:pt idx="296">
                  <c:v>2.9200000000000101</c:v>
                </c:pt>
                <c:pt idx="297">
                  <c:v>2.94</c:v>
                </c:pt>
                <c:pt idx="298">
                  <c:v>2.9600000000000102</c:v>
                </c:pt>
                <c:pt idx="299">
                  <c:v>2.9800000000000102</c:v>
                </c:pt>
                <c:pt idx="300">
                  <c:v>3.0000000000000102</c:v>
                </c:pt>
                <c:pt idx="301">
                  <c:v>3.02</c:v>
                </c:pt>
                <c:pt idx="302">
                  <c:v>3.0400000000000098</c:v>
                </c:pt>
                <c:pt idx="303">
                  <c:v>3.0600000000000098</c:v>
                </c:pt>
                <c:pt idx="304">
                  <c:v>3.0800000000000098</c:v>
                </c:pt>
                <c:pt idx="305">
                  <c:v>3.1</c:v>
                </c:pt>
                <c:pt idx="306">
                  <c:v>3.1200000000000099</c:v>
                </c:pt>
                <c:pt idx="307">
                  <c:v>3.1400000000000099</c:v>
                </c:pt>
                <c:pt idx="308">
                  <c:v>3.1600000000000099</c:v>
                </c:pt>
                <c:pt idx="309">
                  <c:v>3.1800000000000099</c:v>
                </c:pt>
                <c:pt idx="310">
                  <c:v>3.2000000000000099</c:v>
                </c:pt>
                <c:pt idx="311">
                  <c:v>3.22000000000001</c:v>
                </c:pt>
                <c:pt idx="312">
                  <c:v>3.24000000000001</c:v>
                </c:pt>
                <c:pt idx="313">
                  <c:v>3.26000000000001</c:v>
                </c:pt>
                <c:pt idx="314">
                  <c:v>3.28000000000001</c:v>
                </c:pt>
                <c:pt idx="315">
                  <c:v>3.30000000000001</c:v>
                </c:pt>
                <c:pt idx="316">
                  <c:v>3.3200000000000101</c:v>
                </c:pt>
                <c:pt idx="317">
                  <c:v>3.3400000000000101</c:v>
                </c:pt>
                <c:pt idx="318">
                  <c:v>3.3600000000000101</c:v>
                </c:pt>
                <c:pt idx="319">
                  <c:v>3.3800000000000101</c:v>
                </c:pt>
                <c:pt idx="320">
                  <c:v>3.4000000000000101</c:v>
                </c:pt>
                <c:pt idx="321">
                  <c:v>3.4200000000000101</c:v>
                </c:pt>
                <c:pt idx="322">
                  <c:v>3.4400000000000102</c:v>
                </c:pt>
                <c:pt idx="323">
                  <c:v>3.4600000000000102</c:v>
                </c:pt>
                <c:pt idx="324">
                  <c:v>3.4800000000000102</c:v>
                </c:pt>
                <c:pt idx="325">
                  <c:v>3.5000000000000102</c:v>
                </c:pt>
                <c:pt idx="326">
                  <c:v>3.5200000000000098</c:v>
                </c:pt>
                <c:pt idx="327">
                  <c:v>3.5400000000000098</c:v>
                </c:pt>
                <c:pt idx="328">
                  <c:v>3.5600000000000098</c:v>
                </c:pt>
                <c:pt idx="329">
                  <c:v>3.5800000000000098</c:v>
                </c:pt>
                <c:pt idx="330">
                  <c:v>3.6000000000000099</c:v>
                </c:pt>
                <c:pt idx="331">
                  <c:v>3.6200000000000099</c:v>
                </c:pt>
                <c:pt idx="332">
                  <c:v>3.6400000000000099</c:v>
                </c:pt>
                <c:pt idx="333">
                  <c:v>3.6600000000000099</c:v>
                </c:pt>
                <c:pt idx="334">
                  <c:v>3.6800000000000099</c:v>
                </c:pt>
                <c:pt idx="335">
                  <c:v>3.7000000000000099</c:v>
                </c:pt>
                <c:pt idx="336">
                  <c:v>3.72000000000001</c:v>
                </c:pt>
                <c:pt idx="337">
                  <c:v>3.74000000000001</c:v>
                </c:pt>
                <c:pt idx="338">
                  <c:v>3.76000000000001</c:v>
                </c:pt>
                <c:pt idx="339">
                  <c:v>3.78000000000001</c:v>
                </c:pt>
                <c:pt idx="340">
                  <c:v>3.80000000000001</c:v>
                </c:pt>
                <c:pt idx="341">
                  <c:v>3.8200000000000101</c:v>
                </c:pt>
                <c:pt idx="342">
                  <c:v>3.8400000000000101</c:v>
                </c:pt>
                <c:pt idx="343">
                  <c:v>3.8600000000000101</c:v>
                </c:pt>
                <c:pt idx="344">
                  <c:v>3.8800000000000101</c:v>
                </c:pt>
                <c:pt idx="345">
                  <c:v>3.9000000000000101</c:v>
                </c:pt>
                <c:pt idx="346">
                  <c:v>3.9200000000000101</c:v>
                </c:pt>
                <c:pt idx="347">
                  <c:v>3.9400000000000102</c:v>
                </c:pt>
                <c:pt idx="348">
                  <c:v>3.9600000000000102</c:v>
                </c:pt>
                <c:pt idx="349">
                  <c:v>3.9800000000000102</c:v>
                </c:pt>
                <c:pt idx="350">
                  <c:v>4.0000000000000098</c:v>
                </c:pt>
                <c:pt idx="351">
                  <c:v>4.0200000000000102</c:v>
                </c:pt>
                <c:pt idx="352">
                  <c:v>4.0400000000000098</c:v>
                </c:pt>
                <c:pt idx="353">
                  <c:v>4.0600000000000103</c:v>
                </c:pt>
                <c:pt idx="354">
                  <c:v>4.0800000000000098</c:v>
                </c:pt>
                <c:pt idx="355">
                  <c:v>4.1000000000000103</c:v>
                </c:pt>
                <c:pt idx="356">
                  <c:v>4.1200000000000099</c:v>
                </c:pt>
                <c:pt idx="357">
                  <c:v>4.1400000000000103</c:v>
                </c:pt>
                <c:pt idx="358">
                  <c:v>4.1600000000000099</c:v>
                </c:pt>
                <c:pt idx="359">
                  <c:v>4.1800000000000104</c:v>
                </c:pt>
                <c:pt idx="360">
                  <c:v>4.2000000000000099</c:v>
                </c:pt>
                <c:pt idx="361">
                  <c:v>4.2200000000000104</c:v>
                </c:pt>
                <c:pt idx="362">
                  <c:v>4.24000000000001</c:v>
                </c:pt>
                <c:pt idx="363">
                  <c:v>4.2600000000000096</c:v>
                </c:pt>
                <c:pt idx="364">
                  <c:v>4.28000000000001</c:v>
                </c:pt>
                <c:pt idx="365">
                  <c:v>4.3000000000000096</c:v>
                </c:pt>
                <c:pt idx="366">
                  <c:v>4.3200000000000101</c:v>
                </c:pt>
                <c:pt idx="367">
                  <c:v>4.3400000000000096</c:v>
                </c:pt>
                <c:pt idx="368">
                  <c:v>4.3600000000000101</c:v>
                </c:pt>
                <c:pt idx="369">
                  <c:v>4.3800000000000097</c:v>
                </c:pt>
                <c:pt idx="370">
                  <c:v>4.4000000000000101</c:v>
                </c:pt>
                <c:pt idx="371">
                  <c:v>4.4200000000000097</c:v>
                </c:pt>
                <c:pt idx="372">
                  <c:v>4.4400000000000102</c:v>
                </c:pt>
                <c:pt idx="373">
                  <c:v>4.4600000000000097</c:v>
                </c:pt>
                <c:pt idx="374">
                  <c:v>4.4800000000000102</c:v>
                </c:pt>
                <c:pt idx="375">
                  <c:v>4.5000000000000098</c:v>
                </c:pt>
                <c:pt idx="376">
                  <c:v>4.5200000000000102</c:v>
                </c:pt>
                <c:pt idx="377">
                  <c:v>4.5400000000000098</c:v>
                </c:pt>
                <c:pt idx="378">
                  <c:v>4.5600000000000103</c:v>
                </c:pt>
                <c:pt idx="379">
                  <c:v>4.5800000000000098</c:v>
                </c:pt>
                <c:pt idx="380">
                  <c:v>4.6000000000000103</c:v>
                </c:pt>
                <c:pt idx="381">
                  <c:v>4.6200000000000099</c:v>
                </c:pt>
                <c:pt idx="382">
                  <c:v>4.6400000000000103</c:v>
                </c:pt>
                <c:pt idx="383">
                  <c:v>4.6600000000000099</c:v>
                </c:pt>
                <c:pt idx="384">
                  <c:v>4.6800000000000104</c:v>
                </c:pt>
                <c:pt idx="385">
                  <c:v>4.7000000000000099</c:v>
                </c:pt>
                <c:pt idx="386">
                  <c:v>4.7200000000000104</c:v>
                </c:pt>
                <c:pt idx="387">
                  <c:v>4.74000000000001</c:v>
                </c:pt>
                <c:pt idx="388">
                  <c:v>4.7600000000000096</c:v>
                </c:pt>
                <c:pt idx="389">
                  <c:v>4.78000000000001</c:v>
                </c:pt>
                <c:pt idx="390">
                  <c:v>4.8000000000000096</c:v>
                </c:pt>
                <c:pt idx="391">
                  <c:v>4.8200000000000101</c:v>
                </c:pt>
                <c:pt idx="392">
                  <c:v>4.8400000000000096</c:v>
                </c:pt>
                <c:pt idx="393">
                  <c:v>4.8600000000000101</c:v>
                </c:pt>
                <c:pt idx="394">
                  <c:v>4.8800000000000097</c:v>
                </c:pt>
                <c:pt idx="395">
                  <c:v>4.9000000000000101</c:v>
                </c:pt>
                <c:pt idx="396">
                  <c:v>4.9200000000000097</c:v>
                </c:pt>
                <c:pt idx="397">
                  <c:v>4.9400000000000102</c:v>
                </c:pt>
                <c:pt idx="398">
                  <c:v>4.9600000000000097</c:v>
                </c:pt>
                <c:pt idx="399">
                  <c:v>4.9800000000000102</c:v>
                </c:pt>
                <c:pt idx="400">
                  <c:v>5.0000000000000098</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1B-1DFF-4DFC-B6E9-D86B6FD0EE9D}"/>
            </c:ext>
          </c:extLst>
        </c:ser>
        <c:ser>
          <c:idx val="9"/>
          <c:order val="9"/>
          <c:tx>
            <c:strRef>
              <c:f>'V-N Diagram'!$J$36</c:f>
              <c:strCache>
                <c:ptCount val="1"/>
                <c:pt idx="0">
                  <c:v>Vc</c:v>
                </c:pt>
              </c:strCache>
              <c:extLst xmlns:c15="http://schemas.microsoft.com/office/drawing/2012/chart"/>
            </c:strRef>
          </c:tx>
          <c:spPr>
            <a:ln w="19050" cap="rnd">
              <a:noFill/>
              <a:round/>
            </a:ln>
            <a:effectLst/>
          </c:spPr>
          <c:marker>
            <c:symbol val="none"/>
          </c:marker>
          <c:xVal>
            <c:numRef>
              <c:f>'V-N Diagram'!$J$37:$J$437</c:f>
              <c:numCache>
                <c:formatCode>General</c:formatCode>
                <c:ptCount val="401"/>
                <c:pt idx="0">
                  <c:v>230</c:v>
                </c:pt>
                <c:pt idx="1">
                  <c:v>230</c:v>
                </c:pt>
                <c:pt idx="2">
                  <c:v>230</c:v>
                </c:pt>
                <c:pt idx="3">
                  <c:v>230</c:v>
                </c:pt>
                <c:pt idx="4">
                  <c:v>230</c:v>
                </c:pt>
                <c:pt idx="5">
                  <c:v>230</c:v>
                </c:pt>
                <c:pt idx="6">
                  <c:v>230</c:v>
                </c:pt>
                <c:pt idx="7">
                  <c:v>230</c:v>
                </c:pt>
                <c:pt idx="8">
                  <c:v>230</c:v>
                </c:pt>
                <c:pt idx="9">
                  <c:v>230</c:v>
                </c:pt>
                <c:pt idx="10">
                  <c:v>230</c:v>
                </c:pt>
                <c:pt idx="11">
                  <c:v>230</c:v>
                </c:pt>
                <c:pt idx="12">
                  <c:v>230</c:v>
                </c:pt>
                <c:pt idx="13">
                  <c:v>230</c:v>
                </c:pt>
                <c:pt idx="14">
                  <c:v>230</c:v>
                </c:pt>
                <c:pt idx="15">
                  <c:v>230</c:v>
                </c:pt>
                <c:pt idx="16">
                  <c:v>230</c:v>
                </c:pt>
                <c:pt idx="17">
                  <c:v>230</c:v>
                </c:pt>
                <c:pt idx="18">
                  <c:v>230</c:v>
                </c:pt>
                <c:pt idx="19">
                  <c:v>230</c:v>
                </c:pt>
                <c:pt idx="20">
                  <c:v>230</c:v>
                </c:pt>
                <c:pt idx="21">
                  <c:v>230</c:v>
                </c:pt>
                <c:pt idx="22">
                  <c:v>230</c:v>
                </c:pt>
                <c:pt idx="23">
                  <c:v>230</c:v>
                </c:pt>
                <c:pt idx="24">
                  <c:v>230</c:v>
                </c:pt>
                <c:pt idx="25">
                  <c:v>230</c:v>
                </c:pt>
                <c:pt idx="26">
                  <c:v>230</c:v>
                </c:pt>
                <c:pt idx="27">
                  <c:v>230</c:v>
                </c:pt>
                <c:pt idx="28">
                  <c:v>230</c:v>
                </c:pt>
                <c:pt idx="29">
                  <c:v>230</c:v>
                </c:pt>
                <c:pt idx="30">
                  <c:v>230</c:v>
                </c:pt>
                <c:pt idx="31">
                  <c:v>230</c:v>
                </c:pt>
                <c:pt idx="32">
                  <c:v>230</c:v>
                </c:pt>
                <c:pt idx="33">
                  <c:v>230</c:v>
                </c:pt>
                <c:pt idx="34">
                  <c:v>230</c:v>
                </c:pt>
                <c:pt idx="35">
                  <c:v>230</c:v>
                </c:pt>
                <c:pt idx="36">
                  <c:v>230</c:v>
                </c:pt>
                <c:pt idx="37">
                  <c:v>230</c:v>
                </c:pt>
                <c:pt idx="38">
                  <c:v>230</c:v>
                </c:pt>
                <c:pt idx="39">
                  <c:v>230</c:v>
                </c:pt>
                <c:pt idx="40">
                  <c:v>230</c:v>
                </c:pt>
                <c:pt idx="41">
                  <c:v>230</c:v>
                </c:pt>
                <c:pt idx="42">
                  <c:v>230</c:v>
                </c:pt>
                <c:pt idx="43">
                  <c:v>230</c:v>
                </c:pt>
                <c:pt idx="44">
                  <c:v>230</c:v>
                </c:pt>
                <c:pt idx="45">
                  <c:v>230</c:v>
                </c:pt>
                <c:pt idx="46">
                  <c:v>230</c:v>
                </c:pt>
                <c:pt idx="47">
                  <c:v>230</c:v>
                </c:pt>
                <c:pt idx="48">
                  <c:v>230</c:v>
                </c:pt>
                <c:pt idx="49">
                  <c:v>230</c:v>
                </c:pt>
                <c:pt idx="50">
                  <c:v>230</c:v>
                </c:pt>
                <c:pt idx="51">
                  <c:v>230</c:v>
                </c:pt>
                <c:pt idx="52">
                  <c:v>230</c:v>
                </c:pt>
                <c:pt idx="53">
                  <c:v>230</c:v>
                </c:pt>
                <c:pt idx="54">
                  <c:v>230</c:v>
                </c:pt>
                <c:pt idx="55">
                  <c:v>230</c:v>
                </c:pt>
                <c:pt idx="56">
                  <c:v>230</c:v>
                </c:pt>
                <c:pt idx="57">
                  <c:v>230</c:v>
                </c:pt>
                <c:pt idx="58">
                  <c:v>230</c:v>
                </c:pt>
                <c:pt idx="59">
                  <c:v>230</c:v>
                </c:pt>
                <c:pt idx="60">
                  <c:v>230</c:v>
                </c:pt>
                <c:pt idx="61">
                  <c:v>230</c:v>
                </c:pt>
                <c:pt idx="62">
                  <c:v>230</c:v>
                </c:pt>
                <c:pt idx="63">
                  <c:v>230</c:v>
                </c:pt>
                <c:pt idx="64">
                  <c:v>230</c:v>
                </c:pt>
                <c:pt idx="65">
                  <c:v>230</c:v>
                </c:pt>
                <c:pt idx="66">
                  <c:v>230</c:v>
                </c:pt>
                <c:pt idx="67">
                  <c:v>230</c:v>
                </c:pt>
                <c:pt idx="68">
                  <c:v>230</c:v>
                </c:pt>
                <c:pt idx="69">
                  <c:v>230</c:v>
                </c:pt>
                <c:pt idx="70">
                  <c:v>230</c:v>
                </c:pt>
                <c:pt idx="71">
                  <c:v>230</c:v>
                </c:pt>
                <c:pt idx="72">
                  <c:v>230</c:v>
                </c:pt>
                <c:pt idx="73">
                  <c:v>230</c:v>
                </c:pt>
                <c:pt idx="74">
                  <c:v>230</c:v>
                </c:pt>
                <c:pt idx="75">
                  <c:v>230</c:v>
                </c:pt>
                <c:pt idx="76">
                  <c:v>230</c:v>
                </c:pt>
                <c:pt idx="77">
                  <c:v>230</c:v>
                </c:pt>
                <c:pt idx="78">
                  <c:v>230</c:v>
                </c:pt>
                <c:pt idx="79">
                  <c:v>230</c:v>
                </c:pt>
                <c:pt idx="80">
                  <c:v>230</c:v>
                </c:pt>
                <c:pt idx="81">
                  <c:v>230</c:v>
                </c:pt>
                <c:pt idx="82">
                  <c:v>230</c:v>
                </c:pt>
                <c:pt idx="83">
                  <c:v>230</c:v>
                </c:pt>
                <c:pt idx="84">
                  <c:v>230</c:v>
                </c:pt>
                <c:pt idx="85">
                  <c:v>230</c:v>
                </c:pt>
                <c:pt idx="86">
                  <c:v>230</c:v>
                </c:pt>
                <c:pt idx="87">
                  <c:v>230</c:v>
                </c:pt>
                <c:pt idx="88">
                  <c:v>230</c:v>
                </c:pt>
                <c:pt idx="89">
                  <c:v>230</c:v>
                </c:pt>
                <c:pt idx="90">
                  <c:v>230</c:v>
                </c:pt>
                <c:pt idx="91">
                  <c:v>230</c:v>
                </c:pt>
                <c:pt idx="92">
                  <c:v>230</c:v>
                </c:pt>
                <c:pt idx="93">
                  <c:v>230</c:v>
                </c:pt>
                <c:pt idx="94">
                  <c:v>230</c:v>
                </c:pt>
                <c:pt idx="95">
                  <c:v>230</c:v>
                </c:pt>
                <c:pt idx="96">
                  <c:v>230</c:v>
                </c:pt>
                <c:pt idx="97">
                  <c:v>230</c:v>
                </c:pt>
                <c:pt idx="98">
                  <c:v>230</c:v>
                </c:pt>
                <c:pt idx="99">
                  <c:v>230</c:v>
                </c:pt>
                <c:pt idx="100">
                  <c:v>230</c:v>
                </c:pt>
                <c:pt idx="101">
                  <c:v>230</c:v>
                </c:pt>
                <c:pt idx="102">
                  <c:v>230</c:v>
                </c:pt>
                <c:pt idx="103">
                  <c:v>230</c:v>
                </c:pt>
                <c:pt idx="104">
                  <c:v>230</c:v>
                </c:pt>
                <c:pt idx="105">
                  <c:v>230</c:v>
                </c:pt>
                <c:pt idx="106">
                  <c:v>230</c:v>
                </c:pt>
                <c:pt idx="107">
                  <c:v>230</c:v>
                </c:pt>
                <c:pt idx="108">
                  <c:v>230</c:v>
                </c:pt>
                <c:pt idx="109">
                  <c:v>230</c:v>
                </c:pt>
                <c:pt idx="110">
                  <c:v>230</c:v>
                </c:pt>
                <c:pt idx="111">
                  <c:v>230</c:v>
                </c:pt>
                <c:pt idx="112">
                  <c:v>230</c:v>
                </c:pt>
                <c:pt idx="113">
                  <c:v>230</c:v>
                </c:pt>
                <c:pt idx="114">
                  <c:v>230</c:v>
                </c:pt>
                <c:pt idx="115">
                  <c:v>230</c:v>
                </c:pt>
                <c:pt idx="116">
                  <c:v>230</c:v>
                </c:pt>
                <c:pt idx="117">
                  <c:v>230</c:v>
                </c:pt>
                <c:pt idx="118">
                  <c:v>230</c:v>
                </c:pt>
                <c:pt idx="119">
                  <c:v>230</c:v>
                </c:pt>
                <c:pt idx="120">
                  <c:v>230</c:v>
                </c:pt>
                <c:pt idx="121">
                  <c:v>230</c:v>
                </c:pt>
                <c:pt idx="122">
                  <c:v>230</c:v>
                </c:pt>
                <c:pt idx="123">
                  <c:v>230</c:v>
                </c:pt>
                <c:pt idx="124">
                  <c:v>230</c:v>
                </c:pt>
                <c:pt idx="125">
                  <c:v>230</c:v>
                </c:pt>
                <c:pt idx="126">
                  <c:v>230</c:v>
                </c:pt>
                <c:pt idx="127">
                  <c:v>230</c:v>
                </c:pt>
                <c:pt idx="128">
                  <c:v>230</c:v>
                </c:pt>
                <c:pt idx="129">
                  <c:v>230</c:v>
                </c:pt>
                <c:pt idx="130">
                  <c:v>230</c:v>
                </c:pt>
                <c:pt idx="131">
                  <c:v>230</c:v>
                </c:pt>
                <c:pt idx="132">
                  <c:v>230</c:v>
                </c:pt>
                <c:pt idx="133">
                  <c:v>230</c:v>
                </c:pt>
                <c:pt idx="134">
                  <c:v>230</c:v>
                </c:pt>
                <c:pt idx="135">
                  <c:v>230</c:v>
                </c:pt>
                <c:pt idx="136">
                  <c:v>230</c:v>
                </c:pt>
                <c:pt idx="137">
                  <c:v>230</c:v>
                </c:pt>
                <c:pt idx="138">
                  <c:v>230</c:v>
                </c:pt>
                <c:pt idx="139">
                  <c:v>230</c:v>
                </c:pt>
                <c:pt idx="140">
                  <c:v>230</c:v>
                </c:pt>
                <c:pt idx="141">
                  <c:v>230</c:v>
                </c:pt>
                <c:pt idx="142">
                  <c:v>230</c:v>
                </c:pt>
                <c:pt idx="143">
                  <c:v>230</c:v>
                </c:pt>
                <c:pt idx="144">
                  <c:v>230</c:v>
                </c:pt>
                <c:pt idx="145">
                  <c:v>230</c:v>
                </c:pt>
                <c:pt idx="146">
                  <c:v>230</c:v>
                </c:pt>
                <c:pt idx="147">
                  <c:v>230</c:v>
                </c:pt>
                <c:pt idx="148">
                  <c:v>230</c:v>
                </c:pt>
                <c:pt idx="149">
                  <c:v>230</c:v>
                </c:pt>
                <c:pt idx="150">
                  <c:v>230</c:v>
                </c:pt>
                <c:pt idx="151">
                  <c:v>230</c:v>
                </c:pt>
                <c:pt idx="152">
                  <c:v>230</c:v>
                </c:pt>
                <c:pt idx="153">
                  <c:v>230</c:v>
                </c:pt>
                <c:pt idx="154">
                  <c:v>230</c:v>
                </c:pt>
                <c:pt idx="155">
                  <c:v>230</c:v>
                </c:pt>
                <c:pt idx="156">
                  <c:v>230</c:v>
                </c:pt>
                <c:pt idx="157">
                  <c:v>230</c:v>
                </c:pt>
                <c:pt idx="158">
                  <c:v>230</c:v>
                </c:pt>
                <c:pt idx="159">
                  <c:v>230</c:v>
                </c:pt>
                <c:pt idx="160">
                  <c:v>230</c:v>
                </c:pt>
                <c:pt idx="161">
                  <c:v>230</c:v>
                </c:pt>
                <c:pt idx="162">
                  <c:v>230</c:v>
                </c:pt>
                <c:pt idx="163">
                  <c:v>230</c:v>
                </c:pt>
                <c:pt idx="164">
                  <c:v>230</c:v>
                </c:pt>
                <c:pt idx="165">
                  <c:v>230</c:v>
                </c:pt>
                <c:pt idx="166">
                  <c:v>230</c:v>
                </c:pt>
                <c:pt idx="167">
                  <c:v>230</c:v>
                </c:pt>
                <c:pt idx="168">
                  <c:v>230</c:v>
                </c:pt>
                <c:pt idx="169">
                  <c:v>230</c:v>
                </c:pt>
                <c:pt idx="170">
                  <c:v>230</c:v>
                </c:pt>
                <c:pt idx="171">
                  <c:v>230</c:v>
                </c:pt>
                <c:pt idx="172">
                  <c:v>230</c:v>
                </c:pt>
                <c:pt idx="173">
                  <c:v>230</c:v>
                </c:pt>
                <c:pt idx="174">
                  <c:v>230</c:v>
                </c:pt>
                <c:pt idx="175">
                  <c:v>230</c:v>
                </c:pt>
                <c:pt idx="176">
                  <c:v>230</c:v>
                </c:pt>
                <c:pt idx="177">
                  <c:v>230</c:v>
                </c:pt>
                <c:pt idx="178">
                  <c:v>230</c:v>
                </c:pt>
                <c:pt idx="179">
                  <c:v>230</c:v>
                </c:pt>
                <c:pt idx="180">
                  <c:v>230</c:v>
                </c:pt>
                <c:pt idx="181">
                  <c:v>230</c:v>
                </c:pt>
                <c:pt idx="182">
                  <c:v>230</c:v>
                </c:pt>
                <c:pt idx="183">
                  <c:v>230</c:v>
                </c:pt>
                <c:pt idx="184">
                  <c:v>230</c:v>
                </c:pt>
                <c:pt idx="185">
                  <c:v>230</c:v>
                </c:pt>
                <c:pt idx="186">
                  <c:v>230</c:v>
                </c:pt>
                <c:pt idx="187">
                  <c:v>230</c:v>
                </c:pt>
                <c:pt idx="188">
                  <c:v>230</c:v>
                </c:pt>
                <c:pt idx="189">
                  <c:v>230</c:v>
                </c:pt>
                <c:pt idx="190">
                  <c:v>230</c:v>
                </c:pt>
                <c:pt idx="191">
                  <c:v>230</c:v>
                </c:pt>
                <c:pt idx="192">
                  <c:v>230</c:v>
                </c:pt>
                <c:pt idx="193">
                  <c:v>230</c:v>
                </c:pt>
                <c:pt idx="194">
                  <c:v>230</c:v>
                </c:pt>
                <c:pt idx="195">
                  <c:v>230</c:v>
                </c:pt>
                <c:pt idx="196">
                  <c:v>230</c:v>
                </c:pt>
                <c:pt idx="197">
                  <c:v>230</c:v>
                </c:pt>
                <c:pt idx="198">
                  <c:v>230</c:v>
                </c:pt>
                <c:pt idx="199">
                  <c:v>230</c:v>
                </c:pt>
                <c:pt idx="200">
                  <c:v>230</c:v>
                </c:pt>
                <c:pt idx="201">
                  <c:v>230</c:v>
                </c:pt>
                <c:pt idx="202">
                  <c:v>230</c:v>
                </c:pt>
                <c:pt idx="203">
                  <c:v>230</c:v>
                </c:pt>
                <c:pt idx="204">
                  <c:v>230</c:v>
                </c:pt>
                <c:pt idx="205">
                  <c:v>230</c:v>
                </c:pt>
                <c:pt idx="206">
                  <c:v>230</c:v>
                </c:pt>
                <c:pt idx="207">
                  <c:v>230</c:v>
                </c:pt>
                <c:pt idx="208">
                  <c:v>230</c:v>
                </c:pt>
                <c:pt idx="209">
                  <c:v>230</c:v>
                </c:pt>
                <c:pt idx="210">
                  <c:v>230</c:v>
                </c:pt>
                <c:pt idx="211">
                  <c:v>230</c:v>
                </c:pt>
                <c:pt idx="212">
                  <c:v>230</c:v>
                </c:pt>
                <c:pt idx="213">
                  <c:v>230</c:v>
                </c:pt>
                <c:pt idx="214">
                  <c:v>230</c:v>
                </c:pt>
                <c:pt idx="215">
                  <c:v>230</c:v>
                </c:pt>
                <c:pt idx="216">
                  <c:v>230</c:v>
                </c:pt>
                <c:pt idx="217">
                  <c:v>230</c:v>
                </c:pt>
                <c:pt idx="218">
                  <c:v>230</c:v>
                </c:pt>
                <c:pt idx="219">
                  <c:v>230</c:v>
                </c:pt>
                <c:pt idx="220">
                  <c:v>230</c:v>
                </c:pt>
                <c:pt idx="221">
                  <c:v>230</c:v>
                </c:pt>
                <c:pt idx="222">
                  <c:v>230</c:v>
                </c:pt>
                <c:pt idx="223">
                  <c:v>230</c:v>
                </c:pt>
                <c:pt idx="224">
                  <c:v>230</c:v>
                </c:pt>
                <c:pt idx="225">
                  <c:v>230</c:v>
                </c:pt>
                <c:pt idx="226">
                  <c:v>230</c:v>
                </c:pt>
                <c:pt idx="227">
                  <c:v>230</c:v>
                </c:pt>
                <c:pt idx="228">
                  <c:v>230</c:v>
                </c:pt>
                <c:pt idx="229">
                  <c:v>230</c:v>
                </c:pt>
                <c:pt idx="230">
                  <c:v>230</c:v>
                </c:pt>
                <c:pt idx="231">
                  <c:v>230</c:v>
                </c:pt>
                <c:pt idx="232">
                  <c:v>230</c:v>
                </c:pt>
                <c:pt idx="233">
                  <c:v>230</c:v>
                </c:pt>
                <c:pt idx="234">
                  <c:v>230</c:v>
                </c:pt>
                <c:pt idx="235">
                  <c:v>230</c:v>
                </c:pt>
                <c:pt idx="236">
                  <c:v>230</c:v>
                </c:pt>
                <c:pt idx="237">
                  <c:v>230</c:v>
                </c:pt>
                <c:pt idx="238">
                  <c:v>230</c:v>
                </c:pt>
                <c:pt idx="239">
                  <c:v>230</c:v>
                </c:pt>
                <c:pt idx="240">
                  <c:v>230</c:v>
                </c:pt>
                <c:pt idx="241">
                  <c:v>230</c:v>
                </c:pt>
                <c:pt idx="242">
                  <c:v>230</c:v>
                </c:pt>
                <c:pt idx="243">
                  <c:v>230</c:v>
                </c:pt>
                <c:pt idx="244">
                  <c:v>230</c:v>
                </c:pt>
                <c:pt idx="245">
                  <c:v>230</c:v>
                </c:pt>
                <c:pt idx="246">
                  <c:v>230</c:v>
                </c:pt>
                <c:pt idx="247">
                  <c:v>230</c:v>
                </c:pt>
                <c:pt idx="248">
                  <c:v>230</c:v>
                </c:pt>
                <c:pt idx="249">
                  <c:v>230</c:v>
                </c:pt>
                <c:pt idx="250">
                  <c:v>230</c:v>
                </c:pt>
                <c:pt idx="251">
                  <c:v>230</c:v>
                </c:pt>
                <c:pt idx="252">
                  <c:v>230</c:v>
                </c:pt>
                <c:pt idx="253">
                  <c:v>230</c:v>
                </c:pt>
                <c:pt idx="254">
                  <c:v>230</c:v>
                </c:pt>
                <c:pt idx="255">
                  <c:v>230</c:v>
                </c:pt>
                <c:pt idx="256">
                  <c:v>230</c:v>
                </c:pt>
                <c:pt idx="257">
                  <c:v>230</c:v>
                </c:pt>
                <c:pt idx="258">
                  <c:v>230</c:v>
                </c:pt>
                <c:pt idx="259">
                  <c:v>230</c:v>
                </c:pt>
                <c:pt idx="260">
                  <c:v>230</c:v>
                </c:pt>
                <c:pt idx="261">
                  <c:v>230</c:v>
                </c:pt>
                <c:pt idx="262">
                  <c:v>230</c:v>
                </c:pt>
                <c:pt idx="263">
                  <c:v>230</c:v>
                </c:pt>
                <c:pt idx="264">
                  <c:v>230</c:v>
                </c:pt>
                <c:pt idx="265">
                  <c:v>230</c:v>
                </c:pt>
                <c:pt idx="266">
                  <c:v>230</c:v>
                </c:pt>
                <c:pt idx="267">
                  <c:v>230</c:v>
                </c:pt>
                <c:pt idx="268">
                  <c:v>230</c:v>
                </c:pt>
                <c:pt idx="269">
                  <c:v>230</c:v>
                </c:pt>
                <c:pt idx="270">
                  <c:v>230</c:v>
                </c:pt>
                <c:pt idx="271">
                  <c:v>230</c:v>
                </c:pt>
                <c:pt idx="272">
                  <c:v>230</c:v>
                </c:pt>
                <c:pt idx="273">
                  <c:v>230</c:v>
                </c:pt>
                <c:pt idx="274">
                  <c:v>230</c:v>
                </c:pt>
                <c:pt idx="275">
                  <c:v>230</c:v>
                </c:pt>
                <c:pt idx="276">
                  <c:v>230</c:v>
                </c:pt>
                <c:pt idx="277">
                  <c:v>230</c:v>
                </c:pt>
                <c:pt idx="278">
                  <c:v>230</c:v>
                </c:pt>
                <c:pt idx="279">
                  <c:v>230</c:v>
                </c:pt>
                <c:pt idx="280">
                  <c:v>230</c:v>
                </c:pt>
                <c:pt idx="281">
                  <c:v>230</c:v>
                </c:pt>
                <c:pt idx="282">
                  <c:v>230</c:v>
                </c:pt>
                <c:pt idx="283">
                  <c:v>230</c:v>
                </c:pt>
                <c:pt idx="284">
                  <c:v>230</c:v>
                </c:pt>
                <c:pt idx="285">
                  <c:v>230</c:v>
                </c:pt>
                <c:pt idx="286">
                  <c:v>230</c:v>
                </c:pt>
                <c:pt idx="287">
                  <c:v>230</c:v>
                </c:pt>
                <c:pt idx="288">
                  <c:v>230</c:v>
                </c:pt>
                <c:pt idx="289">
                  <c:v>230</c:v>
                </c:pt>
                <c:pt idx="290">
                  <c:v>230</c:v>
                </c:pt>
                <c:pt idx="291">
                  <c:v>230</c:v>
                </c:pt>
                <c:pt idx="292">
                  <c:v>230</c:v>
                </c:pt>
                <c:pt idx="293">
                  <c:v>230</c:v>
                </c:pt>
                <c:pt idx="294">
                  <c:v>230</c:v>
                </c:pt>
                <c:pt idx="295">
                  <c:v>230</c:v>
                </c:pt>
                <c:pt idx="296">
                  <c:v>230</c:v>
                </c:pt>
                <c:pt idx="297">
                  <c:v>230</c:v>
                </c:pt>
                <c:pt idx="298">
                  <c:v>230</c:v>
                </c:pt>
                <c:pt idx="299">
                  <c:v>230</c:v>
                </c:pt>
                <c:pt idx="300">
                  <c:v>230</c:v>
                </c:pt>
                <c:pt idx="301">
                  <c:v>230</c:v>
                </c:pt>
                <c:pt idx="302">
                  <c:v>230</c:v>
                </c:pt>
                <c:pt idx="303">
                  <c:v>230</c:v>
                </c:pt>
                <c:pt idx="304">
                  <c:v>230</c:v>
                </c:pt>
                <c:pt idx="305">
                  <c:v>230</c:v>
                </c:pt>
                <c:pt idx="306">
                  <c:v>230</c:v>
                </c:pt>
                <c:pt idx="307">
                  <c:v>230</c:v>
                </c:pt>
                <c:pt idx="308">
                  <c:v>230</c:v>
                </c:pt>
                <c:pt idx="309">
                  <c:v>230</c:v>
                </c:pt>
                <c:pt idx="310">
                  <c:v>230</c:v>
                </c:pt>
                <c:pt idx="311">
                  <c:v>230</c:v>
                </c:pt>
                <c:pt idx="312">
                  <c:v>230</c:v>
                </c:pt>
                <c:pt idx="313">
                  <c:v>230</c:v>
                </c:pt>
                <c:pt idx="314">
                  <c:v>230</c:v>
                </c:pt>
                <c:pt idx="315">
                  <c:v>230</c:v>
                </c:pt>
                <c:pt idx="316">
                  <c:v>230</c:v>
                </c:pt>
                <c:pt idx="317">
                  <c:v>230</c:v>
                </c:pt>
                <c:pt idx="318">
                  <c:v>230</c:v>
                </c:pt>
                <c:pt idx="319">
                  <c:v>230</c:v>
                </c:pt>
                <c:pt idx="320">
                  <c:v>230</c:v>
                </c:pt>
                <c:pt idx="321">
                  <c:v>230</c:v>
                </c:pt>
                <c:pt idx="322">
                  <c:v>230</c:v>
                </c:pt>
                <c:pt idx="323">
                  <c:v>230</c:v>
                </c:pt>
                <c:pt idx="324">
                  <c:v>230</c:v>
                </c:pt>
                <c:pt idx="325">
                  <c:v>230</c:v>
                </c:pt>
                <c:pt idx="326">
                  <c:v>230</c:v>
                </c:pt>
                <c:pt idx="327">
                  <c:v>230</c:v>
                </c:pt>
                <c:pt idx="328">
                  <c:v>230</c:v>
                </c:pt>
                <c:pt idx="329">
                  <c:v>230</c:v>
                </c:pt>
                <c:pt idx="330">
                  <c:v>230</c:v>
                </c:pt>
                <c:pt idx="331">
                  <c:v>230</c:v>
                </c:pt>
                <c:pt idx="332">
                  <c:v>230</c:v>
                </c:pt>
                <c:pt idx="333">
                  <c:v>230</c:v>
                </c:pt>
                <c:pt idx="334">
                  <c:v>230</c:v>
                </c:pt>
                <c:pt idx="335">
                  <c:v>230</c:v>
                </c:pt>
                <c:pt idx="336">
                  <c:v>230</c:v>
                </c:pt>
                <c:pt idx="337">
                  <c:v>230</c:v>
                </c:pt>
                <c:pt idx="338">
                  <c:v>230</c:v>
                </c:pt>
                <c:pt idx="339">
                  <c:v>230</c:v>
                </c:pt>
                <c:pt idx="340">
                  <c:v>230</c:v>
                </c:pt>
                <c:pt idx="341">
                  <c:v>230</c:v>
                </c:pt>
                <c:pt idx="342">
                  <c:v>230</c:v>
                </c:pt>
                <c:pt idx="343">
                  <c:v>230</c:v>
                </c:pt>
                <c:pt idx="344">
                  <c:v>230</c:v>
                </c:pt>
                <c:pt idx="345">
                  <c:v>230</c:v>
                </c:pt>
                <c:pt idx="346">
                  <c:v>230</c:v>
                </c:pt>
                <c:pt idx="347">
                  <c:v>230</c:v>
                </c:pt>
                <c:pt idx="348">
                  <c:v>230</c:v>
                </c:pt>
                <c:pt idx="349">
                  <c:v>230</c:v>
                </c:pt>
                <c:pt idx="350">
                  <c:v>230</c:v>
                </c:pt>
                <c:pt idx="351">
                  <c:v>230</c:v>
                </c:pt>
                <c:pt idx="352">
                  <c:v>230</c:v>
                </c:pt>
                <c:pt idx="353">
                  <c:v>230</c:v>
                </c:pt>
                <c:pt idx="354">
                  <c:v>230</c:v>
                </c:pt>
                <c:pt idx="355">
                  <c:v>230</c:v>
                </c:pt>
                <c:pt idx="356">
                  <c:v>230</c:v>
                </c:pt>
                <c:pt idx="357">
                  <c:v>230</c:v>
                </c:pt>
                <c:pt idx="358">
                  <c:v>230</c:v>
                </c:pt>
                <c:pt idx="359">
                  <c:v>230</c:v>
                </c:pt>
                <c:pt idx="360">
                  <c:v>230</c:v>
                </c:pt>
                <c:pt idx="361">
                  <c:v>230</c:v>
                </c:pt>
                <c:pt idx="362">
                  <c:v>230</c:v>
                </c:pt>
                <c:pt idx="363">
                  <c:v>230</c:v>
                </c:pt>
                <c:pt idx="364">
                  <c:v>230</c:v>
                </c:pt>
                <c:pt idx="365">
                  <c:v>230</c:v>
                </c:pt>
                <c:pt idx="366">
                  <c:v>230</c:v>
                </c:pt>
                <c:pt idx="367">
                  <c:v>230</c:v>
                </c:pt>
                <c:pt idx="368">
                  <c:v>230</c:v>
                </c:pt>
                <c:pt idx="369">
                  <c:v>230</c:v>
                </c:pt>
                <c:pt idx="370">
                  <c:v>230</c:v>
                </c:pt>
                <c:pt idx="371">
                  <c:v>230</c:v>
                </c:pt>
                <c:pt idx="372">
                  <c:v>230</c:v>
                </c:pt>
                <c:pt idx="373">
                  <c:v>230</c:v>
                </c:pt>
                <c:pt idx="374">
                  <c:v>230</c:v>
                </c:pt>
                <c:pt idx="375">
                  <c:v>230</c:v>
                </c:pt>
                <c:pt idx="376">
                  <c:v>230</c:v>
                </c:pt>
                <c:pt idx="377">
                  <c:v>230</c:v>
                </c:pt>
                <c:pt idx="378">
                  <c:v>230</c:v>
                </c:pt>
                <c:pt idx="379">
                  <c:v>230</c:v>
                </c:pt>
                <c:pt idx="380">
                  <c:v>230</c:v>
                </c:pt>
                <c:pt idx="381">
                  <c:v>230</c:v>
                </c:pt>
                <c:pt idx="382">
                  <c:v>230</c:v>
                </c:pt>
                <c:pt idx="383">
                  <c:v>230</c:v>
                </c:pt>
                <c:pt idx="384">
                  <c:v>230</c:v>
                </c:pt>
                <c:pt idx="385">
                  <c:v>230</c:v>
                </c:pt>
                <c:pt idx="386">
                  <c:v>230</c:v>
                </c:pt>
                <c:pt idx="387">
                  <c:v>230</c:v>
                </c:pt>
                <c:pt idx="388">
                  <c:v>230</c:v>
                </c:pt>
                <c:pt idx="389">
                  <c:v>230</c:v>
                </c:pt>
                <c:pt idx="390">
                  <c:v>230</c:v>
                </c:pt>
                <c:pt idx="391">
                  <c:v>230</c:v>
                </c:pt>
                <c:pt idx="392">
                  <c:v>230</c:v>
                </c:pt>
                <c:pt idx="393">
                  <c:v>230</c:v>
                </c:pt>
                <c:pt idx="394">
                  <c:v>230</c:v>
                </c:pt>
                <c:pt idx="395">
                  <c:v>230</c:v>
                </c:pt>
                <c:pt idx="396">
                  <c:v>230</c:v>
                </c:pt>
                <c:pt idx="397">
                  <c:v>230</c:v>
                </c:pt>
                <c:pt idx="398">
                  <c:v>230</c:v>
                </c:pt>
                <c:pt idx="399">
                  <c:v>230</c:v>
                </c:pt>
                <c:pt idx="400">
                  <c:v>230</c:v>
                </c:pt>
              </c:numCache>
              <c:extLst xmlns:c15="http://schemas.microsoft.com/office/drawing/2012/chart"/>
            </c:numRef>
          </c:xVal>
          <c:yVal>
            <c:numRef>
              <c:f>'V-N Diagram'!$V$37:$V$437</c:f>
              <c:numCache>
                <c:formatCode>General</c:formatCode>
                <c:ptCount val="401"/>
                <c:pt idx="0">
                  <c:v>-3</c:v>
                </c:pt>
                <c:pt idx="1">
                  <c:v>-2.98</c:v>
                </c:pt>
                <c:pt idx="2">
                  <c:v>-2.96</c:v>
                </c:pt>
                <c:pt idx="3">
                  <c:v>-2.94</c:v>
                </c:pt>
                <c:pt idx="4">
                  <c:v>-2.92</c:v>
                </c:pt>
                <c:pt idx="5">
                  <c:v>-2.9</c:v>
                </c:pt>
                <c:pt idx="6">
                  <c:v>-2.88</c:v>
                </c:pt>
                <c:pt idx="7">
                  <c:v>-2.86</c:v>
                </c:pt>
                <c:pt idx="8">
                  <c:v>-2.84</c:v>
                </c:pt>
                <c:pt idx="9">
                  <c:v>-2.82</c:v>
                </c:pt>
                <c:pt idx="10">
                  <c:v>-2.8</c:v>
                </c:pt>
                <c:pt idx="11">
                  <c:v>-2.78</c:v>
                </c:pt>
                <c:pt idx="12">
                  <c:v>-2.76</c:v>
                </c:pt>
                <c:pt idx="13">
                  <c:v>-2.74</c:v>
                </c:pt>
                <c:pt idx="14">
                  <c:v>-2.72</c:v>
                </c:pt>
                <c:pt idx="15">
                  <c:v>-2.7</c:v>
                </c:pt>
                <c:pt idx="16">
                  <c:v>-2.68</c:v>
                </c:pt>
                <c:pt idx="17">
                  <c:v>-2.66</c:v>
                </c:pt>
                <c:pt idx="18">
                  <c:v>-2.64</c:v>
                </c:pt>
                <c:pt idx="19">
                  <c:v>-2.62</c:v>
                </c:pt>
                <c:pt idx="20">
                  <c:v>-2.6</c:v>
                </c:pt>
                <c:pt idx="21">
                  <c:v>-2.58</c:v>
                </c:pt>
                <c:pt idx="22">
                  <c:v>-2.56</c:v>
                </c:pt>
                <c:pt idx="23">
                  <c:v>-2.54</c:v>
                </c:pt>
                <c:pt idx="24">
                  <c:v>-2.52</c:v>
                </c:pt>
                <c:pt idx="25">
                  <c:v>-2.5</c:v>
                </c:pt>
                <c:pt idx="26">
                  <c:v>-2.48</c:v>
                </c:pt>
                <c:pt idx="27">
                  <c:v>-2.46</c:v>
                </c:pt>
                <c:pt idx="28">
                  <c:v>-2.44</c:v>
                </c:pt>
                <c:pt idx="29">
                  <c:v>-2.42</c:v>
                </c:pt>
                <c:pt idx="30">
                  <c:v>-2.4</c:v>
                </c:pt>
                <c:pt idx="31">
                  <c:v>-2.38</c:v>
                </c:pt>
                <c:pt idx="32">
                  <c:v>-2.36</c:v>
                </c:pt>
                <c:pt idx="33">
                  <c:v>-2.34</c:v>
                </c:pt>
                <c:pt idx="34">
                  <c:v>-2.3199999999999998</c:v>
                </c:pt>
                <c:pt idx="35">
                  <c:v>-2.2999999999999998</c:v>
                </c:pt>
                <c:pt idx="36">
                  <c:v>-2.2799999999999998</c:v>
                </c:pt>
                <c:pt idx="37">
                  <c:v>-2.2599999999999998</c:v>
                </c:pt>
                <c:pt idx="38">
                  <c:v>-2.2400000000000002</c:v>
                </c:pt>
                <c:pt idx="39">
                  <c:v>-2.2200000000000002</c:v>
                </c:pt>
                <c:pt idx="40">
                  <c:v>-2.2000000000000002</c:v>
                </c:pt>
                <c:pt idx="41">
                  <c:v>-2.1800000000000002</c:v>
                </c:pt>
                <c:pt idx="42">
                  <c:v>-2.16</c:v>
                </c:pt>
                <c:pt idx="43">
                  <c:v>-2.14</c:v>
                </c:pt>
                <c:pt idx="44">
                  <c:v>-2.12</c:v>
                </c:pt>
                <c:pt idx="45">
                  <c:v>-2.1</c:v>
                </c:pt>
                <c:pt idx="46">
                  <c:v>-2.08</c:v>
                </c:pt>
                <c:pt idx="47">
                  <c:v>-2.06</c:v>
                </c:pt>
                <c:pt idx="48">
                  <c:v>-2.04</c:v>
                </c:pt>
                <c:pt idx="49">
                  <c:v>-2.02</c:v>
                </c:pt>
                <c:pt idx="50">
                  <c:v>-2</c:v>
                </c:pt>
                <c:pt idx="51">
                  <c:v>-1.98</c:v>
                </c:pt>
                <c:pt idx="52">
                  <c:v>-1.96</c:v>
                </c:pt>
                <c:pt idx="53">
                  <c:v>-1.94</c:v>
                </c:pt>
                <c:pt idx="54">
                  <c:v>-1.92</c:v>
                </c:pt>
                <c:pt idx="55">
                  <c:v>-1.9</c:v>
                </c:pt>
                <c:pt idx="56">
                  <c:v>-1.88</c:v>
                </c:pt>
                <c:pt idx="57">
                  <c:v>-1.86</c:v>
                </c:pt>
                <c:pt idx="58">
                  <c:v>-1.84</c:v>
                </c:pt>
                <c:pt idx="59">
                  <c:v>-1.82</c:v>
                </c:pt>
                <c:pt idx="60">
                  <c:v>-1.8</c:v>
                </c:pt>
                <c:pt idx="61">
                  <c:v>-1.78</c:v>
                </c:pt>
                <c:pt idx="62">
                  <c:v>-1.76</c:v>
                </c:pt>
                <c:pt idx="63">
                  <c:v>-1.74</c:v>
                </c:pt>
                <c:pt idx="64">
                  <c:v>-1.72</c:v>
                </c:pt>
                <c:pt idx="65">
                  <c:v>-1.7</c:v>
                </c:pt>
                <c:pt idx="66">
                  <c:v>-1.68</c:v>
                </c:pt>
                <c:pt idx="67">
                  <c:v>-1.66</c:v>
                </c:pt>
                <c:pt idx="68">
                  <c:v>-1.64</c:v>
                </c:pt>
                <c:pt idx="69">
                  <c:v>-1.62</c:v>
                </c:pt>
                <c:pt idx="70">
                  <c:v>-1.6</c:v>
                </c:pt>
                <c:pt idx="71">
                  <c:v>-1.58</c:v>
                </c:pt>
                <c:pt idx="72">
                  <c:v>-1.56</c:v>
                </c:pt>
                <c:pt idx="73">
                  <c:v>-1.54</c:v>
                </c:pt>
                <c:pt idx="74">
                  <c:v>-1.52</c:v>
                </c:pt>
                <c:pt idx="75">
                  <c:v>-1.5</c:v>
                </c:pt>
                <c:pt idx="76">
                  <c:v>-1.48</c:v>
                </c:pt>
                <c:pt idx="77">
                  <c:v>-1.46</c:v>
                </c:pt>
                <c:pt idx="78">
                  <c:v>-1.44</c:v>
                </c:pt>
                <c:pt idx="79">
                  <c:v>-1.42</c:v>
                </c:pt>
                <c:pt idx="80">
                  <c:v>-1.4</c:v>
                </c:pt>
                <c:pt idx="81">
                  <c:v>-1.38</c:v>
                </c:pt>
                <c:pt idx="82">
                  <c:v>-1.36</c:v>
                </c:pt>
                <c:pt idx="83">
                  <c:v>-1.34</c:v>
                </c:pt>
                <c:pt idx="84">
                  <c:v>-1.32</c:v>
                </c:pt>
                <c:pt idx="85">
                  <c:v>-1.3</c:v>
                </c:pt>
                <c:pt idx="86">
                  <c:v>-1.28</c:v>
                </c:pt>
                <c:pt idx="87">
                  <c:v>-1.26</c:v>
                </c:pt>
                <c:pt idx="88">
                  <c:v>-1.24</c:v>
                </c:pt>
                <c:pt idx="89">
                  <c:v>-1.22</c:v>
                </c:pt>
                <c:pt idx="90">
                  <c:v>-1.2</c:v>
                </c:pt>
                <c:pt idx="91">
                  <c:v>-1.18</c:v>
                </c:pt>
                <c:pt idx="92">
                  <c:v>-1.1599999999999999</c:v>
                </c:pt>
                <c:pt idx="93">
                  <c:v>-1.1399999999999999</c:v>
                </c:pt>
                <c:pt idx="94">
                  <c:v>-1.1200000000000001</c:v>
                </c:pt>
                <c:pt idx="95">
                  <c:v>-1.1000000000000001</c:v>
                </c:pt>
                <c:pt idx="96">
                  <c:v>-1.08</c:v>
                </c:pt>
                <c:pt idx="97">
                  <c:v>-1.06</c:v>
                </c:pt>
                <c:pt idx="98">
                  <c:v>-1.04</c:v>
                </c:pt>
                <c:pt idx="99">
                  <c:v>-1.02</c:v>
                </c:pt>
                <c:pt idx="100">
                  <c:v>-1</c:v>
                </c:pt>
                <c:pt idx="101">
                  <c:v>-0.98</c:v>
                </c:pt>
                <c:pt idx="102">
                  <c:v>-0.96</c:v>
                </c:pt>
                <c:pt idx="103">
                  <c:v>-0.94</c:v>
                </c:pt>
                <c:pt idx="104">
                  <c:v>-0.92</c:v>
                </c:pt>
                <c:pt idx="105">
                  <c:v>-0.9</c:v>
                </c:pt>
                <c:pt idx="106">
                  <c:v>-0.88</c:v>
                </c:pt>
                <c:pt idx="107">
                  <c:v>-0.86</c:v>
                </c:pt>
                <c:pt idx="108">
                  <c:v>-0.84</c:v>
                </c:pt>
                <c:pt idx="109">
                  <c:v>-0.82</c:v>
                </c:pt>
                <c:pt idx="110">
                  <c:v>-0.8</c:v>
                </c:pt>
                <c:pt idx="111">
                  <c:v>-0.78</c:v>
                </c:pt>
                <c:pt idx="112">
                  <c:v>-0.76</c:v>
                </c:pt>
                <c:pt idx="113">
                  <c:v>-0.74</c:v>
                </c:pt>
                <c:pt idx="114">
                  <c:v>-0.72</c:v>
                </c:pt>
                <c:pt idx="115">
                  <c:v>-0.7</c:v>
                </c:pt>
                <c:pt idx="116">
                  <c:v>-0.68</c:v>
                </c:pt>
                <c:pt idx="117">
                  <c:v>-0.66</c:v>
                </c:pt>
                <c:pt idx="118">
                  <c:v>-0.64</c:v>
                </c:pt>
                <c:pt idx="119">
                  <c:v>-0.62</c:v>
                </c:pt>
                <c:pt idx="120">
                  <c:v>-0.6</c:v>
                </c:pt>
                <c:pt idx="121">
                  <c:v>-0.57999999999999996</c:v>
                </c:pt>
                <c:pt idx="122">
                  <c:v>-0.56000000000000005</c:v>
                </c:pt>
                <c:pt idx="123">
                  <c:v>-0.54</c:v>
                </c:pt>
                <c:pt idx="124">
                  <c:v>-0.52</c:v>
                </c:pt>
                <c:pt idx="125">
                  <c:v>-0.5</c:v>
                </c:pt>
                <c:pt idx="126">
                  <c:v>-0.48</c:v>
                </c:pt>
                <c:pt idx="127">
                  <c:v>-0.46</c:v>
                </c:pt>
                <c:pt idx="128">
                  <c:v>-0.44</c:v>
                </c:pt>
                <c:pt idx="129">
                  <c:v>-0.42</c:v>
                </c:pt>
                <c:pt idx="130">
                  <c:v>-0.4</c:v>
                </c:pt>
                <c:pt idx="131">
                  <c:v>-0.38</c:v>
                </c:pt>
                <c:pt idx="132">
                  <c:v>-0.36</c:v>
                </c:pt>
                <c:pt idx="133">
                  <c:v>-0.34</c:v>
                </c:pt>
                <c:pt idx="134">
                  <c:v>-0.32</c:v>
                </c:pt>
                <c:pt idx="135">
                  <c:v>-0.3</c:v>
                </c:pt>
                <c:pt idx="136">
                  <c:v>-0.28000000000000003</c:v>
                </c:pt>
                <c:pt idx="137">
                  <c:v>-0.26</c:v>
                </c:pt>
                <c:pt idx="138">
                  <c:v>-0.24</c:v>
                </c:pt>
                <c:pt idx="139">
                  <c:v>-0.22</c:v>
                </c:pt>
                <c:pt idx="140">
                  <c:v>-0.2</c:v>
                </c:pt>
                <c:pt idx="141">
                  <c:v>-0.18</c:v>
                </c:pt>
                <c:pt idx="142">
                  <c:v>-0.16</c:v>
                </c:pt>
                <c:pt idx="143">
                  <c:v>-0.14000000000000001</c:v>
                </c:pt>
                <c:pt idx="144">
                  <c:v>-0.12</c:v>
                </c:pt>
                <c:pt idx="145">
                  <c:v>-0.1</c:v>
                </c:pt>
                <c:pt idx="146">
                  <c:v>-8.0000000000000099E-2</c:v>
                </c:pt>
                <c:pt idx="147">
                  <c:v>-6.0000000000000102E-2</c:v>
                </c:pt>
                <c:pt idx="148">
                  <c:v>-0.04</c:v>
                </c:pt>
                <c:pt idx="149">
                  <c:v>-0.02</c:v>
                </c:pt>
                <c:pt idx="150">
                  <c:v>0</c:v>
                </c:pt>
                <c:pt idx="151">
                  <c:v>0.02</c:v>
                </c:pt>
                <c:pt idx="152">
                  <c:v>0.04</c:v>
                </c:pt>
                <c:pt idx="153">
                  <c:v>6.0000000000000102E-2</c:v>
                </c:pt>
                <c:pt idx="154">
                  <c:v>8.0000000000000099E-2</c:v>
                </c:pt>
                <c:pt idx="155">
                  <c:v>0.1</c:v>
                </c:pt>
                <c:pt idx="156">
                  <c:v>0.12</c:v>
                </c:pt>
                <c:pt idx="157">
                  <c:v>0.14000000000000001</c:v>
                </c:pt>
                <c:pt idx="158">
                  <c:v>0.16</c:v>
                </c:pt>
                <c:pt idx="159">
                  <c:v>0.18</c:v>
                </c:pt>
                <c:pt idx="160">
                  <c:v>0.2</c:v>
                </c:pt>
                <c:pt idx="161">
                  <c:v>0.22</c:v>
                </c:pt>
                <c:pt idx="162">
                  <c:v>0.24</c:v>
                </c:pt>
                <c:pt idx="163">
                  <c:v>0.26</c:v>
                </c:pt>
                <c:pt idx="164">
                  <c:v>0.28000000000000003</c:v>
                </c:pt>
                <c:pt idx="165">
                  <c:v>0.3</c:v>
                </c:pt>
                <c:pt idx="166">
                  <c:v>0.32</c:v>
                </c:pt>
                <c:pt idx="167">
                  <c:v>0.34</c:v>
                </c:pt>
                <c:pt idx="168">
                  <c:v>0.36</c:v>
                </c:pt>
                <c:pt idx="169">
                  <c:v>0.38</c:v>
                </c:pt>
                <c:pt idx="170">
                  <c:v>0.4</c:v>
                </c:pt>
                <c:pt idx="171">
                  <c:v>0.42</c:v>
                </c:pt>
                <c:pt idx="172">
                  <c:v>0.44</c:v>
                </c:pt>
                <c:pt idx="173">
                  <c:v>0.46</c:v>
                </c:pt>
                <c:pt idx="174">
                  <c:v>0.48</c:v>
                </c:pt>
                <c:pt idx="175">
                  <c:v>0.5</c:v>
                </c:pt>
                <c:pt idx="176">
                  <c:v>0.52</c:v>
                </c:pt>
                <c:pt idx="177">
                  <c:v>0.54</c:v>
                </c:pt>
                <c:pt idx="178">
                  <c:v>0.56000000000000005</c:v>
                </c:pt>
                <c:pt idx="179">
                  <c:v>0.57999999999999996</c:v>
                </c:pt>
                <c:pt idx="180">
                  <c:v>0.6</c:v>
                </c:pt>
                <c:pt idx="181">
                  <c:v>0.62</c:v>
                </c:pt>
                <c:pt idx="182">
                  <c:v>0.64</c:v>
                </c:pt>
                <c:pt idx="183">
                  <c:v>0.66</c:v>
                </c:pt>
                <c:pt idx="184">
                  <c:v>0.68</c:v>
                </c:pt>
                <c:pt idx="185">
                  <c:v>0.7</c:v>
                </c:pt>
                <c:pt idx="186">
                  <c:v>0.72</c:v>
                </c:pt>
                <c:pt idx="187">
                  <c:v>0.74</c:v>
                </c:pt>
                <c:pt idx="188">
                  <c:v>0.76</c:v>
                </c:pt>
                <c:pt idx="189">
                  <c:v>0.78</c:v>
                </c:pt>
                <c:pt idx="190">
                  <c:v>0.8</c:v>
                </c:pt>
                <c:pt idx="191">
                  <c:v>0.82</c:v>
                </c:pt>
                <c:pt idx="192">
                  <c:v>0.84</c:v>
                </c:pt>
                <c:pt idx="193">
                  <c:v>0.86</c:v>
                </c:pt>
                <c:pt idx="194">
                  <c:v>0.88</c:v>
                </c:pt>
                <c:pt idx="195">
                  <c:v>0.9</c:v>
                </c:pt>
                <c:pt idx="196">
                  <c:v>0.92</c:v>
                </c:pt>
                <c:pt idx="197">
                  <c:v>0.94</c:v>
                </c:pt>
                <c:pt idx="198">
                  <c:v>0.96</c:v>
                </c:pt>
                <c:pt idx="199">
                  <c:v>0.98</c:v>
                </c:pt>
                <c:pt idx="200">
                  <c:v>1</c:v>
                </c:pt>
                <c:pt idx="201">
                  <c:v>1.02</c:v>
                </c:pt>
                <c:pt idx="202">
                  <c:v>1.04</c:v>
                </c:pt>
                <c:pt idx="203">
                  <c:v>1.06</c:v>
                </c:pt>
                <c:pt idx="204">
                  <c:v>1.08</c:v>
                </c:pt>
                <c:pt idx="205">
                  <c:v>1.1000000000000001</c:v>
                </c:pt>
                <c:pt idx="206">
                  <c:v>1.1200000000000001</c:v>
                </c:pt>
                <c:pt idx="207">
                  <c:v>1.1399999999999999</c:v>
                </c:pt>
                <c:pt idx="208">
                  <c:v>1.1599999999999999</c:v>
                </c:pt>
                <c:pt idx="209">
                  <c:v>1.18</c:v>
                </c:pt>
                <c:pt idx="210">
                  <c:v>1.2</c:v>
                </c:pt>
                <c:pt idx="211">
                  <c:v>1.22</c:v>
                </c:pt>
                <c:pt idx="212">
                  <c:v>1.24</c:v>
                </c:pt>
                <c:pt idx="213">
                  <c:v>1.26</c:v>
                </c:pt>
                <c:pt idx="214">
                  <c:v>1.28</c:v>
                </c:pt>
                <c:pt idx="215">
                  <c:v>1.3</c:v>
                </c:pt>
                <c:pt idx="216">
                  <c:v>1.32</c:v>
                </c:pt>
                <c:pt idx="217">
                  <c:v>1.34</c:v>
                </c:pt>
                <c:pt idx="218">
                  <c:v>1.36</c:v>
                </c:pt>
                <c:pt idx="219">
                  <c:v>1.38</c:v>
                </c:pt>
                <c:pt idx="220">
                  <c:v>1.4</c:v>
                </c:pt>
                <c:pt idx="221">
                  <c:v>1.42</c:v>
                </c:pt>
                <c:pt idx="222">
                  <c:v>1.44</c:v>
                </c:pt>
                <c:pt idx="223">
                  <c:v>1.46</c:v>
                </c:pt>
                <c:pt idx="224">
                  <c:v>1.48</c:v>
                </c:pt>
                <c:pt idx="225">
                  <c:v>1.5</c:v>
                </c:pt>
                <c:pt idx="226">
                  <c:v>1.52</c:v>
                </c:pt>
                <c:pt idx="227">
                  <c:v>1.54</c:v>
                </c:pt>
                <c:pt idx="228">
                  <c:v>1.56</c:v>
                </c:pt>
                <c:pt idx="229">
                  <c:v>1.58</c:v>
                </c:pt>
                <c:pt idx="230">
                  <c:v>1.6</c:v>
                </c:pt>
                <c:pt idx="231">
                  <c:v>1.62</c:v>
                </c:pt>
                <c:pt idx="232">
                  <c:v>1.64</c:v>
                </c:pt>
                <c:pt idx="233">
                  <c:v>1.66</c:v>
                </c:pt>
                <c:pt idx="234">
                  <c:v>1.68</c:v>
                </c:pt>
                <c:pt idx="235">
                  <c:v>1.7</c:v>
                </c:pt>
                <c:pt idx="236">
                  <c:v>1.72</c:v>
                </c:pt>
                <c:pt idx="237">
                  <c:v>1.74</c:v>
                </c:pt>
                <c:pt idx="238">
                  <c:v>1.76</c:v>
                </c:pt>
                <c:pt idx="239">
                  <c:v>1.78</c:v>
                </c:pt>
                <c:pt idx="240">
                  <c:v>1.8</c:v>
                </c:pt>
                <c:pt idx="241">
                  <c:v>1.82</c:v>
                </c:pt>
                <c:pt idx="242">
                  <c:v>1.84</c:v>
                </c:pt>
                <c:pt idx="243">
                  <c:v>1.86</c:v>
                </c:pt>
                <c:pt idx="244">
                  <c:v>1.88</c:v>
                </c:pt>
                <c:pt idx="245">
                  <c:v>1.9</c:v>
                </c:pt>
                <c:pt idx="246">
                  <c:v>1.92</c:v>
                </c:pt>
                <c:pt idx="247">
                  <c:v>1.94</c:v>
                </c:pt>
                <c:pt idx="248">
                  <c:v>1.96</c:v>
                </c:pt>
                <c:pt idx="249">
                  <c:v>1.98</c:v>
                </c:pt>
                <c:pt idx="250">
                  <c:v>2</c:v>
                </c:pt>
                <c:pt idx="251">
                  <c:v>2.02</c:v>
                </c:pt>
                <c:pt idx="252">
                  <c:v>2.04</c:v>
                </c:pt>
                <c:pt idx="253">
                  <c:v>2.06</c:v>
                </c:pt>
                <c:pt idx="254">
                  <c:v>2.08</c:v>
                </c:pt>
                <c:pt idx="255">
                  <c:v>2.1</c:v>
                </c:pt>
                <c:pt idx="256">
                  <c:v>2.12</c:v>
                </c:pt>
                <c:pt idx="257">
                  <c:v>2.14</c:v>
                </c:pt>
                <c:pt idx="258">
                  <c:v>2.16</c:v>
                </c:pt>
                <c:pt idx="259">
                  <c:v>2.1800000000000099</c:v>
                </c:pt>
                <c:pt idx="260">
                  <c:v>2.2000000000000002</c:v>
                </c:pt>
                <c:pt idx="261">
                  <c:v>2.2200000000000002</c:v>
                </c:pt>
                <c:pt idx="262">
                  <c:v>2.2400000000000002</c:v>
                </c:pt>
                <c:pt idx="263">
                  <c:v>2.26000000000001</c:v>
                </c:pt>
                <c:pt idx="264">
                  <c:v>2.2799999999999998</c:v>
                </c:pt>
                <c:pt idx="265">
                  <c:v>2.2999999999999998</c:v>
                </c:pt>
                <c:pt idx="266">
                  <c:v>2.3199999999999998</c:v>
                </c:pt>
                <c:pt idx="267">
                  <c:v>2.3400000000000101</c:v>
                </c:pt>
                <c:pt idx="268">
                  <c:v>2.36</c:v>
                </c:pt>
                <c:pt idx="269">
                  <c:v>2.38</c:v>
                </c:pt>
                <c:pt idx="270">
                  <c:v>2.4</c:v>
                </c:pt>
                <c:pt idx="271">
                  <c:v>2.4200000000000101</c:v>
                </c:pt>
                <c:pt idx="272">
                  <c:v>2.44</c:v>
                </c:pt>
                <c:pt idx="273">
                  <c:v>2.46</c:v>
                </c:pt>
                <c:pt idx="274">
                  <c:v>2.48</c:v>
                </c:pt>
                <c:pt idx="275">
                  <c:v>2.5000000000000102</c:v>
                </c:pt>
                <c:pt idx="276">
                  <c:v>2.52</c:v>
                </c:pt>
                <c:pt idx="277">
                  <c:v>2.54</c:v>
                </c:pt>
                <c:pt idx="278">
                  <c:v>2.56</c:v>
                </c:pt>
                <c:pt idx="279">
                  <c:v>2.5800000000000098</c:v>
                </c:pt>
                <c:pt idx="280">
                  <c:v>2.6</c:v>
                </c:pt>
                <c:pt idx="281">
                  <c:v>2.62</c:v>
                </c:pt>
                <c:pt idx="282">
                  <c:v>2.6400000000000099</c:v>
                </c:pt>
                <c:pt idx="283">
                  <c:v>2.6600000000000099</c:v>
                </c:pt>
                <c:pt idx="284">
                  <c:v>2.6800000000000099</c:v>
                </c:pt>
                <c:pt idx="285">
                  <c:v>2.7</c:v>
                </c:pt>
                <c:pt idx="286">
                  <c:v>2.72000000000001</c:v>
                </c:pt>
                <c:pt idx="287">
                  <c:v>2.74000000000001</c:v>
                </c:pt>
                <c:pt idx="288">
                  <c:v>2.76000000000001</c:v>
                </c:pt>
                <c:pt idx="289">
                  <c:v>2.78</c:v>
                </c:pt>
                <c:pt idx="290">
                  <c:v>2.80000000000001</c:v>
                </c:pt>
                <c:pt idx="291">
                  <c:v>2.8200000000000101</c:v>
                </c:pt>
                <c:pt idx="292">
                  <c:v>2.8400000000000101</c:v>
                </c:pt>
                <c:pt idx="293">
                  <c:v>2.86</c:v>
                </c:pt>
                <c:pt idx="294">
                  <c:v>2.8800000000000101</c:v>
                </c:pt>
                <c:pt idx="295">
                  <c:v>2.9000000000000101</c:v>
                </c:pt>
                <c:pt idx="296">
                  <c:v>2.9200000000000101</c:v>
                </c:pt>
                <c:pt idx="297">
                  <c:v>2.94</c:v>
                </c:pt>
                <c:pt idx="298">
                  <c:v>2.9600000000000102</c:v>
                </c:pt>
                <c:pt idx="299">
                  <c:v>2.9800000000000102</c:v>
                </c:pt>
                <c:pt idx="300">
                  <c:v>3.0000000000000102</c:v>
                </c:pt>
                <c:pt idx="301">
                  <c:v>3.02</c:v>
                </c:pt>
                <c:pt idx="302">
                  <c:v>3.0400000000000098</c:v>
                </c:pt>
                <c:pt idx="303">
                  <c:v>3.0600000000000098</c:v>
                </c:pt>
                <c:pt idx="304">
                  <c:v>3.0800000000000098</c:v>
                </c:pt>
                <c:pt idx="305">
                  <c:v>3.1</c:v>
                </c:pt>
                <c:pt idx="306">
                  <c:v>3.1200000000000099</c:v>
                </c:pt>
                <c:pt idx="307">
                  <c:v>3.1400000000000099</c:v>
                </c:pt>
                <c:pt idx="308">
                  <c:v>3.1600000000000099</c:v>
                </c:pt>
                <c:pt idx="309">
                  <c:v>3.1800000000000099</c:v>
                </c:pt>
                <c:pt idx="310">
                  <c:v>3.2000000000000099</c:v>
                </c:pt>
                <c:pt idx="311">
                  <c:v>3.22000000000001</c:v>
                </c:pt>
                <c:pt idx="312">
                  <c:v>3.24000000000001</c:v>
                </c:pt>
                <c:pt idx="313">
                  <c:v>3.26000000000001</c:v>
                </c:pt>
                <c:pt idx="314">
                  <c:v>3.28000000000001</c:v>
                </c:pt>
                <c:pt idx="315">
                  <c:v>3.30000000000001</c:v>
                </c:pt>
                <c:pt idx="316">
                  <c:v>3.3200000000000101</c:v>
                </c:pt>
                <c:pt idx="317">
                  <c:v>3.3400000000000101</c:v>
                </c:pt>
                <c:pt idx="318">
                  <c:v>3.3600000000000101</c:v>
                </c:pt>
                <c:pt idx="319">
                  <c:v>3.3800000000000101</c:v>
                </c:pt>
                <c:pt idx="320">
                  <c:v>3.4000000000000101</c:v>
                </c:pt>
                <c:pt idx="321">
                  <c:v>3.4200000000000101</c:v>
                </c:pt>
                <c:pt idx="322">
                  <c:v>3.4400000000000102</c:v>
                </c:pt>
                <c:pt idx="323">
                  <c:v>3.4600000000000102</c:v>
                </c:pt>
                <c:pt idx="324">
                  <c:v>3.4800000000000102</c:v>
                </c:pt>
                <c:pt idx="325">
                  <c:v>3.5000000000000102</c:v>
                </c:pt>
                <c:pt idx="326">
                  <c:v>3.5200000000000098</c:v>
                </c:pt>
                <c:pt idx="327">
                  <c:v>3.5400000000000098</c:v>
                </c:pt>
                <c:pt idx="328">
                  <c:v>3.5600000000000098</c:v>
                </c:pt>
                <c:pt idx="329">
                  <c:v>3.5800000000000098</c:v>
                </c:pt>
                <c:pt idx="330">
                  <c:v>3.6000000000000099</c:v>
                </c:pt>
                <c:pt idx="331">
                  <c:v>3.6200000000000099</c:v>
                </c:pt>
                <c:pt idx="332">
                  <c:v>3.6400000000000099</c:v>
                </c:pt>
                <c:pt idx="333">
                  <c:v>3.6600000000000099</c:v>
                </c:pt>
                <c:pt idx="334">
                  <c:v>3.6800000000000099</c:v>
                </c:pt>
                <c:pt idx="335">
                  <c:v>3.7000000000000099</c:v>
                </c:pt>
                <c:pt idx="336">
                  <c:v>3.72000000000001</c:v>
                </c:pt>
                <c:pt idx="337">
                  <c:v>3.74000000000001</c:v>
                </c:pt>
                <c:pt idx="338">
                  <c:v>3.76000000000001</c:v>
                </c:pt>
                <c:pt idx="339">
                  <c:v>3.78000000000001</c:v>
                </c:pt>
                <c:pt idx="340">
                  <c:v>3.80000000000001</c:v>
                </c:pt>
                <c:pt idx="341">
                  <c:v>3.8200000000000101</c:v>
                </c:pt>
                <c:pt idx="342">
                  <c:v>3.8400000000000101</c:v>
                </c:pt>
                <c:pt idx="343">
                  <c:v>3.8600000000000101</c:v>
                </c:pt>
                <c:pt idx="344">
                  <c:v>3.8800000000000101</c:v>
                </c:pt>
                <c:pt idx="345">
                  <c:v>3.9000000000000101</c:v>
                </c:pt>
                <c:pt idx="346">
                  <c:v>3.9200000000000101</c:v>
                </c:pt>
                <c:pt idx="347">
                  <c:v>3.9400000000000102</c:v>
                </c:pt>
                <c:pt idx="348">
                  <c:v>3.9600000000000102</c:v>
                </c:pt>
                <c:pt idx="349">
                  <c:v>3.9800000000000102</c:v>
                </c:pt>
                <c:pt idx="350">
                  <c:v>4.0000000000000098</c:v>
                </c:pt>
                <c:pt idx="351">
                  <c:v>4.0200000000000102</c:v>
                </c:pt>
                <c:pt idx="352">
                  <c:v>4.0400000000000098</c:v>
                </c:pt>
                <c:pt idx="353">
                  <c:v>4.0600000000000103</c:v>
                </c:pt>
                <c:pt idx="354">
                  <c:v>4.0800000000000098</c:v>
                </c:pt>
                <c:pt idx="355">
                  <c:v>4.1000000000000103</c:v>
                </c:pt>
                <c:pt idx="356">
                  <c:v>4.1200000000000099</c:v>
                </c:pt>
                <c:pt idx="357">
                  <c:v>4.1400000000000103</c:v>
                </c:pt>
                <c:pt idx="358">
                  <c:v>4.1600000000000099</c:v>
                </c:pt>
                <c:pt idx="359">
                  <c:v>4.1800000000000104</c:v>
                </c:pt>
                <c:pt idx="360">
                  <c:v>4.2000000000000099</c:v>
                </c:pt>
                <c:pt idx="361">
                  <c:v>4.2200000000000104</c:v>
                </c:pt>
                <c:pt idx="362">
                  <c:v>4.24000000000001</c:v>
                </c:pt>
                <c:pt idx="363">
                  <c:v>4.2600000000000096</c:v>
                </c:pt>
                <c:pt idx="364">
                  <c:v>4.28000000000001</c:v>
                </c:pt>
                <c:pt idx="365">
                  <c:v>4.3000000000000096</c:v>
                </c:pt>
                <c:pt idx="366">
                  <c:v>4.3200000000000101</c:v>
                </c:pt>
                <c:pt idx="367">
                  <c:v>4.3400000000000096</c:v>
                </c:pt>
                <c:pt idx="368">
                  <c:v>4.3600000000000101</c:v>
                </c:pt>
                <c:pt idx="369">
                  <c:v>4.3800000000000097</c:v>
                </c:pt>
                <c:pt idx="370">
                  <c:v>4.4000000000000101</c:v>
                </c:pt>
                <c:pt idx="371">
                  <c:v>4.4200000000000097</c:v>
                </c:pt>
                <c:pt idx="372">
                  <c:v>4.4400000000000102</c:v>
                </c:pt>
                <c:pt idx="373">
                  <c:v>4.4600000000000097</c:v>
                </c:pt>
                <c:pt idx="374">
                  <c:v>4.4800000000000102</c:v>
                </c:pt>
                <c:pt idx="375">
                  <c:v>4.5000000000000098</c:v>
                </c:pt>
                <c:pt idx="376">
                  <c:v>4.5200000000000102</c:v>
                </c:pt>
                <c:pt idx="377">
                  <c:v>4.5400000000000098</c:v>
                </c:pt>
                <c:pt idx="378">
                  <c:v>4.5600000000000103</c:v>
                </c:pt>
                <c:pt idx="379">
                  <c:v>4.5800000000000098</c:v>
                </c:pt>
                <c:pt idx="380">
                  <c:v>4.6000000000000103</c:v>
                </c:pt>
                <c:pt idx="381">
                  <c:v>4.6200000000000099</c:v>
                </c:pt>
                <c:pt idx="382">
                  <c:v>4.6400000000000103</c:v>
                </c:pt>
                <c:pt idx="383">
                  <c:v>4.6600000000000099</c:v>
                </c:pt>
                <c:pt idx="384">
                  <c:v>4.6800000000000104</c:v>
                </c:pt>
                <c:pt idx="385">
                  <c:v>4.7000000000000099</c:v>
                </c:pt>
                <c:pt idx="386">
                  <c:v>4.7200000000000104</c:v>
                </c:pt>
                <c:pt idx="387">
                  <c:v>4.74000000000001</c:v>
                </c:pt>
                <c:pt idx="388">
                  <c:v>4.7600000000000096</c:v>
                </c:pt>
                <c:pt idx="389">
                  <c:v>4.78000000000001</c:v>
                </c:pt>
                <c:pt idx="390">
                  <c:v>4.8000000000000096</c:v>
                </c:pt>
                <c:pt idx="391">
                  <c:v>4.8200000000000101</c:v>
                </c:pt>
                <c:pt idx="392">
                  <c:v>4.8400000000000096</c:v>
                </c:pt>
                <c:pt idx="393">
                  <c:v>4.8600000000000101</c:v>
                </c:pt>
                <c:pt idx="394">
                  <c:v>4.8800000000000097</c:v>
                </c:pt>
                <c:pt idx="395">
                  <c:v>4.9000000000000101</c:v>
                </c:pt>
                <c:pt idx="396">
                  <c:v>4.9200000000000097</c:v>
                </c:pt>
                <c:pt idx="397">
                  <c:v>4.9400000000000102</c:v>
                </c:pt>
                <c:pt idx="398">
                  <c:v>4.9600000000000097</c:v>
                </c:pt>
                <c:pt idx="399">
                  <c:v>4.9800000000000102</c:v>
                </c:pt>
                <c:pt idx="400">
                  <c:v>5.0000000000000098</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1C-1DFF-4DFC-B6E9-D86B6FD0EE9D}"/>
            </c:ext>
          </c:extLst>
        </c:ser>
        <c:ser>
          <c:idx val="10"/>
          <c:order val="10"/>
          <c:tx>
            <c:strRef>
              <c:f>'V-N Diagram'!$K$36</c:f>
              <c:strCache>
                <c:ptCount val="1"/>
                <c:pt idx="0">
                  <c:v>Vd</c:v>
                </c:pt>
              </c:strCache>
            </c:strRef>
          </c:tx>
          <c:spPr>
            <a:ln w="25400" cap="rnd">
              <a:solidFill>
                <a:schemeClr val="accent4"/>
              </a:solidFill>
              <a:round/>
            </a:ln>
            <a:effectLst/>
          </c:spPr>
          <c:marker>
            <c:symbol val="none"/>
          </c:marker>
          <c:xVal>
            <c:numRef>
              <c:f>'V-N Diagram'!$K$37:$K$437</c:f>
              <c:numCache>
                <c:formatCode>General</c:formatCode>
                <c:ptCount val="401"/>
                <c:pt idx="0">
                  <c:v>378</c:v>
                </c:pt>
                <c:pt idx="1">
                  <c:v>378</c:v>
                </c:pt>
                <c:pt idx="2">
                  <c:v>378</c:v>
                </c:pt>
                <c:pt idx="3">
                  <c:v>378</c:v>
                </c:pt>
                <c:pt idx="4">
                  <c:v>378</c:v>
                </c:pt>
                <c:pt idx="5">
                  <c:v>378</c:v>
                </c:pt>
                <c:pt idx="6">
                  <c:v>378</c:v>
                </c:pt>
                <c:pt idx="7">
                  <c:v>378</c:v>
                </c:pt>
                <c:pt idx="8">
                  <c:v>378</c:v>
                </c:pt>
                <c:pt idx="9">
                  <c:v>378</c:v>
                </c:pt>
                <c:pt idx="10">
                  <c:v>378</c:v>
                </c:pt>
                <c:pt idx="11">
                  <c:v>378</c:v>
                </c:pt>
                <c:pt idx="12">
                  <c:v>378</c:v>
                </c:pt>
                <c:pt idx="13">
                  <c:v>378</c:v>
                </c:pt>
                <c:pt idx="14">
                  <c:v>378</c:v>
                </c:pt>
                <c:pt idx="15">
                  <c:v>378</c:v>
                </c:pt>
                <c:pt idx="16">
                  <c:v>378</c:v>
                </c:pt>
                <c:pt idx="17">
                  <c:v>378</c:v>
                </c:pt>
                <c:pt idx="18">
                  <c:v>378</c:v>
                </c:pt>
                <c:pt idx="19">
                  <c:v>378</c:v>
                </c:pt>
                <c:pt idx="20">
                  <c:v>378</c:v>
                </c:pt>
                <c:pt idx="21">
                  <c:v>378</c:v>
                </c:pt>
                <c:pt idx="22">
                  <c:v>378</c:v>
                </c:pt>
                <c:pt idx="23">
                  <c:v>378</c:v>
                </c:pt>
                <c:pt idx="24">
                  <c:v>378</c:v>
                </c:pt>
                <c:pt idx="25">
                  <c:v>378</c:v>
                </c:pt>
                <c:pt idx="26">
                  <c:v>378</c:v>
                </c:pt>
                <c:pt idx="27">
                  <c:v>378</c:v>
                </c:pt>
                <c:pt idx="28">
                  <c:v>378</c:v>
                </c:pt>
                <c:pt idx="29">
                  <c:v>378</c:v>
                </c:pt>
                <c:pt idx="30">
                  <c:v>378</c:v>
                </c:pt>
                <c:pt idx="31">
                  <c:v>378</c:v>
                </c:pt>
                <c:pt idx="32">
                  <c:v>378</c:v>
                </c:pt>
                <c:pt idx="33">
                  <c:v>378</c:v>
                </c:pt>
                <c:pt idx="34">
                  <c:v>378</c:v>
                </c:pt>
                <c:pt idx="35">
                  <c:v>378</c:v>
                </c:pt>
                <c:pt idx="36">
                  <c:v>378</c:v>
                </c:pt>
                <c:pt idx="37">
                  <c:v>378</c:v>
                </c:pt>
                <c:pt idx="38">
                  <c:v>378</c:v>
                </c:pt>
                <c:pt idx="39">
                  <c:v>378</c:v>
                </c:pt>
                <c:pt idx="40">
                  <c:v>378</c:v>
                </c:pt>
                <c:pt idx="41">
                  <c:v>378</c:v>
                </c:pt>
                <c:pt idx="42">
                  <c:v>378</c:v>
                </c:pt>
                <c:pt idx="43">
                  <c:v>378</c:v>
                </c:pt>
                <c:pt idx="44">
                  <c:v>378</c:v>
                </c:pt>
                <c:pt idx="45">
                  <c:v>378</c:v>
                </c:pt>
                <c:pt idx="46">
                  <c:v>378</c:v>
                </c:pt>
                <c:pt idx="47">
                  <c:v>378</c:v>
                </c:pt>
                <c:pt idx="48">
                  <c:v>378</c:v>
                </c:pt>
                <c:pt idx="49">
                  <c:v>378</c:v>
                </c:pt>
                <c:pt idx="50">
                  <c:v>378</c:v>
                </c:pt>
                <c:pt idx="51">
                  <c:v>378</c:v>
                </c:pt>
                <c:pt idx="52">
                  <c:v>378</c:v>
                </c:pt>
                <c:pt idx="53">
                  <c:v>378</c:v>
                </c:pt>
                <c:pt idx="54">
                  <c:v>378</c:v>
                </c:pt>
                <c:pt idx="55">
                  <c:v>378</c:v>
                </c:pt>
                <c:pt idx="56">
                  <c:v>378</c:v>
                </c:pt>
                <c:pt idx="57">
                  <c:v>378</c:v>
                </c:pt>
                <c:pt idx="58">
                  <c:v>378</c:v>
                </c:pt>
                <c:pt idx="59">
                  <c:v>378</c:v>
                </c:pt>
                <c:pt idx="60">
                  <c:v>378</c:v>
                </c:pt>
                <c:pt idx="61">
                  <c:v>378</c:v>
                </c:pt>
                <c:pt idx="62">
                  <c:v>378</c:v>
                </c:pt>
                <c:pt idx="63">
                  <c:v>378</c:v>
                </c:pt>
                <c:pt idx="64">
                  <c:v>378</c:v>
                </c:pt>
                <c:pt idx="65">
                  <c:v>378</c:v>
                </c:pt>
                <c:pt idx="66">
                  <c:v>378</c:v>
                </c:pt>
                <c:pt idx="67">
                  <c:v>378</c:v>
                </c:pt>
                <c:pt idx="68">
                  <c:v>378</c:v>
                </c:pt>
                <c:pt idx="69">
                  <c:v>378</c:v>
                </c:pt>
                <c:pt idx="70">
                  <c:v>378</c:v>
                </c:pt>
                <c:pt idx="71">
                  <c:v>378</c:v>
                </c:pt>
                <c:pt idx="72">
                  <c:v>378</c:v>
                </c:pt>
                <c:pt idx="73">
                  <c:v>378</c:v>
                </c:pt>
                <c:pt idx="74">
                  <c:v>378</c:v>
                </c:pt>
                <c:pt idx="75">
                  <c:v>378</c:v>
                </c:pt>
                <c:pt idx="76">
                  <c:v>378</c:v>
                </c:pt>
                <c:pt idx="77">
                  <c:v>378</c:v>
                </c:pt>
                <c:pt idx="78">
                  <c:v>378</c:v>
                </c:pt>
                <c:pt idx="79">
                  <c:v>378</c:v>
                </c:pt>
                <c:pt idx="80">
                  <c:v>378</c:v>
                </c:pt>
                <c:pt idx="81">
                  <c:v>378</c:v>
                </c:pt>
                <c:pt idx="82">
                  <c:v>378</c:v>
                </c:pt>
                <c:pt idx="83">
                  <c:v>378</c:v>
                </c:pt>
                <c:pt idx="84">
                  <c:v>378</c:v>
                </c:pt>
                <c:pt idx="85">
                  <c:v>378</c:v>
                </c:pt>
                <c:pt idx="86">
                  <c:v>378</c:v>
                </c:pt>
                <c:pt idx="87">
                  <c:v>378</c:v>
                </c:pt>
                <c:pt idx="88">
                  <c:v>378</c:v>
                </c:pt>
                <c:pt idx="89">
                  <c:v>378</c:v>
                </c:pt>
                <c:pt idx="90">
                  <c:v>378</c:v>
                </c:pt>
                <c:pt idx="91">
                  <c:v>378</c:v>
                </c:pt>
                <c:pt idx="92">
                  <c:v>378</c:v>
                </c:pt>
                <c:pt idx="93">
                  <c:v>378</c:v>
                </c:pt>
                <c:pt idx="94">
                  <c:v>378</c:v>
                </c:pt>
                <c:pt idx="95">
                  <c:v>378</c:v>
                </c:pt>
                <c:pt idx="96">
                  <c:v>378</c:v>
                </c:pt>
                <c:pt idx="97">
                  <c:v>378</c:v>
                </c:pt>
                <c:pt idx="98">
                  <c:v>378</c:v>
                </c:pt>
                <c:pt idx="99">
                  <c:v>378</c:v>
                </c:pt>
                <c:pt idx="100">
                  <c:v>378</c:v>
                </c:pt>
                <c:pt idx="101">
                  <c:v>378</c:v>
                </c:pt>
                <c:pt idx="102">
                  <c:v>378</c:v>
                </c:pt>
                <c:pt idx="103">
                  <c:v>378</c:v>
                </c:pt>
                <c:pt idx="104">
                  <c:v>378</c:v>
                </c:pt>
                <c:pt idx="105">
                  <c:v>378</c:v>
                </c:pt>
                <c:pt idx="106">
                  <c:v>378</c:v>
                </c:pt>
                <c:pt idx="107">
                  <c:v>378</c:v>
                </c:pt>
                <c:pt idx="108">
                  <c:v>378</c:v>
                </c:pt>
                <c:pt idx="109">
                  <c:v>378</c:v>
                </c:pt>
                <c:pt idx="110">
                  <c:v>378</c:v>
                </c:pt>
                <c:pt idx="111">
                  <c:v>378</c:v>
                </c:pt>
                <c:pt idx="112">
                  <c:v>378</c:v>
                </c:pt>
                <c:pt idx="113">
                  <c:v>378</c:v>
                </c:pt>
                <c:pt idx="114">
                  <c:v>378</c:v>
                </c:pt>
                <c:pt idx="115">
                  <c:v>378</c:v>
                </c:pt>
                <c:pt idx="116">
                  <c:v>378</c:v>
                </c:pt>
                <c:pt idx="117">
                  <c:v>378</c:v>
                </c:pt>
                <c:pt idx="118">
                  <c:v>378</c:v>
                </c:pt>
                <c:pt idx="119">
                  <c:v>378</c:v>
                </c:pt>
                <c:pt idx="120">
                  <c:v>378</c:v>
                </c:pt>
                <c:pt idx="121">
                  <c:v>378</c:v>
                </c:pt>
                <c:pt idx="122">
                  <c:v>378</c:v>
                </c:pt>
                <c:pt idx="123">
                  <c:v>378</c:v>
                </c:pt>
                <c:pt idx="124">
                  <c:v>378</c:v>
                </c:pt>
                <c:pt idx="125">
                  <c:v>378</c:v>
                </c:pt>
                <c:pt idx="126">
                  <c:v>378</c:v>
                </c:pt>
                <c:pt idx="127">
                  <c:v>378</c:v>
                </c:pt>
                <c:pt idx="128">
                  <c:v>378</c:v>
                </c:pt>
                <c:pt idx="129">
                  <c:v>378</c:v>
                </c:pt>
                <c:pt idx="130">
                  <c:v>378</c:v>
                </c:pt>
                <c:pt idx="131">
                  <c:v>378</c:v>
                </c:pt>
                <c:pt idx="132">
                  <c:v>378</c:v>
                </c:pt>
                <c:pt idx="133">
                  <c:v>378</c:v>
                </c:pt>
                <c:pt idx="134">
                  <c:v>378</c:v>
                </c:pt>
                <c:pt idx="135">
                  <c:v>378</c:v>
                </c:pt>
                <c:pt idx="136">
                  <c:v>378</c:v>
                </c:pt>
                <c:pt idx="137">
                  <c:v>378</c:v>
                </c:pt>
                <c:pt idx="138">
                  <c:v>378</c:v>
                </c:pt>
                <c:pt idx="139">
                  <c:v>378</c:v>
                </c:pt>
                <c:pt idx="140">
                  <c:v>378</c:v>
                </c:pt>
                <c:pt idx="141">
                  <c:v>378</c:v>
                </c:pt>
                <c:pt idx="142">
                  <c:v>378</c:v>
                </c:pt>
                <c:pt idx="143">
                  <c:v>378</c:v>
                </c:pt>
                <c:pt idx="144">
                  <c:v>378</c:v>
                </c:pt>
                <c:pt idx="145">
                  <c:v>378</c:v>
                </c:pt>
                <c:pt idx="146">
                  <c:v>378</c:v>
                </c:pt>
                <c:pt idx="147">
                  <c:v>378</c:v>
                </c:pt>
                <c:pt idx="148">
                  <c:v>378</c:v>
                </c:pt>
                <c:pt idx="149">
                  <c:v>378</c:v>
                </c:pt>
                <c:pt idx="150">
                  <c:v>378</c:v>
                </c:pt>
                <c:pt idx="151">
                  <c:v>378</c:v>
                </c:pt>
                <c:pt idx="152">
                  <c:v>378</c:v>
                </c:pt>
                <c:pt idx="153">
                  <c:v>378</c:v>
                </c:pt>
                <c:pt idx="154">
                  <c:v>378</c:v>
                </c:pt>
                <c:pt idx="155">
                  <c:v>378</c:v>
                </c:pt>
                <c:pt idx="156">
                  <c:v>378</c:v>
                </c:pt>
                <c:pt idx="157">
                  <c:v>378</c:v>
                </c:pt>
                <c:pt idx="158">
                  <c:v>378</c:v>
                </c:pt>
                <c:pt idx="159">
                  <c:v>378</c:v>
                </c:pt>
                <c:pt idx="160">
                  <c:v>378</c:v>
                </c:pt>
                <c:pt idx="161">
                  <c:v>378</c:v>
                </c:pt>
                <c:pt idx="162">
                  <c:v>378</c:v>
                </c:pt>
                <c:pt idx="163">
                  <c:v>378</c:v>
                </c:pt>
                <c:pt idx="164">
                  <c:v>378</c:v>
                </c:pt>
                <c:pt idx="165">
                  <c:v>378</c:v>
                </c:pt>
                <c:pt idx="166">
                  <c:v>378</c:v>
                </c:pt>
                <c:pt idx="167">
                  <c:v>378</c:v>
                </c:pt>
                <c:pt idx="168">
                  <c:v>378</c:v>
                </c:pt>
                <c:pt idx="169">
                  <c:v>378</c:v>
                </c:pt>
                <c:pt idx="170">
                  <c:v>378</c:v>
                </c:pt>
                <c:pt idx="171">
                  <c:v>378</c:v>
                </c:pt>
                <c:pt idx="172">
                  <c:v>378</c:v>
                </c:pt>
                <c:pt idx="173">
                  <c:v>378</c:v>
                </c:pt>
                <c:pt idx="174">
                  <c:v>378</c:v>
                </c:pt>
                <c:pt idx="175">
                  <c:v>378</c:v>
                </c:pt>
                <c:pt idx="176">
                  <c:v>378</c:v>
                </c:pt>
                <c:pt idx="177">
                  <c:v>378</c:v>
                </c:pt>
                <c:pt idx="178">
                  <c:v>378</c:v>
                </c:pt>
                <c:pt idx="179">
                  <c:v>378</c:v>
                </c:pt>
                <c:pt idx="180">
                  <c:v>378</c:v>
                </c:pt>
                <c:pt idx="181">
                  <c:v>378</c:v>
                </c:pt>
                <c:pt idx="182">
                  <c:v>378</c:v>
                </c:pt>
                <c:pt idx="183">
                  <c:v>378</c:v>
                </c:pt>
                <c:pt idx="184">
                  <c:v>378</c:v>
                </c:pt>
                <c:pt idx="185">
                  <c:v>378</c:v>
                </c:pt>
                <c:pt idx="186">
                  <c:v>378</c:v>
                </c:pt>
                <c:pt idx="187">
                  <c:v>378</c:v>
                </c:pt>
                <c:pt idx="188">
                  <c:v>378</c:v>
                </c:pt>
                <c:pt idx="189">
                  <c:v>378</c:v>
                </c:pt>
                <c:pt idx="190">
                  <c:v>378</c:v>
                </c:pt>
                <c:pt idx="191">
                  <c:v>378</c:v>
                </c:pt>
                <c:pt idx="192">
                  <c:v>378</c:v>
                </c:pt>
                <c:pt idx="193">
                  <c:v>378</c:v>
                </c:pt>
                <c:pt idx="194">
                  <c:v>378</c:v>
                </c:pt>
                <c:pt idx="195">
                  <c:v>378</c:v>
                </c:pt>
                <c:pt idx="196">
                  <c:v>378</c:v>
                </c:pt>
                <c:pt idx="197">
                  <c:v>378</c:v>
                </c:pt>
                <c:pt idx="198">
                  <c:v>378</c:v>
                </c:pt>
                <c:pt idx="199">
                  <c:v>378</c:v>
                </c:pt>
                <c:pt idx="200">
                  <c:v>378</c:v>
                </c:pt>
                <c:pt idx="201">
                  <c:v>378</c:v>
                </c:pt>
                <c:pt idx="202">
                  <c:v>378</c:v>
                </c:pt>
                <c:pt idx="203">
                  <c:v>378</c:v>
                </c:pt>
                <c:pt idx="204">
                  <c:v>378</c:v>
                </c:pt>
                <c:pt idx="205">
                  <c:v>378</c:v>
                </c:pt>
                <c:pt idx="206">
                  <c:v>378</c:v>
                </c:pt>
                <c:pt idx="207">
                  <c:v>378</c:v>
                </c:pt>
                <c:pt idx="208">
                  <c:v>378</c:v>
                </c:pt>
                <c:pt idx="209">
                  <c:v>378</c:v>
                </c:pt>
                <c:pt idx="210">
                  <c:v>378</c:v>
                </c:pt>
                <c:pt idx="211">
                  <c:v>378</c:v>
                </c:pt>
                <c:pt idx="212">
                  <c:v>378</c:v>
                </c:pt>
                <c:pt idx="213">
                  <c:v>378</c:v>
                </c:pt>
                <c:pt idx="214">
                  <c:v>378</c:v>
                </c:pt>
                <c:pt idx="215">
                  <c:v>378</c:v>
                </c:pt>
                <c:pt idx="216">
                  <c:v>378</c:v>
                </c:pt>
                <c:pt idx="217">
                  <c:v>378</c:v>
                </c:pt>
                <c:pt idx="218">
                  <c:v>378</c:v>
                </c:pt>
                <c:pt idx="219">
                  <c:v>378</c:v>
                </c:pt>
                <c:pt idx="220">
                  <c:v>378</c:v>
                </c:pt>
                <c:pt idx="221">
                  <c:v>378</c:v>
                </c:pt>
                <c:pt idx="222">
                  <c:v>378</c:v>
                </c:pt>
                <c:pt idx="223">
                  <c:v>378</c:v>
                </c:pt>
                <c:pt idx="224">
                  <c:v>378</c:v>
                </c:pt>
                <c:pt idx="225">
                  <c:v>378</c:v>
                </c:pt>
                <c:pt idx="226">
                  <c:v>378</c:v>
                </c:pt>
                <c:pt idx="227">
                  <c:v>378</c:v>
                </c:pt>
                <c:pt idx="228">
                  <c:v>378</c:v>
                </c:pt>
                <c:pt idx="229">
                  <c:v>378</c:v>
                </c:pt>
                <c:pt idx="230">
                  <c:v>378</c:v>
                </c:pt>
                <c:pt idx="231">
                  <c:v>378</c:v>
                </c:pt>
                <c:pt idx="232">
                  <c:v>378</c:v>
                </c:pt>
                <c:pt idx="233">
                  <c:v>378</c:v>
                </c:pt>
                <c:pt idx="234">
                  <c:v>378</c:v>
                </c:pt>
                <c:pt idx="235">
                  <c:v>378</c:v>
                </c:pt>
                <c:pt idx="236">
                  <c:v>378</c:v>
                </c:pt>
                <c:pt idx="237">
                  <c:v>378</c:v>
                </c:pt>
                <c:pt idx="238">
                  <c:v>378</c:v>
                </c:pt>
                <c:pt idx="239">
                  <c:v>378</c:v>
                </c:pt>
                <c:pt idx="240">
                  <c:v>378</c:v>
                </c:pt>
                <c:pt idx="241">
                  <c:v>378</c:v>
                </c:pt>
                <c:pt idx="242">
                  <c:v>378</c:v>
                </c:pt>
                <c:pt idx="243">
                  <c:v>378</c:v>
                </c:pt>
                <c:pt idx="244">
                  <c:v>378</c:v>
                </c:pt>
                <c:pt idx="245">
                  <c:v>378</c:v>
                </c:pt>
                <c:pt idx="246">
                  <c:v>378</c:v>
                </c:pt>
                <c:pt idx="247">
                  <c:v>378</c:v>
                </c:pt>
                <c:pt idx="248">
                  <c:v>378</c:v>
                </c:pt>
                <c:pt idx="249">
                  <c:v>378</c:v>
                </c:pt>
                <c:pt idx="250">
                  <c:v>378</c:v>
                </c:pt>
                <c:pt idx="251">
                  <c:v>378</c:v>
                </c:pt>
                <c:pt idx="252">
                  <c:v>378</c:v>
                </c:pt>
                <c:pt idx="253">
                  <c:v>378</c:v>
                </c:pt>
                <c:pt idx="254">
                  <c:v>378</c:v>
                </c:pt>
                <c:pt idx="255">
                  <c:v>378</c:v>
                </c:pt>
                <c:pt idx="256">
                  <c:v>378</c:v>
                </c:pt>
                <c:pt idx="257">
                  <c:v>378</c:v>
                </c:pt>
                <c:pt idx="258">
                  <c:v>378</c:v>
                </c:pt>
                <c:pt idx="259">
                  <c:v>378</c:v>
                </c:pt>
                <c:pt idx="260">
                  <c:v>378</c:v>
                </c:pt>
                <c:pt idx="261">
                  <c:v>378</c:v>
                </c:pt>
                <c:pt idx="262">
                  <c:v>378</c:v>
                </c:pt>
                <c:pt idx="263">
                  <c:v>378</c:v>
                </c:pt>
                <c:pt idx="264">
                  <c:v>378</c:v>
                </c:pt>
                <c:pt idx="265">
                  <c:v>378</c:v>
                </c:pt>
                <c:pt idx="266">
                  <c:v>378</c:v>
                </c:pt>
                <c:pt idx="267">
                  <c:v>378</c:v>
                </c:pt>
                <c:pt idx="268">
                  <c:v>378</c:v>
                </c:pt>
                <c:pt idx="269">
                  <c:v>378</c:v>
                </c:pt>
                <c:pt idx="270">
                  <c:v>378</c:v>
                </c:pt>
                <c:pt idx="271">
                  <c:v>378</c:v>
                </c:pt>
                <c:pt idx="272">
                  <c:v>378</c:v>
                </c:pt>
                <c:pt idx="273">
                  <c:v>378</c:v>
                </c:pt>
                <c:pt idx="274">
                  <c:v>378</c:v>
                </c:pt>
                <c:pt idx="275">
                  <c:v>378</c:v>
                </c:pt>
                <c:pt idx="276">
                  <c:v>378</c:v>
                </c:pt>
                <c:pt idx="277">
                  <c:v>378</c:v>
                </c:pt>
                <c:pt idx="278">
                  <c:v>378</c:v>
                </c:pt>
                <c:pt idx="279">
                  <c:v>378</c:v>
                </c:pt>
                <c:pt idx="280">
                  <c:v>378</c:v>
                </c:pt>
                <c:pt idx="281">
                  <c:v>378</c:v>
                </c:pt>
                <c:pt idx="282">
                  <c:v>378</c:v>
                </c:pt>
                <c:pt idx="283">
                  <c:v>378</c:v>
                </c:pt>
                <c:pt idx="284">
                  <c:v>378</c:v>
                </c:pt>
                <c:pt idx="285">
                  <c:v>378</c:v>
                </c:pt>
                <c:pt idx="286">
                  <c:v>378</c:v>
                </c:pt>
                <c:pt idx="287">
                  <c:v>378</c:v>
                </c:pt>
                <c:pt idx="288">
                  <c:v>378</c:v>
                </c:pt>
                <c:pt idx="289">
                  <c:v>378</c:v>
                </c:pt>
                <c:pt idx="290">
                  <c:v>378</c:v>
                </c:pt>
                <c:pt idx="291">
                  <c:v>378</c:v>
                </c:pt>
                <c:pt idx="292">
                  <c:v>378</c:v>
                </c:pt>
                <c:pt idx="293">
                  <c:v>378</c:v>
                </c:pt>
                <c:pt idx="294">
                  <c:v>378</c:v>
                </c:pt>
                <c:pt idx="295">
                  <c:v>378</c:v>
                </c:pt>
                <c:pt idx="296">
                  <c:v>378</c:v>
                </c:pt>
                <c:pt idx="297">
                  <c:v>378</c:v>
                </c:pt>
                <c:pt idx="298">
                  <c:v>378</c:v>
                </c:pt>
                <c:pt idx="299">
                  <c:v>378</c:v>
                </c:pt>
                <c:pt idx="300">
                  <c:v>378</c:v>
                </c:pt>
                <c:pt idx="301">
                  <c:v>378</c:v>
                </c:pt>
                <c:pt idx="302">
                  <c:v>378</c:v>
                </c:pt>
                <c:pt idx="303">
                  <c:v>378</c:v>
                </c:pt>
                <c:pt idx="304">
                  <c:v>378</c:v>
                </c:pt>
                <c:pt idx="305">
                  <c:v>378</c:v>
                </c:pt>
                <c:pt idx="306">
                  <c:v>378</c:v>
                </c:pt>
                <c:pt idx="307">
                  <c:v>378</c:v>
                </c:pt>
                <c:pt idx="308">
                  <c:v>378</c:v>
                </c:pt>
                <c:pt idx="309">
                  <c:v>378</c:v>
                </c:pt>
                <c:pt idx="310">
                  <c:v>378</c:v>
                </c:pt>
                <c:pt idx="311">
                  <c:v>378</c:v>
                </c:pt>
                <c:pt idx="312">
                  <c:v>378</c:v>
                </c:pt>
                <c:pt idx="313">
                  <c:v>378</c:v>
                </c:pt>
                <c:pt idx="314">
                  <c:v>378</c:v>
                </c:pt>
                <c:pt idx="315">
                  <c:v>378</c:v>
                </c:pt>
                <c:pt idx="316">
                  <c:v>378</c:v>
                </c:pt>
                <c:pt idx="317">
                  <c:v>378</c:v>
                </c:pt>
                <c:pt idx="318">
                  <c:v>378</c:v>
                </c:pt>
                <c:pt idx="319">
                  <c:v>378</c:v>
                </c:pt>
                <c:pt idx="320">
                  <c:v>378</c:v>
                </c:pt>
                <c:pt idx="321">
                  <c:v>378</c:v>
                </c:pt>
                <c:pt idx="322">
                  <c:v>378</c:v>
                </c:pt>
                <c:pt idx="323">
                  <c:v>378</c:v>
                </c:pt>
                <c:pt idx="324">
                  <c:v>378</c:v>
                </c:pt>
                <c:pt idx="325">
                  <c:v>378</c:v>
                </c:pt>
                <c:pt idx="326">
                  <c:v>378</c:v>
                </c:pt>
                <c:pt idx="327">
                  <c:v>378</c:v>
                </c:pt>
                <c:pt idx="328">
                  <c:v>378</c:v>
                </c:pt>
                <c:pt idx="329">
                  <c:v>378</c:v>
                </c:pt>
                <c:pt idx="330">
                  <c:v>378</c:v>
                </c:pt>
                <c:pt idx="331">
                  <c:v>378</c:v>
                </c:pt>
                <c:pt idx="332">
                  <c:v>378</c:v>
                </c:pt>
                <c:pt idx="333">
                  <c:v>378</c:v>
                </c:pt>
                <c:pt idx="334">
                  <c:v>378</c:v>
                </c:pt>
                <c:pt idx="335">
                  <c:v>378</c:v>
                </c:pt>
                <c:pt idx="336">
                  <c:v>378</c:v>
                </c:pt>
                <c:pt idx="337">
                  <c:v>378</c:v>
                </c:pt>
                <c:pt idx="338">
                  <c:v>378</c:v>
                </c:pt>
                <c:pt idx="339">
                  <c:v>378</c:v>
                </c:pt>
                <c:pt idx="340">
                  <c:v>378</c:v>
                </c:pt>
                <c:pt idx="341">
                  <c:v>378</c:v>
                </c:pt>
                <c:pt idx="342">
                  <c:v>378</c:v>
                </c:pt>
                <c:pt idx="343">
                  <c:v>378</c:v>
                </c:pt>
                <c:pt idx="344">
                  <c:v>378</c:v>
                </c:pt>
                <c:pt idx="345">
                  <c:v>378</c:v>
                </c:pt>
                <c:pt idx="346">
                  <c:v>378</c:v>
                </c:pt>
                <c:pt idx="347">
                  <c:v>378</c:v>
                </c:pt>
                <c:pt idx="348">
                  <c:v>378</c:v>
                </c:pt>
                <c:pt idx="349">
                  <c:v>378</c:v>
                </c:pt>
                <c:pt idx="350">
                  <c:v>378</c:v>
                </c:pt>
                <c:pt idx="351">
                  <c:v>378</c:v>
                </c:pt>
                <c:pt idx="352">
                  <c:v>378</c:v>
                </c:pt>
                <c:pt idx="353">
                  <c:v>378</c:v>
                </c:pt>
                <c:pt idx="354">
                  <c:v>378</c:v>
                </c:pt>
                <c:pt idx="355">
                  <c:v>378</c:v>
                </c:pt>
                <c:pt idx="356">
                  <c:v>378</c:v>
                </c:pt>
                <c:pt idx="357">
                  <c:v>378</c:v>
                </c:pt>
                <c:pt idx="358">
                  <c:v>378</c:v>
                </c:pt>
                <c:pt idx="359">
                  <c:v>378</c:v>
                </c:pt>
                <c:pt idx="360">
                  <c:v>378</c:v>
                </c:pt>
                <c:pt idx="361">
                  <c:v>378</c:v>
                </c:pt>
                <c:pt idx="362">
                  <c:v>378</c:v>
                </c:pt>
                <c:pt idx="363">
                  <c:v>378</c:v>
                </c:pt>
                <c:pt idx="364">
                  <c:v>378</c:v>
                </c:pt>
                <c:pt idx="365">
                  <c:v>378</c:v>
                </c:pt>
                <c:pt idx="366">
                  <c:v>378</c:v>
                </c:pt>
                <c:pt idx="367">
                  <c:v>378</c:v>
                </c:pt>
                <c:pt idx="368">
                  <c:v>378</c:v>
                </c:pt>
                <c:pt idx="369">
                  <c:v>378</c:v>
                </c:pt>
                <c:pt idx="370">
                  <c:v>378</c:v>
                </c:pt>
                <c:pt idx="371">
                  <c:v>378</c:v>
                </c:pt>
                <c:pt idx="372">
                  <c:v>378</c:v>
                </c:pt>
                <c:pt idx="373">
                  <c:v>378</c:v>
                </c:pt>
                <c:pt idx="374">
                  <c:v>378</c:v>
                </c:pt>
                <c:pt idx="375">
                  <c:v>378</c:v>
                </c:pt>
                <c:pt idx="376">
                  <c:v>378</c:v>
                </c:pt>
                <c:pt idx="377">
                  <c:v>378</c:v>
                </c:pt>
                <c:pt idx="378">
                  <c:v>378</c:v>
                </c:pt>
                <c:pt idx="379">
                  <c:v>378</c:v>
                </c:pt>
                <c:pt idx="380">
                  <c:v>378</c:v>
                </c:pt>
                <c:pt idx="381">
                  <c:v>378</c:v>
                </c:pt>
                <c:pt idx="382">
                  <c:v>378</c:v>
                </c:pt>
                <c:pt idx="383">
                  <c:v>378</c:v>
                </c:pt>
                <c:pt idx="384">
                  <c:v>378</c:v>
                </c:pt>
                <c:pt idx="385">
                  <c:v>378</c:v>
                </c:pt>
                <c:pt idx="386">
                  <c:v>378</c:v>
                </c:pt>
                <c:pt idx="387">
                  <c:v>378</c:v>
                </c:pt>
                <c:pt idx="388">
                  <c:v>378</c:v>
                </c:pt>
                <c:pt idx="389">
                  <c:v>378</c:v>
                </c:pt>
                <c:pt idx="390">
                  <c:v>378</c:v>
                </c:pt>
                <c:pt idx="391">
                  <c:v>378</c:v>
                </c:pt>
                <c:pt idx="392">
                  <c:v>378</c:v>
                </c:pt>
                <c:pt idx="393">
                  <c:v>378</c:v>
                </c:pt>
                <c:pt idx="394">
                  <c:v>378</c:v>
                </c:pt>
                <c:pt idx="395">
                  <c:v>378</c:v>
                </c:pt>
                <c:pt idx="396">
                  <c:v>378</c:v>
                </c:pt>
                <c:pt idx="397">
                  <c:v>378</c:v>
                </c:pt>
                <c:pt idx="398">
                  <c:v>378</c:v>
                </c:pt>
                <c:pt idx="399">
                  <c:v>378</c:v>
                </c:pt>
                <c:pt idx="400">
                  <c:v>378</c:v>
                </c:pt>
              </c:numCache>
            </c:numRef>
          </c:xVal>
          <c:yVal>
            <c:numRef>
              <c:f>'V-N Diagram'!$V$37:$V$437</c:f>
              <c:numCache>
                <c:formatCode>General</c:formatCode>
                <c:ptCount val="401"/>
                <c:pt idx="0">
                  <c:v>-3</c:v>
                </c:pt>
                <c:pt idx="1">
                  <c:v>-2.98</c:v>
                </c:pt>
                <c:pt idx="2">
                  <c:v>-2.96</c:v>
                </c:pt>
                <c:pt idx="3">
                  <c:v>-2.94</c:v>
                </c:pt>
                <c:pt idx="4">
                  <c:v>-2.92</c:v>
                </c:pt>
                <c:pt idx="5">
                  <c:v>-2.9</c:v>
                </c:pt>
                <c:pt idx="6">
                  <c:v>-2.88</c:v>
                </c:pt>
                <c:pt idx="7">
                  <c:v>-2.86</c:v>
                </c:pt>
                <c:pt idx="8">
                  <c:v>-2.84</c:v>
                </c:pt>
                <c:pt idx="9">
                  <c:v>-2.82</c:v>
                </c:pt>
                <c:pt idx="10">
                  <c:v>-2.8</c:v>
                </c:pt>
                <c:pt idx="11">
                  <c:v>-2.78</c:v>
                </c:pt>
                <c:pt idx="12">
                  <c:v>-2.76</c:v>
                </c:pt>
                <c:pt idx="13">
                  <c:v>-2.74</c:v>
                </c:pt>
                <c:pt idx="14">
                  <c:v>-2.72</c:v>
                </c:pt>
                <c:pt idx="15">
                  <c:v>-2.7</c:v>
                </c:pt>
                <c:pt idx="16">
                  <c:v>-2.68</c:v>
                </c:pt>
                <c:pt idx="17">
                  <c:v>-2.66</c:v>
                </c:pt>
                <c:pt idx="18">
                  <c:v>-2.64</c:v>
                </c:pt>
                <c:pt idx="19">
                  <c:v>-2.62</c:v>
                </c:pt>
                <c:pt idx="20">
                  <c:v>-2.6</c:v>
                </c:pt>
                <c:pt idx="21">
                  <c:v>-2.58</c:v>
                </c:pt>
                <c:pt idx="22">
                  <c:v>-2.56</c:v>
                </c:pt>
                <c:pt idx="23">
                  <c:v>-2.54</c:v>
                </c:pt>
                <c:pt idx="24">
                  <c:v>-2.52</c:v>
                </c:pt>
                <c:pt idx="25">
                  <c:v>-2.5</c:v>
                </c:pt>
                <c:pt idx="26">
                  <c:v>-2.48</c:v>
                </c:pt>
                <c:pt idx="27">
                  <c:v>-2.46</c:v>
                </c:pt>
                <c:pt idx="28">
                  <c:v>-2.44</c:v>
                </c:pt>
                <c:pt idx="29">
                  <c:v>-2.42</c:v>
                </c:pt>
                <c:pt idx="30">
                  <c:v>-2.4</c:v>
                </c:pt>
                <c:pt idx="31">
                  <c:v>-2.38</c:v>
                </c:pt>
                <c:pt idx="32">
                  <c:v>-2.36</c:v>
                </c:pt>
                <c:pt idx="33">
                  <c:v>-2.34</c:v>
                </c:pt>
                <c:pt idx="34">
                  <c:v>-2.3199999999999998</c:v>
                </c:pt>
                <c:pt idx="35">
                  <c:v>-2.2999999999999998</c:v>
                </c:pt>
                <c:pt idx="36">
                  <c:v>-2.2799999999999998</c:v>
                </c:pt>
                <c:pt idx="37">
                  <c:v>-2.2599999999999998</c:v>
                </c:pt>
                <c:pt idx="38">
                  <c:v>-2.2400000000000002</c:v>
                </c:pt>
                <c:pt idx="39">
                  <c:v>-2.2200000000000002</c:v>
                </c:pt>
                <c:pt idx="40">
                  <c:v>-2.2000000000000002</c:v>
                </c:pt>
                <c:pt idx="41">
                  <c:v>-2.1800000000000002</c:v>
                </c:pt>
                <c:pt idx="42">
                  <c:v>-2.16</c:v>
                </c:pt>
                <c:pt idx="43">
                  <c:v>-2.14</c:v>
                </c:pt>
                <c:pt idx="44">
                  <c:v>-2.12</c:v>
                </c:pt>
                <c:pt idx="45">
                  <c:v>-2.1</c:v>
                </c:pt>
                <c:pt idx="46">
                  <c:v>-2.08</c:v>
                </c:pt>
                <c:pt idx="47">
                  <c:v>-2.06</c:v>
                </c:pt>
                <c:pt idx="48">
                  <c:v>-2.04</c:v>
                </c:pt>
                <c:pt idx="49">
                  <c:v>-2.02</c:v>
                </c:pt>
                <c:pt idx="50">
                  <c:v>-2</c:v>
                </c:pt>
                <c:pt idx="51">
                  <c:v>-1.98</c:v>
                </c:pt>
                <c:pt idx="52">
                  <c:v>-1.96</c:v>
                </c:pt>
                <c:pt idx="53">
                  <c:v>-1.94</c:v>
                </c:pt>
                <c:pt idx="54">
                  <c:v>-1.92</c:v>
                </c:pt>
                <c:pt idx="55">
                  <c:v>-1.9</c:v>
                </c:pt>
                <c:pt idx="56">
                  <c:v>-1.88</c:v>
                </c:pt>
                <c:pt idx="57">
                  <c:v>-1.86</c:v>
                </c:pt>
                <c:pt idx="58">
                  <c:v>-1.84</c:v>
                </c:pt>
                <c:pt idx="59">
                  <c:v>-1.82</c:v>
                </c:pt>
                <c:pt idx="60">
                  <c:v>-1.8</c:v>
                </c:pt>
                <c:pt idx="61">
                  <c:v>-1.78</c:v>
                </c:pt>
                <c:pt idx="62">
                  <c:v>-1.76</c:v>
                </c:pt>
                <c:pt idx="63">
                  <c:v>-1.74</c:v>
                </c:pt>
                <c:pt idx="64">
                  <c:v>-1.72</c:v>
                </c:pt>
                <c:pt idx="65">
                  <c:v>-1.7</c:v>
                </c:pt>
                <c:pt idx="66">
                  <c:v>-1.68</c:v>
                </c:pt>
                <c:pt idx="67">
                  <c:v>-1.66</c:v>
                </c:pt>
                <c:pt idx="68">
                  <c:v>-1.64</c:v>
                </c:pt>
                <c:pt idx="69">
                  <c:v>-1.62</c:v>
                </c:pt>
                <c:pt idx="70">
                  <c:v>-1.6</c:v>
                </c:pt>
                <c:pt idx="71">
                  <c:v>-1.58</c:v>
                </c:pt>
                <c:pt idx="72">
                  <c:v>-1.56</c:v>
                </c:pt>
                <c:pt idx="73">
                  <c:v>-1.54</c:v>
                </c:pt>
                <c:pt idx="74">
                  <c:v>-1.52</c:v>
                </c:pt>
                <c:pt idx="75">
                  <c:v>-1.5</c:v>
                </c:pt>
                <c:pt idx="76">
                  <c:v>-1.48</c:v>
                </c:pt>
                <c:pt idx="77">
                  <c:v>-1.46</c:v>
                </c:pt>
                <c:pt idx="78">
                  <c:v>-1.44</c:v>
                </c:pt>
                <c:pt idx="79">
                  <c:v>-1.42</c:v>
                </c:pt>
                <c:pt idx="80">
                  <c:v>-1.4</c:v>
                </c:pt>
                <c:pt idx="81">
                  <c:v>-1.38</c:v>
                </c:pt>
                <c:pt idx="82">
                  <c:v>-1.36</c:v>
                </c:pt>
                <c:pt idx="83">
                  <c:v>-1.34</c:v>
                </c:pt>
                <c:pt idx="84">
                  <c:v>-1.32</c:v>
                </c:pt>
                <c:pt idx="85">
                  <c:v>-1.3</c:v>
                </c:pt>
                <c:pt idx="86">
                  <c:v>-1.28</c:v>
                </c:pt>
                <c:pt idx="87">
                  <c:v>-1.26</c:v>
                </c:pt>
                <c:pt idx="88">
                  <c:v>-1.24</c:v>
                </c:pt>
                <c:pt idx="89">
                  <c:v>-1.22</c:v>
                </c:pt>
                <c:pt idx="90">
                  <c:v>-1.2</c:v>
                </c:pt>
                <c:pt idx="91">
                  <c:v>-1.18</c:v>
                </c:pt>
                <c:pt idx="92">
                  <c:v>-1.1599999999999999</c:v>
                </c:pt>
                <c:pt idx="93">
                  <c:v>-1.1399999999999999</c:v>
                </c:pt>
                <c:pt idx="94">
                  <c:v>-1.1200000000000001</c:v>
                </c:pt>
                <c:pt idx="95">
                  <c:v>-1.1000000000000001</c:v>
                </c:pt>
                <c:pt idx="96">
                  <c:v>-1.08</c:v>
                </c:pt>
                <c:pt idx="97">
                  <c:v>-1.06</c:v>
                </c:pt>
                <c:pt idx="98">
                  <c:v>-1.04</c:v>
                </c:pt>
                <c:pt idx="99">
                  <c:v>-1.02</c:v>
                </c:pt>
                <c:pt idx="100">
                  <c:v>-1</c:v>
                </c:pt>
                <c:pt idx="101">
                  <c:v>-0.98</c:v>
                </c:pt>
                <c:pt idx="102">
                  <c:v>-0.96</c:v>
                </c:pt>
                <c:pt idx="103">
                  <c:v>-0.94</c:v>
                </c:pt>
                <c:pt idx="104">
                  <c:v>-0.92</c:v>
                </c:pt>
                <c:pt idx="105">
                  <c:v>-0.9</c:v>
                </c:pt>
                <c:pt idx="106">
                  <c:v>-0.88</c:v>
                </c:pt>
                <c:pt idx="107">
                  <c:v>-0.86</c:v>
                </c:pt>
                <c:pt idx="108">
                  <c:v>-0.84</c:v>
                </c:pt>
                <c:pt idx="109">
                  <c:v>-0.82</c:v>
                </c:pt>
                <c:pt idx="110">
                  <c:v>-0.8</c:v>
                </c:pt>
                <c:pt idx="111">
                  <c:v>-0.78</c:v>
                </c:pt>
                <c:pt idx="112">
                  <c:v>-0.76</c:v>
                </c:pt>
                <c:pt idx="113">
                  <c:v>-0.74</c:v>
                </c:pt>
                <c:pt idx="114">
                  <c:v>-0.72</c:v>
                </c:pt>
                <c:pt idx="115">
                  <c:v>-0.7</c:v>
                </c:pt>
                <c:pt idx="116">
                  <c:v>-0.68</c:v>
                </c:pt>
                <c:pt idx="117">
                  <c:v>-0.66</c:v>
                </c:pt>
                <c:pt idx="118">
                  <c:v>-0.64</c:v>
                </c:pt>
                <c:pt idx="119">
                  <c:v>-0.62</c:v>
                </c:pt>
                <c:pt idx="120">
                  <c:v>-0.6</c:v>
                </c:pt>
                <c:pt idx="121">
                  <c:v>-0.57999999999999996</c:v>
                </c:pt>
                <c:pt idx="122">
                  <c:v>-0.56000000000000005</c:v>
                </c:pt>
                <c:pt idx="123">
                  <c:v>-0.54</c:v>
                </c:pt>
                <c:pt idx="124">
                  <c:v>-0.52</c:v>
                </c:pt>
                <c:pt idx="125">
                  <c:v>-0.5</c:v>
                </c:pt>
                <c:pt idx="126">
                  <c:v>-0.48</c:v>
                </c:pt>
                <c:pt idx="127">
                  <c:v>-0.46</c:v>
                </c:pt>
                <c:pt idx="128">
                  <c:v>-0.44</c:v>
                </c:pt>
                <c:pt idx="129">
                  <c:v>-0.42</c:v>
                </c:pt>
                <c:pt idx="130">
                  <c:v>-0.4</c:v>
                </c:pt>
                <c:pt idx="131">
                  <c:v>-0.38</c:v>
                </c:pt>
                <c:pt idx="132">
                  <c:v>-0.36</c:v>
                </c:pt>
                <c:pt idx="133">
                  <c:v>-0.34</c:v>
                </c:pt>
                <c:pt idx="134">
                  <c:v>-0.32</c:v>
                </c:pt>
                <c:pt idx="135">
                  <c:v>-0.3</c:v>
                </c:pt>
                <c:pt idx="136">
                  <c:v>-0.28000000000000003</c:v>
                </c:pt>
                <c:pt idx="137">
                  <c:v>-0.26</c:v>
                </c:pt>
                <c:pt idx="138">
                  <c:v>-0.24</c:v>
                </c:pt>
                <c:pt idx="139">
                  <c:v>-0.22</c:v>
                </c:pt>
                <c:pt idx="140">
                  <c:v>-0.2</c:v>
                </c:pt>
                <c:pt idx="141">
                  <c:v>-0.18</c:v>
                </c:pt>
                <c:pt idx="142">
                  <c:v>-0.16</c:v>
                </c:pt>
                <c:pt idx="143">
                  <c:v>-0.14000000000000001</c:v>
                </c:pt>
                <c:pt idx="144">
                  <c:v>-0.12</c:v>
                </c:pt>
                <c:pt idx="145">
                  <c:v>-0.1</c:v>
                </c:pt>
                <c:pt idx="146">
                  <c:v>-8.0000000000000099E-2</c:v>
                </c:pt>
                <c:pt idx="147">
                  <c:v>-6.0000000000000102E-2</c:v>
                </c:pt>
                <c:pt idx="148">
                  <c:v>-0.04</c:v>
                </c:pt>
                <c:pt idx="149">
                  <c:v>-0.02</c:v>
                </c:pt>
                <c:pt idx="150">
                  <c:v>0</c:v>
                </c:pt>
                <c:pt idx="151">
                  <c:v>0.02</c:v>
                </c:pt>
                <c:pt idx="152">
                  <c:v>0.04</c:v>
                </c:pt>
                <c:pt idx="153">
                  <c:v>6.0000000000000102E-2</c:v>
                </c:pt>
                <c:pt idx="154">
                  <c:v>8.0000000000000099E-2</c:v>
                </c:pt>
                <c:pt idx="155">
                  <c:v>0.1</c:v>
                </c:pt>
                <c:pt idx="156">
                  <c:v>0.12</c:v>
                </c:pt>
                <c:pt idx="157">
                  <c:v>0.14000000000000001</c:v>
                </c:pt>
                <c:pt idx="158">
                  <c:v>0.16</c:v>
                </c:pt>
                <c:pt idx="159">
                  <c:v>0.18</c:v>
                </c:pt>
                <c:pt idx="160">
                  <c:v>0.2</c:v>
                </c:pt>
                <c:pt idx="161">
                  <c:v>0.22</c:v>
                </c:pt>
                <c:pt idx="162">
                  <c:v>0.24</c:v>
                </c:pt>
                <c:pt idx="163">
                  <c:v>0.26</c:v>
                </c:pt>
                <c:pt idx="164">
                  <c:v>0.28000000000000003</c:v>
                </c:pt>
                <c:pt idx="165">
                  <c:v>0.3</c:v>
                </c:pt>
                <c:pt idx="166">
                  <c:v>0.32</c:v>
                </c:pt>
                <c:pt idx="167">
                  <c:v>0.34</c:v>
                </c:pt>
                <c:pt idx="168">
                  <c:v>0.36</c:v>
                </c:pt>
                <c:pt idx="169">
                  <c:v>0.38</c:v>
                </c:pt>
                <c:pt idx="170">
                  <c:v>0.4</c:v>
                </c:pt>
                <c:pt idx="171">
                  <c:v>0.42</c:v>
                </c:pt>
                <c:pt idx="172">
                  <c:v>0.44</c:v>
                </c:pt>
                <c:pt idx="173">
                  <c:v>0.46</c:v>
                </c:pt>
                <c:pt idx="174">
                  <c:v>0.48</c:v>
                </c:pt>
                <c:pt idx="175">
                  <c:v>0.5</c:v>
                </c:pt>
                <c:pt idx="176">
                  <c:v>0.52</c:v>
                </c:pt>
                <c:pt idx="177">
                  <c:v>0.54</c:v>
                </c:pt>
                <c:pt idx="178">
                  <c:v>0.56000000000000005</c:v>
                </c:pt>
                <c:pt idx="179">
                  <c:v>0.57999999999999996</c:v>
                </c:pt>
                <c:pt idx="180">
                  <c:v>0.6</c:v>
                </c:pt>
                <c:pt idx="181">
                  <c:v>0.62</c:v>
                </c:pt>
                <c:pt idx="182">
                  <c:v>0.64</c:v>
                </c:pt>
                <c:pt idx="183">
                  <c:v>0.66</c:v>
                </c:pt>
                <c:pt idx="184">
                  <c:v>0.68</c:v>
                </c:pt>
                <c:pt idx="185">
                  <c:v>0.7</c:v>
                </c:pt>
                <c:pt idx="186">
                  <c:v>0.72</c:v>
                </c:pt>
                <c:pt idx="187">
                  <c:v>0.74</c:v>
                </c:pt>
                <c:pt idx="188">
                  <c:v>0.76</c:v>
                </c:pt>
                <c:pt idx="189">
                  <c:v>0.78</c:v>
                </c:pt>
                <c:pt idx="190">
                  <c:v>0.8</c:v>
                </c:pt>
                <c:pt idx="191">
                  <c:v>0.82</c:v>
                </c:pt>
                <c:pt idx="192">
                  <c:v>0.84</c:v>
                </c:pt>
                <c:pt idx="193">
                  <c:v>0.86</c:v>
                </c:pt>
                <c:pt idx="194">
                  <c:v>0.88</c:v>
                </c:pt>
                <c:pt idx="195">
                  <c:v>0.9</c:v>
                </c:pt>
                <c:pt idx="196">
                  <c:v>0.92</c:v>
                </c:pt>
                <c:pt idx="197">
                  <c:v>0.94</c:v>
                </c:pt>
                <c:pt idx="198">
                  <c:v>0.96</c:v>
                </c:pt>
                <c:pt idx="199">
                  <c:v>0.98</c:v>
                </c:pt>
                <c:pt idx="200">
                  <c:v>1</c:v>
                </c:pt>
                <c:pt idx="201">
                  <c:v>1.02</c:v>
                </c:pt>
                <c:pt idx="202">
                  <c:v>1.04</c:v>
                </c:pt>
                <c:pt idx="203">
                  <c:v>1.06</c:v>
                </c:pt>
                <c:pt idx="204">
                  <c:v>1.08</c:v>
                </c:pt>
                <c:pt idx="205">
                  <c:v>1.1000000000000001</c:v>
                </c:pt>
                <c:pt idx="206">
                  <c:v>1.1200000000000001</c:v>
                </c:pt>
                <c:pt idx="207">
                  <c:v>1.1399999999999999</c:v>
                </c:pt>
                <c:pt idx="208">
                  <c:v>1.1599999999999999</c:v>
                </c:pt>
                <c:pt idx="209">
                  <c:v>1.18</c:v>
                </c:pt>
                <c:pt idx="210">
                  <c:v>1.2</c:v>
                </c:pt>
                <c:pt idx="211">
                  <c:v>1.22</c:v>
                </c:pt>
                <c:pt idx="212">
                  <c:v>1.24</c:v>
                </c:pt>
                <c:pt idx="213">
                  <c:v>1.26</c:v>
                </c:pt>
                <c:pt idx="214">
                  <c:v>1.28</c:v>
                </c:pt>
                <c:pt idx="215">
                  <c:v>1.3</c:v>
                </c:pt>
                <c:pt idx="216">
                  <c:v>1.32</c:v>
                </c:pt>
                <c:pt idx="217">
                  <c:v>1.34</c:v>
                </c:pt>
                <c:pt idx="218">
                  <c:v>1.36</c:v>
                </c:pt>
                <c:pt idx="219">
                  <c:v>1.38</c:v>
                </c:pt>
                <c:pt idx="220">
                  <c:v>1.4</c:v>
                </c:pt>
                <c:pt idx="221">
                  <c:v>1.42</c:v>
                </c:pt>
                <c:pt idx="222">
                  <c:v>1.44</c:v>
                </c:pt>
                <c:pt idx="223">
                  <c:v>1.46</c:v>
                </c:pt>
                <c:pt idx="224">
                  <c:v>1.48</c:v>
                </c:pt>
                <c:pt idx="225">
                  <c:v>1.5</c:v>
                </c:pt>
                <c:pt idx="226">
                  <c:v>1.52</c:v>
                </c:pt>
                <c:pt idx="227">
                  <c:v>1.54</c:v>
                </c:pt>
                <c:pt idx="228">
                  <c:v>1.56</c:v>
                </c:pt>
                <c:pt idx="229">
                  <c:v>1.58</c:v>
                </c:pt>
                <c:pt idx="230">
                  <c:v>1.6</c:v>
                </c:pt>
                <c:pt idx="231">
                  <c:v>1.62</c:v>
                </c:pt>
                <c:pt idx="232">
                  <c:v>1.64</c:v>
                </c:pt>
                <c:pt idx="233">
                  <c:v>1.66</c:v>
                </c:pt>
                <c:pt idx="234">
                  <c:v>1.68</c:v>
                </c:pt>
                <c:pt idx="235">
                  <c:v>1.7</c:v>
                </c:pt>
                <c:pt idx="236">
                  <c:v>1.72</c:v>
                </c:pt>
                <c:pt idx="237">
                  <c:v>1.74</c:v>
                </c:pt>
                <c:pt idx="238">
                  <c:v>1.76</c:v>
                </c:pt>
                <c:pt idx="239">
                  <c:v>1.78</c:v>
                </c:pt>
                <c:pt idx="240">
                  <c:v>1.8</c:v>
                </c:pt>
                <c:pt idx="241">
                  <c:v>1.82</c:v>
                </c:pt>
                <c:pt idx="242">
                  <c:v>1.84</c:v>
                </c:pt>
                <c:pt idx="243">
                  <c:v>1.86</c:v>
                </c:pt>
                <c:pt idx="244">
                  <c:v>1.88</c:v>
                </c:pt>
                <c:pt idx="245">
                  <c:v>1.9</c:v>
                </c:pt>
                <c:pt idx="246">
                  <c:v>1.92</c:v>
                </c:pt>
                <c:pt idx="247">
                  <c:v>1.94</c:v>
                </c:pt>
                <c:pt idx="248">
                  <c:v>1.96</c:v>
                </c:pt>
                <c:pt idx="249">
                  <c:v>1.98</c:v>
                </c:pt>
                <c:pt idx="250">
                  <c:v>2</c:v>
                </c:pt>
                <c:pt idx="251">
                  <c:v>2.02</c:v>
                </c:pt>
                <c:pt idx="252">
                  <c:v>2.04</c:v>
                </c:pt>
                <c:pt idx="253">
                  <c:v>2.06</c:v>
                </c:pt>
                <c:pt idx="254">
                  <c:v>2.08</c:v>
                </c:pt>
                <c:pt idx="255">
                  <c:v>2.1</c:v>
                </c:pt>
                <c:pt idx="256">
                  <c:v>2.12</c:v>
                </c:pt>
                <c:pt idx="257">
                  <c:v>2.14</c:v>
                </c:pt>
                <c:pt idx="258">
                  <c:v>2.16</c:v>
                </c:pt>
                <c:pt idx="259">
                  <c:v>2.1800000000000099</c:v>
                </c:pt>
                <c:pt idx="260">
                  <c:v>2.2000000000000002</c:v>
                </c:pt>
                <c:pt idx="261">
                  <c:v>2.2200000000000002</c:v>
                </c:pt>
                <c:pt idx="262">
                  <c:v>2.2400000000000002</c:v>
                </c:pt>
                <c:pt idx="263">
                  <c:v>2.26000000000001</c:v>
                </c:pt>
                <c:pt idx="264">
                  <c:v>2.2799999999999998</c:v>
                </c:pt>
                <c:pt idx="265">
                  <c:v>2.2999999999999998</c:v>
                </c:pt>
                <c:pt idx="266">
                  <c:v>2.3199999999999998</c:v>
                </c:pt>
                <c:pt idx="267">
                  <c:v>2.3400000000000101</c:v>
                </c:pt>
                <c:pt idx="268">
                  <c:v>2.36</c:v>
                </c:pt>
                <c:pt idx="269">
                  <c:v>2.38</c:v>
                </c:pt>
                <c:pt idx="270">
                  <c:v>2.4</c:v>
                </c:pt>
                <c:pt idx="271">
                  <c:v>2.4200000000000101</c:v>
                </c:pt>
                <c:pt idx="272">
                  <c:v>2.44</c:v>
                </c:pt>
                <c:pt idx="273">
                  <c:v>2.46</c:v>
                </c:pt>
                <c:pt idx="274">
                  <c:v>2.48</c:v>
                </c:pt>
                <c:pt idx="275">
                  <c:v>2.5000000000000102</c:v>
                </c:pt>
                <c:pt idx="276">
                  <c:v>2.52</c:v>
                </c:pt>
                <c:pt idx="277">
                  <c:v>2.54</c:v>
                </c:pt>
                <c:pt idx="278">
                  <c:v>2.56</c:v>
                </c:pt>
                <c:pt idx="279">
                  <c:v>2.5800000000000098</c:v>
                </c:pt>
                <c:pt idx="280">
                  <c:v>2.6</c:v>
                </c:pt>
                <c:pt idx="281">
                  <c:v>2.62</c:v>
                </c:pt>
                <c:pt idx="282">
                  <c:v>2.6400000000000099</c:v>
                </c:pt>
                <c:pt idx="283">
                  <c:v>2.6600000000000099</c:v>
                </c:pt>
                <c:pt idx="284">
                  <c:v>2.6800000000000099</c:v>
                </c:pt>
                <c:pt idx="285">
                  <c:v>2.7</c:v>
                </c:pt>
                <c:pt idx="286">
                  <c:v>2.72000000000001</c:v>
                </c:pt>
                <c:pt idx="287">
                  <c:v>2.74000000000001</c:v>
                </c:pt>
                <c:pt idx="288">
                  <c:v>2.76000000000001</c:v>
                </c:pt>
                <c:pt idx="289">
                  <c:v>2.78</c:v>
                </c:pt>
                <c:pt idx="290">
                  <c:v>2.80000000000001</c:v>
                </c:pt>
                <c:pt idx="291">
                  <c:v>2.8200000000000101</c:v>
                </c:pt>
                <c:pt idx="292">
                  <c:v>2.8400000000000101</c:v>
                </c:pt>
                <c:pt idx="293">
                  <c:v>2.86</c:v>
                </c:pt>
                <c:pt idx="294">
                  <c:v>2.8800000000000101</c:v>
                </c:pt>
                <c:pt idx="295">
                  <c:v>2.9000000000000101</c:v>
                </c:pt>
                <c:pt idx="296">
                  <c:v>2.9200000000000101</c:v>
                </c:pt>
                <c:pt idx="297">
                  <c:v>2.94</c:v>
                </c:pt>
                <c:pt idx="298">
                  <c:v>2.9600000000000102</c:v>
                </c:pt>
                <c:pt idx="299">
                  <c:v>2.9800000000000102</c:v>
                </c:pt>
                <c:pt idx="300">
                  <c:v>3.0000000000000102</c:v>
                </c:pt>
                <c:pt idx="301">
                  <c:v>3.02</c:v>
                </c:pt>
                <c:pt idx="302">
                  <c:v>3.0400000000000098</c:v>
                </c:pt>
                <c:pt idx="303">
                  <c:v>3.0600000000000098</c:v>
                </c:pt>
                <c:pt idx="304">
                  <c:v>3.0800000000000098</c:v>
                </c:pt>
                <c:pt idx="305">
                  <c:v>3.1</c:v>
                </c:pt>
                <c:pt idx="306">
                  <c:v>3.1200000000000099</c:v>
                </c:pt>
                <c:pt idx="307">
                  <c:v>3.1400000000000099</c:v>
                </c:pt>
                <c:pt idx="308">
                  <c:v>3.1600000000000099</c:v>
                </c:pt>
                <c:pt idx="309">
                  <c:v>3.1800000000000099</c:v>
                </c:pt>
                <c:pt idx="310">
                  <c:v>3.2000000000000099</c:v>
                </c:pt>
                <c:pt idx="311">
                  <c:v>3.22000000000001</c:v>
                </c:pt>
                <c:pt idx="312">
                  <c:v>3.24000000000001</c:v>
                </c:pt>
                <c:pt idx="313">
                  <c:v>3.26000000000001</c:v>
                </c:pt>
                <c:pt idx="314">
                  <c:v>3.28000000000001</c:v>
                </c:pt>
                <c:pt idx="315">
                  <c:v>3.30000000000001</c:v>
                </c:pt>
                <c:pt idx="316">
                  <c:v>3.3200000000000101</c:v>
                </c:pt>
                <c:pt idx="317">
                  <c:v>3.3400000000000101</c:v>
                </c:pt>
                <c:pt idx="318">
                  <c:v>3.3600000000000101</c:v>
                </c:pt>
                <c:pt idx="319">
                  <c:v>3.3800000000000101</c:v>
                </c:pt>
                <c:pt idx="320">
                  <c:v>3.4000000000000101</c:v>
                </c:pt>
                <c:pt idx="321">
                  <c:v>3.4200000000000101</c:v>
                </c:pt>
                <c:pt idx="322">
                  <c:v>3.4400000000000102</c:v>
                </c:pt>
                <c:pt idx="323">
                  <c:v>3.4600000000000102</c:v>
                </c:pt>
                <c:pt idx="324">
                  <c:v>3.4800000000000102</c:v>
                </c:pt>
                <c:pt idx="325">
                  <c:v>3.5000000000000102</c:v>
                </c:pt>
                <c:pt idx="326">
                  <c:v>3.5200000000000098</c:v>
                </c:pt>
                <c:pt idx="327">
                  <c:v>3.5400000000000098</c:v>
                </c:pt>
                <c:pt idx="328">
                  <c:v>3.5600000000000098</c:v>
                </c:pt>
                <c:pt idx="329">
                  <c:v>3.5800000000000098</c:v>
                </c:pt>
                <c:pt idx="330">
                  <c:v>3.6000000000000099</c:v>
                </c:pt>
                <c:pt idx="331">
                  <c:v>3.6200000000000099</c:v>
                </c:pt>
                <c:pt idx="332">
                  <c:v>3.6400000000000099</c:v>
                </c:pt>
                <c:pt idx="333">
                  <c:v>3.6600000000000099</c:v>
                </c:pt>
                <c:pt idx="334">
                  <c:v>3.6800000000000099</c:v>
                </c:pt>
                <c:pt idx="335">
                  <c:v>3.7000000000000099</c:v>
                </c:pt>
                <c:pt idx="336">
                  <c:v>3.72000000000001</c:v>
                </c:pt>
                <c:pt idx="337">
                  <c:v>3.74000000000001</c:v>
                </c:pt>
                <c:pt idx="338">
                  <c:v>3.76000000000001</c:v>
                </c:pt>
                <c:pt idx="339">
                  <c:v>3.78000000000001</c:v>
                </c:pt>
                <c:pt idx="340">
                  <c:v>3.80000000000001</c:v>
                </c:pt>
                <c:pt idx="341">
                  <c:v>3.8200000000000101</c:v>
                </c:pt>
                <c:pt idx="342">
                  <c:v>3.8400000000000101</c:v>
                </c:pt>
                <c:pt idx="343">
                  <c:v>3.8600000000000101</c:v>
                </c:pt>
                <c:pt idx="344">
                  <c:v>3.8800000000000101</c:v>
                </c:pt>
                <c:pt idx="345">
                  <c:v>3.9000000000000101</c:v>
                </c:pt>
                <c:pt idx="346">
                  <c:v>3.9200000000000101</c:v>
                </c:pt>
                <c:pt idx="347">
                  <c:v>3.9400000000000102</c:v>
                </c:pt>
                <c:pt idx="348">
                  <c:v>3.9600000000000102</c:v>
                </c:pt>
                <c:pt idx="349">
                  <c:v>3.9800000000000102</c:v>
                </c:pt>
                <c:pt idx="350">
                  <c:v>4.0000000000000098</c:v>
                </c:pt>
                <c:pt idx="351">
                  <c:v>4.0200000000000102</c:v>
                </c:pt>
                <c:pt idx="352">
                  <c:v>4.0400000000000098</c:v>
                </c:pt>
                <c:pt idx="353">
                  <c:v>4.0600000000000103</c:v>
                </c:pt>
                <c:pt idx="354">
                  <c:v>4.0800000000000098</c:v>
                </c:pt>
                <c:pt idx="355">
                  <c:v>4.1000000000000103</c:v>
                </c:pt>
                <c:pt idx="356">
                  <c:v>4.1200000000000099</c:v>
                </c:pt>
                <c:pt idx="357">
                  <c:v>4.1400000000000103</c:v>
                </c:pt>
                <c:pt idx="358">
                  <c:v>4.1600000000000099</c:v>
                </c:pt>
                <c:pt idx="359">
                  <c:v>4.1800000000000104</c:v>
                </c:pt>
                <c:pt idx="360">
                  <c:v>4.2000000000000099</c:v>
                </c:pt>
                <c:pt idx="361">
                  <c:v>4.2200000000000104</c:v>
                </c:pt>
                <c:pt idx="362">
                  <c:v>4.24000000000001</c:v>
                </c:pt>
                <c:pt idx="363">
                  <c:v>4.2600000000000096</c:v>
                </c:pt>
                <c:pt idx="364">
                  <c:v>4.28000000000001</c:v>
                </c:pt>
                <c:pt idx="365">
                  <c:v>4.3000000000000096</c:v>
                </c:pt>
                <c:pt idx="366">
                  <c:v>4.3200000000000101</c:v>
                </c:pt>
                <c:pt idx="367">
                  <c:v>4.3400000000000096</c:v>
                </c:pt>
                <c:pt idx="368">
                  <c:v>4.3600000000000101</c:v>
                </c:pt>
                <c:pt idx="369">
                  <c:v>4.3800000000000097</c:v>
                </c:pt>
                <c:pt idx="370">
                  <c:v>4.4000000000000101</c:v>
                </c:pt>
                <c:pt idx="371">
                  <c:v>4.4200000000000097</c:v>
                </c:pt>
                <c:pt idx="372">
                  <c:v>4.4400000000000102</c:v>
                </c:pt>
                <c:pt idx="373">
                  <c:v>4.4600000000000097</c:v>
                </c:pt>
                <c:pt idx="374">
                  <c:v>4.4800000000000102</c:v>
                </c:pt>
                <c:pt idx="375">
                  <c:v>4.5000000000000098</c:v>
                </c:pt>
                <c:pt idx="376">
                  <c:v>4.5200000000000102</c:v>
                </c:pt>
                <c:pt idx="377">
                  <c:v>4.5400000000000098</c:v>
                </c:pt>
                <c:pt idx="378">
                  <c:v>4.5600000000000103</c:v>
                </c:pt>
                <c:pt idx="379">
                  <c:v>4.5800000000000098</c:v>
                </c:pt>
                <c:pt idx="380">
                  <c:v>4.6000000000000103</c:v>
                </c:pt>
                <c:pt idx="381">
                  <c:v>4.6200000000000099</c:v>
                </c:pt>
                <c:pt idx="382">
                  <c:v>4.6400000000000103</c:v>
                </c:pt>
                <c:pt idx="383">
                  <c:v>4.6600000000000099</c:v>
                </c:pt>
                <c:pt idx="384">
                  <c:v>4.6800000000000104</c:v>
                </c:pt>
                <c:pt idx="385">
                  <c:v>4.7000000000000099</c:v>
                </c:pt>
                <c:pt idx="386">
                  <c:v>4.7200000000000104</c:v>
                </c:pt>
                <c:pt idx="387">
                  <c:v>4.74000000000001</c:v>
                </c:pt>
                <c:pt idx="388">
                  <c:v>4.7600000000000096</c:v>
                </c:pt>
                <c:pt idx="389">
                  <c:v>4.78000000000001</c:v>
                </c:pt>
                <c:pt idx="390">
                  <c:v>4.8000000000000096</c:v>
                </c:pt>
                <c:pt idx="391">
                  <c:v>4.8200000000000101</c:v>
                </c:pt>
                <c:pt idx="392">
                  <c:v>4.8400000000000096</c:v>
                </c:pt>
                <c:pt idx="393">
                  <c:v>4.8600000000000101</c:v>
                </c:pt>
                <c:pt idx="394">
                  <c:v>4.8800000000000097</c:v>
                </c:pt>
                <c:pt idx="395">
                  <c:v>4.9000000000000101</c:v>
                </c:pt>
                <c:pt idx="396">
                  <c:v>4.9200000000000097</c:v>
                </c:pt>
                <c:pt idx="397">
                  <c:v>4.9400000000000102</c:v>
                </c:pt>
                <c:pt idx="398">
                  <c:v>4.9600000000000097</c:v>
                </c:pt>
                <c:pt idx="399">
                  <c:v>4.9800000000000102</c:v>
                </c:pt>
                <c:pt idx="400">
                  <c:v>5.0000000000000098</c:v>
                </c:pt>
              </c:numCache>
            </c:numRef>
          </c:yVal>
          <c:smooth val="0"/>
          <c:extLst>
            <c:ext xmlns:c16="http://schemas.microsoft.com/office/drawing/2014/chart" uri="{C3380CC4-5D6E-409C-BE32-E72D297353CC}">
              <c16:uniqueId val="{0000000A-1DFF-4DFC-B6E9-D86B6FD0EE9D}"/>
            </c:ext>
          </c:extLst>
        </c:ser>
        <c:ser>
          <c:idx val="11"/>
          <c:order val="11"/>
          <c:tx>
            <c:strRef>
              <c:f>'V-N Diagram'!$L$36</c:f>
              <c:strCache>
                <c:ptCount val="1"/>
                <c:pt idx="0">
                  <c:v>Va</c:v>
                </c:pt>
              </c:strCache>
              <c:extLst xmlns:c15="http://schemas.microsoft.com/office/drawing/2012/chart"/>
            </c:strRef>
          </c:tx>
          <c:spPr>
            <a:ln w="19050" cap="rnd">
              <a:noFill/>
              <a:round/>
            </a:ln>
            <a:effectLst/>
          </c:spPr>
          <c:marker>
            <c:symbol val="none"/>
          </c:marker>
          <c:xVal>
            <c:numRef>
              <c:f>'V-N Diagram'!$L$37:$L$437</c:f>
              <c:numCache>
                <c:formatCode>General</c:formatCode>
                <c:ptCount val="401"/>
                <c:pt idx="0">
                  <c:v>156.47269016040096</c:v>
                </c:pt>
                <c:pt idx="1">
                  <c:v>156.47269016040096</c:v>
                </c:pt>
                <c:pt idx="2">
                  <c:v>156.47269016040096</c:v>
                </c:pt>
                <c:pt idx="3">
                  <c:v>156.47269016040096</c:v>
                </c:pt>
                <c:pt idx="4">
                  <c:v>156.47269016040096</c:v>
                </c:pt>
                <c:pt idx="5">
                  <c:v>156.47269016040096</c:v>
                </c:pt>
                <c:pt idx="6">
                  <c:v>156.47269016040096</c:v>
                </c:pt>
                <c:pt idx="7">
                  <c:v>156.47269016040096</c:v>
                </c:pt>
                <c:pt idx="8">
                  <c:v>156.47269016040096</c:v>
                </c:pt>
                <c:pt idx="9">
                  <c:v>156.47269016040096</c:v>
                </c:pt>
                <c:pt idx="10">
                  <c:v>156.47269016040096</c:v>
                </c:pt>
                <c:pt idx="11">
                  <c:v>156.47269016040096</c:v>
                </c:pt>
                <c:pt idx="12">
                  <c:v>156.47269016040096</c:v>
                </c:pt>
                <c:pt idx="13">
                  <c:v>156.47269016040096</c:v>
                </c:pt>
                <c:pt idx="14">
                  <c:v>156.47269016040096</c:v>
                </c:pt>
                <c:pt idx="15">
                  <c:v>156.47269016040096</c:v>
                </c:pt>
                <c:pt idx="16">
                  <c:v>156.47269016040096</c:v>
                </c:pt>
                <c:pt idx="17">
                  <c:v>156.47269016040096</c:v>
                </c:pt>
                <c:pt idx="18">
                  <c:v>156.47269016040096</c:v>
                </c:pt>
                <c:pt idx="19">
                  <c:v>156.47269016040096</c:v>
                </c:pt>
                <c:pt idx="20">
                  <c:v>156.47269016040096</c:v>
                </c:pt>
                <c:pt idx="21">
                  <c:v>156.47269016040096</c:v>
                </c:pt>
                <c:pt idx="22">
                  <c:v>156.47269016040096</c:v>
                </c:pt>
                <c:pt idx="23">
                  <c:v>156.47269016040096</c:v>
                </c:pt>
                <c:pt idx="24">
                  <c:v>156.47269016040096</c:v>
                </c:pt>
                <c:pt idx="25">
                  <c:v>156.47269016040096</c:v>
                </c:pt>
                <c:pt idx="26">
                  <c:v>156.47269016040096</c:v>
                </c:pt>
                <c:pt idx="27">
                  <c:v>156.47269016040096</c:v>
                </c:pt>
                <c:pt idx="28">
                  <c:v>156.47269016040096</c:v>
                </c:pt>
                <c:pt idx="29">
                  <c:v>156.47269016040096</c:v>
                </c:pt>
                <c:pt idx="30">
                  <c:v>156.47269016040096</c:v>
                </c:pt>
                <c:pt idx="31">
                  <c:v>156.47269016040096</c:v>
                </c:pt>
                <c:pt idx="32">
                  <c:v>156.47269016040096</c:v>
                </c:pt>
                <c:pt idx="33">
                  <c:v>156.47269016040096</c:v>
                </c:pt>
                <c:pt idx="34">
                  <c:v>156.47269016040096</c:v>
                </c:pt>
                <c:pt idx="35">
                  <c:v>156.47269016040096</c:v>
                </c:pt>
                <c:pt idx="36">
                  <c:v>156.47269016040096</c:v>
                </c:pt>
                <c:pt idx="37">
                  <c:v>156.47269016040096</c:v>
                </c:pt>
                <c:pt idx="38">
                  <c:v>156.47269016040096</c:v>
                </c:pt>
                <c:pt idx="39">
                  <c:v>156.47269016040096</c:v>
                </c:pt>
                <c:pt idx="40">
                  <c:v>156.47269016040096</c:v>
                </c:pt>
                <c:pt idx="41">
                  <c:v>156.47269016040096</c:v>
                </c:pt>
                <c:pt idx="42">
                  <c:v>156.47269016040096</c:v>
                </c:pt>
                <c:pt idx="43">
                  <c:v>156.47269016040096</c:v>
                </c:pt>
                <c:pt idx="44">
                  <c:v>156.47269016040096</c:v>
                </c:pt>
                <c:pt idx="45">
                  <c:v>156.47269016040096</c:v>
                </c:pt>
                <c:pt idx="46">
                  <c:v>156.47269016040096</c:v>
                </c:pt>
                <c:pt idx="47">
                  <c:v>156.47269016040096</c:v>
                </c:pt>
                <c:pt idx="48">
                  <c:v>156.47269016040096</c:v>
                </c:pt>
                <c:pt idx="49">
                  <c:v>156.47269016040096</c:v>
                </c:pt>
                <c:pt idx="50">
                  <c:v>156.47269016040096</c:v>
                </c:pt>
                <c:pt idx="51">
                  <c:v>156.47269016040096</c:v>
                </c:pt>
                <c:pt idx="52">
                  <c:v>156.47269016040096</c:v>
                </c:pt>
                <c:pt idx="53">
                  <c:v>156.47269016040096</c:v>
                </c:pt>
                <c:pt idx="54">
                  <c:v>156.47269016040096</c:v>
                </c:pt>
                <c:pt idx="55">
                  <c:v>156.47269016040096</c:v>
                </c:pt>
                <c:pt idx="56">
                  <c:v>156.47269016040096</c:v>
                </c:pt>
                <c:pt idx="57">
                  <c:v>156.47269016040096</c:v>
                </c:pt>
                <c:pt idx="58">
                  <c:v>156.47269016040096</c:v>
                </c:pt>
                <c:pt idx="59">
                  <c:v>156.47269016040096</c:v>
                </c:pt>
                <c:pt idx="60">
                  <c:v>156.47269016040096</c:v>
                </c:pt>
                <c:pt idx="61">
                  <c:v>156.47269016040096</c:v>
                </c:pt>
                <c:pt idx="62">
                  <c:v>156.47269016040096</c:v>
                </c:pt>
                <c:pt idx="63">
                  <c:v>156.47269016040096</c:v>
                </c:pt>
                <c:pt idx="64">
                  <c:v>156.47269016040096</c:v>
                </c:pt>
                <c:pt idx="65">
                  <c:v>156.47269016040096</c:v>
                </c:pt>
                <c:pt idx="66">
                  <c:v>156.47269016040096</c:v>
                </c:pt>
                <c:pt idx="67">
                  <c:v>156.47269016040096</c:v>
                </c:pt>
                <c:pt idx="68">
                  <c:v>156.47269016040096</c:v>
                </c:pt>
                <c:pt idx="69">
                  <c:v>156.47269016040096</c:v>
                </c:pt>
                <c:pt idx="70">
                  <c:v>156.47269016040096</c:v>
                </c:pt>
                <c:pt idx="71">
                  <c:v>156.47269016040096</c:v>
                </c:pt>
                <c:pt idx="72">
                  <c:v>156.47269016040096</c:v>
                </c:pt>
                <c:pt idx="73">
                  <c:v>156.47269016040096</c:v>
                </c:pt>
                <c:pt idx="74">
                  <c:v>156.47269016040096</c:v>
                </c:pt>
                <c:pt idx="75">
                  <c:v>156.47269016040096</c:v>
                </c:pt>
                <c:pt idx="76">
                  <c:v>156.47269016040096</c:v>
                </c:pt>
                <c:pt idx="77">
                  <c:v>156.47269016040096</c:v>
                </c:pt>
                <c:pt idx="78">
                  <c:v>156.47269016040096</c:v>
                </c:pt>
                <c:pt idx="79">
                  <c:v>156.47269016040096</c:v>
                </c:pt>
                <c:pt idx="80">
                  <c:v>156.47269016040096</c:v>
                </c:pt>
                <c:pt idx="81">
                  <c:v>156.47269016040096</c:v>
                </c:pt>
                <c:pt idx="82">
                  <c:v>156.47269016040096</c:v>
                </c:pt>
                <c:pt idx="83">
                  <c:v>156.47269016040096</c:v>
                </c:pt>
                <c:pt idx="84">
                  <c:v>156.47269016040096</c:v>
                </c:pt>
                <c:pt idx="85">
                  <c:v>156.47269016040096</c:v>
                </c:pt>
                <c:pt idx="86">
                  <c:v>156.47269016040096</c:v>
                </c:pt>
                <c:pt idx="87">
                  <c:v>156.47269016040096</c:v>
                </c:pt>
                <c:pt idx="88">
                  <c:v>156.47269016040096</c:v>
                </c:pt>
                <c:pt idx="89">
                  <c:v>156.47269016040096</c:v>
                </c:pt>
                <c:pt idx="90">
                  <c:v>156.47269016040096</c:v>
                </c:pt>
                <c:pt idx="91">
                  <c:v>156.47269016040096</c:v>
                </c:pt>
                <c:pt idx="92">
                  <c:v>156.47269016040096</c:v>
                </c:pt>
                <c:pt idx="93">
                  <c:v>156.47269016040096</c:v>
                </c:pt>
                <c:pt idx="94">
                  <c:v>156.47269016040096</c:v>
                </c:pt>
                <c:pt idx="95">
                  <c:v>156.47269016040096</c:v>
                </c:pt>
                <c:pt idx="96">
                  <c:v>156.47269016040096</c:v>
                </c:pt>
                <c:pt idx="97">
                  <c:v>156.47269016040096</c:v>
                </c:pt>
                <c:pt idx="98">
                  <c:v>156.47269016040096</c:v>
                </c:pt>
                <c:pt idx="99">
                  <c:v>156.47269016040096</c:v>
                </c:pt>
                <c:pt idx="100">
                  <c:v>156.47269016040096</c:v>
                </c:pt>
                <c:pt idx="101">
                  <c:v>156.47269016040096</c:v>
                </c:pt>
                <c:pt idx="102">
                  <c:v>156.47269016040096</c:v>
                </c:pt>
                <c:pt idx="103">
                  <c:v>156.47269016040096</c:v>
                </c:pt>
                <c:pt idx="104">
                  <c:v>156.47269016040096</c:v>
                </c:pt>
                <c:pt idx="105">
                  <c:v>156.47269016040096</c:v>
                </c:pt>
                <c:pt idx="106">
                  <c:v>156.47269016040096</c:v>
                </c:pt>
                <c:pt idx="107">
                  <c:v>156.47269016040096</c:v>
                </c:pt>
                <c:pt idx="108">
                  <c:v>156.47269016040096</c:v>
                </c:pt>
                <c:pt idx="109">
                  <c:v>156.47269016040096</c:v>
                </c:pt>
                <c:pt idx="110">
                  <c:v>156.47269016040096</c:v>
                </c:pt>
                <c:pt idx="111">
                  <c:v>156.47269016040096</c:v>
                </c:pt>
                <c:pt idx="112">
                  <c:v>156.47269016040096</c:v>
                </c:pt>
                <c:pt idx="113">
                  <c:v>156.47269016040096</c:v>
                </c:pt>
                <c:pt idx="114">
                  <c:v>156.47269016040096</c:v>
                </c:pt>
                <c:pt idx="115">
                  <c:v>156.47269016040096</c:v>
                </c:pt>
                <c:pt idx="116">
                  <c:v>156.47269016040096</c:v>
                </c:pt>
                <c:pt idx="117">
                  <c:v>156.47269016040096</c:v>
                </c:pt>
                <c:pt idx="118">
                  <c:v>156.47269016040096</c:v>
                </c:pt>
                <c:pt idx="119">
                  <c:v>156.47269016040096</c:v>
                </c:pt>
                <c:pt idx="120">
                  <c:v>156.47269016040096</c:v>
                </c:pt>
                <c:pt idx="121">
                  <c:v>156.47269016040096</c:v>
                </c:pt>
                <c:pt idx="122">
                  <c:v>156.47269016040096</c:v>
                </c:pt>
                <c:pt idx="123">
                  <c:v>156.47269016040096</c:v>
                </c:pt>
                <c:pt idx="124">
                  <c:v>156.47269016040096</c:v>
                </c:pt>
                <c:pt idx="125">
                  <c:v>156.47269016040096</c:v>
                </c:pt>
                <c:pt idx="126">
                  <c:v>156.47269016040096</c:v>
                </c:pt>
                <c:pt idx="127">
                  <c:v>156.47269016040096</c:v>
                </c:pt>
                <c:pt idx="128">
                  <c:v>156.47269016040096</c:v>
                </c:pt>
                <c:pt idx="129">
                  <c:v>156.47269016040096</c:v>
                </c:pt>
                <c:pt idx="130">
                  <c:v>156.47269016040096</c:v>
                </c:pt>
                <c:pt idx="131">
                  <c:v>156.47269016040096</c:v>
                </c:pt>
                <c:pt idx="132">
                  <c:v>156.47269016040096</c:v>
                </c:pt>
                <c:pt idx="133">
                  <c:v>156.47269016040096</c:v>
                </c:pt>
                <c:pt idx="134">
                  <c:v>156.47269016040096</c:v>
                </c:pt>
                <c:pt idx="135">
                  <c:v>156.47269016040096</c:v>
                </c:pt>
                <c:pt idx="136">
                  <c:v>156.47269016040096</c:v>
                </c:pt>
                <c:pt idx="137">
                  <c:v>156.47269016040096</c:v>
                </c:pt>
                <c:pt idx="138">
                  <c:v>156.47269016040096</c:v>
                </c:pt>
                <c:pt idx="139">
                  <c:v>156.47269016040096</c:v>
                </c:pt>
                <c:pt idx="140">
                  <c:v>156.47269016040096</c:v>
                </c:pt>
                <c:pt idx="141">
                  <c:v>156.47269016040096</c:v>
                </c:pt>
                <c:pt idx="142">
                  <c:v>156.47269016040096</c:v>
                </c:pt>
                <c:pt idx="143">
                  <c:v>156.47269016040096</c:v>
                </c:pt>
                <c:pt idx="144">
                  <c:v>156.47269016040096</c:v>
                </c:pt>
                <c:pt idx="145">
                  <c:v>156.47269016040096</c:v>
                </c:pt>
                <c:pt idx="146">
                  <c:v>156.47269016040096</c:v>
                </c:pt>
                <c:pt idx="147">
                  <c:v>156.47269016040096</c:v>
                </c:pt>
                <c:pt idx="148">
                  <c:v>156.47269016040096</c:v>
                </c:pt>
                <c:pt idx="149">
                  <c:v>156.47269016040096</c:v>
                </c:pt>
                <c:pt idx="150">
                  <c:v>156.47269016040096</c:v>
                </c:pt>
                <c:pt idx="151">
                  <c:v>156.47269016040096</c:v>
                </c:pt>
                <c:pt idx="152">
                  <c:v>156.47269016040096</c:v>
                </c:pt>
                <c:pt idx="153">
                  <c:v>156.47269016040096</c:v>
                </c:pt>
                <c:pt idx="154">
                  <c:v>156.47269016040096</c:v>
                </c:pt>
                <c:pt idx="155">
                  <c:v>156.47269016040096</c:v>
                </c:pt>
                <c:pt idx="156">
                  <c:v>156.47269016040096</c:v>
                </c:pt>
                <c:pt idx="157">
                  <c:v>156.47269016040096</c:v>
                </c:pt>
                <c:pt idx="158">
                  <c:v>156.47269016040096</c:v>
                </c:pt>
                <c:pt idx="159">
                  <c:v>156.47269016040096</c:v>
                </c:pt>
                <c:pt idx="160">
                  <c:v>156.47269016040096</c:v>
                </c:pt>
                <c:pt idx="161">
                  <c:v>156.47269016040096</c:v>
                </c:pt>
                <c:pt idx="162">
                  <c:v>156.47269016040096</c:v>
                </c:pt>
                <c:pt idx="163">
                  <c:v>156.47269016040096</c:v>
                </c:pt>
                <c:pt idx="164">
                  <c:v>156.47269016040096</c:v>
                </c:pt>
                <c:pt idx="165">
                  <c:v>156.47269016040096</c:v>
                </c:pt>
                <c:pt idx="166">
                  <c:v>156.47269016040096</c:v>
                </c:pt>
                <c:pt idx="167">
                  <c:v>156.47269016040096</c:v>
                </c:pt>
                <c:pt idx="168">
                  <c:v>156.47269016040096</c:v>
                </c:pt>
                <c:pt idx="169">
                  <c:v>156.47269016040096</c:v>
                </c:pt>
                <c:pt idx="170">
                  <c:v>156.47269016040096</c:v>
                </c:pt>
                <c:pt idx="171">
                  <c:v>156.47269016040096</c:v>
                </c:pt>
                <c:pt idx="172">
                  <c:v>156.47269016040096</c:v>
                </c:pt>
                <c:pt idx="173">
                  <c:v>156.47269016040096</c:v>
                </c:pt>
                <c:pt idx="174">
                  <c:v>156.47269016040096</c:v>
                </c:pt>
                <c:pt idx="175">
                  <c:v>156.47269016040096</c:v>
                </c:pt>
                <c:pt idx="176">
                  <c:v>156.47269016040096</c:v>
                </c:pt>
                <c:pt idx="177">
                  <c:v>156.47269016040096</c:v>
                </c:pt>
                <c:pt idx="178">
                  <c:v>156.47269016040096</c:v>
                </c:pt>
                <c:pt idx="179">
                  <c:v>156.47269016040096</c:v>
                </c:pt>
                <c:pt idx="180">
                  <c:v>156.47269016040096</c:v>
                </c:pt>
                <c:pt idx="181">
                  <c:v>156.47269016040096</c:v>
                </c:pt>
                <c:pt idx="182">
                  <c:v>156.47269016040096</c:v>
                </c:pt>
                <c:pt idx="183">
                  <c:v>156.47269016040096</c:v>
                </c:pt>
                <c:pt idx="184">
                  <c:v>156.47269016040096</c:v>
                </c:pt>
                <c:pt idx="185">
                  <c:v>156.47269016040096</c:v>
                </c:pt>
                <c:pt idx="186">
                  <c:v>156.47269016040096</c:v>
                </c:pt>
                <c:pt idx="187">
                  <c:v>156.47269016040096</c:v>
                </c:pt>
                <c:pt idx="188">
                  <c:v>156.47269016040096</c:v>
                </c:pt>
                <c:pt idx="189">
                  <c:v>156.47269016040096</c:v>
                </c:pt>
                <c:pt idx="190">
                  <c:v>156.47269016040096</c:v>
                </c:pt>
                <c:pt idx="191">
                  <c:v>156.47269016040096</c:v>
                </c:pt>
                <c:pt idx="192">
                  <c:v>156.47269016040096</c:v>
                </c:pt>
                <c:pt idx="193">
                  <c:v>156.47269016040096</c:v>
                </c:pt>
                <c:pt idx="194">
                  <c:v>156.47269016040096</c:v>
                </c:pt>
                <c:pt idx="195">
                  <c:v>156.47269016040096</c:v>
                </c:pt>
                <c:pt idx="196">
                  <c:v>156.47269016040096</c:v>
                </c:pt>
                <c:pt idx="197">
                  <c:v>156.47269016040096</c:v>
                </c:pt>
                <c:pt idx="198">
                  <c:v>156.47269016040096</c:v>
                </c:pt>
                <c:pt idx="199">
                  <c:v>156.47269016040096</c:v>
                </c:pt>
                <c:pt idx="200">
                  <c:v>156.47269016040096</c:v>
                </c:pt>
                <c:pt idx="201">
                  <c:v>156.47269016040096</c:v>
                </c:pt>
                <c:pt idx="202">
                  <c:v>156.47269016040096</c:v>
                </c:pt>
                <c:pt idx="203">
                  <c:v>156.47269016040096</c:v>
                </c:pt>
                <c:pt idx="204">
                  <c:v>156.47269016040096</c:v>
                </c:pt>
                <c:pt idx="205">
                  <c:v>156.47269016040096</c:v>
                </c:pt>
                <c:pt idx="206">
                  <c:v>156.47269016040096</c:v>
                </c:pt>
                <c:pt idx="207">
                  <c:v>156.47269016040096</c:v>
                </c:pt>
                <c:pt idx="208">
                  <c:v>156.47269016040096</c:v>
                </c:pt>
                <c:pt idx="209">
                  <c:v>156.47269016040096</c:v>
                </c:pt>
                <c:pt idx="210">
                  <c:v>156.47269016040096</c:v>
                </c:pt>
                <c:pt idx="211">
                  <c:v>156.47269016040096</c:v>
                </c:pt>
                <c:pt idx="212">
                  <c:v>156.47269016040096</c:v>
                </c:pt>
                <c:pt idx="213">
                  <c:v>156.47269016040096</c:v>
                </c:pt>
                <c:pt idx="214">
                  <c:v>156.47269016040096</c:v>
                </c:pt>
                <c:pt idx="215">
                  <c:v>156.47269016040096</c:v>
                </c:pt>
                <c:pt idx="216">
                  <c:v>156.47269016040096</c:v>
                </c:pt>
                <c:pt idx="217">
                  <c:v>156.47269016040096</c:v>
                </c:pt>
                <c:pt idx="218">
                  <c:v>156.47269016040096</c:v>
                </c:pt>
                <c:pt idx="219">
                  <c:v>156.47269016040096</c:v>
                </c:pt>
                <c:pt idx="220">
                  <c:v>156.47269016040096</c:v>
                </c:pt>
                <c:pt idx="221">
                  <c:v>156.47269016040096</c:v>
                </c:pt>
                <c:pt idx="222">
                  <c:v>156.47269016040096</c:v>
                </c:pt>
                <c:pt idx="223">
                  <c:v>156.47269016040096</c:v>
                </c:pt>
                <c:pt idx="224">
                  <c:v>156.47269016040096</c:v>
                </c:pt>
                <c:pt idx="225">
                  <c:v>156.47269016040096</c:v>
                </c:pt>
                <c:pt idx="226">
                  <c:v>156.47269016040096</c:v>
                </c:pt>
                <c:pt idx="227">
                  <c:v>156.47269016040096</c:v>
                </c:pt>
                <c:pt idx="228">
                  <c:v>156.47269016040096</c:v>
                </c:pt>
                <c:pt idx="229">
                  <c:v>156.47269016040096</c:v>
                </c:pt>
                <c:pt idx="230">
                  <c:v>156.47269016040096</c:v>
                </c:pt>
                <c:pt idx="231">
                  <c:v>156.47269016040096</c:v>
                </c:pt>
                <c:pt idx="232">
                  <c:v>156.47269016040096</c:v>
                </c:pt>
                <c:pt idx="233">
                  <c:v>156.47269016040096</c:v>
                </c:pt>
                <c:pt idx="234">
                  <c:v>156.47269016040096</c:v>
                </c:pt>
                <c:pt idx="235">
                  <c:v>156.47269016040096</c:v>
                </c:pt>
                <c:pt idx="236">
                  <c:v>156.47269016040096</c:v>
                </c:pt>
                <c:pt idx="237">
                  <c:v>156.47269016040096</c:v>
                </c:pt>
                <c:pt idx="238">
                  <c:v>156.47269016040096</c:v>
                </c:pt>
                <c:pt idx="239">
                  <c:v>156.47269016040096</c:v>
                </c:pt>
                <c:pt idx="240">
                  <c:v>156.47269016040096</c:v>
                </c:pt>
                <c:pt idx="241">
                  <c:v>156.47269016040096</c:v>
                </c:pt>
                <c:pt idx="242">
                  <c:v>156.47269016040096</c:v>
                </c:pt>
                <c:pt idx="243">
                  <c:v>156.47269016040096</c:v>
                </c:pt>
                <c:pt idx="244">
                  <c:v>156.47269016040096</c:v>
                </c:pt>
                <c:pt idx="245">
                  <c:v>156.47269016040096</c:v>
                </c:pt>
                <c:pt idx="246">
                  <c:v>156.47269016040096</c:v>
                </c:pt>
                <c:pt idx="247">
                  <c:v>156.47269016040096</c:v>
                </c:pt>
                <c:pt idx="248">
                  <c:v>156.47269016040096</c:v>
                </c:pt>
                <c:pt idx="249">
                  <c:v>156.47269016040096</c:v>
                </c:pt>
                <c:pt idx="250">
                  <c:v>156.47269016040096</c:v>
                </c:pt>
                <c:pt idx="251">
                  <c:v>156.47269016040096</c:v>
                </c:pt>
                <c:pt idx="252">
                  <c:v>156.47269016040096</c:v>
                </c:pt>
                <c:pt idx="253">
                  <c:v>156.47269016040096</c:v>
                </c:pt>
                <c:pt idx="254">
                  <c:v>156.47269016040096</c:v>
                </c:pt>
                <c:pt idx="255">
                  <c:v>156.47269016040096</c:v>
                </c:pt>
                <c:pt idx="256">
                  <c:v>156.47269016040096</c:v>
                </c:pt>
                <c:pt idx="257">
                  <c:v>156.47269016040096</c:v>
                </c:pt>
                <c:pt idx="258">
                  <c:v>156.47269016040096</c:v>
                </c:pt>
                <c:pt idx="259">
                  <c:v>156.47269016040096</c:v>
                </c:pt>
                <c:pt idx="260">
                  <c:v>156.47269016040096</c:v>
                </c:pt>
                <c:pt idx="261">
                  <c:v>156.47269016040096</c:v>
                </c:pt>
                <c:pt idx="262">
                  <c:v>156.47269016040096</c:v>
                </c:pt>
                <c:pt idx="263">
                  <c:v>156.47269016040096</c:v>
                </c:pt>
                <c:pt idx="264">
                  <c:v>156.47269016040096</c:v>
                </c:pt>
                <c:pt idx="265">
                  <c:v>156.47269016040096</c:v>
                </c:pt>
                <c:pt idx="266">
                  <c:v>156.47269016040096</c:v>
                </c:pt>
                <c:pt idx="267">
                  <c:v>156.47269016040096</c:v>
                </c:pt>
                <c:pt idx="268">
                  <c:v>156.47269016040096</c:v>
                </c:pt>
                <c:pt idx="269">
                  <c:v>156.47269016040096</c:v>
                </c:pt>
                <c:pt idx="270">
                  <c:v>156.47269016040096</c:v>
                </c:pt>
                <c:pt idx="271">
                  <c:v>156.47269016040096</c:v>
                </c:pt>
                <c:pt idx="272">
                  <c:v>156.47269016040096</c:v>
                </c:pt>
                <c:pt idx="273">
                  <c:v>156.47269016040096</c:v>
                </c:pt>
                <c:pt idx="274">
                  <c:v>156.47269016040096</c:v>
                </c:pt>
                <c:pt idx="275">
                  <c:v>156.47269016040096</c:v>
                </c:pt>
                <c:pt idx="276">
                  <c:v>156.47269016040096</c:v>
                </c:pt>
                <c:pt idx="277">
                  <c:v>156.47269016040096</c:v>
                </c:pt>
                <c:pt idx="278">
                  <c:v>156.47269016040096</c:v>
                </c:pt>
                <c:pt idx="279">
                  <c:v>156.47269016040096</c:v>
                </c:pt>
                <c:pt idx="280">
                  <c:v>156.47269016040096</c:v>
                </c:pt>
                <c:pt idx="281">
                  <c:v>156.47269016040096</c:v>
                </c:pt>
                <c:pt idx="282">
                  <c:v>156.47269016040096</c:v>
                </c:pt>
                <c:pt idx="283">
                  <c:v>156.47269016040096</c:v>
                </c:pt>
                <c:pt idx="284">
                  <c:v>156.47269016040096</c:v>
                </c:pt>
                <c:pt idx="285">
                  <c:v>156.47269016040096</c:v>
                </c:pt>
                <c:pt idx="286">
                  <c:v>156.47269016040096</c:v>
                </c:pt>
                <c:pt idx="287">
                  <c:v>156.47269016040096</c:v>
                </c:pt>
                <c:pt idx="288">
                  <c:v>156.47269016040096</c:v>
                </c:pt>
                <c:pt idx="289">
                  <c:v>156.47269016040096</c:v>
                </c:pt>
                <c:pt idx="290">
                  <c:v>156.47269016040096</c:v>
                </c:pt>
                <c:pt idx="291">
                  <c:v>156.47269016040096</c:v>
                </c:pt>
                <c:pt idx="292">
                  <c:v>156.47269016040096</c:v>
                </c:pt>
                <c:pt idx="293">
                  <c:v>156.47269016040096</c:v>
                </c:pt>
                <c:pt idx="294">
                  <c:v>156.47269016040096</c:v>
                </c:pt>
                <c:pt idx="295">
                  <c:v>156.47269016040096</c:v>
                </c:pt>
                <c:pt idx="296">
                  <c:v>156.47269016040096</c:v>
                </c:pt>
                <c:pt idx="297">
                  <c:v>156.47269016040096</c:v>
                </c:pt>
                <c:pt idx="298">
                  <c:v>156.47269016040096</c:v>
                </c:pt>
                <c:pt idx="299">
                  <c:v>156.47269016040096</c:v>
                </c:pt>
                <c:pt idx="300">
                  <c:v>156.47269016040096</c:v>
                </c:pt>
                <c:pt idx="301">
                  <c:v>156.47269016040096</c:v>
                </c:pt>
                <c:pt idx="302">
                  <c:v>156.47269016040096</c:v>
                </c:pt>
                <c:pt idx="303">
                  <c:v>156.47269016040096</c:v>
                </c:pt>
                <c:pt idx="304">
                  <c:v>156.47269016040096</c:v>
                </c:pt>
                <c:pt idx="305">
                  <c:v>156.47269016040096</c:v>
                </c:pt>
                <c:pt idx="306">
                  <c:v>156.47269016040096</c:v>
                </c:pt>
                <c:pt idx="307">
                  <c:v>156.47269016040096</c:v>
                </c:pt>
                <c:pt idx="308">
                  <c:v>156.47269016040096</c:v>
                </c:pt>
                <c:pt idx="309">
                  <c:v>156.47269016040096</c:v>
                </c:pt>
                <c:pt idx="310">
                  <c:v>156.47269016040096</c:v>
                </c:pt>
                <c:pt idx="311">
                  <c:v>156.47269016040096</c:v>
                </c:pt>
                <c:pt idx="312">
                  <c:v>156.47269016040096</c:v>
                </c:pt>
                <c:pt idx="313">
                  <c:v>156.47269016040096</c:v>
                </c:pt>
                <c:pt idx="314">
                  <c:v>156.47269016040096</c:v>
                </c:pt>
                <c:pt idx="315">
                  <c:v>156.47269016040096</c:v>
                </c:pt>
                <c:pt idx="316">
                  <c:v>156.47269016040096</c:v>
                </c:pt>
                <c:pt idx="317">
                  <c:v>156.47269016040096</c:v>
                </c:pt>
                <c:pt idx="318">
                  <c:v>156.47269016040096</c:v>
                </c:pt>
                <c:pt idx="319">
                  <c:v>156.47269016040096</c:v>
                </c:pt>
                <c:pt idx="320">
                  <c:v>156.47269016040096</c:v>
                </c:pt>
                <c:pt idx="321">
                  <c:v>156.47269016040096</c:v>
                </c:pt>
                <c:pt idx="322">
                  <c:v>156.47269016040096</c:v>
                </c:pt>
                <c:pt idx="323">
                  <c:v>156.47269016040096</c:v>
                </c:pt>
                <c:pt idx="324">
                  <c:v>156.47269016040096</c:v>
                </c:pt>
                <c:pt idx="325">
                  <c:v>156.47269016040096</c:v>
                </c:pt>
                <c:pt idx="326">
                  <c:v>156.47269016040096</c:v>
                </c:pt>
                <c:pt idx="327">
                  <c:v>156.47269016040096</c:v>
                </c:pt>
                <c:pt idx="328">
                  <c:v>156.47269016040096</c:v>
                </c:pt>
                <c:pt idx="329">
                  <c:v>156.47269016040096</c:v>
                </c:pt>
                <c:pt idx="330">
                  <c:v>156.47269016040096</c:v>
                </c:pt>
                <c:pt idx="331">
                  <c:v>156.47269016040096</c:v>
                </c:pt>
                <c:pt idx="332">
                  <c:v>156.47269016040096</c:v>
                </c:pt>
                <c:pt idx="333">
                  <c:v>156.47269016040096</c:v>
                </c:pt>
                <c:pt idx="334">
                  <c:v>156.47269016040096</c:v>
                </c:pt>
                <c:pt idx="335">
                  <c:v>156.47269016040096</c:v>
                </c:pt>
                <c:pt idx="336">
                  <c:v>156.47269016040096</c:v>
                </c:pt>
                <c:pt idx="337">
                  <c:v>156.47269016040096</c:v>
                </c:pt>
                <c:pt idx="338">
                  <c:v>156.47269016040096</c:v>
                </c:pt>
                <c:pt idx="339">
                  <c:v>156.47269016040096</c:v>
                </c:pt>
                <c:pt idx="340">
                  <c:v>156.47269016040096</c:v>
                </c:pt>
                <c:pt idx="341">
                  <c:v>156.47269016040096</c:v>
                </c:pt>
                <c:pt idx="342">
                  <c:v>156.47269016040096</c:v>
                </c:pt>
                <c:pt idx="343">
                  <c:v>156.47269016040096</c:v>
                </c:pt>
                <c:pt idx="344">
                  <c:v>156.47269016040096</c:v>
                </c:pt>
                <c:pt idx="345">
                  <c:v>156.47269016040096</c:v>
                </c:pt>
                <c:pt idx="346">
                  <c:v>156.47269016040096</c:v>
                </c:pt>
                <c:pt idx="347">
                  <c:v>156.47269016040096</c:v>
                </c:pt>
                <c:pt idx="348">
                  <c:v>156.47269016040096</c:v>
                </c:pt>
                <c:pt idx="349">
                  <c:v>156.47269016040096</c:v>
                </c:pt>
                <c:pt idx="350">
                  <c:v>156.47269016040096</c:v>
                </c:pt>
                <c:pt idx="351">
                  <c:v>156.47269016040096</c:v>
                </c:pt>
                <c:pt idx="352">
                  <c:v>156.47269016040096</c:v>
                </c:pt>
                <c:pt idx="353">
                  <c:v>156.47269016040096</c:v>
                </c:pt>
                <c:pt idx="354">
                  <c:v>156.47269016040096</c:v>
                </c:pt>
                <c:pt idx="355">
                  <c:v>156.47269016040096</c:v>
                </c:pt>
                <c:pt idx="356">
                  <c:v>156.47269016040096</c:v>
                </c:pt>
                <c:pt idx="357">
                  <c:v>156.47269016040096</c:v>
                </c:pt>
                <c:pt idx="358">
                  <c:v>156.47269016040096</c:v>
                </c:pt>
                <c:pt idx="359">
                  <c:v>156.47269016040096</c:v>
                </c:pt>
                <c:pt idx="360">
                  <c:v>156.47269016040096</c:v>
                </c:pt>
                <c:pt idx="361">
                  <c:v>156.47269016040096</c:v>
                </c:pt>
                <c:pt idx="362">
                  <c:v>156.47269016040096</c:v>
                </c:pt>
                <c:pt idx="363">
                  <c:v>156.47269016040096</c:v>
                </c:pt>
                <c:pt idx="364">
                  <c:v>156.47269016040096</c:v>
                </c:pt>
                <c:pt idx="365">
                  <c:v>156.47269016040096</c:v>
                </c:pt>
                <c:pt idx="366">
                  <c:v>156.47269016040096</c:v>
                </c:pt>
                <c:pt idx="367">
                  <c:v>156.47269016040096</c:v>
                </c:pt>
                <c:pt idx="368">
                  <c:v>156.47269016040096</c:v>
                </c:pt>
                <c:pt idx="369">
                  <c:v>156.47269016040096</c:v>
                </c:pt>
                <c:pt idx="370">
                  <c:v>156.47269016040096</c:v>
                </c:pt>
                <c:pt idx="371">
                  <c:v>156.47269016040096</c:v>
                </c:pt>
                <c:pt idx="372">
                  <c:v>156.47269016040096</c:v>
                </c:pt>
                <c:pt idx="373">
                  <c:v>156.47269016040096</c:v>
                </c:pt>
                <c:pt idx="374">
                  <c:v>156.47269016040096</c:v>
                </c:pt>
                <c:pt idx="375">
                  <c:v>156.47269016040096</c:v>
                </c:pt>
                <c:pt idx="376">
                  <c:v>156.47269016040096</c:v>
                </c:pt>
                <c:pt idx="377">
                  <c:v>156.47269016040096</c:v>
                </c:pt>
                <c:pt idx="378">
                  <c:v>156.47269016040096</c:v>
                </c:pt>
                <c:pt idx="379">
                  <c:v>156.47269016040096</c:v>
                </c:pt>
                <c:pt idx="380">
                  <c:v>156.47269016040096</c:v>
                </c:pt>
                <c:pt idx="381">
                  <c:v>156.47269016040096</c:v>
                </c:pt>
                <c:pt idx="382">
                  <c:v>156.47269016040096</c:v>
                </c:pt>
                <c:pt idx="383">
                  <c:v>156.47269016040096</c:v>
                </c:pt>
                <c:pt idx="384">
                  <c:v>156.47269016040096</c:v>
                </c:pt>
                <c:pt idx="385">
                  <c:v>156.47269016040096</c:v>
                </c:pt>
                <c:pt idx="386">
                  <c:v>156.47269016040096</c:v>
                </c:pt>
                <c:pt idx="387">
                  <c:v>156.47269016040096</c:v>
                </c:pt>
                <c:pt idx="388">
                  <c:v>156.47269016040096</c:v>
                </c:pt>
                <c:pt idx="389">
                  <c:v>156.47269016040096</c:v>
                </c:pt>
                <c:pt idx="390">
                  <c:v>156.47269016040096</c:v>
                </c:pt>
                <c:pt idx="391">
                  <c:v>156.47269016040096</c:v>
                </c:pt>
                <c:pt idx="392">
                  <c:v>156.47269016040096</c:v>
                </c:pt>
                <c:pt idx="393">
                  <c:v>156.47269016040096</c:v>
                </c:pt>
                <c:pt idx="394">
                  <c:v>156.47269016040096</c:v>
                </c:pt>
                <c:pt idx="395">
                  <c:v>156.47269016040096</c:v>
                </c:pt>
                <c:pt idx="396">
                  <c:v>156.47269016040096</c:v>
                </c:pt>
                <c:pt idx="397">
                  <c:v>156.47269016040096</c:v>
                </c:pt>
                <c:pt idx="398">
                  <c:v>156.47269016040096</c:v>
                </c:pt>
                <c:pt idx="399">
                  <c:v>156.47269016040096</c:v>
                </c:pt>
                <c:pt idx="400">
                  <c:v>156.47269016040096</c:v>
                </c:pt>
              </c:numCache>
              <c:extLst xmlns:c15="http://schemas.microsoft.com/office/drawing/2012/chart"/>
            </c:numRef>
          </c:xVal>
          <c:yVal>
            <c:numRef>
              <c:f>'V-N Diagram'!$V$37:$V$437</c:f>
              <c:numCache>
                <c:formatCode>General</c:formatCode>
                <c:ptCount val="401"/>
                <c:pt idx="0">
                  <c:v>-3</c:v>
                </c:pt>
                <c:pt idx="1">
                  <c:v>-2.98</c:v>
                </c:pt>
                <c:pt idx="2">
                  <c:v>-2.96</c:v>
                </c:pt>
                <c:pt idx="3">
                  <c:v>-2.94</c:v>
                </c:pt>
                <c:pt idx="4">
                  <c:v>-2.92</c:v>
                </c:pt>
                <c:pt idx="5">
                  <c:v>-2.9</c:v>
                </c:pt>
                <c:pt idx="6">
                  <c:v>-2.88</c:v>
                </c:pt>
                <c:pt idx="7">
                  <c:v>-2.86</c:v>
                </c:pt>
                <c:pt idx="8">
                  <c:v>-2.84</c:v>
                </c:pt>
                <c:pt idx="9">
                  <c:v>-2.82</c:v>
                </c:pt>
                <c:pt idx="10">
                  <c:v>-2.8</c:v>
                </c:pt>
                <c:pt idx="11">
                  <c:v>-2.78</c:v>
                </c:pt>
                <c:pt idx="12">
                  <c:v>-2.76</c:v>
                </c:pt>
                <c:pt idx="13">
                  <c:v>-2.74</c:v>
                </c:pt>
                <c:pt idx="14">
                  <c:v>-2.72</c:v>
                </c:pt>
                <c:pt idx="15">
                  <c:v>-2.7</c:v>
                </c:pt>
                <c:pt idx="16">
                  <c:v>-2.68</c:v>
                </c:pt>
                <c:pt idx="17">
                  <c:v>-2.66</c:v>
                </c:pt>
                <c:pt idx="18">
                  <c:v>-2.64</c:v>
                </c:pt>
                <c:pt idx="19">
                  <c:v>-2.62</c:v>
                </c:pt>
                <c:pt idx="20">
                  <c:v>-2.6</c:v>
                </c:pt>
                <c:pt idx="21">
                  <c:v>-2.58</c:v>
                </c:pt>
                <c:pt idx="22">
                  <c:v>-2.56</c:v>
                </c:pt>
                <c:pt idx="23">
                  <c:v>-2.54</c:v>
                </c:pt>
                <c:pt idx="24">
                  <c:v>-2.52</c:v>
                </c:pt>
                <c:pt idx="25">
                  <c:v>-2.5</c:v>
                </c:pt>
                <c:pt idx="26">
                  <c:v>-2.48</c:v>
                </c:pt>
                <c:pt idx="27">
                  <c:v>-2.46</c:v>
                </c:pt>
                <c:pt idx="28">
                  <c:v>-2.44</c:v>
                </c:pt>
                <c:pt idx="29">
                  <c:v>-2.42</c:v>
                </c:pt>
                <c:pt idx="30">
                  <c:v>-2.4</c:v>
                </c:pt>
                <c:pt idx="31">
                  <c:v>-2.38</c:v>
                </c:pt>
                <c:pt idx="32">
                  <c:v>-2.36</c:v>
                </c:pt>
                <c:pt idx="33">
                  <c:v>-2.34</c:v>
                </c:pt>
                <c:pt idx="34">
                  <c:v>-2.3199999999999998</c:v>
                </c:pt>
                <c:pt idx="35">
                  <c:v>-2.2999999999999998</c:v>
                </c:pt>
                <c:pt idx="36">
                  <c:v>-2.2799999999999998</c:v>
                </c:pt>
                <c:pt idx="37">
                  <c:v>-2.2599999999999998</c:v>
                </c:pt>
                <c:pt idx="38">
                  <c:v>-2.2400000000000002</c:v>
                </c:pt>
                <c:pt idx="39">
                  <c:v>-2.2200000000000002</c:v>
                </c:pt>
                <c:pt idx="40">
                  <c:v>-2.2000000000000002</c:v>
                </c:pt>
                <c:pt idx="41">
                  <c:v>-2.1800000000000002</c:v>
                </c:pt>
                <c:pt idx="42">
                  <c:v>-2.16</c:v>
                </c:pt>
                <c:pt idx="43">
                  <c:v>-2.14</c:v>
                </c:pt>
                <c:pt idx="44">
                  <c:v>-2.12</c:v>
                </c:pt>
                <c:pt idx="45">
                  <c:v>-2.1</c:v>
                </c:pt>
                <c:pt idx="46">
                  <c:v>-2.08</c:v>
                </c:pt>
                <c:pt idx="47">
                  <c:v>-2.06</c:v>
                </c:pt>
                <c:pt idx="48">
                  <c:v>-2.04</c:v>
                </c:pt>
                <c:pt idx="49">
                  <c:v>-2.02</c:v>
                </c:pt>
                <c:pt idx="50">
                  <c:v>-2</c:v>
                </c:pt>
                <c:pt idx="51">
                  <c:v>-1.98</c:v>
                </c:pt>
                <c:pt idx="52">
                  <c:v>-1.96</c:v>
                </c:pt>
                <c:pt idx="53">
                  <c:v>-1.94</c:v>
                </c:pt>
                <c:pt idx="54">
                  <c:v>-1.92</c:v>
                </c:pt>
                <c:pt idx="55">
                  <c:v>-1.9</c:v>
                </c:pt>
                <c:pt idx="56">
                  <c:v>-1.88</c:v>
                </c:pt>
                <c:pt idx="57">
                  <c:v>-1.86</c:v>
                </c:pt>
                <c:pt idx="58">
                  <c:v>-1.84</c:v>
                </c:pt>
                <c:pt idx="59">
                  <c:v>-1.82</c:v>
                </c:pt>
                <c:pt idx="60">
                  <c:v>-1.8</c:v>
                </c:pt>
                <c:pt idx="61">
                  <c:v>-1.78</c:v>
                </c:pt>
                <c:pt idx="62">
                  <c:v>-1.76</c:v>
                </c:pt>
                <c:pt idx="63">
                  <c:v>-1.74</c:v>
                </c:pt>
                <c:pt idx="64">
                  <c:v>-1.72</c:v>
                </c:pt>
                <c:pt idx="65">
                  <c:v>-1.7</c:v>
                </c:pt>
                <c:pt idx="66">
                  <c:v>-1.68</c:v>
                </c:pt>
                <c:pt idx="67">
                  <c:v>-1.66</c:v>
                </c:pt>
                <c:pt idx="68">
                  <c:v>-1.64</c:v>
                </c:pt>
                <c:pt idx="69">
                  <c:v>-1.62</c:v>
                </c:pt>
                <c:pt idx="70">
                  <c:v>-1.6</c:v>
                </c:pt>
                <c:pt idx="71">
                  <c:v>-1.58</c:v>
                </c:pt>
                <c:pt idx="72">
                  <c:v>-1.56</c:v>
                </c:pt>
                <c:pt idx="73">
                  <c:v>-1.54</c:v>
                </c:pt>
                <c:pt idx="74">
                  <c:v>-1.52</c:v>
                </c:pt>
                <c:pt idx="75">
                  <c:v>-1.5</c:v>
                </c:pt>
                <c:pt idx="76">
                  <c:v>-1.48</c:v>
                </c:pt>
                <c:pt idx="77">
                  <c:v>-1.46</c:v>
                </c:pt>
                <c:pt idx="78">
                  <c:v>-1.44</c:v>
                </c:pt>
                <c:pt idx="79">
                  <c:v>-1.42</c:v>
                </c:pt>
                <c:pt idx="80">
                  <c:v>-1.4</c:v>
                </c:pt>
                <c:pt idx="81">
                  <c:v>-1.38</c:v>
                </c:pt>
                <c:pt idx="82">
                  <c:v>-1.36</c:v>
                </c:pt>
                <c:pt idx="83">
                  <c:v>-1.34</c:v>
                </c:pt>
                <c:pt idx="84">
                  <c:v>-1.32</c:v>
                </c:pt>
                <c:pt idx="85">
                  <c:v>-1.3</c:v>
                </c:pt>
                <c:pt idx="86">
                  <c:v>-1.28</c:v>
                </c:pt>
                <c:pt idx="87">
                  <c:v>-1.26</c:v>
                </c:pt>
                <c:pt idx="88">
                  <c:v>-1.24</c:v>
                </c:pt>
                <c:pt idx="89">
                  <c:v>-1.22</c:v>
                </c:pt>
                <c:pt idx="90">
                  <c:v>-1.2</c:v>
                </c:pt>
                <c:pt idx="91">
                  <c:v>-1.18</c:v>
                </c:pt>
                <c:pt idx="92">
                  <c:v>-1.1599999999999999</c:v>
                </c:pt>
                <c:pt idx="93">
                  <c:v>-1.1399999999999999</c:v>
                </c:pt>
                <c:pt idx="94">
                  <c:v>-1.1200000000000001</c:v>
                </c:pt>
                <c:pt idx="95">
                  <c:v>-1.1000000000000001</c:v>
                </c:pt>
                <c:pt idx="96">
                  <c:v>-1.08</c:v>
                </c:pt>
                <c:pt idx="97">
                  <c:v>-1.06</c:v>
                </c:pt>
                <c:pt idx="98">
                  <c:v>-1.04</c:v>
                </c:pt>
                <c:pt idx="99">
                  <c:v>-1.02</c:v>
                </c:pt>
                <c:pt idx="100">
                  <c:v>-1</c:v>
                </c:pt>
                <c:pt idx="101">
                  <c:v>-0.98</c:v>
                </c:pt>
                <c:pt idx="102">
                  <c:v>-0.96</c:v>
                </c:pt>
                <c:pt idx="103">
                  <c:v>-0.94</c:v>
                </c:pt>
                <c:pt idx="104">
                  <c:v>-0.92</c:v>
                </c:pt>
                <c:pt idx="105">
                  <c:v>-0.9</c:v>
                </c:pt>
                <c:pt idx="106">
                  <c:v>-0.88</c:v>
                </c:pt>
                <c:pt idx="107">
                  <c:v>-0.86</c:v>
                </c:pt>
                <c:pt idx="108">
                  <c:v>-0.84</c:v>
                </c:pt>
                <c:pt idx="109">
                  <c:v>-0.82</c:v>
                </c:pt>
                <c:pt idx="110">
                  <c:v>-0.8</c:v>
                </c:pt>
                <c:pt idx="111">
                  <c:v>-0.78</c:v>
                </c:pt>
                <c:pt idx="112">
                  <c:v>-0.76</c:v>
                </c:pt>
                <c:pt idx="113">
                  <c:v>-0.74</c:v>
                </c:pt>
                <c:pt idx="114">
                  <c:v>-0.72</c:v>
                </c:pt>
                <c:pt idx="115">
                  <c:v>-0.7</c:v>
                </c:pt>
                <c:pt idx="116">
                  <c:v>-0.68</c:v>
                </c:pt>
                <c:pt idx="117">
                  <c:v>-0.66</c:v>
                </c:pt>
                <c:pt idx="118">
                  <c:v>-0.64</c:v>
                </c:pt>
                <c:pt idx="119">
                  <c:v>-0.62</c:v>
                </c:pt>
                <c:pt idx="120">
                  <c:v>-0.6</c:v>
                </c:pt>
                <c:pt idx="121">
                  <c:v>-0.57999999999999996</c:v>
                </c:pt>
                <c:pt idx="122">
                  <c:v>-0.56000000000000005</c:v>
                </c:pt>
                <c:pt idx="123">
                  <c:v>-0.54</c:v>
                </c:pt>
                <c:pt idx="124">
                  <c:v>-0.52</c:v>
                </c:pt>
                <c:pt idx="125">
                  <c:v>-0.5</c:v>
                </c:pt>
                <c:pt idx="126">
                  <c:v>-0.48</c:v>
                </c:pt>
                <c:pt idx="127">
                  <c:v>-0.46</c:v>
                </c:pt>
                <c:pt idx="128">
                  <c:v>-0.44</c:v>
                </c:pt>
                <c:pt idx="129">
                  <c:v>-0.42</c:v>
                </c:pt>
                <c:pt idx="130">
                  <c:v>-0.4</c:v>
                </c:pt>
                <c:pt idx="131">
                  <c:v>-0.38</c:v>
                </c:pt>
                <c:pt idx="132">
                  <c:v>-0.36</c:v>
                </c:pt>
                <c:pt idx="133">
                  <c:v>-0.34</c:v>
                </c:pt>
                <c:pt idx="134">
                  <c:v>-0.32</c:v>
                </c:pt>
                <c:pt idx="135">
                  <c:v>-0.3</c:v>
                </c:pt>
                <c:pt idx="136">
                  <c:v>-0.28000000000000003</c:v>
                </c:pt>
                <c:pt idx="137">
                  <c:v>-0.26</c:v>
                </c:pt>
                <c:pt idx="138">
                  <c:v>-0.24</c:v>
                </c:pt>
                <c:pt idx="139">
                  <c:v>-0.22</c:v>
                </c:pt>
                <c:pt idx="140">
                  <c:v>-0.2</c:v>
                </c:pt>
                <c:pt idx="141">
                  <c:v>-0.18</c:v>
                </c:pt>
                <c:pt idx="142">
                  <c:v>-0.16</c:v>
                </c:pt>
                <c:pt idx="143">
                  <c:v>-0.14000000000000001</c:v>
                </c:pt>
                <c:pt idx="144">
                  <c:v>-0.12</c:v>
                </c:pt>
                <c:pt idx="145">
                  <c:v>-0.1</c:v>
                </c:pt>
                <c:pt idx="146">
                  <c:v>-8.0000000000000099E-2</c:v>
                </c:pt>
                <c:pt idx="147">
                  <c:v>-6.0000000000000102E-2</c:v>
                </c:pt>
                <c:pt idx="148">
                  <c:v>-0.04</c:v>
                </c:pt>
                <c:pt idx="149">
                  <c:v>-0.02</c:v>
                </c:pt>
                <c:pt idx="150">
                  <c:v>0</c:v>
                </c:pt>
                <c:pt idx="151">
                  <c:v>0.02</c:v>
                </c:pt>
                <c:pt idx="152">
                  <c:v>0.04</c:v>
                </c:pt>
                <c:pt idx="153">
                  <c:v>6.0000000000000102E-2</c:v>
                </c:pt>
                <c:pt idx="154">
                  <c:v>8.0000000000000099E-2</c:v>
                </c:pt>
                <c:pt idx="155">
                  <c:v>0.1</c:v>
                </c:pt>
                <c:pt idx="156">
                  <c:v>0.12</c:v>
                </c:pt>
                <c:pt idx="157">
                  <c:v>0.14000000000000001</c:v>
                </c:pt>
                <c:pt idx="158">
                  <c:v>0.16</c:v>
                </c:pt>
                <c:pt idx="159">
                  <c:v>0.18</c:v>
                </c:pt>
                <c:pt idx="160">
                  <c:v>0.2</c:v>
                </c:pt>
                <c:pt idx="161">
                  <c:v>0.22</c:v>
                </c:pt>
                <c:pt idx="162">
                  <c:v>0.24</c:v>
                </c:pt>
                <c:pt idx="163">
                  <c:v>0.26</c:v>
                </c:pt>
                <c:pt idx="164">
                  <c:v>0.28000000000000003</c:v>
                </c:pt>
                <c:pt idx="165">
                  <c:v>0.3</c:v>
                </c:pt>
                <c:pt idx="166">
                  <c:v>0.32</c:v>
                </c:pt>
                <c:pt idx="167">
                  <c:v>0.34</c:v>
                </c:pt>
                <c:pt idx="168">
                  <c:v>0.36</c:v>
                </c:pt>
                <c:pt idx="169">
                  <c:v>0.38</c:v>
                </c:pt>
                <c:pt idx="170">
                  <c:v>0.4</c:v>
                </c:pt>
                <c:pt idx="171">
                  <c:v>0.42</c:v>
                </c:pt>
                <c:pt idx="172">
                  <c:v>0.44</c:v>
                </c:pt>
                <c:pt idx="173">
                  <c:v>0.46</c:v>
                </c:pt>
                <c:pt idx="174">
                  <c:v>0.48</c:v>
                </c:pt>
                <c:pt idx="175">
                  <c:v>0.5</c:v>
                </c:pt>
                <c:pt idx="176">
                  <c:v>0.52</c:v>
                </c:pt>
                <c:pt idx="177">
                  <c:v>0.54</c:v>
                </c:pt>
                <c:pt idx="178">
                  <c:v>0.56000000000000005</c:v>
                </c:pt>
                <c:pt idx="179">
                  <c:v>0.57999999999999996</c:v>
                </c:pt>
                <c:pt idx="180">
                  <c:v>0.6</c:v>
                </c:pt>
                <c:pt idx="181">
                  <c:v>0.62</c:v>
                </c:pt>
                <c:pt idx="182">
                  <c:v>0.64</c:v>
                </c:pt>
                <c:pt idx="183">
                  <c:v>0.66</c:v>
                </c:pt>
                <c:pt idx="184">
                  <c:v>0.68</c:v>
                </c:pt>
                <c:pt idx="185">
                  <c:v>0.7</c:v>
                </c:pt>
                <c:pt idx="186">
                  <c:v>0.72</c:v>
                </c:pt>
                <c:pt idx="187">
                  <c:v>0.74</c:v>
                </c:pt>
                <c:pt idx="188">
                  <c:v>0.76</c:v>
                </c:pt>
                <c:pt idx="189">
                  <c:v>0.78</c:v>
                </c:pt>
                <c:pt idx="190">
                  <c:v>0.8</c:v>
                </c:pt>
                <c:pt idx="191">
                  <c:v>0.82</c:v>
                </c:pt>
                <c:pt idx="192">
                  <c:v>0.84</c:v>
                </c:pt>
                <c:pt idx="193">
                  <c:v>0.86</c:v>
                </c:pt>
                <c:pt idx="194">
                  <c:v>0.88</c:v>
                </c:pt>
                <c:pt idx="195">
                  <c:v>0.9</c:v>
                </c:pt>
                <c:pt idx="196">
                  <c:v>0.92</c:v>
                </c:pt>
                <c:pt idx="197">
                  <c:v>0.94</c:v>
                </c:pt>
                <c:pt idx="198">
                  <c:v>0.96</c:v>
                </c:pt>
                <c:pt idx="199">
                  <c:v>0.98</c:v>
                </c:pt>
                <c:pt idx="200">
                  <c:v>1</c:v>
                </c:pt>
                <c:pt idx="201">
                  <c:v>1.02</c:v>
                </c:pt>
                <c:pt idx="202">
                  <c:v>1.04</c:v>
                </c:pt>
                <c:pt idx="203">
                  <c:v>1.06</c:v>
                </c:pt>
                <c:pt idx="204">
                  <c:v>1.08</c:v>
                </c:pt>
                <c:pt idx="205">
                  <c:v>1.1000000000000001</c:v>
                </c:pt>
                <c:pt idx="206">
                  <c:v>1.1200000000000001</c:v>
                </c:pt>
                <c:pt idx="207">
                  <c:v>1.1399999999999999</c:v>
                </c:pt>
                <c:pt idx="208">
                  <c:v>1.1599999999999999</c:v>
                </c:pt>
                <c:pt idx="209">
                  <c:v>1.18</c:v>
                </c:pt>
                <c:pt idx="210">
                  <c:v>1.2</c:v>
                </c:pt>
                <c:pt idx="211">
                  <c:v>1.22</c:v>
                </c:pt>
                <c:pt idx="212">
                  <c:v>1.24</c:v>
                </c:pt>
                <c:pt idx="213">
                  <c:v>1.26</c:v>
                </c:pt>
                <c:pt idx="214">
                  <c:v>1.28</c:v>
                </c:pt>
                <c:pt idx="215">
                  <c:v>1.3</c:v>
                </c:pt>
                <c:pt idx="216">
                  <c:v>1.32</c:v>
                </c:pt>
                <c:pt idx="217">
                  <c:v>1.34</c:v>
                </c:pt>
                <c:pt idx="218">
                  <c:v>1.36</c:v>
                </c:pt>
                <c:pt idx="219">
                  <c:v>1.38</c:v>
                </c:pt>
                <c:pt idx="220">
                  <c:v>1.4</c:v>
                </c:pt>
                <c:pt idx="221">
                  <c:v>1.42</c:v>
                </c:pt>
                <c:pt idx="222">
                  <c:v>1.44</c:v>
                </c:pt>
                <c:pt idx="223">
                  <c:v>1.46</c:v>
                </c:pt>
                <c:pt idx="224">
                  <c:v>1.48</c:v>
                </c:pt>
                <c:pt idx="225">
                  <c:v>1.5</c:v>
                </c:pt>
                <c:pt idx="226">
                  <c:v>1.52</c:v>
                </c:pt>
                <c:pt idx="227">
                  <c:v>1.54</c:v>
                </c:pt>
                <c:pt idx="228">
                  <c:v>1.56</c:v>
                </c:pt>
                <c:pt idx="229">
                  <c:v>1.58</c:v>
                </c:pt>
                <c:pt idx="230">
                  <c:v>1.6</c:v>
                </c:pt>
                <c:pt idx="231">
                  <c:v>1.62</c:v>
                </c:pt>
                <c:pt idx="232">
                  <c:v>1.64</c:v>
                </c:pt>
                <c:pt idx="233">
                  <c:v>1.66</c:v>
                </c:pt>
                <c:pt idx="234">
                  <c:v>1.68</c:v>
                </c:pt>
                <c:pt idx="235">
                  <c:v>1.7</c:v>
                </c:pt>
                <c:pt idx="236">
                  <c:v>1.72</c:v>
                </c:pt>
                <c:pt idx="237">
                  <c:v>1.74</c:v>
                </c:pt>
                <c:pt idx="238">
                  <c:v>1.76</c:v>
                </c:pt>
                <c:pt idx="239">
                  <c:v>1.78</c:v>
                </c:pt>
                <c:pt idx="240">
                  <c:v>1.8</c:v>
                </c:pt>
                <c:pt idx="241">
                  <c:v>1.82</c:v>
                </c:pt>
                <c:pt idx="242">
                  <c:v>1.84</c:v>
                </c:pt>
                <c:pt idx="243">
                  <c:v>1.86</c:v>
                </c:pt>
                <c:pt idx="244">
                  <c:v>1.88</c:v>
                </c:pt>
                <c:pt idx="245">
                  <c:v>1.9</c:v>
                </c:pt>
                <c:pt idx="246">
                  <c:v>1.92</c:v>
                </c:pt>
                <c:pt idx="247">
                  <c:v>1.94</c:v>
                </c:pt>
                <c:pt idx="248">
                  <c:v>1.96</c:v>
                </c:pt>
                <c:pt idx="249">
                  <c:v>1.98</c:v>
                </c:pt>
                <c:pt idx="250">
                  <c:v>2</c:v>
                </c:pt>
                <c:pt idx="251">
                  <c:v>2.02</c:v>
                </c:pt>
                <c:pt idx="252">
                  <c:v>2.04</c:v>
                </c:pt>
                <c:pt idx="253">
                  <c:v>2.06</c:v>
                </c:pt>
                <c:pt idx="254">
                  <c:v>2.08</c:v>
                </c:pt>
                <c:pt idx="255">
                  <c:v>2.1</c:v>
                </c:pt>
                <c:pt idx="256">
                  <c:v>2.12</c:v>
                </c:pt>
                <c:pt idx="257">
                  <c:v>2.14</c:v>
                </c:pt>
                <c:pt idx="258">
                  <c:v>2.16</c:v>
                </c:pt>
                <c:pt idx="259">
                  <c:v>2.1800000000000099</c:v>
                </c:pt>
                <c:pt idx="260">
                  <c:v>2.2000000000000002</c:v>
                </c:pt>
                <c:pt idx="261">
                  <c:v>2.2200000000000002</c:v>
                </c:pt>
                <c:pt idx="262">
                  <c:v>2.2400000000000002</c:v>
                </c:pt>
                <c:pt idx="263">
                  <c:v>2.26000000000001</c:v>
                </c:pt>
                <c:pt idx="264">
                  <c:v>2.2799999999999998</c:v>
                </c:pt>
                <c:pt idx="265">
                  <c:v>2.2999999999999998</c:v>
                </c:pt>
                <c:pt idx="266">
                  <c:v>2.3199999999999998</c:v>
                </c:pt>
                <c:pt idx="267">
                  <c:v>2.3400000000000101</c:v>
                </c:pt>
                <c:pt idx="268">
                  <c:v>2.36</c:v>
                </c:pt>
                <c:pt idx="269">
                  <c:v>2.38</c:v>
                </c:pt>
                <c:pt idx="270">
                  <c:v>2.4</c:v>
                </c:pt>
                <c:pt idx="271">
                  <c:v>2.4200000000000101</c:v>
                </c:pt>
                <c:pt idx="272">
                  <c:v>2.44</c:v>
                </c:pt>
                <c:pt idx="273">
                  <c:v>2.46</c:v>
                </c:pt>
                <c:pt idx="274">
                  <c:v>2.48</c:v>
                </c:pt>
                <c:pt idx="275">
                  <c:v>2.5000000000000102</c:v>
                </c:pt>
                <c:pt idx="276">
                  <c:v>2.52</c:v>
                </c:pt>
                <c:pt idx="277">
                  <c:v>2.54</c:v>
                </c:pt>
                <c:pt idx="278">
                  <c:v>2.56</c:v>
                </c:pt>
                <c:pt idx="279">
                  <c:v>2.5800000000000098</c:v>
                </c:pt>
                <c:pt idx="280">
                  <c:v>2.6</c:v>
                </c:pt>
                <c:pt idx="281">
                  <c:v>2.62</c:v>
                </c:pt>
                <c:pt idx="282">
                  <c:v>2.6400000000000099</c:v>
                </c:pt>
                <c:pt idx="283">
                  <c:v>2.6600000000000099</c:v>
                </c:pt>
                <c:pt idx="284">
                  <c:v>2.6800000000000099</c:v>
                </c:pt>
                <c:pt idx="285">
                  <c:v>2.7</c:v>
                </c:pt>
                <c:pt idx="286">
                  <c:v>2.72000000000001</c:v>
                </c:pt>
                <c:pt idx="287">
                  <c:v>2.74000000000001</c:v>
                </c:pt>
                <c:pt idx="288">
                  <c:v>2.76000000000001</c:v>
                </c:pt>
                <c:pt idx="289">
                  <c:v>2.78</c:v>
                </c:pt>
                <c:pt idx="290">
                  <c:v>2.80000000000001</c:v>
                </c:pt>
                <c:pt idx="291">
                  <c:v>2.8200000000000101</c:v>
                </c:pt>
                <c:pt idx="292">
                  <c:v>2.8400000000000101</c:v>
                </c:pt>
                <c:pt idx="293">
                  <c:v>2.86</c:v>
                </c:pt>
                <c:pt idx="294">
                  <c:v>2.8800000000000101</c:v>
                </c:pt>
                <c:pt idx="295">
                  <c:v>2.9000000000000101</c:v>
                </c:pt>
                <c:pt idx="296">
                  <c:v>2.9200000000000101</c:v>
                </c:pt>
                <c:pt idx="297">
                  <c:v>2.94</c:v>
                </c:pt>
                <c:pt idx="298">
                  <c:v>2.9600000000000102</c:v>
                </c:pt>
                <c:pt idx="299">
                  <c:v>2.9800000000000102</c:v>
                </c:pt>
                <c:pt idx="300">
                  <c:v>3.0000000000000102</c:v>
                </c:pt>
                <c:pt idx="301">
                  <c:v>3.02</c:v>
                </c:pt>
                <c:pt idx="302">
                  <c:v>3.0400000000000098</c:v>
                </c:pt>
                <c:pt idx="303">
                  <c:v>3.0600000000000098</c:v>
                </c:pt>
                <c:pt idx="304">
                  <c:v>3.0800000000000098</c:v>
                </c:pt>
                <c:pt idx="305">
                  <c:v>3.1</c:v>
                </c:pt>
                <c:pt idx="306">
                  <c:v>3.1200000000000099</c:v>
                </c:pt>
                <c:pt idx="307">
                  <c:v>3.1400000000000099</c:v>
                </c:pt>
                <c:pt idx="308">
                  <c:v>3.1600000000000099</c:v>
                </c:pt>
                <c:pt idx="309">
                  <c:v>3.1800000000000099</c:v>
                </c:pt>
                <c:pt idx="310">
                  <c:v>3.2000000000000099</c:v>
                </c:pt>
                <c:pt idx="311">
                  <c:v>3.22000000000001</c:v>
                </c:pt>
                <c:pt idx="312">
                  <c:v>3.24000000000001</c:v>
                </c:pt>
                <c:pt idx="313">
                  <c:v>3.26000000000001</c:v>
                </c:pt>
                <c:pt idx="314">
                  <c:v>3.28000000000001</c:v>
                </c:pt>
                <c:pt idx="315">
                  <c:v>3.30000000000001</c:v>
                </c:pt>
                <c:pt idx="316">
                  <c:v>3.3200000000000101</c:v>
                </c:pt>
                <c:pt idx="317">
                  <c:v>3.3400000000000101</c:v>
                </c:pt>
                <c:pt idx="318">
                  <c:v>3.3600000000000101</c:v>
                </c:pt>
                <c:pt idx="319">
                  <c:v>3.3800000000000101</c:v>
                </c:pt>
                <c:pt idx="320">
                  <c:v>3.4000000000000101</c:v>
                </c:pt>
                <c:pt idx="321">
                  <c:v>3.4200000000000101</c:v>
                </c:pt>
                <c:pt idx="322">
                  <c:v>3.4400000000000102</c:v>
                </c:pt>
                <c:pt idx="323">
                  <c:v>3.4600000000000102</c:v>
                </c:pt>
                <c:pt idx="324">
                  <c:v>3.4800000000000102</c:v>
                </c:pt>
                <c:pt idx="325">
                  <c:v>3.5000000000000102</c:v>
                </c:pt>
                <c:pt idx="326">
                  <c:v>3.5200000000000098</c:v>
                </c:pt>
                <c:pt idx="327">
                  <c:v>3.5400000000000098</c:v>
                </c:pt>
                <c:pt idx="328">
                  <c:v>3.5600000000000098</c:v>
                </c:pt>
                <c:pt idx="329">
                  <c:v>3.5800000000000098</c:v>
                </c:pt>
                <c:pt idx="330">
                  <c:v>3.6000000000000099</c:v>
                </c:pt>
                <c:pt idx="331">
                  <c:v>3.6200000000000099</c:v>
                </c:pt>
                <c:pt idx="332">
                  <c:v>3.6400000000000099</c:v>
                </c:pt>
                <c:pt idx="333">
                  <c:v>3.6600000000000099</c:v>
                </c:pt>
                <c:pt idx="334">
                  <c:v>3.6800000000000099</c:v>
                </c:pt>
                <c:pt idx="335">
                  <c:v>3.7000000000000099</c:v>
                </c:pt>
                <c:pt idx="336">
                  <c:v>3.72000000000001</c:v>
                </c:pt>
                <c:pt idx="337">
                  <c:v>3.74000000000001</c:v>
                </c:pt>
                <c:pt idx="338">
                  <c:v>3.76000000000001</c:v>
                </c:pt>
                <c:pt idx="339">
                  <c:v>3.78000000000001</c:v>
                </c:pt>
                <c:pt idx="340">
                  <c:v>3.80000000000001</c:v>
                </c:pt>
                <c:pt idx="341">
                  <c:v>3.8200000000000101</c:v>
                </c:pt>
                <c:pt idx="342">
                  <c:v>3.8400000000000101</c:v>
                </c:pt>
                <c:pt idx="343">
                  <c:v>3.8600000000000101</c:v>
                </c:pt>
                <c:pt idx="344">
                  <c:v>3.8800000000000101</c:v>
                </c:pt>
                <c:pt idx="345">
                  <c:v>3.9000000000000101</c:v>
                </c:pt>
                <c:pt idx="346">
                  <c:v>3.9200000000000101</c:v>
                </c:pt>
                <c:pt idx="347">
                  <c:v>3.9400000000000102</c:v>
                </c:pt>
                <c:pt idx="348">
                  <c:v>3.9600000000000102</c:v>
                </c:pt>
                <c:pt idx="349">
                  <c:v>3.9800000000000102</c:v>
                </c:pt>
                <c:pt idx="350">
                  <c:v>4.0000000000000098</c:v>
                </c:pt>
                <c:pt idx="351">
                  <c:v>4.0200000000000102</c:v>
                </c:pt>
                <c:pt idx="352">
                  <c:v>4.0400000000000098</c:v>
                </c:pt>
                <c:pt idx="353">
                  <c:v>4.0600000000000103</c:v>
                </c:pt>
                <c:pt idx="354">
                  <c:v>4.0800000000000098</c:v>
                </c:pt>
                <c:pt idx="355">
                  <c:v>4.1000000000000103</c:v>
                </c:pt>
                <c:pt idx="356">
                  <c:v>4.1200000000000099</c:v>
                </c:pt>
                <c:pt idx="357">
                  <c:v>4.1400000000000103</c:v>
                </c:pt>
                <c:pt idx="358">
                  <c:v>4.1600000000000099</c:v>
                </c:pt>
                <c:pt idx="359">
                  <c:v>4.1800000000000104</c:v>
                </c:pt>
                <c:pt idx="360">
                  <c:v>4.2000000000000099</c:v>
                </c:pt>
                <c:pt idx="361">
                  <c:v>4.2200000000000104</c:v>
                </c:pt>
                <c:pt idx="362">
                  <c:v>4.24000000000001</c:v>
                </c:pt>
                <c:pt idx="363">
                  <c:v>4.2600000000000096</c:v>
                </c:pt>
                <c:pt idx="364">
                  <c:v>4.28000000000001</c:v>
                </c:pt>
                <c:pt idx="365">
                  <c:v>4.3000000000000096</c:v>
                </c:pt>
                <c:pt idx="366">
                  <c:v>4.3200000000000101</c:v>
                </c:pt>
                <c:pt idx="367">
                  <c:v>4.3400000000000096</c:v>
                </c:pt>
                <c:pt idx="368">
                  <c:v>4.3600000000000101</c:v>
                </c:pt>
                <c:pt idx="369">
                  <c:v>4.3800000000000097</c:v>
                </c:pt>
                <c:pt idx="370">
                  <c:v>4.4000000000000101</c:v>
                </c:pt>
                <c:pt idx="371">
                  <c:v>4.4200000000000097</c:v>
                </c:pt>
                <c:pt idx="372">
                  <c:v>4.4400000000000102</c:v>
                </c:pt>
                <c:pt idx="373">
                  <c:v>4.4600000000000097</c:v>
                </c:pt>
                <c:pt idx="374">
                  <c:v>4.4800000000000102</c:v>
                </c:pt>
                <c:pt idx="375">
                  <c:v>4.5000000000000098</c:v>
                </c:pt>
                <c:pt idx="376">
                  <c:v>4.5200000000000102</c:v>
                </c:pt>
                <c:pt idx="377">
                  <c:v>4.5400000000000098</c:v>
                </c:pt>
                <c:pt idx="378">
                  <c:v>4.5600000000000103</c:v>
                </c:pt>
                <c:pt idx="379">
                  <c:v>4.5800000000000098</c:v>
                </c:pt>
                <c:pt idx="380">
                  <c:v>4.6000000000000103</c:v>
                </c:pt>
                <c:pt idx="381">
                  <c:v>4.6200000000000099</c:v>
                </c:pt>
                <c:pt idx="382">
                  <c:v>4.6400000000000103</c:v>
                </c:pt>
                <c:pt idx="383">
                  <c:v>4.6600000000000099</c:v>
                </c:pt>
                <c:pt idx="384">
                  <c:v>4.6800000000000104</c:v>
                </c:pt>
                <c:pt idx="385">
                  <c:v>4.7000000000000099</c:v>
                </c:pt>
                <c:pt idx="386">
                  <c:v>4.7200000000000104</c:v>
                </c:pt>
                <c:pt idx="387">
                  <c:v>4.74000000000001</c:v>
                </c:pt>
                <c:pt idx="388">
                  <c:v>4.7600000000000096</c:v>
                </c:pt>
                <c:pt idx="389">
                  <c:v>4.78000000000001</c:v>
                </c:pt>
                <c:pt idx="390">
                  <c:v>4.8000000000000096</c:v>
                </c:pt>
                <c:pt idx="391">
                  <c:v>4.8200000000000101</c:v>
                </c:pt>
                <c:pt idx="392">
                  <c:v>4.8400000000000096</c:v>
                </c:pt>
                <c:pt idx="393">
                  <c:v>4.8600000000000101</c:v>
                </c:pt>
                <c:pt idx="394">
                  <c:v>4.8800000000000097</c:v>
                </c:pt>
                <c:pt idx="395">
                  <c:v>4.9000000000000101</c:v>
                </c:pt>
                <c:pt idx="396">
                  <c:v>4.9200000000000097</c:v>
                </c:pt>
                <c:pt idx="397">
                  <c:v>4.9400000000000102</c:v>
                </c:pt>
                <c:pt idx="398">
                  <c:v>4.9600000000000097</c:v>
                </c:pt>
                <c:pt idx="399">
                  <c:v>4.9800000000000102</c:v>
                </c:pt>
                <c:pt idx="400">
                  <c:v>5.0000000000000098</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1D-1DFF-4DFC-B6E9-D86B6FD0EE9D}"/>
            </c:ext>
          </c:extLst>
        </c:ser>
        <c:ser>
          <c:idx val="12"/>
          <c:order val="12"/>
          <c:tx>
            <c:strRef>
              <c:f>'V-N Diagram'!$W$36</c:f>
              <c:strCache>
                <c:ptCount val="1"/>
                <c:pt idx="0">
                  <c:v>n1</c:v>
                </c:pt>
              </c:strCache>
            </c:strRef>
          </c:tx>
          <c:spPr>
            <a:ln w="25400" cap="rnd">
              <a:solidFill>
                <a:schemeClr val="accent4"/>
              </a:solidFill>
              <a:round/>
            </a:ln>
            <a:effectLst/>
          </c:spPr>
          <c:marker>
            <c:symbol val="none"/>
          </c:marker>
          <c:dPt>
            <c:idx val="97"/>
            <c:marker>
              <c:symbol val="circle"/>
              <c:size val="7"/>
              <c:spPr>
                <a:solidFill>
                  <a:schemeClr val="accent1">
                    <a:lumMod val="80000"/>
                    <a:lumOff val="20000"/>
                  </a:schemeClr>
                </a:solidFill>
                <a:ln w="9525">
                  <a:solidFill>
                    <a:schemeClr val="accent1">
                      <a:lumMod val="80000"/>
                      <a:lumOff val="20000"/>
                    </a:schemeClr>
                  </a:solidFill>
                </a:ln>
                <a:effectLst/>
              </c:spPr>
            </c:marker>
            <c:bubble3D val="0"/>
            <c:extLst>
              <c:ext xmlns:c16="http://schemas.microsoft.com/office/drawing/2014/chart" uri="{C3380CC4-5D6E-409C-BE32-E72D297353CC}">
                <c16:uniqueId val="{00000003-39A8-4244-80C4-D331D53613C5}"/>
              </c:ext>
            </c:extLst>
          </c:dPt>
          <c:dPt>
            <c:idx val="150"/>
            <c:marker>
              <c:symbol val="circle"/>
              <c:size val="7"/>
              <c:spPr>
                <a:solidFill>
                  <a:schemeClr val="accent1">
                    <a:lumMod val="80000"/>
                    <a:lumOff val="20000"/>
                  </a:schemeClr>
                </a:solidFill>
                <a:ln w="9525">
                  <a:solidFill>
                    <a:schemeClr val="accent1">
                      <a:lumMod val="80000"/>
                      <a:lumOff val="20000"/>
                    </a:schemeClr>
                  </a:solidFill>
                </a:ln>
                <a:effectLst/>
              </c:spPr>
            </c:marker>
            <c:bubble3D val="0"/>
            <c:extLst>
              <c:ext xmlns:c16="http://schemas.microsoft.com/office/drawing/2014/chart" uri="{C3380CC4-5D6E-409C-BE32-E72D297353CC}">
                <c16:uniqueId val="{00000004-39A8-4244-80C4-D331D53613C5}"/>
              </c:ext>
            </c:extLst>
          </c:dPt>
          <c:xVal>
            <c:numRef>
              <c:f>'V-N Diagram'!$O$37:$O$437</c:f>
              <c:numCache>
                <c:formatCode>General</c:formatCode>
                <c:ptCount val="4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numCache>
            </c:numRef>
          </c:xVal>
          <c:yVal>
            <c:numRef>
              <c:f>'V-N Diagram'!$W$37:$W$437</c:f>
              <c:numCache>
                <c:formatCode>0.00</c:formatCode>
                <c:ptCount val="401"/>
                <c:pt idx="0">
                  <c:v>2.9311688311688311</c:v>
                </c:pt>
                <c:pt idx="1">
                  <c:v>2.9311688311688311</c:v>
                </c:pt>
                <c:pt idx="2">
                  <c:v>2.9311688311688311</c:v>
                </c:pt>
                <c:pt idx="3">
                  <c:v>2.9311688311688311</c:v>
                </c:pt>
                <c:pt idx="4">
                  <c:v>2.9311688311688311</c:v>
                </c:pt>
                <c:pt idx="5">
                  <c:v>2.9311688311688311</c:v>
                </c:pt>
                <c:pt idx="6">
                  <c:v>2.9311688311688311</c:v>
                </c:pt>
                <c:pt idx="7">
                  <c:v>2.9311688311688311</c:v>
                </c:pt>
                <c:pt idx="8">
                  <c:v>2.9311688311688311</c:v>
                </c:pt>
                <c:pt idx="9">
                  <c:v>2.9311688311688311</c:v>
                </c:pt>
                <c:pt idx="10">
                  <c:v>2.9311688311688311</c:v>
                </c:pt>
                <c:pt idx="11">
                  <c:v>2.9311688311688311</c:v>
                </c:pt>
                <c:pt idx="12">
                  <c:v>2.9311688311688311</c:v>
                </c:pt>
                <c:pt idx="13">
                  <c:v>2.9311688311688311</c:v>
                </c:pt>
                <c:pt idx="14">
                  <c:v>2.9311688311688311</c:v>
                </c:pt>
                <c:pt idx="15">
                  <c:v>2.9311688311688311</c:v>
                </c:pt>
                <c:pt idx="16">
                  <c:v>2.9311688311688311</c:v>
                </c:pt>
                <c:pt idx="17">
                  <c:v>2.9311688311688311</c:v>
                </c:pt>
                <c:pt idx="18">
                  <c:v>2.9311688311688311</c:v>
                </c:pt>
                <c:pt idx="19">
                  <c:v>2.9311688311688311</c:v>
                </c:pt>
                <c:pt idx="20">
                  <c:v>2.9311688311688311</c:v>
                </c:pt>
                <c:pt idx="21">
                  <c:v>2.9311688311688311</c:v>
                </c:pt>
                <c:pt idx="22">
                  <c:v>2.9311688311688311</c:v>
                </c:pt>
                <c:pt idx="23">
                  <c:v>2.9311688311688311</c:v>
                </c:pt>
                <c:pt idx="24">
                  <c:v>2.9311688311688311</c:v>
                </c:pt>
                <c:pt idx="25">
                  <c:v>2.9311688311688311</c:v>
                </c:pt>
                <c:pt idx="26">
                  <c:v>2.9311688311688311</c:v>
                </c:pt>
                <c:pt idx="27">
                  <c:v>2.9311688311688311</c:v>
                </c:pt>
                <c:pt idx="28">
                  <c:v>2.9311688311688311</c:v>
                </c:pt>
                <c:pt idx="29">
                  <c:v>2.9311688311688311</c:v>
                </c:pt>
                <c:pt idx="30">
                  <c:v>2.9311688311688311</c:v>
                </c:pt>
                <c:pt idx="31">
                  <c:v>2.9311688311688311</c:v>
                </c:pt>
                <c:pt idx="32">
                  <c:v>2.9311688311688311</c:v>
                </c:pt>
                <c:pt idx="33">
                  <c:v>2.9311688311688311</c:v>
                </c:pt>
                <c:pt idx="34">
                  <c:v>2.9311688311688311</c:v>
                </c:pt>
                <c:pt idx="35">
                  <c:v>2.9311688311688311</c:v>
                </c:pt>
                <c:pt idx="36">
                  <c:v>2.9311688311688311</c:v>
                </c:pt>
                <c:pt idx="37">
                  <c:v>2.9311688311688311</c:v>
                </c:pt>
                <c:pt idx="38">
                  <c:v>2.9311688311688311</c:v>
                </c:pt>
                <c:pt idx="39">
                  <c:v>2.9311688311688311</c:v>
                </c:pt>
                <c:pt idx="40">
                  <c:v>2.9311688311688311</c:v>
                </c:pt>
                <c:pt idx="41">
                  <c:v>2.9311688311688311</c:v>
                </c:pt>
                <c:pt idx="42">
                  <c:v>2.9311688311688311</c:v>
                </c:pt>
                <c:pt idx="43">
                  <c:v>2.9311688311688311</c:v>
                </c:pt>
                <c:pt idx="44">
                  <c:v>2.9311688311688311</c:v>
                </c:pt>
                <c:pt idx="45">
                  <c:v>2.9311688311688311</c:v>
                </c:pt>
                <c:pt idx="46">
                  <c:v>2.9311688311688311</c:v>
                </c:pt>
                <c:pt idx="47">
                  <c:v>2.9311688311688311</c:v>
                </c:pt>
                <c:pt idx="48">
                  <c:v>2.9311688311688311</c:v>
                </c:pt>
                <c:pt idx="49">
                  <c:v>2.9311688311688311</c:v>
                </c:pt>
                <c:pt idx="50">
                  <c:v>2.9311688311688311</c:v>
                </c:pt>
                <c:pt idx="51">
                  <c:v>2.9311688311688311</c:v>
                </c:pt>
                <c:pt idx="52">
                  <c:v>2.9311688311688311</c:v>
                </c:pt>
                <c:pt idx="53">
                  <c:v>2.9311688311688311</c:v>
                </c:pt>
                <c:pt idx="54">
                  <c:v>2.9311688311688311</c:v>
                </c:pt>
                <c:pt idx="55">
                  <c:v>2.9311688311688311</c:v>
                </c:pt>
                <c:pt idx="56">
                  <c:v>2.9311688311688311</c:v>
                </c:pt>
                <c:pt idx="57">
                  <c:v>2.9311688311688311</c:v>
                </c:pt>
                <c:pt idx="58">
                  <c:v>2.9311688311688311</c:v>
                </c:pt>
                <c:pt idx="59">
                  <c:v>2.9311688311688311</c:v>
                </c:pt>
                <c:pt idx="60">
                  <c:v>2.9311688311688311</c:v>
                </c:pt>
                <c:pt idx="61">
                  <c:v>2.9311688311688311</c:v>
                </c:pt>
                <c:pt idx="62">
                  <c:v>2.9311688311688311</c:v>
                </c:pt>
                <c:pt idx="63">
                  <c:v>2.9311688311688311</c:v>
                </c:pt>
                <c:pt idx="64">
                  <c:v>2.9311688311688311</c:v>
                </c:pt>
                <c:pt idx="65">
                  <c:v>2.9311688311688311</c:v>
                </c:pt>
                <c:pt idx="66">
                  <c:v>2.9311688311688311</c:v>
                </c:pt>
                <c:pt idx="67">
                  <c:v>2.9311688311688311</c:v>
                </c:pt>
                <c:pt idx="68">
                  <c:v>2.9311688311688311</c:v>
                </c:pt>
                <c:pt idx="69">
                  <c:v>2.9311688311688311</c:v>
                </c:pt>
                <c:pt idx="70">
                  <c:v>2.9311688311688311</c:v>
                </c:pt>
                <c:pt idx="71">
                  <c:v>2.9311688311688311</c:v>
                </c:pt>
                <c:pt idx="72">
                  <c:v>2.9311688311688311</c:v>
                </c:pt>
                <c:pt idx="73">
                  <c:v>2.9311688311688311</c:v>
                </c:pt>
                <c:pt idx="74">
                  <c:v>2.9311688311688311</c:v>
                </c:pt>
                <c:pt idx="75">
                  <c:v>2.9311688311688311</c:v>
                </c:pt>
                <c:pt idx="76">
                  <c:v>2.9311688311688311</c:v>
                </c:pt>
                <c:pt idx="77">
                  <c:v>2.9311688311688311</c:v>
                </c:pt>
                <c:pt idx="78">
                  <c:v>2.9311688311688311</c:v>
                </c:pt>
                <c:pt idx="79">
                  <c:v>2.9311688311688311</c:v>
                </c:pt>
                <c:pt idx="80">
                  <c:v>2.9311688311688311</c:v>
                </c:pt>
                <c:pt idx="81">
                  <c:v>2.9311688311688311</c:v>
                </c:pt>
                <c:pt idx="82">
                  <c:v>2.9311688311688311</c:v>
                </c:pt>
                <c:pt idx="83">
                  <c:v>2.9311688311688311</c:v>
                </c:pt>
                <c:pt idx="84">
                  <c:v>2.9311688311688311</c:v>
                </c:pt>
                <c:pt idx="85">
                  <c:v>2.9311688311688311</c:v>
                </c:pt>
                <c:pt idx="86">
                  <c:v>2.9311688311688311</c:v>
                </c:pt>
                <c:pt idx="87">
                  <c:v>2.9311688311688311</c:v>
                </c:pt>
                <c:pt idx="88">
                  <c:v>2.9311688311688311</c:v>
                </c:pt>
                <c:pt idx="89">
                  <c:v>2.9311688311688311</c:v>
                </c:pt>
                <c:pt idx="90">
                  <c:v>2.9311688311688311</c:v>
                </c:pt>
                <c:pt idx="91">
                  <c:v>2.9311688311688311</c:v>
                </c:pt>
                <c:pt idx="92">
                  <c:v>2.9311688311688311</c:v>
                </c:pt>
                <c:pt idx="93">
                  <c:v>2.9311688311688311</c:v>
                </c:pt>
                <c:pt idx="94">
                  <c:v>2.9311688311688311</c:v>
                </c:pt>
                <c:pt idx="95">
                  <c:v>2.9311688311688311</c:v>
                </c:pt>
                <c:pt idx="96">
                  <c:v>2.9311688311688311</c:v>
                </c:pt>
                <c:pt idx="97">
                  <c:v>2.9311688311688311</c:v>
                </c:pt>
                <c:pt idx="98">
                  <c:v>2.9311688311688311</c:v>
                </c:pt>
                <c:pt idx="99">
                  <c:v>2.9311688311688311</c:v>
                </c:pt>
                <c:pt idx="100">
                  <c:v>2.9311688311688311</c:v>
                </c:pt>
                <c:pt idx="101">
                  <c:v>2.9311688311688311</c:v>
                </c:pt>
                <c:pt idx="102">
                  <c:v>2.9311688311688311</c:v>
                </c:pt>
                <c:pt idx="103">
                  <c:v>2.9311688311688311</c:v>
                </c:pt>
                <c:pt idx="104">
                  <c:v>2.9311688311688311</c:v>
                </c:pt>
                <c:pt idx="105">
                  <c:v>2.9311688311688311</c:v>
                </c:pt>
                <c:pt idx="106">
                  <c:v>2.9311688311688311</c:v>
                </c:pt>
                <c:pt idx="107">
                  <c:v>2.9311688311688311</c:v>
                </c:pt>
                <c:pt idx="108">
                  <c:v>2.9311688311688311</c:v>
                </c:pt>
                <c:pt idx="109">
                  <c:v>2.9311688311688311</c:v>
                </c:pt>
                <c:pt idx="110">
                  <c:v>2.9311688311688311</c:v>
                </c:pt>
                <c:pt idx="111">
                  <c:v>2.9311688311688311</c:v>
                </c:pt>
                <c:pt idx="112">
                  <c:v>2.9311688311688311</c:v>
                </c:pt>
                <c:pt idx="113">
                  <c:v>2.9311688311688311</c:v>
                </c:pt>
                <c:pt idx="114">
                  <c:v>2.9311688311688311</c:v>
                </c:pt>
                <c:pt idx="115">
                  <c:v>2.9311688311688311</c:v>
                </c:pt>
                <c:pt idx="116">
                  <c:v>2.9311688311688311</c:v>
                </c:pt>
                <c:pt idx="117">
                  <c:v>2.9311688311688311</c:v>
                </c:pt>
                <c:pt idx="118">
                  <c:v>2.9311688311688311</c:v>
                </c:pt>
                <c:pt idx="119">
                  <c:v>2.9311688311688311</c:v>
                </c:pt>
                <c:pt idx="120">
                  <c:v>2.9311688311688311</c:v>
                </c:pt>
                <c:pt idx="121">
                  <c:v>2.9311688311688311</c:v>
                </c:pt>
                <c:pt idx="122">
                  <c:v>2.9311688311688311</c:v>
                </c:pt>
                <c:pt idx="123">
                  <c:v>2.9311688311688311</c:v>
                </c:pt>
                <c:pt idx="124">
                  <c:v>2.9311688311688311</c:v>
                </c:pt>
                <c:pt idx="125">
                  <c:v>2.9311688311688311</c:v>
                </c:pt>
                <c:pt idx="126">
                  <c:v>2.9311688311688311</c:v>
                </c:pt>
                <c:pt idx="127">
                  <c:v>2.9311688311688311</c:v>
                </c:pt>
                <c:pt idx="128">
                  <c:v>2.9311688311688311</c:v>
                </c:pt>
                <c:pt idx="129">
                  <c:v>2.9311688311688311</c:v>
                </c:pt>
                <c:pt idx="130">
                  <c:v>2.9311688311688311</c:v>
                </c:pt>
                <c:pt idx="131">
                  <c:v>2.9311688311688311</c:v>
                </c:pt>
                <c:pt idx="132">
                  <c:v>2.9311688311688311</c:v>
                </c:pt>
                <c:pt idx="133">
                  <c:v>2.9311688311688311</c:v>
                </c:pt>
                <c:pt idx="134">
                  <c:v>2.9311688311688311</c:v>
                </c:pt>
                <c:pt idx="135">
                  <c:v>2.9311688311688311</c:v>
                </c:pt>
                <c:pt idx="136">
                  <c:v>2.9311688311688311</c:v>
                </c:pt>
                <c:pt idx="137">
                  <c:v>2.9311688311688311</c:v>
                </c:pt>
                <c:pt idx="138">
                  <c:v>2.9311688311688311</c:v>
                </c:pt>
                <c:pt idx="139">
                  <c:v>2.9311688311688311</c:v>
                </c:pt>
                <c:pt idx="140">
                  <c:v>2.9311688311688311</c:v>
                </c:pt>
                <c:pt idx="141">
                  <c:v>2.9311688311688311</c:v>
                </c:pt>
                <c:pt idx="142">
                  <c:v>2.9311688311688311</c:v>
                </c:pt>
                <c:pt idx="143">
                  <c:v>2.9311688311688311</c:v>
                </c:pt>
                <c:pt idx="144">
                  <c:v>2.9311688311688311</c:v>
                </c:pt>
                <c:pt idx="145">
                  <c:v>2.9311688311688311</c:v>
                </c:pt>
                <c:pt idx="146">
                  <c:v>2.9311688311688311</c:v>
                </c:pt>
                <c:pt idx="147">
                  <c:v>2.9311688311688311</c:v>
                </c:pt>
                <c:pt idx="148">
                  <c:v>2.9311688311688311</c:v>
                </c:pt>
                <c:pt idx="149">
                  <c:v>2.9311688311688311</c:v>
                </c:pt>
                <c:pt idx="150">
                  <c:v>2.9311688311688311</c:v>
                </c:pt>
                <c:pt idx="151">
                  <c:v>2.9311688311688311</c:v>
                </c:pt>
                <c:pt idx="152">
                  <c:v>2.9311688311688311</c:v>
                </c:pt>
                <c:pt idx="153">
                  <c:v>2.9311688311688311</c:v>
                </c:pt>
                <c:pt idx="154">
                  <c:v>2.9311688311688311</c:v>
                </c:pt>
                <c:pt idx="155">
                  <c:v>2.9311688311688311</c:v>
                </c:pt>
                <c:pt idx="156">
                  <c:v>2.9311688311688311</c:v>
                </c:pt>
                <c:pt idx="157">
                  <c:v>2.9311688311688311</c:v>
                </c:pt>
                <c:pt idx="158">
                  <c:v>2.9311688311688311</c:v>
                </c:pt>
                <c:pt idx="159">
                  <c:v>2.9311688311688311</c:v>
                </c:pt>
                <c:pt idx="160">
                  <c:v>2.9311688311688311</c:v>
                </c:pt>
                <c:pt idx="161">
                  <c:v>2.9311688311688311</c:v>
                </c:pt>
                <c:pt idx="162">
                  <c:v>2.9311688311688311</c:v>
                </c:pt>
                <c:pt idx="163">
                  <c:v>2.9311688311688311</c:v>
                </c:pt>
                <c:pt idx="164">
                  <c:v>2.9311688311688311</c:v>
                </c:pt>
                <c:pt idx="165">
                  <c:v>2.9311688311688311</c:v>
                </c:pt>
                <c:pt idx="166">
                  <c:v>2.9311688311688311</c:v>
                </c:pt>
                <c:pt idx="167">
                  <c:v>2.9311688311688311</c:v>
                </c:pt>
                <c:pt idx="168">
                  <c:v>2.9311688311688311</c:v>
                </c:pt>
                <c:pt idx="169">
                  <c:v>2.9311688311688311</c:v>
                </c:pt>
                <c:pt idx="170">
                  <c:v>2.9311688311688311</c:v>
                </c:pt>
                <c:pt idx="171">
                  <c:v>2.9311688311688311</c:v>
                </c:pt>
                <c:pt idx="172">
                  <c:v>2.9311688311688311</c:v>
                </c:pt>
                <c:pt idx="173">
                  <c:v>2.9311688311688311</c:v>
                </c:pt>
                <c:pt idx="174">
                  <c:v>2.9311688311688311</c:v>
                </c:pt>
                <c:pt idx="175">
                  <c:v>2.9311688311688311</c:v>
                </c:pt>
                <c:pt idx="176">
                  <c:v>2.9311688311688311</c:v>
                </c:pt>
                <c:pt idx="177">
                  <c:v>2.9311688311688311</c:v>
                </c:pt>
                <c:pt idx="178">
                  <c:v>2.9311688311688311</c:v>
                </c:pt>
                <c:pt idx="179">
                  <c:v>2.9311688311688311</c:v>
                </c:pt>
                <c:pt idx="180">
                  <c:v>2.9311688311688311</c:v>
                </c:pt>
                <c:pt idx="181">
                  <c:v>2.9311688311688311</c:v>
                </c:pt>
                <c:pt idx="182">
                  <c:v>2.9311688311688311</c:v>
                </c:pt>
                <c:pt idx="183">
                  <c:v>2.9311688311688311</c:v>
                </c:pt>
                <c:pt idx="184">
                  <c:v>2.9311688311688311</c:v>
                </c:pt>
                <c:pt idx="185">
                  <c:v>2.9311688311688311</c:v>
                </c:pt>
                <c:pt idx="186">
                  <c:v>2.9311688311688311</c:v>
                </c:pt>
                <c:pt idx="187">
                  <c:v>2.9311688311688311</c:v>
                </c:pt>
                <c:pt idx="188">
                  <c:v>2.9311688311688311</c:v>
                </c:pt>
                <c:pt idx="189">
                  <c:v>2.9311688311688311</c:v>
                </c:pt>
                <c:pt idx="190">
                  <c:v>2.9311688311688311</c:v>
                </c:pt>
                <c:pt idx="191">
                  <c:v>2.9311688311688311</c:v>
                </c:pt>
                <c:pt idx="192">
                  <c:v>2.9311688311688311</c:v>
                </c:pt>
                <c:pt idx="193">
                  <c:v>2.9311688311688311</c:v>
                </c:pt>
                <c:pt idx="194">
                  <c:v>2.9311688311688311</c:v>
                </c:pt>
                <c:pt idx="195">
                  <c:v>2.9311688311688311</c:v>
                </c:pt>
                <c:pt idx="196">
                  <c:v>2.9311688311688311</c:v>
                </c:pt>
                <c:pt idx="197">
                  <c:v>2.9311688311688311</c:v>
                </c:pt>
                <c:pt idx="198">
                  <c:v>2.9311688311688311</c:v>
                </c:pt>
                <c:pt idx="199">
                  <c:v>2.9311688311688311</c:v>
                </c:pt>
                <c:pt idx="200">
                  <c:v>2.9311688311688311</c:v>
                </c:pt>
                <c:pt idx="201">
                  <c:v>2.9311688311688311</c:v>
                </c:pt>
                <c:pt idx="202">
                  <c:v>2.9311688311688311</c:v>
                </c:pt>
                <c:pt idx="203">
                  <c:v>2.9311688311688311</c:v>
                </c:pt>
                <c:pt idx="204">
                  <c:v>2.9311688311688311</c:v>
                </c:pt>
                <c:pt idx="205">
                  <c:v>2.9311688311688311</c:v>
                </c:pt>
                <c:pt idx="206">
                  <c:v>2.9311688311688311</c:v>
                </c:pt>
                <c:pt idx="207">
                  <c:v>2.9311688311688311</c:v>
                </c:pt>
                <c:pt idx="208">
                  <c:v>2.9311688311688311</c:v>
                </c:pt>
                <c:pt idx="209">
                  <c:v>2.9311688311688311</c:v>
                </c:pt>
                <c:pt idx="210">
                  <c:v>2.9311688311688311</c:v>
                </c:pt>
                <c:pt idx="211">
                  <c:v>2.9311688311688311</c:v>
                </c:pt>
                <c:pt idx="212">
                  <c:v>2.9311688311688311</c:v>
                </c:pt>
                <c:pt idx="213">
                  <c:v>2.9311688311688311</c:v>
                </c:pt>
                <c:pt idx="214">
                  <c:v>2.9311688311688311</c:v>
                </c:pt>
                <c:pt idx="215">
                  <c:v>2.9311688311688311</c:v>
                </c:pt>
                <c:pt idx="216">
                  <c:v>2.9311688311688311</c:v>
                </c:pt>
                <c:pt idx="217">
                  <c:v>2.9311688311688311</c:v>
                </c:pt>
                <c:pt idx="218">
                  <c:v>2.9311688311688311</c:v>
                </c:pt>
                <c:pt idx="219">
                  <c:v>2.9311688311688311</c:v>
                </c:pt>
                <c:pt idx="220">
                  <c:v>2.9311688311688311</c:v>
                </c:pt>
                <c:pt idx="221">
                  <c:v>2.9311688311688311</c:v>
                </c:pt>
                <c:pt idx="222">
                  <c:v>2.9311688311688311</c:v>
                </c:pt>
                <c:pt idx="223">
                  <c:v>2.9311688311688311</c:v>
                </c:pt>
                <c:pt idx="224">
                  <c:v>2.9311688311688311</c:v>
                </c:pt>
                <c:pt idx="225">
                  <c:v>2.9311688311688311</c:v>
                </c:pt>
                <c:pt idx="226">
                  <c:v>2.9311688311688311</c:v>
                </c:pt>
                <c:pt idx="227">
                  <c:v>2.9311688311688311</c:v>
                </c:pt>
                <c:pt idx="228">
                  <c:v>2.9311688311688311</c:v>
                </c:pt>
                <c:pt idx="229">
                  <c:v>2.9311688311688311</c:v>
                </c:pt>
                <c:pt idx="230">
                  <c:v>2.9311688311688311</c:v>
                </c:pt>
                <c:pt idx="231">
                  <c:v>2.9311688311688311</c:v>
                </c:pt>
                <c:pt idx="232">
                  <c:v>2.9311688311688311</c:v>
                </c:pt>
                <c:pt idx="233">
                  <c:v>2.9311688311688311</c:v>
                </c:pt>
                <c:pt idx="234">
                  <c:v>2.9311688311688311</c:v>
                </c:pt>
                <c:pt idx="235">
                  <c:v>2.9311688311688311</c:v>
                </c:pt>
                <c:pt idx="236">
                  <c:v>2.9311688311688311</c:v>
                </c:pt>
                <c:pt idx="237">
                  <c:v>2.9311688311688311</c:v>
                </c:pt>
                <c:pt idx="238">
                  <c:v>2.9311688311688311</c:v>
                </c:pt>
                <c:pt idx="239">
                  <c:v>2.9311688311688311</c:v>
                </c:pt>
                <c:pt idx="240">
                  <c:v>2.9311688311688311</c:v>
                </c:pt>
                <c:pt idx="241">
                  <c:v>2.9311688311688311</c:v>
                </c:pt>
                <c:pt idx="242">
                  <c:v>2.9311688311688311</c:v>
                </c:pt>
                <c:pt idx="243">
                  <c:v>2.9311688311688311</c:v>
                </c:pt>
                <c:pt idx="244">
                  <c:v>2.9311688311688311</c:v>
                </c:pt>
                <c:pt idx="245">
                  <c:v>2.9311688311688311</c:v>
                </c:pt>
                <c:pt idx="246">
                  <c:v>2.9311688311688311</c:v>
                </c:pt>
                <c:pt idx="247">
                  <c:v>2.9311688311688311</c:v>
                </c:pt>
                <c:pt idx="248">
                  <c:v>2.9311688311688311</c:v>
                </c:pt>
                <c:pt idx="249">
                  <c:v>2.9311688311688311</c:v>
                </c:pt>
                <c:pt idx="250">
                  <c:v>2.9311688311688311</c:v>
                </c:pt>
                <c:pt idx="251">
                  <c:v>2.9311688311688311</c:v>
                </c:pt>
                <c:pt idx="252">
                  <c:v>2.9311688311688311</c:v>
                </c:pt>
                <c:pt idx="253">
                  <c:v>2.9311688311688311</c:v>
                </c:pt>
                <c:pt idx="254">
                  <c:v>2.9311688311688311</c:v>
                </c:pt>
                <c:pt idx="255">
                  <c:v>2.9311688311688311</c:v>
                </c:pt>
                <c:pt idx="256">
                  <c:v>2.9311688311688311</c:v>
                </c:pt>
                <c:pt idx="257">
                  <c:v>2.9311688311688311</c:v>
                </c:pt>
                <c:pt idx="258">
                  <c:v>2.9311688311688311</c:v>
                </c:pt>
                <c:pt idx="259">
                  <c:v>2.9311688311688311</c:v>
                </c:pt>
                <c:pt idx="260">
                  <c:v>2.9311688311688311</c:v>
                </c:pt>
                <c:pt idx="261">
                  <c:v>2.9311688311688311</c:v>
                </c:pt>
                <c:pt idx="262">
                  <c:v>2.9311688311688311</c:v>
                </c:pt>
                <c:pt idx="263">
                  <c:v>2.9311688311688311</c:v>
                </c:pt>
                <c:pt idx="264">
                  <c:v>2.9311688311688311</c:v>
                </c:pt>
                <c:pt idx="265">
                  <c:v>2.9311688311688311</c:v>
                </c:pt>
                <c:pt idx="266">
                  <c:v>2.9311688311688311</c:v>
                </c:pt>
                <c:pt idx="267">
                  <c:v>2.9311688311688311</c:v>
                </c:pt>
                <c:pt idx="268">
                  <c:v>2.9311688311688311</c:v>
                </c:pt>
                <c:pt idx="269">
                  <c:v>2.9311688311688311</c:v>
                </c:pt>
                <c:pt idx="270">
                  <c:v>2.9311688311688311</c:v>
                </c:pt>
                <c:pt idx="271">
                  <c:v>2.9311688311688311</c:v>
                </c:pt>
                <c:pt idx="272">
                  <c:v>2.9311688311688311</c:v>
                </c:pt>
                <c:pt idx="273">
                  <c:v>2.9311688311688311</c:v>
                </c:pt>
                <c:pt idx="274">
                  <c:v>2.9311688311688311</c:v>
                </c:pt>
                <c:pt idx="275">
                  <c:v>2.9311688311688311</c:v>
                </c:pt>
                <c:pt idx="276">
                  <c:v>2.9311688311688311</c:v>
                </c:pt>
                <c:pt idx="277">
                  <c:v>2.9311688311688311</c:v>
                </c:pt>
                <c:pt idx="278">
                  <c:v>2.9311688311688311</c:v>
                </c:pt>
                <c:pt idx="279">
                  <c:v>2.9311688311688311</c:v>
                </c:pt>
                <c:pt idx="280">
                  <c:v>2.9311688311688311</c:v>
                </c:pt>
                <c:pt idx="281">
                  <c:v>2.9311688311688311</c:v>
                </c:pt>
                <c:pt idx="282">
                  <c:v>2.9311688311688311</c:v>
                </c:pt>
                <c:pt idx="283">
                  <c:v>2.9311688311688311</c:v>
                </c:pt>
                <c:pt idx="284">
                  <c:v>2.9311688311688311</c:v>
                </c:pt>
                <c:pt idx="285">
                  <c:v>2.9311688311688311</c:v>
                </c:pt>
                <c:pt idx="286">
                  <c:v>2.9311688311688311</c:v>
                </c:pt>
                <c:pt idx="287">
                  <c:v>2.9311688311688311</c:v>
                </c:pt>
                <c:pt idx="288">
                  <c:v>2.9311688311688311</c:v>
                </c:pt>
                <c:pt idx="289">
                  <c:v>2.9311688311688311</c:v>
                </c:pt>
                <c:pt idx="290">
                  <c:v>2.9311688311688311</c:v>
                </c:pt>
                <c:pt idx="291">
                  <c:v>2.9311688311688311</c:v>
                </c:pt>
                <c:pt idx="292">
                  <c:v>2.9311688311688311</c:v>
                </c:pt>
                <c:pt idx="293">
                  <c:v>2.9311688311688311</c:v>
                </c:pt>
                <c:pt idx="294">
                  <c:v>2.9311688311688311</c:v>
                </c:pt>
                <c:pt idx="295">
                  <c:v>2.9311688311688311</c:v>
                </c:pt>
                <c:pt idx="296">
                  <c:v>2.9311688311688311</c:v>
                </c:pt>
                <c:pt idx="297">
                  <c:v>2.9311688311688311</c:v>
                </c:pt>
                <c:pt idx="298">
                  <c:v>2.9311688311688311</c:v>
                </c:pt>
                <c:pt idx="299">
                  <c:v>2.9311688311688311</c:v>
                </c:pt>
                <c:pt idx="300">
                  <c:v>2.9311688311688311</c:v>
                </c:pt>
                <c:pt idx="301">
                  <c:v>2.9311688311688311</c:v>
                </c:pt>
                <c:pt idx="302">
                  <c:v>2.9311688311688311</c:v>
                </c:pt>
                <c:pt idx="303">
                  <c:v>2.9311688311688311</c:v>
                </c:pt>
                <c:pt idx="304">
                  <c:v>2.9311688311688311</c:v>
                </c:pt>
                <c:pt idx="305">
                  <c:v>2.9311688311688311</c:v>
                </c:pt>
                <c:pt idx="306">
                  <c:v>2.9311688311688311</c:v>
                </c:pt>
                <c:pt idx="307">
                  <c:v>2.9311688311688311</c:v>
                </c:pt>
                <c:pt idx="308">
                  <c:v>2.9311688311688311</c:v>
                </c:pt>
                <c:pt idx="309">
                  <c:v>2.9311688311688311</c:v>
                </c:pt>
                <c:pt idx="310">
                  <c:v>2.9311688311688311</c:v>
                </c:pt>
                <c:pt idx="311">
                  <c:v>2.9311688311688311</c:v>
                </c:pt>
                <c:pt idx="312">
                  <c:v>2.9311688311688311</c:v>
                </c:pt>
                <c:pt idx="313">
                  <c:v>2.9311688311688311</c:v>
                </c:pt>
                <c:pt idx="314">
                  <c:v>2.9311688311688311</c:v>
                </c:pt>
                <c:pt idx="315">
                  <c:v>2.9311688311688311</c:v>
                </c:pt>
                <c:pt idx="316">
                  <c:v>2.9311688311688311</c:v>
                </c:pt>
                <c:pt idx="317">
                  <c:v>2.9311688311688311</c:v>
                </c:pt>
                <c:pt idx="318">
                  <c:v>2.9311688311688311</c:v>
                </c:pt>
                <c:pt idx="319">
                  <c:v>2.9311688311688311</c:v>
                </c:pt>
                <c:pt idx="320">
                  <c:v>2.9311688311688311</c:v>
                </c:pt>
                <c:pt idx="321">
                  <c:v>2.9311688311688311</c:v>
                </c:pt>
                <c:pt idx="322">
                  <c:v>2.9311688311688311</c:v>
                </c:pt>
                <c:pt idx="323">
                  <c:v>2.9311688311688311</c:v>
                </c:pt>
                <c:pt idx="324">
                  <c:v>2.9311688311688311</c:v>
                </c:pt>
                <c:pt idx="325">
                  <c:v>2.9311688311688311</c:v>
                </c:pt>
                <c:pt idx="326">
                  <c:v>2.9311688311688311</c:v>
                </c:pt>
                <c:pt idx="327">
                  <c:v>2.9311688311688311</c:v>
                </c:pt>
                <c:pt idx="328">
                  <c:v>2.9311688311688311</c:v>
                </c:pt>
                <c:pt idx="329">
                  <c:v>2.9311688311688311</c:v>
                </c:pt>
                <c:pt idx="330">
                  <c:v>2.9311688311688311</c:v>
                </c:pt>
                <c:pt idx="331">
                  <c:v>2.9311688311688311</c:v>
                </c:pt>
                <c:pt idx="332">
                  <c:v>2.9311688311688311</c:v>
                </c:pt>
                <c:pt idx="333">
                  <c:v>2.9311688311688311</c:v>
                </c:pt>
                <c:pt idx="334">
                  <c:v>2.9311688311688311</c:v>
                </c:pt>
                <c:pt idx="335">
                  <c:v>2.9311688311688311</c:v>
                </c:pt>
                <c:pt idx="336">
                  <c:v>2.9311688311688311</c:v>
                </c:pt>
                <c:pt idx="337">
                  <c:v>2.9311688311688311</c:v>
                </c:pt>
                <c:pt idx="338">
                  <c:v>2.9311688311688311</c:v>
                </c:pt>
                <c:pt idx="339">
                  <c:v>2.9311688311688311</c:v>
                </c:pt>
                <c:pt idx="340">
                  <c:v>2.9311688311688311</c:v>
                </c:pt>
                <c:pt idx="341">
                  <c:v>2.9311688311688311</c:v>
                </c:pt>
                <c:pt idx="342">
                  <c:v>2.9311688311688311</c:v>
                </c:pt>
                <c:pt idx="343">
                  <c:v>2.9311688311688311</c:v>
                </c:pt>
                <c:pt idx="344">
                  <c:v>2.9311688311688311</c:v>
                </c:pt>
                <c:pt idx="345">
                  <c:v>2.9311688311688311</c:v>
                </c:pt>
                <c:pt idx="346">
                  <c:v>2.9311688311688311</c:v>
                </c:pt>
                <c:pt idx="347">
                  <c:v>2.9311688311688311</c:v>
                </c:pt>
                <c:pt idx="348">
                  <c:v>2.9311688311688311</c:v>
                </c:pt>
                <c:pt idx="349">
                  <c:v>2.9311688311688311</c:v>
                </c:pt>
                <c:pt idx="350">
                  <c:v>2.9311688311688311</c:v>
                </c:pt>
                <c:pt idx="351">
                  <c:v>2.9311688311688311</c:v>
                </c:pt>
                <c:pt idx="352">
                  <c:v>2.9311688311688311</c:v>
                </c:pt>
                <c:pt idx="353">
                  <c:v>2.9311688311688311</c:v>
                </c:pt>
                <c:pt idx="354">
                  <c:v>2.9311688311688311</c:v>
                </c:pt>
                <c:pt idx="355">
                  <c:v>2.9311688311688311</c:v>
                </c:pt>
                <c:pt idx="356">
                  <c:v>2.9311688311688311</c:v>
                </c:pt>
                <c:pt idx="357">
                  <c:v>2.9311688311688311</c:v>
                </c:pt>
                <c:pt idx="358">
                  <c:v>2.9311688311688311</c:v>
                </c:pt>
                <c:pt idx="359">
                  <c:v>2.9311688311688311</c:v>
                </c:pt>
                <c:pt idx="360">
                  <c:v>2.9311688311688311</c:v>
                </c:pt>
                <c:pt idx="361">
                  <c:v>2.9311688311688311</c:v>
                </c:pt>
                <c:pt idx="362">
                  <c:v>2.9311688311688311</c:v>
                </c:pt>
                <c:pt idx="363">
                  <c:v>2.9311688311688311</c:v>
                </c:pt>
                <c:pt idx="364">
                  <c:v>2.9311688311688311</c:v>
                </c:pt>
                <c:pt idx="365">
                  <c:v>2.9311688311688311</c:v>
                </c:pt>
                <c:pt idx="366">
                  <c:v>2.9311688311688311</c:v>
                </c:pt>
                <c:pt idx="367">
                  <c:v>2.9311688311688311</c:v>
                </c:pt>
                <c:pt idx="368">
                  <c:v>2.9311688311688311</c:v>
                </c:pt>
                <c:pt idx="369">
                  <c:v>2.9311688311688311</c:v>
                </c:pt>
                <c:pt idx="370">
                  <c:v>2.9311688311688311</c:v>
                </c:pt>
                <c:pt idx="371">
                  <c:v>2.9311688311688311</c:v>
                </c:pt>
                <c:pt idx="372">
                  <c:v>2.9311688311688311</c:v>
                </c:pt>
                <c:pt idx="373">
                  <c:v>2.9311688311688311</c:v>
                </c:pt>
                <c:pt idx="374">
                  <c:v>2.9311688311688311</c:v>
                </c:pt>
                <c:pt idx="375">
                  <c:v>2.9311688311688311</c:v>
                </c:pt>
                <c:pt idx="376">
                  <c:v>2.9311688311688311</c:v>
                </c:pt>
                <c:pt idx="377">
                  <c:v>2.9311688311688311</c:v>
                </c:pt>
                <c:pt idx="378">
                  <c:v>2.9311688311688311</c:v>
                </c:pt>
                <c:pt idx="379">
                  <c:v>2.9311688311688311</c:v>
                </c:pt>
                <c:pt idx="380">
                  <c:v>2.9311688311688311</c:v>
                </c:pt>
                <c:pt idx="381">
                  <c:v>2.9311688311688311</c:v>
                </c:pt>
                <c:pt idx="382">
                  <c:v>2.9311688311688311</c:v>
                </c:pt>
                <c:pt idx="383">
                  <c:v>2.9311688311688311</c:v>
                </c:pt>
                <c:pt idx="384">
                  <c:v>2.9311688311688311</c:v>
                </c:pt>
                <c:pt idx="385">
                  <c:v>2.9311688311688311</c:v>
                </c:pt>
                <c:pt idx="386">
                  <c:v>2.9311688311688311</c:v>
                </c:pt>
                <c:pt idx="387">
                  <c:v>2.9311688311688311</c:v>
                </c:pt>
                <c:pt idx="388">
                  <c:v>2.9311688311688311</c:v>
                </c:pt>
                <c:pt idx="389">
                  <c:v>2.9311688311688311</c:v>
                </c:pt>
                <c:pt idx="390">
                  <c:v>2.9311688311688311</c:v>
                </c:pt>
                <c:pt idx="391">
                  <c:v>2.9311688311688311</c:v>
                </c:pt>
                <c:pt idx="392">
                  <c:v>2.9311688311688311</c:v>
                </c:pt>
                <c:pt idx="393">
                  <c:v>2.9311688311688311</c:v>
                </c:pt>
                <c:pt idx="394">
                  <c:v>2.9311688311688311</c:v>
                </c:pt>
                <c:pt idx="395">
                  <c:v>2.9311688311688311</c:v>
                </c:pt>
                <c:pt idx="396">
                  <c:v>2.9311688311688311</c:v>
                </c:pt>
                <c:pt idx="397">
                  <c:v>2.9311688311688311</c:v>
                </c:pt>
                <c:pt idx="398">
                  <c:v>2.9311688311688311</c:v>
                </c:pt>
                <c:pt idx="399">
                  <c:v>2.9311688311688311</c:v>
                </c:pt>
                <c:pt idx="400">
                  <c:v>2.9311688311688311</c:v>
                </c:pt>
              </c:numCache>
            </c:numRef>
          </c:yVal>
          <c:smooth val="0"/>
          <c:extLst>
            <c:ext xmlns:c16="http://schemas.microsoft.com/office/drawing/2014/chart" uri="{C3380CC4-5D6E-409C-BE32-E72D297353CC}">
              <c16:uniqueId val="{0000000D-1DFF-4DFC-B6E9-D86B6FD0EE9D}"/>
            </c:ext>
          </c:extLst>
        </c:ser>
        <c:ser>
          <c:idx val="13"/>
          <c:order val="13"/>
          <c:tx>
            <c:strRef>
              <c:f>'V-N Diagram'!$X$36</c:f>
              <c:strCache>
                <c:ptCount val="1"/>
                <c:pt idx="0">
                  <c:v>n2</c:v>
                </c:pt>
              </c:strCache>
            </c:strRef>
          </c:tx>
          <c:spPr>
            <a:ln w="25400" cap="rnd">
              <a:solidFill>
                <a:schemeClr val="accent4"/>
              </a:solidFill>
              <a:round/>
            </a:ln>
            <a:effectLst/>
          </c:spPr>
          <c:marker>
            <c:symbol val="none"/>
          </c:marker>
          <c:dPt>
            <c:idx val="110"/>
            <c:marker>
              <c:symbol val="circle"/>
              <c:size val="7"/>
              <c:spPr>
                <a:solidFill>
                  <a:schemeClr val="accent4"/>
                </a:solidFill>
                <a:ln w="9525">
                  <a:solidFill>
                    <a:schemeClr val="accent4"/>
                  </a:solidFill>
                </a:ln>
                <a:effectLst/>
              </c:spPr>
            </c:marker>
            <c:bubble3D val="0"/>
            <c:extLst>
              <c:ext xmlns:c16="http://schemas.microsoft.com/office/drawing/2014/chart" uri="{C3380CC4-5D6E-409C-BE32-E72D297353CC}">
                <c16:uniqueId val="{00000005-39A8-4244-80C4-D331D53613C5}"/>
              </c:ext>
            </c:extLst>
          </c:dPt>
          <c:dPt>
            <c:idx val="164"/>
            <c:marker>
              <c:symbol val="circle"/>
              <c:size val="7"/>
              <c:spPr>
                <a:solidFill>
                  <a:schemeClr val="accent4"/>
                </a:solidFill>
                <a:ln w="9525">
                  <a:solidFill>
                    <a:schemeClr val="accent4"/>
                  </a:solidFill>
                </a:ln>
                <a:effectLst/>
              </c:spPr>
            </c:marker>
            <c:bubble3D val="0"/>
            <c:extLst>
              <c:ext xmlns:c16="http://schemas.microsoft.com/office/drawing/2014/chart" uri="{C3380CC4-5D6E-409C-BE32-E72D297353CC}">
                <c16:uniqueId val="{00000006-39A8-4244-80C4-D331D53613C5}"/>
              </c:ext>
            </c:extLst>
          </c:dPt>
          <c:xVal>
            <c:numRef>
              <c:f>'V-N Diagram'!$O$37:$O$437</c:f>
              <c:numCache>
                <c:formatCode>General</c:formatCode>
                <c:ptCount val="4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numCache>
            </c:numRef>
          </c:xVal>
          <c:yVal>
            <c:numRef>
              <c:f>'V-N Diagram'!$X$37:$X$437</c:f>
              <c:numCache>
                <c:formatCode>0.00</c:formatCode>
                <c:ptCount val="401"/>
                <c:pt idx="0">
                  <c:v>-1.1724675324675324</c:v>
                </c:pt>
                <c:pt idx="1">
                  <c:v>-1.1724675324675324</c:v>
                </c:pt>
                <c:pt idx="2">
                  <c:v>-1.1724675324675324</c:v>
                </c:pt>
                <c:pt idx="3">
                  <c:v>-1.1724675324675324</c:v>
                </c:pt>
                <c:pt idx="4">
                  <c:v>-1.1724675324675324</c:v>
                </c:pt>
                <c:pt idx="5">
                  <c:v>-1.1724675324675324</c:v>
                </c:pt>
                <c:pt idx="6">
                  <c:v>-1.1724675324675324</c:v>
                </c:pt>
                <c:pt idx="7">
                  <c:v>-1.1724675324675324</c:v>
                </c:pt>
                <c:pt idx="8">
                  <c:v>-1.1724675324675324</c:v>
                </c:pt>
                <c:pt idx="9">
                  <c:v>-1.1724675324675324</c:v>
                </c:pt>
                <c:pt idx="10">
                  <c:v>-1.1724675324675324</c:v>
                </c:pt>
                <c:pt idx="11">
                  <c:v>-1.1724675324675324</c:v>
                </c:pt>
                <c:pt idx="12">
                  <c:v>-1.1724675324675324</c:v>
                </c:pt>
                <c:pt idx="13">
                  <c:v>-1.1724675324675324</c:v>
                </c:pt>
                <c:pt idx="14">
                  <c:v>-1.1724675324675324</c:v>
                </c:pt>
                <c:pt idx="15">
                  <c:v>-1.1724675324675324</c:v>
                </c:pt>
                <c:pt idx="16">
                  <c:v>-1.1724675324675324</c:v>
                </c:pt>
                <c:pt idx="17">
                  <c:v>-1.1724675324675324</c:v>
                </c:pt>
                <c:pt idx="18">
                  <c:v>-1.1724675324675324</c:v>
                </c:pt>
                <c:pt idx="19">
                  <c:v>-1.1724675324675324</c:v>
                </c:pt>
                <c:pt idx="20">
                  <c:v>-1.1724675324675324</c:v>
                </c:pt>
                <c:pt idx="21">
                  <c:v>-1.1724675324675324</c:v>
                </c:pt>
                <c:pt idx="22">
                  <c:v>-1.1724675324675324</c:v>
                </c:pt>
                <c:pt idx="23">
                  <c:v>-1.1724675324675324</c:v>
                </c:pt>
                <c:pt idx="24">
                  <c:v>-1.1724675324675324</c:v>
                </c:pt>
                <c:pt idx="25">
                  <c:v>-1.1724675324675324</c:v>
                </c:pt>
                <c:pt idx="26">
                  <c:v>-1.1724675324675324</c:v>
                </c:pt>
                <c:pt idx="27">
                  <c:v>-1.1724675324675324</c:v>
                </c:pt>
                <c:pt idx="28">
                  <c:v>-1.1724675324675324</c:v>
                </c:pt>
                <c:pt idx="29">
                  <c:v>-1.1724675324675324</c:v>
                </c:pt>
                <c:pt idx="30">
                  <c:v>-1.1724675324675324</c:v>
                </c:pt>
                <c:pt idx="31">
                  <c:v>-1.1724675324675324</c:v>
                </c:pt>
                <c:pt idx="32">
                  <c:v>-1.1724675324675324</c:v>
                </c:pt>
                <c:pt idx="33">
                  <c:v>-1.1724675324675324</c:v>
                </c:pt>
                <c:pt idx="34">
                  <c:v>-1.1724675324675324</c:v>
                </c:pt>
                <c:pt idx="35">
                  <c:v>-1.1724675324675324</c:v>
                </c:pt>
                <c:pt idx="36">
                  <c:v>-1.1724675324675324</c:v>
                </c:pt>
                <c:pt idx="37">
                  <c:v>-1.1724675324675324</c:v>
                </c:pt>
                <c:pt idx="38">
                  <c:v>-1.1724675324675324</c:v>
                </c:pt>
                <c:pt idx="39">
                  <c:v>-1.1724675324675324</c:v>
                </c:pt>
                <c:pt idx="40">
                  <c:v>-1.1724675324675324</c:v>
                </c:pt>
                <c:pt idx="41">
                  <c:v>-1.1724675324675324</c:v>
                </c:pt>
                <c:pt idx="42">
                  <c:v>-1.1724675324675324</c:v>
                </c:pt>
                <c:pt idx="43">
                  <c:v>-1.1724675324675324</c:v>
                </c:pt>
                <c:pt idx="44">
                  <c:v>-1.1724675324675324</c:v>
                </c:pt>
                <c:pt idx="45">
                  <c:v>-1.1724675324675324</c:v>
                </c:pt>
                <c:pt idx="46">
                  <c:v>-1.1724675324675324</c:v>
                </c:pt>
                <c:pt idx="47">
                  <c:v>-1.1724675324675324</c:v>
                </c:pt>
                <c:pt idx="48">
                  <c:v>-1.1724675324675324</c:v>
                </c:pt>
                <c:pt idx="49">
                  <c:v>-1.1724675324675324</c:v>
                </c:pt>
                <c:pt idx="50">
                  <c:v>-1.1724675324675324</c:v>
                </c:pt>
                <c:pt idx="51">
                  <c:v>-1.1724675324675324</c:v>
                </c:pt>
                <c:pt idx="52">
                  <c:v>-1.1724675324675324</c:v>
                </c:pt>
                <c:pt idx="53">
                  <c:v>-1.1724675324675324</c:v>
                </c:pt>
                <c:pt idx="54">
                  <c:v>-1.1724675324675324</c:v>
                </c:pt>
                <c:pt idx="55">
                  <c:v>-1.1724675324675324</c:v>
                </c:pt>
                <c:pt idx="56">
                  <c:v>-1.1724675324675324</c:v>
                </c:pt>
                <c:pt idx="57">
                  <c:v>-1.1724675324675324</c:v>
                </c:pt>
                <c:pt idx="58">
                  <c:v>-1.1724675324675324</c:v>
                </c:pt>
                <c:pt idx="59">
                  <c:v>-1.1724675324675324</c:v>
                </c:pt>
                <c:pt idx="60">
                  <c:v>-1.1724675324675324</c:v>
                </c:pt>
                <c:pt idx="61">
                  <c:v>-1.1724675324675324</c:v>
                </c:pt>
                <c:pt idx="62">
                  <c:v>-1.1724675324675324</c:v>
                </c:pt>
                <c:pt idx="63">
                  <c:v>-1.1724675324675324</c:v>
                </c:pt>
                <c:pt idx="64">
                  <c:v>-1.1724675324675324</c:v>
                </c:pt>
                <c:pt idx="65">
                  <c:v>-1.1724675324675324</c:v>
                </c:pt>
                <c:pt idx="66">
                  <c:v>-1.1724675324675324</c:v>
                </c:pt>
                <c:pt idx="67">
                  <c:v>-1.1724675324675324</c:v>
                </c:pt>
                <c:pt idx="68">
                  <c:v>-1.1724675324675324</c:v>
                </c:pt>
                <c:pt idx="69">
                  <c:v>-1.1724675324675324</c:v>
                </c:pt>
                <c:pt idx="70">
                  <c:v>-1.1724675324675324</c:v>
                </c:pt>
                <c:pt idx="71">
                  <c:v>-1.1724675324675324</c:v>
                </c:pt>
                <c:pt idx="72">
                  <c:v>-1.1724675324675324</c:v>
                </c:pt>
                <c:pt idx="73">
                  <c:v>-1.1724675324675324</c:v>
                </c:pt>
                <c:pt idx="74">
                  <c:v>-1.1724675324675324</c:v>
                </c:pt>
                <c:pt idx="75">
                  <c:v>-1.1724675324675324</c:v>
                </c:pt>
                <c:pt idx="76">
                  <c:v>-1.1724675324675324</c:v>
                </c:pt>
                <c:pt idx="77">
                  <c:v>-1.1724675324675324</c:v>
                </c:pt>
                <c:pt idx="78">
                  <c:v>-1.1724675324675324</c:v>
                </c:pt>
                <c:pt idx="79">
                  <c:v>-1.1724675324675324</c:v>
                </c:pt>
                <c:pt idx="80">
                  <c:v>-1.1724675324675324</c:v>
                </c:pt>
                <c:pt idx="81">
                  <c:v>-1.1724675324675324</c:v>
                </c:pt>
                <c:pt idx="82">
                  <c:v>-1.1724675324675324</c:v>
                </c:pt>
                <c:pt idx="83">
                  <c:v>-1.1724675324675324</c:v>
                </c:pt>
                <c:pt idx="84">
                  <c:v>-1.1724675324675324</c:v>
                </c:pt>
                <c:pt idx="85">
                  <c:v>-1.1724675324675324</c:v>
                </c:pt>
                <c:pt idx="86">
                  <c:v>-1.1724675324675324</c:v>
                </c:pt>
                <c:pt idx="87">
                  <c:v>-1.1724675324675324</c:v>
                </c:pt>
                <c:pt idx="88">
                  <c:v>-1.1724675324675324</c:v>
                </c:pt>
                <c:pt idx="89">
                  <c:v>-1.1724675324675324</c:v>
                </c:pt>
                <c:pt idx="90">
                  <c:v>-1.1724675324675324</c:v>
                </c:pt>
                <c:pt idx="91">
                  <c:v>-1.1724675324675324</c:v>
                </c:pt>
                <c:pt idx="92">
                  <c:v>-1.1724675324675324</c:v>
                </c:pt>
                <c:pt idx="93">
                  <c:v>-1.1724675324675324</c:v>
                </c:pt>
                <c:pt idx="94">
                  <c:v>-1.1724675324675324</c:v>
                </c:pt>
                <c:pt idx="95">
                  <c:v>-1.1724675324675324</c:v>
                </c:pt>
                <c:pt idx="96">
                  <c:v>-1.1724675324675324</c:v>
                </c:pt>
                <c:pt idx="97">
                  <c:v>-1.1724675324675324</c:v>
                </c:pt>
                <c:pt idx="98">
                  <c:v>-1.1724675324675324</c:v>
                </c:pt>
                <c:pt idx="99">
                  <c:v>-1.1724675324675324</c:v>
                </c:pt>
                <c:pt idx="100">
                  <c:v>-1.1724675324675324</c:v>
                </c:pt>
                <c:pt idx="101">
                  <c:v>-1.1724675324675324</c:v>
                </c:pt>
                <c:pt idx="102">
                  <c:v>-1.1724675324675324</c:v>
                </c:pt>
                <c:pt idx="103">
                  <c:v>-1.1724675324675324</c:v>
                </c:pt>
                <c:pt idx="104">
                  <c:v>-1.1724675324675324</c:v>
                </c:pt>
                <c:pt idx="105">
                  <c:v>-1.1724675324675324</c:v>
                </c:pt>
                <c:pt idx="106">
                  <c:v>-1.1724675324675324</c:v>
                </c:pt>
                <c:pt idx="107">
                  <c:v>-1.1724675324675324</c:v>
                </c:pt>
                <c:pt idx="108">
                  <c:v>-1.1724675324675324</c:v>
                </c:pt>
                <c:pt idx="109">
                  <c:v>-1.1724675324675324</c:v>
                </c:pt>
                <c:pt idx="110">
                  <c:v>-1.1724675324675324</c:v>
                </c:pt>
                <c:pt idx="111">
                  <c:v>-1.1724675324675324</c:v>
                </c:pt>
                <c:pt idx="112">
                  <c:v>-1.1724675324675324</c:v>
                </c:pt>
                <c:pt idx="113">
                  <c:v>-1.1724675324675324</c:v>
                </c:pt>
                <c:pt idx="114">
                  <c:v>-1.1724675324675324</c:v>
                </c:pt>
                <c:pt idx="115">
                  <c:v>-1.1724675324675324</c:v>
                </c:pt>
                <c:pt idx="116">
                  <c:v>-1.1724675324675324</c:v>
                </c:pt>
                <c:pt idx="117">
                  <c:v>-1.1724675324675324</c:v>
                </c:pt>
                <c:pt idx="118">
                  <c:v>-1.1724675324675324</c:v>
                </c:pt>
                <c:pt idx="119">
                  <c:v>-1.1724675324675324</c:v>
                </c:pt>
                <c:pt idx="120">
                  <c:v>-1.1724675324675324</c:v>
                </c:pt>
                <c:pt idx="121">
                  <c:v>-1.1724675324675324</c:v>
                </c:pt>
                <c:pt idx="122">
                  <c:v>-1.1724675324675324</c:v>
                </c:pt>
                <c:pt idx="123">
                  <c:v>-1.1724675324675324</c:v>
                </c:pt>
                <c:pt idx="124">
                  <c:v>-1.1724675324675324</c:v>
                </c:pt>
                <c:pt idx="125">
                  <c:v>-1.1724675324675324</c:v>
                </c:pt>
                <c:pt idx="126">
                  <c:v>-1.1724675324675324</c:v>
                </c:pt>
                <c:pt idx="127">
                  <c:v>-1.1724675324675324</c:v>
                </c:pt>
                <c:pt idx="128">
                  <c:v>-1.1724675324675324</c:v>
                </c:pt>
                <c:pt idx="129">
                  <c:v>-1.1724675324675324</c:v>
                </c:pt>
                <c:pt idx="130">
                  <c:v>-1.1724675324675324</c:v>
                </c:pt>
                <c:pt idx="131">
                  <c:v>-1.1724675324675324</c:v>
                </c:pt>
                <c:pt idx="132">
                  <c:v>-1.1724675324675324</c:v>
                </c:pt>
                <c:pt idx="133">
                  <c:v>-1.1724675324675324</c:v>
                </c:pt>
                <c:pt idx="134">
                  <c:v>-1.1724675324675324</c:v>
                </c:pt>
                <c:pt idx="135">
                  <c:v>-1.1724675324675324</c:v>
                </c:pt>
                <c:pt idx="136">
                  <c:v>-1.1724675324675324</c:v>
                </c:pt>
                <c:pt idx="137">
                  <c:v>-1.1724675324675324</c:v>
                </c:pt>
                <c:pt idx="138">
                  <c:v>-1.1724675324675324</c:v>
                </c:pt>
                <c:pt idx="139">
                  <c:v>-1.1724675324675324</c:v>
                </c:pt>
                <c:pt idx="140">
                  <c:v>-1.1724675324675324</c:v>
                </c:pt>
                <c:pt idx="141">
                  <c:v>-1.1724675324675324</c:v>
                </c:pt>
                <c:pt idx="142">
                  <c:v>-1.1724675324675324</c:v>
                </c:pt>
                <c:pt idx="143">
                  <c:v>-1.1724675324675324</c:v>
                </c:pt>
                <c:pt idx="144">
                  <c:v>-1.1724675324675324</c:v>
                </c:pt>
                <c:pt idx="145">
                  <c:v>-1.1724675324675324</c:v>
                </c:pt>
                <c:pt idx="146">
                  <c:v>-1.1724675324675324</c:v>
                </c:pt>
                <c:pt idx="147">
                  <c:v>-1.1724675324675324</c:v>
                </c:pt>
                <c:pt idx="148">
                  <c:v>-1.1724675324675324</c:v>
                </c:pt>
                <c:pt idx="149">
                  <c:v>-1.1724675324675324</c:v>
                </c:pt>
                <c:pt idx="150">
                  <c:v>-1.1724675324675324</c:v>
                </c:pt>
                <c:pt idx="151">
                  <c:v>-1.1724675324675324</c:v>
                </c:pt>
                <c:pt idx="152">
                  <c:v>-1.1724675324675324</c:v>
                </c:pt>
                <c:pt idx="153">
                  <c:v>-1.1724675324675324</c:v>
                </c:pt>
                <c:pt idx="154">
                  <c:v>-1.1724675324675324</c:v>
                </c:pt>
                <c:pt idx="155">
                  <c:v>-1.1724675324675324</c:v>
                </c:pt>
                <c:pt idx="156">
                  <c:v>-1.1724675324675324</c:v>
                </c:pt>
                <c:pt idx="157">
                  <c:v>-1.1724675324675324</c:v>
                </c:pt>
                <c:pt idx="158">
                  <c:v>-1.1724675324675324</c:v>
                </c:pt>
                <c:pt idx="159">
                  <c:v>-1.1724675324675324</c:v>
                </c:pt>
                <c:pt idx="160">
                  <c:v>-1.1724675324675324</c:v>
                </c:pt>
                <c:pt idx="161">
                  <c:v>-1.1724675324675324</c:v>
                </c:pt>
                <c:pt idx="162">
                  <c:v>-1.1724675324675324</c:v>
                </c:pt>
                <c:pt idx="163">
                  <c:v>-1.1724675324675324</c:v>
                </c:pt>
                <c:pt idx="164">
                  <c:v>-1.1724675324675324</c:v>
                </c:pt>
                <c:pt idx="165">
                  <c:v>-1.1724675324675324</c:v>
                </c:pt>
                <c:pt idx="166">
                  <c:v>-1.1724675324675324</c:v>
                </c:pt>
                <c:pt idx="167">
                  <c:v>-1.1724675324675324</c:v>
                </c:pt>
                <c:pt idx="168">
                  <c:v>-1.1724675324675324</c:v>
                </c:pt>
                <c:pt idx="169">
                  <c:v>-1.1724675324675324</c:v>
                </c:pt>
                <c:pt idx="170">
                  <c:v>-1.1724675324675324</c:v>
                </c:pt>
                <c:pt idx="171">
                  <c:v>-1.1724675324675324</c:v>
                </c:pt>
                <c:pt idx="172">
                  <c:v>-1.1724675324675324</c:v>
                </c:pt>
                <c:pt idx="173">
                  <c:v>-1.1724675324675324</c:v>
                </c:pt>
                <c:pt idx="174">
                  <c:v>-1.1724675324675324</c:v>
                </c:pt>
                <c:pt idx="175">
                  <c:v>-1.1724675324675324</c:v>
                </c:pt>
                <c:pt idx="176">
                  <c:v>-1.1724675324675324</c:v>
                </c:pt>
                <c:pt idx="177">
                  <c:v>-1.1724675324675324</c:v>
                </c:pt>
                <c:pt idx="178">
                  <c:v>-1.1724675324675324</c:v>
                </c:pt>
                <c:pt idx="179">
                  <c:v>-1.1724675324675324</c:v>
                </c:pt>
                <c:pt idx="180">
                  <c:v>-1.1724675324675324</c:v>
                </c:pt>
                <c:pt idx="181">
                  <c:v>-1.1724675324675324</c:v>
                </c:pt>
                <c:pt idx="182">
                  <c:v>-1.1724675324675324</c:v>
                </c:pt>
                <c:pt idx="183">
                  <c:v>-1.1724675324675324</c:v>
                </c:pt>
                <c:pt idx="184">
                  <c:v>-1.1724675324675324</c:v>
                </c:pt>
                <c:pt idx="185">
                  <c:v>-1.1724675324675324</c:v>
                </c:pt>
                <c:pt idx="186">
                  <c:v>-1.1724675324675324</c:v>
                </c:pt>
                <c:pt idx="187">
                  <c:v>-1.1724675324675324</c:v>
                </c:pt>
                <c:pt idx="188">
                  <c:v>-1.1724675324675324</c:v>
                </c:pt>
                <c:pt idx="189">
                  <c:v>-1.1724675324675324</c:v>
                </c:pt>
                <c:pt idx="190">
                  <c:v>-1.1724675324675324</c:v>
                </c:pt>
                <c:pt idx="191">
                  <c:v>-1.1724675324675324</c:v>
                </c:pt>
                <c:pt idx="192">
                  <c:v>-1.1724675324675324</c:v>
                </c:pt>
                <c:pt idx="193">
                  <c:v>-1.1724675324675324</c:v>
                </c:pt>
                <c:pt idx="194">
                  <c:v>-1.1724675324675324</c:v>
                </c:pt>
                <c:pt idx="195">
                  <c:v>-1.1724675324675324</c:v>
                </c:pt>
                <c:pt idx="196">
                  <c:v>-1.1724675324675324</c:v>
                </c:pt>
                <c:pt idx="197">
                  <c:v>-1.1724675324675324</c:v>
                </c:pt>
                <c:pt idx="198">
                  <c:v>-1.1724675324675324</c:v>
                </c:pt>
                <c:pt idx="199">
                  <c:v>-1.1724675324675324</c:v>
                </c:pt>
                <c:pt idx="200">
                  <c:v>-1.1724675324675324</c:v>
                </c:pt>
                <c:pt idx="201">
                  <c:v>-1.1724675324675324</c:v>
                </c:pt>
                <c:pt idx="202">
                  <c:v>-1.1724675324675324</c:v>
                </c:pt>
                <c:pt idx="203">
                  <c:v>-1.1724675324675324</c:v>
                </c:pt>
                <c:pt idx="204">
                  <c:v>-1.1724675324675324</c:v>
                </c:pt>
                <c:pt idx="205">
                  <c:v>-1.1724675324675324</c:v>
                </c:pt>
                <c:pt idx="206">
                  <c:v>-1.1724675324675324</c:v>
                </c:pt>
                <c:pt idx="207">
                  <c:v>-1.1724675324675324</c:v>
                </c:pt>
                <c:pt idx="208">
                  <c:v>-1.1724675324675324</c:v>
                </c:pt>
                <c:pt idx="209">
                  <c:v>-1.1724675324675324</c:v>
                </c:pt>
                <c:pt idx="210">
                  <c:v>-1.1724675324675324</c:v>
                </c:pt>
                <c:pt idx="211">
                  <c:v>-1.1724675324675324</c:v>
                </c:pt>
                <c:pt idx="212">
                  <c:v>-1.1724675324675324</c:v>
                </c:pt>
                <c:pt idx="213">
                  <c:v>-1.1724675324675324</c:v>
                </c:pt>
                <c:pt idx="214">
                  <c:v>-1.1724675324675324</c:v>
                </c:pt>
                <c:pt idx="215">
                  <c:v>-1.1724675324675324</c:v>
                </c:pt>
                <c:pt idx="216">
                  <c:v>-1.1724675324675324</c:v>
                </c:pt>
                <c:pt idx="217">
                  <c:v>-1.1724675324675324</c:v>
                </c:pt>
                <c:pt idx="218">
                  <c:v>-1.1724675324675324</c:v>
                </c:pt>
                <c:pt idx="219">
                  <c:v>-1.1724675324675324</c:v>
                </c:pt>
                <c:pt idx="220">
                  <c:v>-1.1724675324675324</c:v>
                </c:pt>
                <c:pt idx="221">
                  <c:v>-1.1724675324675324</c:v>
                </c:pt>
                <c:pt idx="222">
                  <c:v>-1.1724675324675324</c:v>
                </c:pt>
                <c:pt idx="223">
                  <c:v>-1.1724675324675324</c:v>
                </c:pt>
                <c:pt idx="224">
                  <c:v>-1.1724675324675324</c:v>
                </c:pt>
                <c:pt idx="225">
                  <c:v>-1.1724675324675324</c:v>
                </c:pt>
                <c:pt idx="226">
                  <c:v>-1.1724675324675324</c:v>
                </c:pt>
                <c:pt idx="227">
                  <c:v>-1.1724675324675324</c:v>
                </c:pt>
                <c:pt idx="228">
                  <c:v>-1.1724675324675324</c:v>
                </c:pt>
                <c:pt idx="229">
                  <c:v>-1.1724675324675324</c:v>
                </c:pt>
                <c:pt idx="230">
                  <c:v>-1.1724675324675324</c:v>
                </c:pt>
                <c:pt idx="231">
                  <c:v>-1.1724675324675324</c:v>
                </c:pt>
                <c:pt idx="232">
                  <c:v>-1.1724675324675324</c:v>
                </c:pt>
                <c:pt idx="233">
                  <c:v>-1.1724675324675324</c:v>
                </c:pt>
                <c:pt idx="234">
                  <c:v>-1.1724675324675324</c:v>
                </c:pt>
                <c:pt idx="235">
                  <c:v>-1.1724675324675324</c:v>
                </c:pt>
                <c:pt idx="236">
                  <c:v>-1.1724675324675324</c:v>
                </c:pt>
                <c:pt idx="237">
                  <c:v>-1.1724675324675324</c:v>
                </c:pt>
                <c:pt idx="238">
                  <c:v>-1.1724675324675324</c:v>
                </c:pt>
                <c:pt idx="239">
                  <c:v>-1.1724675324675324</c:v>
                </c:pt>
                <c:pt idx="240">
                  <c:v>-1.1724675324675324</c:v>
                </c:pt>
                <c:pt idx="241">
                  <c:v>-1.1724675324675324</c:v>
                </c:pt>
                <c:pt idx="242">
                  <c:v>-1.1724675324675324</c:v>
                </c:pt>
                <c:pt idx="243">
                  <c:v>-1.1724675324675324</c:v>
                </c:pt>
                <c:pt idx="244">
                  <c:v>-1.1724675324675324</c:v>
                </c:pt>
                <c:pt idx="245">
                  <c:v>-1.1724675324675324</c:v>
                </c:pt>
                <c:pt idx="246">
                  <c:v>-1.1724675324675324</c:v>
                </c:pt>
                <c:pt idx="247">
                  <c:v>-1.1724675324675324</c:v>
                </c:pt>
                <c:pt idx="248">
                  <c:v>-1.1724675324675324</c:v>
                </c:pt>
                <c:pt idx="249">
                  <c:v>-1.1724675324675324</c:v>
                </c:pt>
                <c:pt idx="250">
                  <c:v>-1.1724675324675324</c:v>
                </c:pt>
                <c:pt idx="251">
                  <c:v>-1.1724675324675324</c:v>
                </c:pt>
                <c:pt idx="252">
                  <c:v>-1.1724675324675324</c:v>
                </c:pt>
                <c:pt idx="253">
                  <c:v>-1.1724675324675324</c:v>
                </c:pt>
                <c:pt idx="254">
                  <c:v>-1.1724675324675324</c:v>
                </c:pt>
                <c:pt idx="255">
                  <c:v>-1.1724675324675324</c:v>
                </c:pt>
                <c:pt idx="256">
                  <c:v>-1.1724675324675324</c:v>
                </c:pt>
                <c:pt idx="257">
                  <c:v>-1.1724675324675324</c:v>
                </c:pt>
                <c:pt idx="258">
                  <c:v>-1.1724675324675324</c:v>
                </c:pt>
                <c:pt idx="259">
                  <c:v>-1.1724675324675324</c:v>
                </c:pt>
                <c:pt idx="260">
                  <c:v>-1.1724675324675324</c:v>
                </c:pt>
                <c:pt idx="261">
                  <c:v>-1.1724675324675324</c:v>
                </c:pt>
                <c:pt idx="262">
                  <c:v>-1.1724675324675324</c:v>
                </c:pt>
                <c:pt idx="263">
                  <c:v>-1.1724675324675324</c:v>
                </c:pt>
                <c:pt idx="264">
                  <c:v>-1.1724675324675324</c:v>
                </c:pt>
                <c:pt idx="265">
                  <c:v>-1.1724675324675324</c:v>
                </c:pt>
                <c:pt idx="266">
                  <c:v>-1.1724675324675324</c:v>
                </c:pt>
                <c:pt idx="267">
                  <c:v>-1.1724675324675324</c:v>
                </c:pt>
                <c:pt idx="268">
                  <c:v>-1.1724675324675324</c:v>
                </c:pt>
                <c:pt idx="269">
                  <c:v>-1.1724675324675324</c:v>
                </c:pt>
                <c:pt idx="270">
                  <c:v>-1.1724675324675324</c:v>
                </c:pt>
                <c:pt idx="271">
                  <c:v>-1.1724675324675324</c:v>
                </c:pt>
                <c:pt idx="272">
                  <c:v>-1.1724675324675324</c:v>
                </c:pt>
                <c:pt idx="273">
                  <c:v>-1.1724675324675324</c:v>
                </c:pt>
                <c:pt idx="274">
                  <c:v>-1.1724675324675324</c:v>
                </c:pt>
                <c:pt idx="275">
                  <c:v>-1.1724675324675324</c:v>
                </c:pt>
                <c:pt idx="276">
                  <c:v>-1.1724675324675324</c:v>
                </c:pt>
                <c:pt idx="277">
                  <c:v>-1.1724675324675324</c:v>
                </c:pt>
                <c:pt idx="278">
                  <c:v>-1.1724675324675324</c:v>
                </c:pt>
                <c:pt idx="279">
                  <c:v>-1.1724675324675324</c:v>
                </c:pt>
                <c:pt idx="280">
                  <c:v>-1.1724675324675324</c:v>
                </c:pt>
                <c:pt idx="281">
                  <c:v>-1.1724675324675324</c:v>
                </c:pt>
                <c:pt idx="282">
                  <c:v>-1.1724675324675324</c:v>
                </c:pt>
                <c:pt idx="283">
                  <c:v>-1.1724675324675324</c:v>
                </c:pt>
                <c:pt idx="284">
                  <c:v>-1.1724675324675324</c:v>
                </c:pt>
                <c:pt idx="285">
                  <c:v>-1.1724675324675324</c:v>
                </c:pt>
                <c:pt idx="286">
                  <c:v>-1.1724675324675324</c:v>
                </c:pt>
                <c:pt idx="287">
                  <c:v>-1.1724675324675324</c:v>
                </c:pt>
                <c:pt idx="288">
                  <c:v>-1.1724675324675324</c:v>
                </c:pt>
                <c:pt idx="289">
                  <c:v>-1.1724675324675324</c:v>
                </c:pt>
                <c:pt idx="290">
                  <c:v>-1.1724675324675324</c:v>
                </c:pt>
                <c:pt idx="291">
                  <c:v>-1.1724675324675324</c:v>
                </c:pt>
                <c:pt idx="292">
                  <c:v>-1.1724675324675324</c:v>
                </c:pt>
                <c:pt idx="293">
                  <c:v>-1.1724675324675324</c:v>
                </c:pt>
                <c:pt idx="294">
                  <c:v>-1.1724675324675324</c:v>
                </c:pt>
                <c:pt idx="295">
                  <c:v>-1.1724675324675324</c:v>
                </c:pt>
                <c:pt idx="296">
                  <c:v>-1.1724675324675324</c:v>
                </c:pt>
                <c:pt idx="297">
                  <c:v>-1.1724675324675324</c:v>
                </c:pt>
                <c:pt idx="298">
                  <c:v>-1.1724675324675324</c:v>
                </c:pt>
                <c:pt idx="299">
                  <c:v>-1.1724675324675324</c:v>
                </c:pt>
                <c:pt idx="300">
                  <c:v>-1.1724675324675324</c:v>
                </c:pt>
                <c:pt idx="301">
                  <c:v>-1.1724675324675324</c:v>
                </c:pt>
                <c:pt idx="302">
                  <c:v>-1.1724675324675324</c:v>
                </c:pt>
                <c:pt idx="303">
                  <c:v>-1.1724675324675324</c:v>
                </c:pt>
                <c:pt idx="304">
                  <c:v>-1.1724675324675324</c:v>
                </c:pt>
                <c:pt idx="305">
                  <c:v>-1.1724675324675324</c:v>
                </c:pt>
                <c:pt idx="306">
                  <c:v>-1.1724675324675324</c:v>
                </c:pt>
                <c:pt idx="307">
                  <c:v>-1.1724675324675324</c:v>
                </c:pt>
                <c:pt idx="308">
                  <c:v>-1.1724675324675324</c:v>
                </c:pt>
                <c:pt idx="309">
                  <c:v>-1.1724675324675324</c:v>
                </c:pt>
                <c:pt idx="310">
                  <c:v>-1.1724675324675324</c:v>
                </c:pt>
                <c:pt idx="311">
                  <c:v>-1.1724675324675324</c:v>
                </c:pt>
                <c:pt idx="312">
                  <c:v>-1.1724675324675324</c:v>
                </c:pt>
                <c:pt idx="313">
                  <c:v>-1.1724675324675324</c:v>
                </c:pt>
                <c:pt idx="314">
                  <c:v>-1.1724675324675324</c:v>
                </c:pt>
                <c:pt idx="315">
                  <c:v>-1.1724675324675324</c:v>
                </c:pt>
                <c:pt idx="316">
                  <c:v>-1.1724675324675324</c:v>
                </c:pt>
                <c:pt idx="317">
                  <c:v>-1.1724675324675324</c:v>
                </c:pt>
                <c:pt idx="318">
                  <c:v>-1.1724675324675324</c:v>
                </c:pt>
                <c:pt idx="319">
                  <c:v>-1.1724675324675324</c:v>
                </c:pt>
                <c:pt idx="320">
                  <c:v>-1.1724675324675324</c:v>
                </c:pt>
                <c:pt idx="321">
                  <c:v>-1.1724675324675324</c:v>
                </c:pt>
                <c:pt idx="322">
                  <c:v>-1.1724675324675324</c:v>
                </c:pt>
                <c:pt idx="323">
                  <c:v>-1.1724675324675324</c:v>
                </c:pt>
                <c:pt idx="324">
                  <c:v>-1.1724675324675324</c:v>
                </c:pt>
                <c:pt idx="325">
                  <c:v>-1.1724675324675324</c:v>
                </c:pt>
                <c:pt idx="326">
                  <c:v>-1.1724675324675324</c:v>
                </c:pt>
                <c:pt idx="327">
                  <c:v>-1.1724675324675324</c:v>
                </c:pt>
                <c:pt idx="328">
                  <c:v>-1.1724675324675324</c:v>
                </c:pt>
                <c:pt idx="329">
                  <c:v>-1.1724675324675324</c:v>
                </c:pt>
                <c:pt idx="330">
                  <c:v>-1.1724675324675324</c:v>
                </c:pt>
                <c:pt idx="331">
                  <c:v>-1.1724675324675324</c:v>
                </c:pt>
                <c:pt idx="332">
                  <c:v>-1.1724675324675324</c:v>
                </c:pt>
                <c:pt idx="333">
                  <c:v>-1.1724675324675324</c:v>
                </c:pt>
                <c:pt idx="334">
                  <c:v>-1.1724675324675324</c:v>
                </c:pt>
                <c:pt idx="335">
                  <c:v>-1.1724675324675324</c:v>
                </c:pt>
                <c:pt idx="336">
                  <c:v>-1.1724675324675324</c:v>
                </c:pt>
                <c:pt idx="337">
                  <c:v>-1.1724675324675324</c:v>
                </c:pt>
                <c:pt idx="338">
                  <c:v>-1.1724675324675324</c:v>
                </c:pt>
                <c:pt idx="339">
                  <c:v>-1.1724675324675324</c:v>
                </c:pt>
                <c:pt idx="340">
                  <c:v>-1.1724675324675324</c:v>
                </c:pt>
                <c:pt idx="341">
                  <c:v>-1.1724675324675324</c:v>
                </c:pt>
                <c:pt idx="342">
                  <c:v>-1.1724675324675324</c:v>
                </c:pt>
                <c:pt idx="343">
                  <c:v>-1.1724675324675324</c:v>
                </c:pt>
                <c:pt idx="344">
                  <c:v>-1.1724675324675324</c:v>
                </c:pt>
                <c:pt idx="345">
                  <c:v>-1.1724675324675324</c:v>
                </c:pt>
                <c:pt idx="346">
                  <c:v>-1.1724675324675324</c:v>
                </c:pt>
                <c:pt idx="347">
                  <c:v>-1.1724675324675324</c:v>
                </c:pt>
                <c:pt idx="348">
                  <c:v>-1.1724675324675324</c:v>
                </c:pt>
                <c:pt idx="349">
                  <c:v>-1.1724675324675324</c:v>
                </c:pt>
                <c:pt idx="350">
                  <c:v>-1.1724675324675324</c:v>
                </c:pt>
                <c:pt idx="351">
                  <c:v>-1.1724675324675324</c:v>
                </c:pt>
                <c:pt idx="352">
                  <c:v>-1.1724675324675324</c:v>
                </c:pt>
                <c:pt idx="353">
                  <c:v>-1.1724675324675324</c:v>
                </c:pt>
                <c:pt idx="354">
                  <c:v>-1.1724675324675324</c:v>
                </c:pt>
                <c:pt idx="355">
                  <c:v>-1.1724675324675324</c:v>
                </c:pt>
                <c:pt idx="356">
                  <c:v>-1.1724675324675324</c:v>
                </c:pt>
                <c:pt idx="357">
                  <c:v>-1.1724675324675324</c:v>
                </c:pt>
                <c:pt idx="358">
                  <c:v>-1.1724675324675324</c:v>
                </c:pt>
                <c:pt idx="359">
                  <c:v>-1.1724675324675324</c:v>
                </c:pt>
                <c:pt idx="360">
                  <c:v>-1.1724675324675324</c:v>
                </c:pt>
                <c:pt idx="361">
                  <c:v>-1.1724675324675324</c:v>
                </c:pt>
                <c:pt idx="362">
                  <c:v>-1.1724675324675324</c:v>
                </c:pt>
                <c:pt idx="363">
                  <c:v>-1.1724675324675324</c:v>
                </c:pt>
                <c:pt idx="364">
                  <c:v>-1.1724675324675324</c:v>
                </c:pt>
                <c:pt idx="365">
                  <c:v>-1.1724675324675324</c:v>
                </c:pt>
                <c:pt idx="366">
                  <c:v>-1.1724675324675324</c:v>
                </c:pt>
                <c:pt idx="367">
                  <c:v>-1.1724675324675324</c:v>
                </c:pt>
                <c:pt idx="368">
                  <c:v>-1.1724675324675324</c:v>
                </c:pt>
                <c:pt idx="369">
                  <c:v>-1.1724675324675324</c:v>
                </c:pt>
                <c:pt idx="370">
                  <c:v>-1.1724675324675324</c:v>
                </c:pt>
                <c:pt idx="371">
                  <c:v>-1.1724675324675324</c:v>
                </c:pt>
                <c:pt idx="372">
                  <c:v>-1.1724675324675324</c:v>
                </c:pt>
                <c:pt idx="373">
                  <c:v>-1.1724675324675324</c:v>
                </c:pt>
                <c:pt idx="374">
                  <c:v>-1.1724675324675324</c:v>
                </c:pt>
                <c:pt idx="375">
                  <c:v>-1.1724675324675324</c:v>
                </c:pt>
                <c:pt idx="376">
                  <c:v>-1.1724675324675324</c:v>
                </c:pt>
                <c:pt idx="377">
                  <c:v>-1.1724675324675324</c:v>
                </c:pt>
                <c:pt idx="378">
                  <c:v>-1.1724675324675324</c:v>
                </c:pt>
                <c:pt idx="379">
                  <c:v>-1.1724675324675324</c:v>
                </c:pt>
                <c:pt idx="380">
                  <c:v>-1.1724675324675324</c:v>
                </c:pt>
                <c:pt idx="381">
                  <c:v>-1.1724675324675324</c:v>
                </c:pt>
                <c:pt idx="382">
                  <c:v>-1.1724675324675324</c:v>
                </c:pt>
                <c:pt idx="383">
                  <c:v>-1.1724675324675324</c:v>
                </c:pt>
                <c:pt idx="384">
                  <c:v>-1.1724675324675324</c:v>
                </c:pt>
                <c:pt idx="385">
                  <c:v>-1.1724675324675324</c:v>
                </c:pt>
                <c:pt idx="386">
                  <c:v>-1.1724675324675324</c:v>
                </c:pt>
                <c:pt idx="387">
                  <c:v>-1.1724675324675324</c:v>
                </c:pt>
                <c:pt idx="388">
                  <c:v>-1.1724675324675324</c:v>
                </c:pt>
                <c:pt idx="389">
                  <c:v>-1.1724675324675324</c:v>
                </c:pt>
                <c:pt idx="390">
                  <c:v>-1.1724675324675324</c:v>
                </c:pt>
                <c:pt idx="391">
                  <c:v>-1.1724675324675324</c:v>
                </c:pt>
                <c:pt idx="392">
                  <c:v>-1.1724675324675324</c:v>
                </c:pt>
                <c:pt idx="393">
                  <c:v>-1.1724675324675324</c:v>
                </c:pt>
                <c:pt idx="394">
                  <c:v>-1.1724675324675324</c:v>
                </c:pt>
                <c:pt idx="395">
                  <c:v>-1.1724675324675324</c:v>
                </c:pt>
                <c:pt idx="396">
                  <c:v>-1.1724675324675324</c:v>
                </c:pt>
                <c:pt idx="397">
                  <c:v>-1.1724675324675324</c:v>
                </c:pt>
                <c:pt idx="398">
                  <c:v>-1.1724675324675324</c:v>
                </c:pt>
                <c:pt idx="399">
                  <c:v>-1.1724675324675324</c:v>
                </c:pt>
                <c:pt idx="400">
                  <c:v>-1.1724675324675324</c:v>
                </c:pt>
              </c:numCache>
            </c:numRef>
          </c:yVal>
          <c:smooth val="0"/>
          <c:extLst>
            <c:ext xmlns:c16="http://schemas.microsoft.com/office/drawing/2014/chart" uri="{C3380CC4-5D6E-409C-BE32-E72D297353CC}">
              <c16:uniqueId val="{00000010-1DFF-4DFC-B6E9-D86B6FD0EE9D}"/>
            </c:ext>
          </c:extLst>
        </c:ser>
        <c:ser>
          <c:idx val="14"/>
          <c:order val="14"/>
          <c:tx>
            <c:v>intersect line 1</c:v>
          </c:tx>
          <c:spPr>
            <a:ln w="19050" cap="rnd">
              <a:solidFill>
                <a:schemeClr val="accent3">
                  <a:lumMod val="80000"/>
                  <a:lumOff val="20000"/>
                </a:schemeClr>
              </a:solidFill>
              <a:round/>
            </a:ln>
            <a:effectLst/>
          </c:spPr>
          <c:marker>
            <c:symbol val="circle"/>
            <c:size val="7"/>
            <c:spPr>
              <a:solidFill>
                <a:schemeClr val="accent4"/>
              </a:solidFill>
              <a:ln w="9525">
                <a:solidFill>
                  <a:schemeClr val="accent4"/>
                </a:solidFill>
              </a:ln>
              <a:effectLst/>
            </c:spPr>
          </c:marker>
          <c:dPt>
            <c:idx val="1"/>
            <c:marker>
              <c:symbol val="circle"/>
              <c:size val="7"/>
              <c:spPr>
                <a:solidFill>
                  <a:schemeClr val="accent4"/>
                </a:solidFill>
                <a:ln w="9525">
                  <a:solidFill>
                    <a:schemeClr val="accent4"/>
                  </a:solidFill>
                </a:ln>
                <a:effectLst/>
              </c:spPr>
            </c:marker>
            <c:bubble3D val="0"/>
            <c:spPr>
              <a:ln w="25400" cap="rnd">
                <a:solidFill>
                  <a:schemeClr val="accent4"/>
                </a:solidFill>
                <a:round/>
              </a:ln>
              <a:effectLst/>
            </c:spPr>
            <c:extLst>
              <c:ext xmlns:c16="http://schemas.microsoft.com/office/drawing/2014/chart" uri="{C3380CC4-5D6E-409C-BE32-E72D297353CC}">
                <c16:uniqueId val="{00000012-1DFF-4DFC-B6E9-D86B6FD0EE9D}"/>
              </c:ext>
            </c:extLst>
          </c:dPt>
          <c:xVal>
            <c:numRef>
              <c:f>'V-N Diagram'!$AA$37:$AA$38</c:f>
              <c:numCache>
                <c:formatCode>General</c:formatCode>
                <c:ptCount val="2"/>
                <c:pt idx="0">
                  <c:v>378</c:v>
                </c:pt>
                <c:pt idx="1">
                  <c:v>250</c:v>
                </c:pt>
              </c:numCache>
            </c:numRef>
          </c:xVal>
          <c:yVal>
            <c:numRef>
              <c:f>'V-N Diagram'!$AB$37:$AB$38</c:f>
              <c:numCache>
                <c:formatCode>General</c:formatCode>
                <c:ptCount val="2"/>
                <c:pt idx="0">
                  <c:v>-1.5489635911283322</c:v>
                </c:pt>
                <c:pt idx="1">
                  <c:v>-2.3716449618099626</c:v>
                </c:pt>
              </c:numCache>
            </c:numRef>
          </c:yVal>
          <c:smooth val="0"/>
          <c:extLst>
            <c:ext xmlns:c16="http://schemas.microsoft.com/office/drawing/2014/chart" uri="{C3380CC4-5D6E-409C-BE32-E72D297353CC}">
              <c16:uniqueId val="{00000013-1DFF-4DFC-B6E9-D86B6FD0EE9D}"/>
            </c:ext>
          </c:extLst>
        </c:ser>
        <c:ser>
          <c:idx val="15"/>
          <c:order val="15"/>
          <c:tx>
            <c:v>intersect line 2</c:v>
          </c:tx>
          <c:spPr>
            <a:ln w="19050" cap="rnd">
              <a:solidFill>
                <a:schemeClr val="accent4">
                  <a:lumMod val="80000"/>
                  <a:lumOff val="20000"/>
                </a:schemeClr>
              </a:solidFill>
              <a:round/>
            </a:ln>
            <a:effectLst/>
          </c:spPr>
          <c:marker>
            <c:symbol val="circle"/>
            <c:size val="7"/>
            <c:spPr>
              <a:solidFill>
                <a:schemeClr val="accent4"/>
              </a:solidFill>
              <a:ln w="9525">
                <a:solidFill>
                  <a:schemeClr val="accent4"/>
                </a:solidFill>
              </a:ln>
              <a:effectLst/>
            </c:spPr>
          </c:marker>
          <c:dPt>
            <c:idx val="1"/>
            <c:marker>
              <c:symbol val="circle"/>
              <c:size val="7"/>
              <c:spPr>
                <a:solidFill>
                  <a:schemeClr val="accent4"/>
                </a:solidFill>
                <a:ln w="9525">
                  <a:solidFill>
                    <a:schemeClr val="accent4"/>
                  </a:solidFill>
                </a:ln>
                <a:effectLst/>
              </c:spPr>
            </c:marker>
            <c:bubble3D val="0"/>
            <c:spPr>
              <a:ln w="25400" cap="rnd">
                <a:solidFill>
                  <a:schemeClr val="accent4"/>
                </a:solidFill>
                <a:round/>
              </a:ln>
              <a:effectLst/>
            </c:spPr>
            <c:extLst>
              <c:ext xmlns:c16="http://schemas.microsoft.com/office/drawing/2014/chart" uri="{C3380CC4-5D6E-409C-BE32-E72D297353CC}">
                <c16:uniqueId val="{00000015-1DFF-4DFC-B6E9-D86B6FD0EE9D}"/>
              </c:ext>
            </c:extLst>
          </c:dPt>
          <c:xVal>
            <c:numRef>
              <c:f>'V-N Diagram'!$AC$37:$AC$38</c:f>
              <c:numCache>
                <c:formatCode>General</c:formatCode>
                <c:ptCount val="2"/>
                <c:pt idx="0">
                  <c:v>378</c:v>
                </c:pt>
                <c:pt idx="1">
                  <c:v>250</c:v>
                </c:pt>
              </c:numCache>
            </c:numRef>
          </c:xVal>
          <c:yVal>
            <c:numRef>
              <c:f>'V-N Diagram'!$AD$37:$AD$38</c:f>
              <c:numCache>
                <c:formatCode>General</c:formatCode>
                <c:ptCount val="2"/>
                <c:pt idx="0">
                  <c:v>3.5489635911283322</c:v>
                </c:pt>
                <c:pt idx="1">
                  <c:v>4.3716449618099631</c:v>
                </c:pt>
              </c:numCache>
            </c:numRef>
          </c:yVal>
          <c:smooth val="0"/>
          <c:extLst>
            <c:ext xmlns:c16="http://schemas.microsoft.com/office/drawing/2014/chart" uri="{C3380CC4-5D6E-409C-BE32-E72D297353CC}">
              <c16:uniqueId val="{00000016-1DFF-4DFC-B6E9-D86B6FD0EE9D}"/>
            </c:ext>
          </c:extLst>
        </c:ser>
        <c:ser>
          <c:idx val="16"/>
          <c:order val="16"/>
          <c:tx>
            <c:v>zero line</c:v>
          </c:tx>
          <c:spPr>
            <a:ln w="25400" cap="rnd">
              <a:solidFill>
                <a:schemeClr val="accent4">
                  <a:alpha val="83000"/>
                </a:schemeClr>
              </a:solidFill>
              <a:round/>
            </a:ln>
            <a:effectLst/>
          </c:spPr>
          <c:marker>
            <c:symbol val="circle"/>
            <c:size val="7"/>
            <c:spPr>
              <a:solidFill>
                <a:schemeClr val="accent4"/>
              </a:solidFill>
              <a:ln w="9525">
                <a:solidFill>
                  <a:schemeClr val="accent4"/>
                </a:solidFill>
              </a:ln>
              <a:effectLst/>
            </c:spPr>
          </c:marker>
          <c:xVal>
            <c:numRef>
              <c:f>'V-N Diagram'!$AA$40:$AA$41</c:f>
              <c:numCache>
                <c:formatCode>General</c:formatCode>
                <c:ptCount val="2"/>
                <c:pt idx="0" formatCode="0.00">
                  <c:v>91.394094063596299</c:v>
                </c:pt>
                <c:pt idx="1">
                  <c:v>108.13895043686934</c:v>
                </c:pt>
              </c:numCache>
            </c:numRef>
          </c:xVal>
          <c:yVal>
            <c:numRef>
              <c:f>'V-N Diagram'!$AB$40:$AB$41</c:f>
              <c:numCache>
                <c:formatCode>General</c:formatCode>
                <c:ptCount val="2"/>
                <c:pt idx="0">
                  <c:v>0</c:v>
                </c:pt>
                <c:pt idx="1">
                  <c:v>0</c:v>
                </c:pt>
              </c:numCache>
            </c:numRef>
          </c:yVal>
          <c:smooth val="0"/>
          <c:extLst>
            <c:ext xmlns:c16="http://schemas.microsoft.com/office/drawing/2014/chart" uri="{C3380CC4-5D6E-409C-BE32-E72D297353CC}">
              <c16:uniqueId val="{00000017-1DFF-4DFC-B6E9-D86B6FD0EE9D}"/>
            </c:ext>
          </c:extLst>
        </c:ser>
        <c:ser>
          <c:idx val="17"/>
          <c:order val="17"/>
          <c:tx>
            <c:strRef>
              <c:f>'V-N Diagram'!$Y$36</c:f>
              <c:strCache>
                <c:ptCount val="1"/>
                <c:pt idx="0">
                  <c:v>ng1</c:v>
                </c:pt>
              </c:strCache>
            </c:strRef>
          </c:tx>
          <c:spPr>
            <a:ln w="12700" cap="rnd">
              <a:solidFill>
                <a:schemeClr val="accent3">
                  <a:alpha val="90000"/>
                </a:schemeClr>
              </a:solidFill>
              <a:prstDash val="dash"/>
              <a:round/>
            </a:ln>
            <a:effectLst/>
          </c:spPr>
          <c:marker>
            <c:symbol val="none"/>
          </c:marker>
          <c:xVal>
            <c:numRef>
              <c:f>'V-N Diagram'!$O$37:$O$437</c:f>
              <c:numCache>
                <c:formatCode>General</c:formatCode>
                <c:ptCount val="4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numCache>
            </c:numRef>
          </c:xVal>
          <c:yVal>
            <c:numRef>
              <c:f>'V-N Diagram'!$Y$37:$Y$437</c:f>
              <c:numCache>
                <c:formatCode>General</c:formatCode>
                <c:ptCount val="401"/>
                <c:pt idx="0">
                  <c:v>1</c:v>
                </c:pt>
                <c:pt idx="1">
                  <c:v>0.98793125808571358</c:v>
                </c:pt>
                <c:pt idx="2">
                  <c:v>0.97586251617142727</c:v>
                </c:pt>
                <c:pt idx="3">
                  <c:v>0.96379377425714097</c:v>
                </c:pt>
                <c:pt idx="4">
                  <c:v>0.95172503234285455</c:v>
                </c:pt>
                <c:pt idx="5">
                  <c:v>0.93965629042856813</c:v>
                </c:pt>
                <c:pt idx="6">
                  <c:v>0.92758754851428182</c:v>
                </c:pt>
                <c:pt idx="7">
                  <c:v>0.91551880659999541</c:v>
                </c:pt>
                <c:pt idx="8">
                  <c:v>0.9034500646857091</c:v>
                </c:pt>
                <c:pt idx="9">
                  <c:v>0.89138132277142268</c:v>
                </c:pt>
                <c:pt idx="10">
                  <c:v>0.87931258085713637</c:v>
                </c:pt>
                <c:pt idx="11">
                  <c:v>0.86724383894284995</c:v>
                </c:pt>
                <c:pt idx="12">
                  <c:v>0.85517509702856365</c:v>
                </c:pt>
                <c:pt idx="13">
                  <c:v>0.84310635511427723</c:v>
                </c:pt>
                <c:pt idx="14">
                  <c:v>0.83103761319999092</c:v>
                </c:pt>
                <c:pt idx="15">
                  <c:v>0.8189688712857045</c:v>
                </c:pt>
                <c:pt idx="16">
                  <c:v>0.8069001293714182</c:v>
                </c:pt>
                <c:pt idx="17">
                  <c:v>0.79483138745713178</c:v>
                </c:pt>
                <c:pt idx="18">
                  <c:v>0.78276264554284536</c:v>
                </c:pt>
                <c:pt idx="19">
                  <c:v>0.77069390362855905</c:v>
                </c:pt>
                <c:pt idx="20">
                  <c:v>0.75862516171427274</c:v>
                </c:pt>
                <c:pt idx="21">
                  <c:v>0.74655641979998633</c:v>
                </c:pt>
                <c:pt idx="22">
                  <c:v>0.73448767788569991</c:v>
                </c:pt>
                <c:pt idx="23">
                  <c:v>0.72241893597141371</c:v>
                </c:pt>
                <c:pt idx="24">
                  <c:v>0.71035019405712729</c:v>
                </c:pt>
                <c:pt idx="25">
                  <c:v>0.69828145214284087</c:v>
                </c:pt>
                <c:pt idx="26">
                  <c:v>0.68621271022855446</c:v>
                </c:pt>
                <c:pt idx="27">
                  <c:v>0.67414396831426815</c:v>
                </c:pt>
                <c:pt idx="28">
                  <c:v>0.66207522639998184</c:v>
                </c:pt>
                <c:pt idx="29">
                  <c:v>0.65000648448569542</c:v>
                </c:pt>
                <c:pt idx="30">
                  <c:v>0.63793774257140901</c:v>
                </c:pt>
                <c:pt idx="31">
                  <c:v>0.62586900065712281</c:v>
                </c:pt>
                <c:pt idx="32">
                  <c:v>0.61380025874283639</c:v>
                </c:pt>
                <c:pt idx="33">
                  <c:v>0.60173151682854997</c:v>
                </c:pt>
                <c:pt idx="34">
                  <c:v>0.58966277491426367</c:v>
                </c:pt>
                <c:pt idx="35">
                  <c:v>0.57759403299997725</c:v>
                </c:pt>
                <c:pt idx="36">
                  <c:v>0.56552529108569083</c:v>
                </c:pt>
                <c:pt idx="37">
                  <c:v>0.55345654917140452</c:v>
                </c:pt>
                <c:pt idx="38">
                  <c:v>0.5413878072571181</c:v>
                </c:pt>
                <c:pt idx="39">
                  <c:v>0.5293190653428318</c:v>
                </c:pt>
                <c:pt idx="40">
                  <c:v>0.51725032342854538</c:v>
                </c:pt>
                <c:pt idx="41">
                  <c:v>0.50518158151425907</c:v>
                </c:pt>
                <c:pt idx="42">
                  <c:v>0.49311283959997276</c:v>
                </c:pt>
                <c:pt idx="43">
                  <c:v>0.48104409768568634</c:v>
                </c:pt>
                <c:pt idx="44">
                  <c:v>0.46897535577139993</c:v>
                </c:pt>
                <c:pt idx="45">
                  <c:v>0.45690661385711362</c:v>
                </c:pt>
                <c:pt idx="46">
                  <c:v>0.44483787194282731</c:v>
                </c:pt>
                <c:pt idx="47">
                  <c:v>0.43276913002854089</c:v>
                </c:pt>
                <c:pt idx="48">
                  <c:v>0.42070038811425459</c:v>
                </c:pt>
                <c:pt idx="49">
                  <c:v>0.40863164619996817</c:v>
                </c:pt>
                <c:pt idx="50">
                  <c:v>0.39656290428568186</c:v>
                </c:pt>
                <c:pt idx="51">
                  <c:v>0.38449416237139544</c:v>
                </c:pt>
                <c:pt idx="52">
                  <c:v>0.37242542045710902</c:v>
                </c:pt>
                <c:pt idx="53">
                  <c:v>0.36035667854282261</c:v>
                </c:pt>
                <c:pt idx="54">
                  <c:v>0.3482879366285363</c:v>
                </c:pt>
                <c:pt idx="55">
                  <c:v>0.33621919471424988</c:v>
                </c:pt>
                <c:pt idx="56">
                  <c:v>0.32415045279996357</c:v>
                </c:pt>
                <c:pt idx="57">
                  <c:v>0.31208171088567715</c:v>
                </c:pt>
                <c:pt idx="58">
                  <c:v>0.30001296897139085</c:v>
                </c:pt>
                <c:pt idx="59">
                  <c:v>0.28794422705710454</c:v>
                </c:pt>
                <c:pt idx="60">
                  <c:v>0.27587548514281801</c:v>
                </c:pt>
                <c:pt idx="61">
                  <c:v>0.2638067432285317</c:v>
                </c:pt>
                <c:pt idx="62">
                  <c:v>0.25173800131424551</c:v>
                </c:pt>
                <c:pt idx="63">
                  <c:v>0.23966925939995898</c:v>
                </c:pt>
                <c:pt idx="64">
                  <c:v>0.22760051748567267</c:v>
                </c:pt>
                <c:pt idx="65">
                  <c:v>0.21553177557138636</c:v>
                </c:pt>
                <c:pt idx="66">
                  <c:v>0.20346303365709995</c:v>
                </c:pt>
                <c:pt idx="67">
                  <c:v>0.19139429174281364</c:v>
                </c:pt>
                <c:pt idx="68">
                  <c:v>0.17932554982852733</c:v>
                </c:pt>
                <c:pt idx="69">
                  <c:v>0.1672568079142408</c:v>
                </c:pt>
                <c:pt idx="70">
                  <c:v>0.15518806599995449</c:v>
                </c:pt>
                <c:pt idx="71">
                  <c:v>0.14311932408566796</c:v>
                </c:pt>
                <c:pt idx="72">
                  <c:v>0.13105058217138166</c:v>
                </c:pt>
                <c:pt idx="73">
                  <c:v>0.11898184025709535</c:v>
                </c:pt>
                <c:pt idx="74">
                  <c:v>0.10691309834280893</c:v>
                </c:pt>
                <c:pt idx="75">
                  <c:v>9.4844356428522625E-2</c:v>
                </c:pt>
                <c:pt idx="76">
                  <c:v>8.2775614514236318E-2</c:v>
                </c:pt>
                <c:pt idx="77">
                  <c:v>7.0706872599949899E-2</c:v>
                </c:pt>
                <c:pt idx="78">
                  <c:v>5.8638130685663592E-2</c:v>
                </c:pt>
                <c:pt idx="79">
                  <c:v>4.6569388771377285E-2</c:v>
                </c:pt>
                <c:pt idx="80">
                  <c:v>3.4500646857090755E-2</c:v>
                </c:pt>
                <c:pt idx="81">
                  <c:v>2.2431904942804448E-2</c:v>
                </c:pt>
                <c:pt idx="82">
                  <c:v>1.0363163028518252E-2</c:v>
                </c:pt>
                <c:pt idx="83">
                  <c:v>-1.7055788857682774E-3</c:v>
                </c:pt>
                <c:pt idx="84">
                  <c:v>-1.3774320800054474E-2</c:v>
                </c:pt>
                <c:pt idx="85">
                  <c:v>-2.5843062714341114E-2</c:v>
                </c:pt>
                <c:pt idx="86">
                  <c:v>-3.791180462862731E-2</c:v>
                </c:pt>
                <c:pt idx="87">
                  <c:v>-4.9980546542913729E-2</c:v>
                </c:pt>
                <c:pt idx="88">
                  <c:v>-6.2049288457200147E-2</c:v>
                </c:pt>
                <c:pt idx="89">
                  <c:v>-7.4118030371486343E-2</c:v>
                </c:pt>
                <c:pt idx="90">
                  <c:v>-8.6186772285772761E-2</c:v>
                </c:pt>
                <c:pt idx="91">
                  <c:v>-9.825551420005918E-2</c:v>
                </c:pt>
                <c:pt idx="92">
                  <c:v>-0.11032425611434538</c:v>
                </c:pt>
                <c:pt idx="93">
                  <c:v>-0.12239299802863179</c:v>
                </c:pt>
                <c:pt idx="94">
                  <c:v>-0.13446173994291821</c:v>
                </c:pt>
                <c:pt idx="95">
                  <c:v>-0.14653048185720463</c:v>
                </c:pt>
                <c:pt idx="96">
                  <c:v>-0.15859922377149083</c:v>
                </c:pt>
                <c:pt idx="97">
                  <c:v>-0.17066796568577725</c:v>
                </c:pt>
                <c:pt idx="98">
                  <c:v>-0.18273670760006366</c:v>
                </c:pt>
                <c:pt idx="99">
                  <c:v>-0.19480544951435008</c:v>
                </c:pt>
                <c:pt idx="100">
                  <c:v>-0.20687419142863628</c:v>
                </c:pt>
                <c:pt idx="101">
                  <c:v>-0.2189429333429227</c:v>
                </c:pt>
                <c:pt idx="102">
                  <c:v>-0.23101167525720911</c:v>
                </c:pt>
                <c:pt idx="103">
                  <c:v>-0.24308041717149553</c:v>
                </c:pt>
                <c:pt idx="104">
                  <c:v>-0.25514915908578195</c:v>
                </c:pt>
                <c:pt idx="105">
                  <c:v>-0.26721790100006837</c:v>
                </c:pt>
                <c:pt idx="106">
                  <c:v>-0.27928664291435479</c:v>
                </c:pt>
                <c:pt idx="107">
                  <c:v>-0.29135538482864098</c:v>
                </c:pt>
                <c:pt idx="108">
                  <c:v>-0.3034241267429274</c:v>
                </c:pt>
                <c:pt idx="109">
                  <c:v>-0.31549286865721382</c:v>
                </c:pt>
                <c:pt idx="110">
                  <c:v>-0.32756161057150024</c:v>
                </c:pt>
                <c:pt idx="111">
                  <c:v>-0.33963035248578644</c:v>
                </c:pt>
                <c:pt idx="112">
                  <c:v>-0.35169909440007285</c:v>
                </c:pt>
                <c:pt idx="113">
                  <c:v>-0.36376783631435927</c:v>
                </c:pt>
                <c:pt idx="114">
                  <c:v>-0.37583657822864569</c:v>
                </c:pt>
                <c:pt idx="115">
                  <c:v>-0.38790532014293189</c:v>
                </c:pt>
                <c:pt idx="116">
                  <c:v>-0.3999740620572183</c:v>
                </c:pt>
                <c:pt idx="117">
                  <c:v>-0.41204280397150472</c:v>
                </c:pt>
                <c:pt idx="118">
                  <c:v>-0.42411154588579092</c:v>
                </c:pt>
                <c:pt idx="119">
                  <c:v>-0.43618028780007734</c:v>
                </c:pt>
                <c:pt idx="120">
                  <c:v>-0.44824902971436398</c:v>
                </c:pt>
                <c:pt idx="121">
                  <c:v>-0.46031777162865017</c:v>
                </c:pt>
                <c:pt idx="122">
                  <c:v>-0.47238651354293659</c:v>
                </c:pt>
                <c:pt idx="123">
                  <c:v>-0.48445525545722279</c:v>
                </c:pt>
                <c:pt idx="124">
                  <c:v>-0.49652399737150898</c:v>
                </c:pt>
                <c:pt idx="125">
                  <c:v>-0.5085927392857954</c:v>
                </c:pt>
                <c:pt idx="126">
                  <c:v>-0.52066148120008204</c:v>
                </c:pt>
                <c:pt idx="127">
                  <c:v>-0.53273022311436824</c:v>
                </c:pt>
                <c:pt idx="128">
                  <c:v>-0.54479896502865466</c:v>
                </c:pt>
                <c:pt idx="129">
                  <c:v>-0.55686770694294085</c:v>
                </c:pt>
                <c:pt idx="130">
                  <c:v>-0.56893644885722727</c:v>
                </c:pt>
                <c:pt idx="131">
                  <c:v>-0.58100519077151391</c:v>
                </c:pt>
                <c:pt idx="132">
                  <c:v>-0.59307393268580011</c:v>
                </c:pt>
                <c:pt idx="133">
                  <c:v>-0.60514267460008653</c:v>
                </c:pt>
                <c:pt idx="134">
                  <c:v>-0.61721141651437272</c:v>
                </c:pt>
                <c:pt idx="135">
                  <c:v>-0.62928015842865914</c:v>
                </c:pt>
                <c:pt idx="136">
                  <c:v>-0.64134890034294534</c:v>
                </c:pt>
                <c:pt idx="137">
                  <c:v>-0.65341764225723198</c:v>
                </c:pt>
                <c:pt idx="138">
                  <c:v>-0.6654863841715184</c:v>
                </c:pt>
                <c:pt idx="139">
                  <c:v>-0.67755512608580482</c:v>
                </c:pt>
                <c:pt idx="140">
                  <c:v>-0.68962386800009101</c:v>
                </c:pt>
                <c:pt idx="141">
                  <c:v>-0.70169260991437743</c:v>
                </c:pt>
                <c:pt idx="142">
                  <c:v>-0.71376135182866407</c:v>
                </c:pt>
                <c:pt idx="143">
                  <c:v>-0.72583009374295027</c:v>
                </c:pt>
                <c:pt idx="144">
                  <c:v>-0.73789883565723668</c:v>
                </c:pt>
                <c:pt idx="145">
                  <c:v>-0.74996757757152288</c:v>
                </c:pt>
                <c:pt idx="146">
                  <c:v>-0.7620363194858093</c:v>
                </c:pt>
                <c:pt idx="147">
                  <c:v>-0.7741050614000955</c:v>
                </c:pt>
                <c:pt idx="148">
                  <c:v>-0.78617380331438214</c:v>
                </c:pt>
                <c:pt idx="149">
                  <c:v>-0.79824254522866855</c:v>
                </c:pt>
                <c:pt idx="150">
                  <c:v>-0.81031128714295475</c:v>
                </c:pt>
                <c:pt idx="151">
                  <c:v>-0.82238002905724095</c:v>
                </c:pt>
                <c:pt idx="152">
                  <c:v>-0.83444877097152736</c:v>
                </c:pt>
                <c:pt idx="153">
                  <c:v>-0.84651751288581356</c:v>
                </c:pt>
                <c:pt idx="154">
                  <c:v>-0.8585862548001002</c:v>
                </c:pt>
                <c:pt idx="155">
                  <c:v>-0.87065499671438662</c:v>
                </c:pt>
                <c:pt idx="156">
                  <c:v>-0.88272373862867282</c:v>
                </c:pt>
                <c:pt idx="157">
                  <c:v>-0.89479248054295923</c:v>
                </c:pt>
                <c:pt idx="158">
                  <c:v>-0.90686122245724543</c:v>
                </c:pt>
                <c:pt idx="159">
                  <c:v>-0.91892996437153207</c:v>
                </c:pt>
                <c:pt idx="160">
                  <c:v>-0.93099870628581849</c:v>
                </c:pt>
                <c:pt idx="161">
                  <c:v>-0.94306744820010469</c:v>
                </c:pt>
                <c:pt idx="162">
                  <c:v>-0.9551361901143911</c:v>
                </c:pt>
                <c:pt idx="163">
                  <c:v>-0.9672049320286773</c:v>
                </c:pt>
                <c:pt idx="164">
                  <c:v>-0.9792736739429635</c:v>
                </c:pt>
                <c:pt idx="165">
                  <c:v>-0.99134241585725036</c:v>
                </c:pt>
                <c:pt idx="166">
                  <c:v>-1.0034111577715366</c:v>
                </c:pt>
                <c:pt idx="167">
                  <c:v>-1.0154798996858228</c:v>
                </c:pt>
                <c:pt idx="168">
                  <c:v>-1.0275486416001089</c:v>
                </c:pt>
                <c:pt idx="169">
                  <c:v>-1.0396173835143956</c:v>
                </c:pt>
                <c:pt idx="170">
                  <c:v>-1.0516861254286822</c:v>
                </c:pt>
                <c:pt idx="171">
                  <c:v>-1.0637548673429684</c:v>
                </c:pt>
                <c:pt idx="172">
                  <c:v>-1.0758236092572546</c:v>
                </c:pt>
                <c:pt idx="173">
                  <c:v>-1.0878923511715408</c:v>
                </c:pt>
                <c:pt idx="174">
                  <c:v>-1.0999610930858275</c:v>
                </c:pt>
                <c:pt idx="175">
                  <c:v>-1.1120298350001137</c:v>
                </c:pt>
                <c:pt idx="176">
                  <c:v>-1.1240985769144003</c:v>
                </c:pt>
                <c:pt idx="177">
                  <c:v>-1.1361673188286865</c:v>
                </c:pt>
                <c:pt idx="178">
                  <c:v>-1.1482360607429727</c:v>
                </c:pt>
                <c:pt idx="179">
                  <c:v>-1.1603048026572593</c:v>
                </c:pt>
                <c:pt idx="180">
                  <c:v>-1.1723735445715455</c:v>
                </c:pt>
                <c:pt idx="181">
                  <c:v>-1.1844422864858322</c:v>
                </c:pt>
                <c:pt idx="182">
                  <c:v>-1.1965110284001184</c:v>
                </c:pt>
                <c:pt idx="183">
                  <c:v>-1.2085797703144046</c:v>
                </c:pt>
                <c:pt idx="184">
                  <c:v>-1.2206485122286908</c:v>
                </c:pt>
                <c:pt idx="185">
                  <c:v>-1.2327172541429774</c:v>
                </c:pt>
                <c:pt idx="186">
                  <c:v>-1.2447859960572636</c:v>
                </c:pt>
                <c:pt idx="187">
                  <c:v>-1.2568547379715502</c:v>
                </c:pt>
                <c:pt idx="188">
                  <c:v>-1.2689234798858364</c:v>
                </c:pt>
                <c:pt idx="189">
                  <c:v>-1.2809922218001226</c:v>
                </c:pt>
                <c:pt idx="190">
                  <c:v>-1.2930609637144093</c:v>
                </c:pt>
                <c:pt idx="191">
                  <c:v>-1.3051297056286955</c:v>
                </c:pt>
                <c:pt idx="192">
                  <c:v>-1.3171984475429817</c:v>
                </c:pt>
                <c:pt idx="193">
                  <c:v>-1.3292671894572683</c:v>
                </c:pt>
                <c:pt idx="194">
                  <c:v>-1.3413359313715545</c:v>
                </c:pt>
                <c:pt idx="195">
                  <c:v>-1.3534046732858411</c:v>
                </c:pt>
                <c:pt idx="196">
                  <c:v>-1.3654734152001273</c:v>
                </c:pt>
                <c:pt idx="197">
                  <c:v>-1.3775421571144135</c:v>
                </c:pt>
                <c:pt idx="198">
                  <c:v>-1.3896108990287002</c:v>
                </c:pt>
                <c:pt idx="199">
                  <c:v>-1.4016796409429864</c:v>
                </c:pt>
                <c:pt idx="200">
                  <c:v>-1.4137483828572726</c:v>
                </c:pt>
                <c:pt idx="201">
                  <c:v>-1.4258171247715592</c:v>
                </c:pt>
                <c:pt idx="202">
                  <c:v>-1.4378858666858454</c:v>
                </c:pt>
                <c:pt idx="203">
                  <c:v>-1.449954608600132</c:v>
                </c:pt>
                <c:pt idx="204">
                  <c:v>-1.4620233505144182</c:v>
                </c:pt>
                <c:pt idx="205">
                  <c:v>-1.4740920924287044</c:v>
                </c:pt>
                <c:pt idx="206">
                  <c:v>-1.4861608343429911</c:v>
                </c:pt>
                <c:pt idx="207">
                  <c:v>-1.4982295762572777</c:v>
                </c:pt>
                <c:pt idx="208">
                  <c:v>-1.5102983181715639</c:v>
                </c:pt>
                <c:pt idx="209">
                  <c:v>-1.5223670600858501</c:v>
                </c:pt>
                <c:pt idx="210">
                  <c:v>-1.5344358020001367</c:v>
                </c:pt>
                <c:pt idx="211">
                  <c:v>-1.5465045439144229</c:v>
                </c:pt>
                <c:pt idx="212">
                  <c:v>-1.5585732858287096</c:v>
                </c:pt>
                <c:pt idx="213">
                  <c:v>-1.5706420277429958</c:v>
                </c:pt>
                <c:pt idx="214">
                  <c:v>-1.582710769657282</c:v>
                </c:pt>
                <c:pt idx="215">
                  <c:v>-1.5947795115715686</c:v>
                </c:pt>
                <c:pt idx="216">
                  <c:v>-1.6068482534858548</c:v>
                </c:pt>
                <c:pt idx="217">
                  <c:v>-1.618916995400141</c:v>
                </c:pt>
                <c:pt idx="218">
                  <c:v>-1.6309857373144276</c:v>
                </c:pt>
                <c:pt idx="219">
                  <c:v>-1.6430544792287138</c:v>
                </c:pt>
                <c:pt idx="220">
                  <c:v>-1.6551232211430005</c:v>
                </c:pt>
                <c:pt idx="221">
                  <c:v>-1.6671919630572867</c:v>
                </c:pt>
                <c:pt idx="222">
                  <c:v>-1.6792607049715729</c:v>
                </c:pt>
                <c:pt idx="223">
                  <c:v>-1.6913294468858595</c:v>
                </c:pt>
                <c:pt idx="224">
                  <c:v>-1.7033981888001457</c:v>
                </c:pt>
                <c:pt idx="225">
                  <c:v>-1.7154669307144319</c:v>
                </c:pt>
                <c:pt idx="226">
                  <c:v>-1.7275356726287185</c:v>
                </c:pt>
                <c:pt idx="227">
                  <c:v>-1.7396044145430047</c:v>
                </c:pt>
                <c:pt idx="228">
                  <c:v>-1.7516731564572914</c:v>
                </c:pt>
                <c:pt idx="229">
                  <c:v>-1.7637418983715776</c:v>
                </c:pt>
                <c:pt idx="230">
                  <c:v>-1.7758106402858638</c:v>
                </c:pt>
                <c:pt idx="231">
                  <c:v>-1.7878793822001504</c:v>
                </c:pt>
                <c:pt idx="232">
                  <c:v>-1.7999481241144366</c:v>
                </c:pt>
                <c:pt idx="233">
                  <c:v>-1.8120168660287228</c:v>
                </c:pt>
                <c:pt idx="234">
                  <c:v>-1.8240856079430094</c:v>
                </c:pt>
                <c:pt idx="235">
                  <c:v>-1.8361543498572961</c:v>
                </c:pt>
                <c:pt idx="236">
                  <c:v>-1.8482230917715818</c:v>
                </c:pt>
                <c:pt idx="237">
                  <c:v>-1.8602918336858685</c:v>
                </c:pt>
                <c:pt idx="238">
                  <c:v>-1.8723605756001547</c:v>
                </c:pt>
                <c:pt idx="239">
                  <c:v>-1.8844293175144413</c:v>
                </c:pt>
                <c:pt idx="240">
                  <c:v>-1.896498059428728</c:v>
                </c:pt>
                <c:pt idx="241">
                  <c:v>-1.9085668013430137</c:v>
                </c:pt>
                <c:pt idx="242">
                  <c:v>-1.9206355432573003</c:v>
                </c:pt>
                <c:pt idx="243">
                  <c:v>-1.9327042851715865</c:v>
                </c:pt>
                <c:pt idx="244">
                  <c:v>-1.9447730270858732</c:v>
                </c:pt>
                <c:pt idx="245">
                  <c:v>-1.9568417690001598</c:v>
                </c:pt>
                <c:pt idx="246">
                  <c:v>-1.9689105109144456</c:v>
                </c:pt>
                <c:pt idx="247">
                  <c:v>-1.9809792528287322</c:v>
                </c:pt>
                <c:pt idx="248">
                  <c:v>-1.993047994743018</c:v>
                </c:pt>
                <c:pt idx="249">
                  <c:v>-2.0051167366573046</c:v>
                </c:pt>
                <c:pt idx="250">
                  <c:v>-2.0171854785715908</c:v>
                </c:pt>
                <c:pt idx="251">
                  <c:v>-2.0292542204858774</c:v>
                </c:pt>
                <c:pt idx="252">
                  <c:v>-2.0413229624001641</c:v>
                </c:pt>
                <c:pt idx="253">
                  <c:v>-2.0533917043144498</c:v>
                </c:pt>
                <c:pt idx="254">
                  <c:v>-2.0654604462287365</c:v>
                </c:pt>
                <c:pt idx="255">
                  <c:v>-2.0775291881430227</c:v>
                </c:pt>
                <c:pt idx="256">
                  <c:v>-2.0895979300573093</c:v>
                </c:pt>
                <c:pt idx="257">
                  <c:v>-2.101666671971596</c:v>
                </c:pt>
                <c:pt idx="258">
                  <c:v>-2.1137354138858817</c:v>
                </c:pt>
                <c:pt idx="259">
                  <c:v>-2.1258041558001683</c:v>
                </c:pt>
                <c:pt idx="260">
                  <c:v>-2.1378728977144545</c:v>
                </c:pt>
                <c:pt idx="261">
                  <c:v>-2.1499416396287412</c:v>
                </c:pt>
                <c:pt idx="262">
                  <c:v>-2.1620103815430278</c:v>
                </c:pt>
                <c:pt idx="263">
                  <c:v>-2.1740791234573136</c:v>
                </c:pt>
                <c:pt idx="264">
                  <c:v>-2.1861478653716002</c:v>
                </c:pt>
                <c:pt idx="265">
                  <c:v>-2.1982166072858864</c:v>
                </c:pt>
                <c:pt idx="266">
                  <c:v>-2.2102853492001731</c:v>
                </c:pt>
                <c:pt idx="267">
                  <c:v>-2.2223540911144588</c:v>
                </c:pt>
                <c:pt idx="268">
                  <c:v>-2.2344228330287454</c:v>
                </c:pt>
                <c:pt idx="269">
                  <c:v>-2.2464915749430321</c:v>
                </c:pt>
                <c:pt idx="270">
                  <c:v>-2.2585603168573183</c:v>
                </c:pt>
                <c:pt idx="271">
                  <c:v>-2.2706290587716049</c:v>
                </c:pt>
                <c:pt idx="272">
                  <c:v>-2.2826978006858907</c:v>
                </c:pt>
                <c:pt idx="273">
                  <c:v>-2.2947665426001773</c:v>
                </c:pt>
                <c:pt idx="274">
                  <c:v>-2.306835284514464</c:v>
                </c:pt>
                <c:pt idx="275">
                  <c:v>-2.3189040264287502</c:v>
                </c:pt>
                <c:pt idx="276">
                  <c:v>-2.3309727683430368</c:v>
                </c:pt>
                <c:pt idx="277">
                  <c:v>-2.343041510257323</c:v>
                </c:pt>
                <c:pt idx="278">
                  <c:v>-2.3551102521716096</c:v>
                </c:pt>
                <c:pt idx="279">
                  <c:v>-2.3671789940858963</c:v>
                </c:pt>
                <c:pt idx="280">
                  <c:v>-2.379247736000182</c:v>
                </c:pt>
                <c:pt idx="281">
                  <c:v>-2.3913164779144687</c:v>
                </c:pt>
                <c:pt idx="282">
                  <c:v>-2.4033852198287549</c:v>
                </c:pt>
                <c:pt idx="283">
                  <c:v>-2.4154539617430415</c:v>
                </c:pt>
                <c:pt idx="284">
                  <c:v>-2.4275227036573281</c:v>
                </c:pt>
                <c:pt idx="285">
                  <c:v>-2.4395914455716139</c:v>
                </c:pt>
                <c:pt idx="286">
                  <c:v>-2.4516601874859005</c:v>
                </c:pt>
                <c:pt idx="287">
                  <c:v>-2.4637289294001867</c:v>
                </c:pt>
                <c:pt idx="288">
                  <c:v>-2.4757976713144734</c:v>
                </c:pt>
                <c:pt idx="289">
                  <c:v>-2.4878664132287591</c:v>
                </c:pt>
                <c:pt idx="290">
                  <c:v>-2.4999351551430458</c:v>
                </c:pt>
                <c:pt idx="291">
                  <c:v>-2.5120038970573324</c:v>
                </c:pt>
                <c:pt idx="292">
                  <c:v>-2.5240726389716186</c:v>
                </c:pt>
                <c:pt idx="293">
                  <c:v>-2.5361413808859052</c:v>
                </c:pt>
                <c:pt idx="294">
                  <c:v>-2.548210122800191</c:v>
                </c:pt>
                <c:pt idx="295">
                  <c:v>-2.5602788647144776</c:v>
                </c:pt>
                <c:pt idx="296">
                  <c:v>-2.5723476066287643</c:v>
                </c:pt>
                <c:pt idx="297">
                  <c:v>-2.5844163485430505</c:v>
                </c:pt>
                <c:pt idx="298">
                  <c:v>-2.5964850904573371</c:v>
                </c:pt>
                <c:pt idx="299">
                  <c:v>-2.6085538323716229</c:v>
                </c:pt>
                <c:pt idx="300">
                  <c:v>-2.6206225742859095</c:v>
                </c:pt>
                <c:pt idx="301">
                  <c:v>-2.6326913162001961</c:v>
                </c:pt>
                <c:pt idx="302">
                  <c:v>-2.6447600581144819</c:v>
                </c:pt>
                <c:pt idx="303">
                  <c:v>-2.6568288000287685</c:v>
                </c:pt>
                <c:pt idx="304">
                  <c:v>-2.6688975419430547</c:v>
                </c:pt>
                <c:pt idx="305">
                  <c:v>-2.6809662838573414</c:v>
                </c:pt>
                <c:pt idx="306">
                  <c:v>-2.6930350257716271</c:v>
                </c:pt>
                <c:pt idx="307">
                  <c:v>-2.7051037676859138</c:v>
                </c:pt>
                <c:pt idx="308">
                  <c:v>-2.7171725096002004</c:v>
                </c:pt>
                <c:pt idx="309">
                  <c:v>-2.7292412515144866</c:v>
                </c:pt>
                <c:pt idx="310">
                  <c:v>-2.7413099934287732</c:v>
                </c:pt>
                <c:pt idx="311">
                  <c:v>-2.753378735343059</c:v>
                </c:pt>
                <c:pt idx="312">
                  <c:v>-2.7654474772573456</c:v>
                </c:pt>
                <c:pt idx="313">
                  <c:v>-2.7775162191716323</c:v>
                </c:pt>
                <c:pt idx="314">
                  <c:v>-2.7895849610859185</c:v>
                </c:pt>
                <c:pt idx="315">
                  <c:v>-2.8016537030002051</c:v>
                </c:pt>
                <c:pt idx="316">
                  <c:v>-2.8137224449144909</c:v>
                </c:pt>
                <c:pt idx="317">
                  <c:v>-2.8257911868287775</c:v>
                </c:pt>
                <c:pt idx="318">
                  <c:v>-2.8378599287430641</c:v>
                </c:pt>
                <c:pt idx="319">
                  <c:v>-2.8499286706573503</c:v>
                </c:pt>
                <c:pt idx="320">
                  <c:v>-2.861997412571637</c:v>
                </c:pt>
                <c:pt idx="321">
                  <c:v>-2.8740661544859227</c:v>
                </c:pt>
                <c:pt idx="322">
                  <c:v>-2.8861348964002094</c:v>
                </c:pt>
                <c:pt idx="323">
                  <c:v>-2.898203638314496</c:v>
                </c:pt>
                <c:pt idx="324">
                  <c:v>-2.9102723802287822</c:v>
                </c:pt>
                <c:pt idx="325">
                  <c:v>-2.9223411221430688</c:v>
                </c:pt>
                <c:pt idx="326">
                  <c:v>-2.9344098640573546</c:v>
                </c:pt>
                <c:pt idx="327">
                  <c:v>-2.9464786059716412</c:v>
                </c:pt>
                <c:pt idx="328">
                  <c:v>-2.958547347885927</c:v>
                </c:pt>
                <c:pt idx="329">
                  <c:v>-2.9706160898002141</c:v>
                </c:pt>
                <c:pt idx="330">
                  <c:v>-2.9826848317145007</c:v>
                </c:pt>
                <c:pt idx="331">
                  <c:v>-2.9947535736287865</c:v>
                </c:pt>
                <c:pt idx="332">
                  <c:v>-3.0068223155430731</c:v>
                </c:pt>
                <c:pt idx="333">
                  <c:v>-3.0188910574573589</c:v>
                </c:pt>
                <c:pt idx="334">
                  <c:v>-3.0309597993716455</c:v>
                </c:pt>
                <c:pt idx="335">
                  <c:v>-3.0430285412859321</c:v>
                </c:pt>
                <c:pt idx="336">
                  <c:v>-3.0550972832002179</c:v>
                </c:pt>
                <c:pt idx="337">
                  <c:v>-3.0671660251145045</c:v>
                </c:pt>
                <c:pt idx="338">
                  <c:v>-3.0792347670287912</c:v>
                </c:pt>
                <c:pt idx="339">
                  <c:v>-3.0913035089430778</c:v>
                </c:pt>
                <c:pt idx="340">
                  <c:v>-3.1033722508573645</c:v>
                </c:pt>
                <c:pt idx="341">
                  <c:v>-3.1154409927716502</c:v>
                </c:pt>
                <c:pt idx="342">
                  <c:v>-3.1275097346859368</c:v>
                </c:pt>
                <c:pt idx="343">
                  <c:v>-3.1395784766002226</c:v>
                </c:pt>
                <c:pt idx="344">
                  <c:v>-3.1516472185145092</c:v>
                </c:pt>
                <c:pt idx="345">
                  <c:v>-3.163715960428795</c:v>
                </c:pt>
                <c:pt idx="346">
                  <c:v>-3.1757847023430816</c:v>
                </c:pt>
                <c:pt idx="347">
                  <c:v>-3.1878534442573683</c:v>
                </c:pt>
                <c:pt idx="348">
                  <c:v>-3.1999221861716549</c:v>
                </c:pt>
                <c:pt idx="349">
                  <c:v>-3.2119909280859416</c:v>
                </c:pt>
                <c:pt idx="350">
                  <c:v>-3.2240596700002273</c:v>
                </c:pt>
                <c:pt idx="351">
                  <c:v>-3.2361284119145139</c:v>
                </c:pt>
                <c:pt idx="352">
                  <c:v>-3.2481971538288006</c:v>
                </c:pt>
                <c:pt idx="353">
                  <c:v>-3.2602658957430863</c:v>
                </c:pt>
                <c:pt idx="354">
                  <c:v>-3.272334637657373</c:v>
                </c:pt>
                <c:pt idx="355">
                  <c:v>-3.2844033795716587</c:v>
                </c:pt>
                <c:pt idx="356">
                  <c:v>-3.2964721214859454</c:v>
                </c:pt>
                <c:pt idx="357">
                  <c:v>-3.308540863400232</c:v>
                </c:pt>
                <c:pt idx="358">
                  <c:v>-3.3206096053145187</c:v>
                </c:pt>
                <c:pt idx="359">
                  <c:v>-3.3326783472288053</c:v>
                </c:pt>
                <c:pt idx="360">
                  <c:v>-3.344747089143091</c:v>
                </c:pt>
                <c:pt idx="361">
                  <c:v>-3.3568158310573777</c:v>
                </c:pt>
                <c:pt idx="362">
                  <c:v>-3.3688845729716643</c:v>
                </c:pt>
                <c:pt idx="363">
                  <c:v>-3.3809533148859501</c:v>
                </c:pt>
                <c:pt idx="364">
                  <c:v>-3.3930220568002367</c:v>
                </c:pt>
                <c:pt idx="365">
                  <c:v>-3.4050907987145225</c:v>
                </c:pt>
                <c:pt idx="366">
                  <c:v>-3.4171595406288091</c:v>
                </c:pt>
                <c:pt idx="367">
                  <c:v>-3.4292282825430949</c:v>
                </c:pt>
                <c:pt idx="368">
                  <c:v>-3.4412970244573815</c:v>
                </c:pt>
                <c:pt idx="369">
                  <c:v>-3.4533657663716681</c:v>
                </c:pt>
                <c:pt idx="370">
                  <c:v>-3.4654345082859548</c:v>
                </c:pt>
                <c:pt idx="371">
                  <c:v>-3.4775032502002414</c:v>
                </c:pt>
                <c:pt idx="372">
                  <c:v>-3.4895719921145272</c:v>
                </c:pt>
                <c:pt idx="373">
                  <c:v>-3.5016407340288138</c:v>
                </c:pt>
                <c:pt idx="374">
                  <c:v>-3.5137094759431005</c:v>
                </c:pt>
                <c:pt idx="375">
                  <c:v>-3.5257782178573862</c:v>
                </c:pt>
                <c:pt idx="376">
                  <c:v>-3.5378469597716729</c:v>
                </c:pt>
                <c:pt idx="377">
                  <c:v>-3.5499157016859586</c:v>
                </c:pt>
                <c:pt idx="378">
                  <c:v>-3.5619844436002452</c:v>
                </c:pt>
                <c:pt idx="379">
                  <c:v>-3.5740531855145319</c:v>
                </c:pt>
                <c:pt idx="380">
                  <c:v>-3.5861219274288185</c:v>
                </c:pt>
                <c:pt idx="381">
                  <c:v>-3.5981906693431052</c:v>
                </c:pt>
                <c:pt idx="382">
                  <c:v>-3.6102594112573909</c:v>
                </c:pt>
                <c:pt idx="383">
                  <c:v>-3.6223281531716776</c:v>
                </c:pt>
                <c:pt idx="384">
                  <c:v>-3.6343968950859633</c:v>
                </c:pt>
                <c:pt idx="385">
                  <c:v>-3.6464656370002499</c:v>
                </c:pt>
                <c:pt idx="386">
                  <c:v>-3.6585343789145366</c:v>
                </c:pt>
                <c:pt idx="387">
                  <c:v>-3.6706031208288223</c:v>
                </c:pt>
                <c:pt idx="388">
                  <c:v>-3.682671862743109</c:v>
                </c:pt>
                <c:pt idx="389">
                  <c:v>-3.6947406046573947</c:v>
                </c:pt>
                <c:pt idx="390">
                  <c:v>-3.7068093465716823</c:v>
                </c:pt>
                <c:pt idx="391">
                  <c:v>-3.7188780884859689</c:v>
                </c:pt>
                <c:pt idx="392">
                  <c:v>-3.7309468304002547</c:v>
                </c:pt>
                <c:pt idx="393">
                  <c:v>-3.7430155723145413</c:v>
                </c:pt>
                <c:pt idx="394">
                  <c:v>-3.755084314228827</c:v>
                </c:pt>
                <c:pt idx="395">
                  <c:v>-3.7671530561431137</c:v>
                </c:pt>
                <c:pt idx="396">
                  <c:v>-3.7792217980574003</c:v>
                </c:pt>
                <c:pt idx="397">
                  <c:v>-3.7912905399716861</c:v>
                </c:pt>
                <c:pt idx="398">
                  <c:v>-3.8033592818859727</c:v>
                </c:pt>
                <c:pt idx="399">
                  <c:v>-3.8154280238002585</c:v>
                </c:pt>
                <c:pt idx="400">
                  <c:v>-3.8274967657145451</c:v>
                </c:pt>
              </c:numCache>
            </c:numRef>
          </c:yVal>
          <c:smooth val="0"/>
          <c:extLst>
            <c:ext xmlns:c16="http://schemas.microsoft.com/office/drawing/2014/chart" uri="{C3380CC4-5D6E-409C-BE32-E72D297353CC}">
              <c16:uniqueId val="{00000018-1DFF-4DFC-B6E9-D86B6FD0EE9D}"/>
            </c:ext>
          </c:extLst>
        </c:ser>
        <c:ser>
          <c:idx val="18"/>
          <c:order val="18"/>
          <c:tx>
            <c:strRef>
              <c:f>'V-N Diagram'!$Z$36</c:f>
              <c:strCache>
                <c:ptCount val="1"/>
                <c:pt idx="0">
                  <c:v>ng4</c:v>
                </c:pt>
              </c:strCache>
            </c:strRef>
          </c:tx>
          <c:spPr>
            <a:ln w="12700" cap="rnd">
              <a:solidFill>
                <a:schemeClr val="accent1">
                  <a:lumMod val="80000"/>
                </a:schemeClr>
              </a:solidFill>
              <a:prstDash val="dash"/>
              <a:round/>
            </a:ln>
            <a:effectLst/>
          </c:spPr>
          <c:marker>
            <c:symbol val="none"/>
          </c:marker>
          <c:xVal>
            <c:numRef>
              <c:f>'V-N Diagram'!$O$37:$O$437</c:f>
              <c:numCache>
                <c:formatCode>General</c:formatCode>
                <c:ptCount val="4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numCache>
            </c:numRef>
          </c:xVal>
          <c:yVal>
            <c:numRef>
              <c:f>'V-N Diagram'!$Z$37:$Z$437</c:f>
              <c:numCache>
                <c:formatCode>General</c:formatCode>
                <c:ptCount val="401"/>
                <c:pt idx="0">
                  <c:v>1</c:v>
                </c:pt>
                <c:pt idx="1">
                  <c:v>1.0120687419142864</c:v>
                </c:pt>
                <c:pt idx="2">
                  <c:v>1.0241374838285728</c:v>
                </c:pt>
                <c:pt idx="3">
                  <c:v>1.036206225742859</c:v>
                </c:pt>
                <c:pt idx="4">
                  <c:v>1.0482749676571455</c:v>
                </c:pt>
                <c:pt idx="5">
                  <c:v>1.0603437095714319</c:v>
                </c:pt>
                <c:pt idx="6">
                  <c:v>1.0724124514857181</c:v>
                </c:pt>
                <c:pt idx="7">
                  <c:v>1.0844811934000045</c:v>
                </c:pt>
                <c:pt idx="8">
                  <c:v>1.0965499353142909</c:v>
                </c:pt>
                <c:pt idx="9">
                  <c:v>1.1086186772285773</c:v>
                </c:pt>
                <c:pt idx="10">
                  <c:v>1.1206874191428637</c:v>
                </c:pt>
                <c:pt idx="11">
                  <c:v>1.1327561610571499</c:v>
                </c:pt>
                <c:pt idx="12">
                  <c:v>1.1448249029714364</c:v>
                </c:pt>
                <c:pt idx="13">
                  <c:v>1.1568936448857228</c:v>
                </c:pt>
                <c:pt idx="14">
                  <c:v>1.1689623868000092</c:v>
                </c:pt>
                <c:pt idx="15">
                  <c:v>1.1810311287142956</c:v>
                </c:pt>
                <c:pt idx="16">
                  <c:v>1.1930998706285818</c:v>
                </c:pt>
                <c:pt idx="17">
                  <c:v>1.2051686125428682</c:v>
                </c:pt>
                <c:pt idx="18">
                  <c:v>1.2172373544571546</c:v>
                </c:pt>
                <c:pt idx="19">
                  <c:v>1.2293060963714408</c:v>
                </c:pt>
                <c:pt idx="20">
                  <c:v>1.2413748382857273</c:v>
                </c:pt>
                <c:pt idx="21">
                  <c:v>1.2534435802000137</c:v>
                </c:pt>
                <c:pt idx="22">
                  <c:v>1.2655123221143001</c:v>
                </c:pt>
                <c:pt idx="23">
                  <c:v>1.2775810640285863</c:v>
                </c:pt>
                <c:pt idx="24">
                  <c:v>1.2896498059428727</c:v>
                </c:pt>
                <c:pt idx="25">
                  <c:v>1.3017185478571591</c:v>
                </c:pt>
                <c:pt idx="26">
                  <c:v>1.3137872897714455</c:v>
                </c:pt>
                <c:pt idx="27">
                  <c:v>1.3258560316857317</c:v>
                </c:pt>
                <c:pt idx="28">
                  <c:v>1.3379247736000182</c:v>
                </c:pt>
                <c:pt idx="29">
                  <c:v>1.3499935155143046</c:v>
                </c:pt>
                <c:pt idx="30">
                  <c:v>1.362062257428591</c:v>
                </c:pt>
                <c:pt idx="31">
                  <c:v>1.3741309993428772</c:v>
                </c:pt>
                <c:pt idx="32">
                  <c:v>1.3861997412571636</c:v>
                </c:pt>
                <c:pt idx="33">
                  <c:v>1.39826848317145</c:v>
                </c:pt>
                <c:pt idx="34">
                  <c:v>1.4103372250857364</c:v>
                </c:pt>
                <c:pt idx="35">
                  <c:v>1.4224059670000226</c:v>
                </c:pt>
                <c:pt idx="36">
                  <c:v>1.4344747089143093</c:v>
                </c:pt>
                <c:pt idx="37">
                  <c:v>1.4465434508285955</c:v>
                </c:pt>
                <c:pt idx="38">
                  <c:v>1.4586121927428819</c:v>
                </c:pt>
                <c:pt idx="39">
                  <c:v>1.4706809346571683</c:v>
                </c:pt>
                <c:pt idx="40">
                  <c:v>1.4827496765714545</c:v>
                </c:pt>
                <c:pt idx="41">
                  <c:v>1.4948184184857409</c:v>
                </c:pt>
                <c:pt idx="42">
                  <c:v>1.5068871604000273</c:v>
                </c:pt>
                <c:pt idx="43">
                  <c:v>1.5189559023143135</c:v>
                </c:pt>
                <c:pt idx="44">
                  <c:v>1.5310246442286002</c:v>
                </c:pt>
                <c:pt idx="45">
                  <c:v>1.5430933861428864</c:v>
                </c:pt>
                <c:pt idx="46">
                  <c:v>1.5551621280571726</c:v>
                </c:pt>
                <c:pt idx="47">
                  <c:v>1.5672308699714592</c:v>
                </c:pt>
                <c:pt idx="48">
                  <c:v>1.5792996118857454</c:v>
                </c:pt>
                <c:pt idx="49">
                  <c:v>1.5913683538000318</c:v>
                </c:pt>
                <c:pt idx="50">
                  <c:v>1.6034370957143183</c:v>
                </c:pt>
                <c:pt idx="51">
                  <c:v>1.6155058376286044</c:v>
                </c:pt>
                <c:pt idx="52">
                  <c:v>1.6275745795428911</c:v>
                </c:pt>
                <c:pt idx="53">
                  <c:v>1.6396433214571773</c:v>
                </c:pt>
                <c:pt idx="54">
                  <c:v>1.6517120633714637</c:v>
                </c:pt>
                <c:pt idx="55">
                  <c:v>1.6637808052857501</c:v>
                </c:pt>
                <c:pt idx="56">
                  <c:v>1.6758495472000363</c:v>
                </c:pt>
                <c:pt idx="57">
                  <c:v>1.687918289114323</c:v>
                </c:pt>
                <c:pt idx="58">
                  <c:v>1.6999870310286092</c:v>
                </c:pt>
                <c:pt idx="59">
                  <c:v>1.7120557729428953</c:v>
                </c:pt>
                <c:pt idx="60">
                  <c:v>1.724124514857182</c:v>
                </c:pt>
                <c:pt idx="61">
                  <c:v>1.7361932567714682</c:v>
                </c:pt>
                <c:pt idx="62">
                  <c:v>1.7482619986857544</c:v>
                </c:pt>
                <c:pt idx="63">
                  <c:v>1.760330740600041</c:v>
                </c:pt>
                <c:pt idx="64">
                  <c:v>1.7723994825143272</c:v>
                </c:pt>
                <c:pt idx="65">
                  <c:v>1.7844682244286136</c:v>
                </c:pt>
                <c:pt idx="66">
                  <c:v>1.7965369663429001</c:v>
                </c:pt>
                <c:pt idx="67">
                  <c:v>1.8086057082571863</c:v>
                </c:pt>
                <c:pt idx="68">
                  <c:v>1.8206744501714727</c:v>
                </c:pt>
                <c:pt idx="69">
                  <c:v>1.8327431920857591</c:v>
                </c:pt>
                <c:pt idx="70">
                  <c:v>1.8448119340000455</c:v>
                </c:pt>
                <c:pt idx="71">
                  <c:v>1.8568806759143319</c:v>
                </c:pt>
                <c:pt idx="72">
                  <c:v>1.8689494178286183</c:v>
                </c:pt>
                <c:pt idx="73">
                  <c:v>1.8810181597429048</c:v>
                </c:pt>
                <c:pt idx="74">
                  <c:v>1.893086901657191</c:v>
                </c:pt>
                <c:pt idx="75">
                  <c:v>1.9051556435714774</c:v>
                </c:pt>
                <c:pt idx="76">
                  <c:v>1.9172243854857638</c:v>
                </c:pt>
                <c:pt idx="77">
                  <c:v>1.92929312740005</c:v>
                </c:pt>
                <c:pt idx="78">
                  <c:v>1.9413618693143364</c:v>
                </c:pt>
                <c:pt idx="79">
                  <c:v>1.9534306112286228</c:v>
                </c:pt>
                <c:pt idx="80">
                  <c:v>1.9654993531429092</c:v>
                </c:pt>
                <c:pt idx="81">
                  <c:v>1.9775680950571957</c:v>
                </c:pt>
                <c:pt idx="82">
                  <c:v>1.9896368369714819</c:v>
                </c:pt>
                <c:pt idx="83">
                  <c:v>2.0017055788857681</c:v>
                </c:pt>
                <c:pt idx="84">
                  <c:v>2.0137743208000547</c:v>
                </c:pt>
                <c:pt idx="85">
                  <c:v>2.0258430627143413</c:v>
                </c:pt>
                <c:pt idx="86">
                  <c:v>2.0379118046286271</c:v>
                </c:pt>
                <c:pt idx="87">
                  <c:v>2.0499805465429137</c:v>
                </c:pt>
                <c:pt idx="88">
                  <c:v>2.0620492884572004</c:v>
                </c:pt>
                <c:pt idx="89">
                  <c:v>2.0741180303714861</c:v>
                </c:pt>
                <c:pt idx="90">
                  <c:v>2.0861867722857728</c:v>
                </c:pt>
                <c:pt idx="91">
                  <c:v>2.0982555142000594</c:v>
                </c:pt>
                <c:pt idx="92">
                  <c:v>2.1103242561143452</c:v>
                </c:pt>
                <c:pt idx="93">
                  <c:v>2.1223929980286318</c:v>
                </c:pt>
                <c:pt idx="94">
                  <c:v>2.1344617399429184</c:v>
                </c:pt>
                <c:pt idx="95">
                  <c:v>2.1465304818572046</c:v>
                </c:pt>
                <c:pt idx="96">
                  <c:v>2.1585992237714908</c:v>
                </c:pt>
                <c:pt idx="97">
                  <c:v>2.1706679656857775</c:v>
                </c:pt>
                <c:pt idx="98">
                  <c:v>2.1827367076000637</c:v>
                </c:pt>
                <c:pt idx="99">
                  <c:v>2.1948054495143499</c:v>
                </c:pt>
                <c:pt idx="100">
                  <c:v>2.2068741914286365</c:v>
                </c:pt>
                <c:pt idx="101">
                  <c:v>2.2189429333429227</c:v>
                </c:pt>
                <c:pt idx="102">
                  <c:v>2.2310116752572089</c:v>
                </c:pt>
                <c:pt idx="103">
                  <c:v>2.2430804171714955</c:v>
                </c:pt>
                <c:pt idx="104">
                  <c:v>2.2551491590857822</c:v>
                </c:pt>
                <c:pt idx="105">
                  <c:v>2.2672179010000684</c:v>
                </c:pt>
                <c:pt idx="106">
                  <c:v>2.2792866429143546</c:v>
                </c:pt>
                <c:pt idx="107">
                  <c:v>2.2913553848286412</c:v>
                </c:pt>
                <c:pt idx="108">
                  <c:v>2.3034241267429274</c:v>
                </c:pt>
                <c:pt idx="109">
                  <c:v>2.3154928686572136</c:v>
                </c:pt>
                <c:pt idx="110">
                  <c:v>2.3275616105715002</c:v>
                </c:pt>
                <c:pt idx="111">
                  <c:v>2.3396303524857864</c:v>
                </c:pt>
                <c:pt idx="112">
                  <c:v>2.3516990944000726</c:v>
                </c:pt>
                <c:pt idx="113">
                  <c:v>2.3637678363143593</c:v>
                </c:pt>
                <c:pt idx="114">
                  <c:v>2.3758365782286459</c:v>
                </c:pt>
                <c:pt idx="115">
                  <c:v>2.3879053201429317</c:v>
                </c:pt>
                <c:pt idx="116">
                  <c:v>2.3999740620572183</c:v>
                </c:pt>
                <c:pt idx="117">
                  <c:v>2.4120428039715049</c:v>
                </c:pt>
                <c:pt idx="118">
                  <c:v>2.4241115458857907</c:v>
                </c:pt>
                <c:pt idx="119">
                  <c:v>2.4361802878000773</c:v>
                </c:pt>
                <c:pt idx="120">
                  <c:v>2.448249029714364</c:v>
                </c:pt>
                <c:pt idx="121">
                  <c:v>2.4603177716286502</c:v>
                </c:pt>
                <c:pt idx="122">
                  <c:v>2.4723865135429364</c:v>
                </c:pt>
                <c:pt idx="123">
                  <c:v>2.484455255457223</c:v>
                </c:pt>
                <c:pt idx="124">
                  <c:v>2.4965239973715088</c:v>
                </c:pt>
                <c:pt idx="125">
                  <c:v>2.5085927392857954</c:v>
                </c:pt>
                <c:pt idx="126">
                  <c:v>2.520661481200082</c:v>
                </c:pt>
                <c:pt idx="127">
                  <c:v>2.5327302231143682</c:v>
                </c:pt>
                <c:pt idx="128">
                  <c:v>2.5447989650286544</c:v>
                </c:pt>
                <c:pt idx="129">
                  <c:v>2.5568677069429411</c:v>
                </c:pt>
                <c:pt idx="130">
                  <c:v>2.5689364488572273</c:v>
                </c:pt>
                <c:pt idx="131">
                  <c:v>2.5810051907715139</c:v>
                </c:pt>
                <c:pt idx="132">
                  <c:v>2.5930739326858001</c:v>
                </c:pt>
                <c:pt idx="133">
                  <c:v>2.6051426746000867</c:v>
                </c:pt>
                <c:pt idx="134">
                  <c:v>2.6172114165143725</c:v>
                </c:pt>
                <c:pt idx="135">
                  <c:v>2.6292801584286591</c:v>
                </c:pt>
                <c:pt idx="136">
                  <c:v>2.6413489003429453</c:v>
                </c:pt>
                <c:pt idx="137">
                  <c:v>2.653417642257232</c:v>
                </c:pt>
                <c:pt idx="138">
                  <c:v>2.6654863841715182</c:v>
                </c:pt>
                <c:pt idx="139">
                  <c:v>2.6775551260858048</c:v>
                </c:pt>
                <c:pt idx="140">
                  <c:v>2.689623868000091</c:v>
                </c:pt>
                <c:pt idx="141">
                  <c:v>2.7016926099143772</c:v>
                </c:pt>
                <c:pt idx="142">
                  <c:v>2.7137613518286638</c:v>
                </c:pt>
                <c:pt idx="143">
                  <c:v>2.7258300937429505</c:v>
                </c:pt>
                <c:pt idx="144">
                  <c:v>2.7378988356572367</c:v>
                </c:pt>
                <c:pt idx="145">
                  <c:v>2.7499675775715229</c:v>
                </c:pt>
                <c:pt idx="146">
                  <c:v>2.7620363194858095</c:v>
                </c:pt>
                <c:pt idx="147">
                  <c:v>2.7741050614000953</c:v>
                </c:pt>
                <c:pt idx="148">
                  <c:v>2.7861738033143819</c:v>
                </c:pt>
                <c:pt idx="149">
                  <c:v>2.7982425452286686</c:v>
                </c:pt>
                <c:pt idx="150">
                  <c:v>2.8103112871429548</c:v>
                </c:pt>
                <c:pt idx="151">
                  <c:v>2.8223800290572409</c:v>
                </c:pt>
                <c:pt idx="152">
                  <c:v>2.8344487709715276</c:v>
                </c:pt>
                <c:pt idx="153">
                  <c:v>2.8465175128858133</c:v>
                </c:pt>
                <c:pt idx="154">
                  <c:v>2.8585862548001</c:v>
                </c:pt>
                <c:pt idx="155">
                  <c:v>2.8706549967143866</c:v>
                </c:pt>
                <c:pt idx="156">
                  <c:v>2.8827237386286728</c:v>
                </c:pt>
                <c:pt idx="157">
                  <c:v>2.894792480542959</c:v>
                </c:pt>
                <c:pt idx="158">
                  <c:v>2.9068612224572457</c:v>
                </c:pt>
                <c:pt idx="159">
                  <c:v>2.9189299643715323</c:v>
                </c:pt>
                <c:pt idx="160">
                  <c:v>2.9309987062858185</c:v>
                </c:pt>
                <c:pt idx="161">
                  <c:v>2.9430674482001047</c:v>
                </c:pt>
                <c:pt idx="162">
                  <c:v>2.9551361901143913</c:v>
                </c:pt>
                <c:pt idx="163">
                  <c:v>2.9672049320286771</c:v>
                </c:pt>
                <c:pt idx="164">
                  <c:v>2.9792736739429637</c:v>
                </c:pt>
                <c:pt idx="165">
                  <c:v>2.9913424158572504</c:v>
                </c:pt>
                <c:pt idx="166">
                  <c:v>3.0034111577715366</c:v>
                </c:pt>
                <c:pt idx="167">
                  <c:v>3.0154798996858228</c:v>
                </c:pt>
                <c:pt idx="168">
                  <c:v>3.0275486416001089</c:v>
                </c:pt>
                <c:pt idx="169">
                  <c:v>3.0396173835143956</c:v>
                </c:pt>
                <c:pt idx="170">
                  <c:v>3.0516861254286822</c:v>
                </c:pt>
                <c:pt idx="171">
                  <c:v>3.0637548673429684</c:v>
                </c:pt>
                <c:pt idx="172">
                  <c:v>3.0758236092572546</c:v>
                </c:pt>
                <c:pt idx="173">
                  <c:v>3.0878923511715408</c:v>
                </c:pt>
                <c:pt idx="174">
                  <c:v>3.0999610930858275</c:v>
                </c:pt>
                <c:pt idx="175">
                  <c:v>3.1120298350001137</c:v>
                </c:pt>
                <c:pt idx="176">
                  <c:v>3.1240985769144003</c:v>
                </c:pt>
                <c:pt idx="177">
                  <c:v>3.1361673188286865</c:v>
                </c:pt>
                <c:pt idx="178">
                  <c:v>3.1482360607429727</c:v>
                </c:pt>
                <c:pt idx="179">
                  <c:v>3.1603048026572593</c:v>
                </c:pt>
                <c:pt idx="180">
                  <c:v>3.1723735445715455</c:v>
                </c:pt>
                <c:pt idx="181">
                  <c:v>3.1844422864858322</c:v>
                </c:pt>
                <c:pt idx="182">
                  <c:v>3.1965110284001184</c:v>
                </c:pt>
                <c:pt idx="183">
                  <c:v>3.2085797703144046</c:v>
                </c:pt>
                <c:pt idx="184">
                  <c:v>3.2206485122286908</c:v>
                </c:pt>
                <c:pt idx="185">
                  <c:v>3.2327172541429774</c:v>
                </c:pt>
                <c:pt idx="186">
                  <c:v>3.2447859960572636</c:v>
                </c:pt>
                <c:pt idx="187">
                  <c:v>3.2568547379715502</c:v>
                </c:pt>
                <c:pt idx="188">
                  <c:v>3.2689234798858364</c:v>
                </c:pt>
                <c:pt idx="189">
                  <c:v>3.2809922218001226</c:v>
                </c:pt>
                <c:pt idx="190">
                  <c:v>3.2930609637144093</c:v>
                </c:pt>
                <c:pt idx="191">
                  <c:v>3.3051297056286955</c:v>
                </c:pt>
                <c:pt idx="192">
                  <c:v>3.3171984475429817</c:v>
                </c:pt>
                <c:pt idx="193">
                  <c:v>3.3292671894572683</c:v>
                </c:pt>
                <c:pt idx="194">
                  <c:v>3.3413359313715545</c:v>
                </c:pt>
                <c:pt idx="195">
                  <c:v>3.3534046732858411</c:v>
                </c:pt>
                <c:pt idx="196">
                  <c:v>3.3654734152001273</c:v>
                </c:pt>
                <c:pt idx="197">
                  <c:v>3.3775421571144135</c:v>
                </c:pt>
                <c:pt idx="198">
                  <c:v>3.3896108990287002</c:v>
                </c:pt>
                <c:pt idx="199">
                  <c:v>3.4016796409429864</c:v>
                </c:pt>
                <c:pt idx="200">
                  <c:v>3.4137483828572726</c:v>
                </c:pt>
                <c:pt idx="201">
                  <c:v>3.4258171247715592</c:v>
                </c:pt>
                <c:pt idx="202">
                  <c:v>3.4378858666858454</c:v>
                </c:pt>
                <c:pt idx="203">
                  <c:v>3.449954608600132</c:v>
                </c:pt>
                <c:pt idx="204">
                  <c:v>3.4620233505144182</c:v>
                </c:pt>
                <c:pt idx="205">
                  <c:v>3.4740920924287044</c:v>
                </c:pt>
                <c:pt idx="206">
                  <c:v>3.4861608343429911</c:v>
                </c:pt>
                <c:pt idx="207">
                  <c:v>3.4982295762572777</c:v>
                </c:pt>
                <c:pt idx="208">
                  <c:v>3.5102983181715639</c:v>
                </c:pt>
                <c:pt idx="209">
                  <c:v>3.5223670600858501</c:v>
                </c:pt>
                <c:pt idx="210">
                  <c:v>3.5344358020001367</c:v>
                </c:pt>
                <c:pt idx="211">
                  <c:v>3.5465045439144229</c:v>
                </c:pt>
                <c:pt idx="212">
                  <c:v>3.5585732858287096</c:v>
                </c:pt>
                <c:pt idx="213">
                  <c:v>3.5706420277429958</c:v>
                </c:pt>
                <c:pt idx="214">
                  <c:v>3.582710769657282</c:v>
                </c:pt>
                <c:pt idx="215">
                  <c:v>3.5947795115715686</c:v>
                </c:pt>
                <c:pt idx="216">
                  <c:v>3.6068482534858548</c:v>
                </c:pt>
                <c:pt idx="217">
                  <c:v>3.618916995400141</c:v>
                </c:pt>
                <c:pt idx="218">
                  <c:v>3.6309857373144276</c:v>
                </c:pt>
                <c:pt idx="219">
                  <c:v>3.6430544792287138</c:v>
                </c:pt>
                <c:pt idx="220">
                  <c:v>3.6551232211430005</c:v>
                </c:pt>
                <c:pt idx="221">
                  <c:v>3.6671919630572867</c:v>
                </c:pt>
                <c:pt idx="222">
                  <c:v>3.6792607049715729</c:v>
                </c:pt>
                <c:pt idx="223">
                  <c:v>3.6913294468858595</c:v>
                </c:pt>
                <c:pt idx="224">
                  <c:v>3.7033981888001457</c:v>
                </c:pt>
                <c:pt idx="225">
                  <c:v>3.7154669307144319</c:v>
                </c:pt>
                <c:pt idx="226">
                  <c:v>3.7275356726287185</c:v>
                </c:pt>
                <c:pt idx="227">
                  <c:v>3.7396044145430047</c:v>
                </c:pt>
                <c:pt idx="228">
                  <c:v>3.7516731564572914</c:v>
                </c:pt>
                <c:pt idx="229">
                  <c:v>3.7637418983715776</c:v>
                </c:pt>
                <c:pt idx="230">
                  <c:v>3.7758106402858638</c:v>
                </c:pt>
                <c:pt idx="231">
                  <c:v>3.7878793822001504</c:v>
                </c:pt>
                <c:pt idx="232">
                  <c:v>3.7999481241144366</c:v>
                </c:pt>
                <c:pt idx="233">
                  <c:v>3.8120168660287228</c:v>
                </c:pt>
                <c:pt idx="234">
                  <c:v>3.8240856079430094</c:v>
                </c:pt>
                <c:pt idx="235">
                  <c:v>3.8361543498572961</c:v>
                </c:pt>
                <c:pt idx="236">
                  <c:v>3.8482230917715818</c:v>
                </c:pt>
                <c:pt idx="237">
                  <c:v>3.8602918336858685</c:v>
                </c:pt>
                <c:pt idx="238">
                  <c:v>3.8723605756001547</c:v>
                </c:pt>
                <c:pt idx="239">
                  <c:v>3.8844293175144413</c:v>
                </c:pt>
                <c:pt idx="240">
                  <c:v>3.896498059428728</c:v>
                </c:pt>
                <c:pt idx="241">
                  <c:v>3.9085668013430137</c:v>
                </c:pt>
                <c:pt idx="242">
                  <c:v>3.9206355432573003</c:v>
                </c:pt>
                <c:pt idx="243">
                  <c:v>3.9327042851715865</c:v>
                </c:pt>
                <c:pt idx="244">
                  <c:v>3.9447730270858732</c:v>
                </c:pt>
                <c:pt idx="245">
                  <c:v>3.9568417690001598</c:v>
                </c:pt>
                <c:pt idx="246">
                  <c:v>3.9689105109144456</c:v>
                </c:pt>
                <c:pt idx="247">
                  <c:v>3.9809792528287322</c:v>
                </c:pt>
                <c:pt idx="248">
                  <c:v>3.993047994743018</c:v>
                </c:pt>
                <c:pt idx="249">
                  <c:v>4.0051167366573051</c:v>
                </c:pt>
                <c:pt idx="250">
                  <c:v>4.0171854785715908</c:v>
                </c:pt>
                <c:pt idx="251">
                  <c:v>4.0292542204858774</c:v>
                </c:pt>
                <c:pt idx="252">
                  <c:v>4.0413229624001641</c:v>
                </c:pt>
                <c:pt idx="253">
                  <c:v>4.0533917043144498</c:v>
                </c:pt>
                <c:pt idx="254">
                  <c:v>4.0654604462287365</c:v>
                </c:pt>
                <c:pt idx="255">
                  <c:v>4.0775291881430231</c:v>
                </c:pt>
                <c:pt idx="256">
                  <c:v>4.0895979300573089</c:v>
                </c:pt>
                <c:pt idx="257">
                  <c:v>4.1016666719715964</c:v>
                </c:pt>
                <c:pt idx="258">
                  <c:v>4.1137354138858822</c:v>
                </c:pt>
                <c:pt idx="259">
                  <c:v>4.1258041558001679</c:v>
                </c:pt>
                <c:pt idx="260">
                  <c:v>4.1378728977144545</c:v>
                </c:pt>
                <c:pt idx="261">
                  <c:v>4.1499416396287412</c:v>
                </c:pt>
                <c:pt idx="262">
                  <c:v>4.1620103815430278</c:v>
                </c:pt>
                <c:pt idx="263">
                  <c:v>4.1740791234573136</c:v>
                </c:pt>
                <c:pt idx="264">
                  <c:v>4.1861478653716002</c:v>
                </c:pt>
                <c:pt idx="265">
                  <c:v>4.198216607285886</c:v>
                </c:pt>
                <c:pt idx="266">
                  <c:v>4.2102853492001735</c:v>
                </c:pt>
                <c:pt idx="267">
                  <c:v>4.2223540911144593</c:v>
                </c:pt>
                <c:pt idx="268">
                  <c:v>4.234422833028745</c:v>
                </c:pt>
                <c:pt idx="269">
                  <c:v>4.2464915749430325</c:v>
                </c:pt>
                <c:pt idx="270">
                  <c:v>4.2585603168573183</c:v>
                </c:pt>
                <c:pt idx="271">
                  <c:v>4.2706290587716049</c:v>
                </c:pt>
                <c:pt idx="272">
                  <c:v>4.2826978006858907</c:v>
                </c:pt>
                <c:pt idx="273">
                  <c:v>4.2947665426001773</c:v>
                </c:pt>
                <c:pt idx="274">
                  <c:v>4.306835284514464</c:v>
                </c:pt>
                <c:pt idx="275">
                  <c:v>4.3189040264287506</c:v>
                </c:pt>
                <c:pt idx="276">
                  <c:v>4.3309727683430363</c:v>
                </c:pt>
                <c:pt idx="277">
                  <c:v>4.343041510257323</c:v>
                </c:pt>
                <c:pt idx="278">
                  <c:v>4.3551102521716096</c:v>
                </c:pt>
                <c:pt idx="279">
                  <c:v>4.3671789940858963</c:v>
                </c:pt>
                <c:pt idx="280">
                  <c:v>4.379247736000182</c:v>
                </c:pt>
                <c:pt idx="281">
                  <c:v>4.3913164779144687</c:v>
                </c:pt>
                <c:pt idx="282">
                  <c:v>4.4033852198287544</c:v>
                </c:pt>
                <c:pt idx="283">
                  <c:v>4.4154539617430419</c:v>
                </c:pt>
                <c:pt idx="284">
                  <c:v>4.4275227036573277</c:v>
                </c:pt>
                <c:pt idx="285">
                  <c:v>4.4395914455716134</c:v>
                </c:pt>
                <c:pt idx="286">
                  <c:v>4.451660187485901</c:v>
                </c:pt>
                <c:pt idx="287">
                  <c:v>4.4637289294001867</c:v>
                </c:pt>
                <c:pt idx="288">
                  <c:v>4.4757976713144734</c:v>
                </c:pt>
                <c:pt idx="289">
                  <c:v>4.4878664132287591</c:v>
                </c:pt>
                <c:pt idx="290">
                  <c:v>4.4999351551430458</c:v>
                </c:pt>
                <c:pt idx="291">
                  <c:v>4.5120038970573324</c:v>
                </c:pt>
                <c:pt idx="292">
                  <c:v>4.524072638971619</c:v>
                </c:pt>
                <c:pt idx="293">
                  <c:v>4.5361413808859048</c:v>
                </c:pt>
                <c:pt idx="294">
                  <c:v>4.5482101228001905</c:v>
                </c:pt>
                <c:pt idx="295">
                  <c:v>4.5602788647144781</c:v>
                </c:pt>
                <c:pt idx="296">
                  <c:v>4.5723476066287638</c:v>
                </c:pt>
                <c:pt idx="297">
                  <c:v>4.5844163485430505</c:v>
                </c:pt>
                <c:pt idx="298">
                  <c:v>4.5964850904573371</c:v>
                </c:pt>
                <c:pt idx="299">
                  <c:v>4.6085538323716229</c:v>
                </c:pt>
                <c:pt idx="300">
                  <c:v>4.6206225742859095</c:v>
                </c:pt>
                <c:pt idx="301">
                  <c:v>4.6326913162001961</c:v>
                </c:pt>
                <c:pt idx="302">
                  <c:v>4.6447600581144819</c:v>
                </c:pt>
                <c:pt idx="303">
                  <c:v>4.6568288000287685</c:v>
                </c:pt>
                <c:pt idx="304">
                  <c:v>4.6688975419430552</c:v>
                </c:pt>
                <c:pt idx="305">
                  <c:v>4.6809662838573409</c:v>
                </c:pt>
                <c:pt idx="306">
                  <c:v>4.6930350257716267</c:v>
                </c:pt>
                <c:pt idx="307">
                  <c:v>4.7051037676859142</c:v>
                </c:pt>
                <c:pt idx="308">
                  <c:v>4.7171725096002</c:v>
                </c:pt>
                <c:pt idx="309">
                  <c:v>4.7292412515144866</c:v>
                </c:pt>
                <c:pt idx="310">
                  <c:v>4.7413099934287732</c:v>
                </c:pt>
                <c:pt idx="311">
                  <c:v>4.753378735343059</c:v>
                </c:pt>
                <c:pt idx="312">
                  <c:v>4.7654474772573456</c:v>
                </c:pt>
                <c:pt idx="313">
                  <c:v>4.7775162191716323</c:v>
                </c:pt>
                <c:pt idx="314">
                  <c:v>4.789584961085918</c:v>
                </c:pt>
                <c:pt idx="315">
                  <c:v>4.8016537030002056</c:v>
                </c:pt>
                <c:pt idx="316">
                  <c:v>4.8137224449144913</c:v>
                </c:pt>
                <c:pt idx="317">
                  <c:v>4.8257911868287771</c:v>
                </c:pt>
                <c:pt idx="318">
                  <c:v>4.8378599287430646</c:v>
                </c:pt>
                <c:pt idx="319">
                  <c:v>4.8499286706573503</c:v>
                </c:pt>
                <c:pt idx="320">
                  <c:v>4.861997412571637</c:v>
                </c:pt>
                <c:pt idx="321">
                  <c:v>4.8740661544859227</c:v>
                </c:pt>
                <c:pt idx="322">
                  <c:v>4.8861348964002094</c:v>
                </c:pt>
                <c:pt idx="323">
                  <c:v>4.898203638314496</c:v>
                </c:pt>
                <c:pt idx="324">
                  <c:v>4.9102723802287827</c:v>
                </c:pt>
                <c:pt idx="325">
                  <c:v>4.9223411221430684</c:v>
                </c:pt>
                <c:pt idx="326">
                  <c:v>4.9344098640573542</c:v>
                </c:pt>
                <c:pt idx="327">
                  <c:v>4.9464786059716417</c:v>
                </c:pt>
                <c:pt idx="328">
                  <c:v>4.9585473478859274</c:v>
                </c:pt>
                <c:pt idx="329">
                  <c:v>4.9706160898002141</c:v>
                </c:pt>
                <c:pt idx="330">
                  <c:v>4.9826848317145007</c:v>
                </c:pt>
                <c:pt idx="331">
                  <c:v>4.9947535736287865</c:v>
                </c:pt>
                <c:pt idx="332">
                  <c:v>5.0068223155430731</c:v>
                </c:pt>
                <c:pt idx="333">
                  <c:v>5.0188910574573589</c:v>
                </c:pt>
                <c:pt idx="334">
                  <c:v>5.0309597993716455</c:v>
                </c:pt>
                <c:pt idx="335">
                  <c:v>5.0430285412859321</c:v>
                </c:pt>
                <c:pt idx="336">
                  <c:v>5.0550972832002179</c:v>
                </c:pt>
                <c:pt idx="337">
                  <c:v>5.0671660251145045</c:v>
                </c:pt>
                <c:pt idx="338">
                  <c:v>5.0792347670287912</c:v>
                </c:pt>
                <c:pt idx="339">
                  <c:v>5.0913035089430778</c:v>
                </c:pt>
                <c:pt idx="340">
                  <c:v>5.1033722508573645</c:v>
                </c:pt>
                <c:pt idx="341">
                  <c:v>5.1154409927716502</c:v>
                </c:pt>
                <c:pt idx="342">
                  <c:v>5.1275097346859368</c:v>
                </c:pt>
                <c:pt idx="343">
                  <c:v>5.1395784766002226</c:v>
                </c:pt>
                <c:pt idx="344">
                  <c:v>5.1516472185145092</c:v>
                </c:pt>
                <c:pt idx="345">
                  <c:v>5.163715960428795</c:v>
                </c:pt>
                <c:pt idx="346">
                  <c:v>5.1757847023430816</c:v>
                </c:pt>
                <c:pt idx="347">
                  <c:v>5.1878534442573683</c:v>
                </c:pt>
                <c:pt idx="348">
                  <c:v>5.1999221861716549</c:v>
                </c:pt>
                <c:pt idx="349">
                  <c:v>5.2119909280859416</c:v>
                </c:pt>
                <c:pt idx="350">
                  <c:v>5.2240596700002273</c:v>
                </c:pt>
                <c:pt idx="351">
                  <c:v>5.2361284119145139</c:v>
                </c:pt>
                <c:pt idx="352">
                  <c:v>5.2481971538288006</c:v>
                </c:pt>
                <c:pt idx="353">
                  <c:v>5.2602658957430863</c:v>
                </c:pt>
                <c:pt idx="354">
                  <c:v>5.272334637657373</c:v>
                </c:pt>
                <c:pt idx="355">
                  <c:v>5.2844033795716587</c:v>
                </c:pt>
                <c:pt idx="356">
                  <c:v>5.2964721214859454</c:v>
                </c:pt>
                <c:pt idx="357">
                  <c:v>5.308540863400232</c:v>
                </c:pt>
                <c:pt idx="358">
                  <c:v>5.3206096053145187</c:v>
                </c:pt>
                <c:pt idx="359">
                  <c:v>5.3326783472288053</c:v>
                </c:pt>
                <c:pt idx="360">
                  <c:v>5.344747089143091</c:v>
                </c:pt>
                <c:pt idx="361">
                  <c:v>5.3568158310573777</c:v>
                </c:pt>
                <c:pt idx="362">
                  <c:v>5.3688845729716643</c:v>
                </c:pt>
                <c:pt idx="363">
                  <c:v>5.3809533148859501</c:v>
                </c:pt>
                <c:pt idx="364">
                  <c:v>5.3930220568002367</c:v>
                </c:pt>
                <c:pt idx="365">
                  <c:v>5.4050907987145225</c:v>
                </c:pt>
                <c:pt idx="366">
                  <c:v>5.4171595406288091</c:v>
                </c:pt>
                <c:pt idx="367">
                  <c:v>5.4292282825430949</c:v>
                </c:pt>
                <c:pt idx="368">
                  <c:v>5.4412970244573815</c:v>
                </c:pt>
                <c:pt idx="369">
                  <c:v>5.4533657663716681</c:v>
                </c:pt>
                <c:pt idx="370">
                  <c:v>5.4654345082859548</c:v>
                </c:pt>
                <c:pt idx="371">
                  <c:v>5.4775032502002414</c:v>
                </c:pt>
                <c:pt idx="372">
                  <c:v>5.4895719921145272</c:v>
                </c:pt>
                <c:pt idx="373">
                  <c:v>5.5016407340288138</c:v>
                </c:pt>
                <c:pt idx="374">
                  <c:v>5.5137094759431005</c:v>
                </c:pt>
                <c:pt idx="375">
                  <c:v>5.5257782178573862</c:v>
                </c:pt>
                <c:pt idx="376">
                  <c:v>5.5378469597716729</c:v>
                </c:pt>
                <c:pt idx="377">
                  <c:v>5.5499157016859586</c:v>
                </c:pt>
                <c:pt idx="378">
                  <c:v>5.5619844436002452</c:v>
                </c:pt>
                <c:pt idx="379">
                  <c:v>5.5740531855145319</c:v>
                </c:pt>
                <c:pt idx="380">
                  <c:v>5.5861219274288185</c:v>
                </c:pt>
                <c:pt idx="381">
                  <c:v>5.5981906693431052</c:v>
                </c:pt>
                <c:pt idx="382">
                  <c:v>5.6102594112573909</c:v>
                </c:pt>
                <c:pt idx="383">
                  <c:v>5.6223281531716776</c:v>
                </c:pt>
                <c:pt idx="384">
                  <c:v>5.6343968950859633</c:v>
                </c:pt>
                <c:pt idx="385">
                  <c:v>5.6464656370002499</c:v>
                </c:pt>
                <c:pt idx="386">
                  <c:v>5.6585343789145366</c:v>
                </c:pt>
                <c:pt idx="387">
                  <c:v>5.6706031208288223</c:v>
                </c:pt>
                <c:pt idx="388">
                  <c:v>5.682671862743109</c:v>
                </c:pt>
                <c:pt idx="389">
                  <c:v>5.6947406046573947</c:v>
                </c:pt>
                <c:pt idx="390">
                  <c:v>5.7068093465716823</c:v>
                </c:pt>
                <c:pt idx="391">
                  <c:v>5.7188780884859689</c:v>
                </c:pt>
                <c:pt idx="392">
                  <c:v>5.7309468304002547</c:v>
                </c:pt>
                <c:pt idx="393">
                  <c:v>5.7430155723145413</c:v>
                </c:pt>
                <c:pt idx="394">
                  <c:v>5.755084314228827</c:v>
                </c:pt>
                <c:pt idx="395">
                  <c:v>5.7671530561431137</c:v>
                </c:pt>
                <c:pt idx="396">
                  <c:v>5.7792217980574003</c:v>
                </c:pt>
                <c:pt idx="397">
                  <c:v>5.7912905399716861</c:v>
                </c:pt>
                <c:pt idx="398">
                  <c:v>5.8033592818859727</c:v>
                </c:pt>
                <c:pt idx="399">
                  <c:v>5.8154280238002585</c:v>
                </c:pt>
                <c:pt idx="400">
                  <c:v>5.8274967657145451</c:v>
                </c:pt>
              </c:numCache>
            </c:numRef>
          </c:yVal>
          <c:smooth val="0"/>
          <c:extLst>
            <c:ext xmlns:c16="http://schemas.microsoft.com/office/drawing/2014/chart" uri="{C3380CC4-5D6E-409C-BE32-E72D297353CC}">
              <c16:uniqueId val="{00000019-1DFF-4DFC-B6E9-D86B6FD0EE9D}"/>
            </c:ext>
          </c:extLst>
        </c:ser>
        <c:dLbls>
          <c:showLegendKey val="0"/>
          <c:showVal val="0"/>
          <c:showCatName val="0"/>
          <c:showSerName val="0"/>
          <c:showPercent val="0"/>
          <c:showBubbleSize val="0"/>
        </c:dLbls>
        <c:axId val="1389311536"/>
        <c:axId val="1389312016"/>
        <c:extLst/>
      </c:scatterChart>
      <c:valAx>
        <c:axId val="1389311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a:t>
                </a:r>
                <a:r>
                  <a:rPr lang="en-US" baseline="0"/>
                  <a:t> (KCAS)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312016"/>
        <c:crosses val="autoZero"/>
        <c:crossBetween val="midCat"/>
      </c:valAx>
      <c:valAx>
        <c:axId val="1389312016"/>
        <c:scaling>
          <c:orientation val="minMax"/>
          <c:max val="5"/>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Load Factor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311536"/>
        <c:crosses val="autoZero"/>
        <c:crossBetween val="midCat"/>
      </c:valAx>
      <c:spPr>
        <a:noFill/>
        <a:ln>
          <a:noFill/>
        </a:ln>
        <a:effectLst/>
      </c:spPr>
    </c:plotArea>
    <c:legend>
      <c:legendPos val="b"/>
      <c:legendEntry>
        <c:idx val="0"/>
        <c:delete val="1"/>
      </c:legendEntry>
      <c:legendEntry>
        <c:idx val="1"/>
        <c:delete val="1"/>
      </c:legendEntry>
      <c:legendEntry>
        <c:idx val="2"/>
        <c:delete val="1"/>
      </c:legendEntry>
      <c:legendEntry>
        <c:idx val="5"/>
        <c:delete val="1"/>
      </c:legendEntry>
      <c:legendEntry>
        <c:idx val="6"/>
        <c:delete val="1"/>
      </c:legendEntry>
      <c:legendEntry>
        <c:idx val="7"/>
        <c:delete val="1"/>
      </c:legendEntry>
      <c:legendEntry>
        <c:idx val="10"/>
        <c:delete val="1"/>
      </c:legendEntry>
      <c:legendEntry>
        <c:idx val="12"/>
        <c:delete val="1"/>
      </c:legendEntry>
      <c:legendEntry>
        <c:idx val="13"/>
        <c:delete val="1"/>
      </c:legendEntry>
      <c:legendEntry>
        <c:idx val="14"/>
        <c:delete val="1"/>
      </c:legendEntry>
      <c:legendEntry>
        <c:idx val="15"/>
        <c:delete val="1"/>
      </c:legendEntry>
      <c:legendEntry>
        <c:idx val="1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'V-N Diagram'!$AG$37:$AH$37</c:f>
              <c:strCache>
                <c:ptCount val="2"/>
                <c:pt idx="0">
                  <c:v>positive stall</c:v>
                </c:pt>
              </c:strCache>
            </c:strRef>
          </c:tx>
          <c:spPr>
            <a:ln w="19050" cap="rnd">
              <a:solidFill>
                <a:schemeClr val="accent1"/>
              </a:solidFill>
              <a:round/>
            </a:ln>
            <a:effectLst/>
          </c:spPr>
          <c:marker>
            <c:symbol val="none"/>
          </c:marker>
          <c:xVal>
            <c:numRef>
              <c:f>'V-N Diagram'!$AG$39:$AG$89</c:f>
              <c:numCache>
                <c:formatCode>0.00</c:formatCode>
                <c:ptCount val="51"/>
                <c:pt idx="0">
                  <c:v>91.394094063596299</c:v>
                </c:pt>
                <c:pt idx="1">
                  <c:v>92.394094063596299</c:v>
                </c:pt>
                <c:pt idx="2">
                  <c:v>93.394094063596299</c:v>
                </c:pt>
                <c:pt idx="3">
                  <c:v>94.394094063596299</c:v>
                </c:pt>
                <c:pt idx="4">
                  <c:v>95.394094063596299</c:v>
                </c:pt>
                <c:pt idx="5">
                  <c:v>96.394094063596299</c:v>
                </c:pt>
                <c:pt idx="6">
                  <c:v>97.394094063596299</c:v>
                </c:pt>
                <c:pt idx="7">
                  <c:v>98.394094063596299</c:v>
                </c:pt>
                <c:pt idx="8">
                  <c:v>99.394094063596299</c:v>
                </c:pt>
                <c:pt idx="9">
                  <c:v>100.3940940635963</c:v>
                </c:pt>
                <c:pt idx="10">
                  <c:v>101.3940940635963</c:v>
                </c:pt>
                <c:pt idx="11">
                  <c:v>102.3940940635963</c:v>
                </c:pt>
                <c:pt idx="12">
                  <c:v>103.3940940635963</c:v>
                </c:pt>
                <c:pt idx="13">
                  <c:v>104.3940940635963</c:v>
                </c:pt>
                <c:pt idx="14">
                  <c:v>105.3940940635963</c:v>
                </c:pt>
                <c:pt idx="15">
                  <c:v>106.3940940635963</c:v>
                </c:pt>
                <c:pt idx="16">
                  <c:v>107.3940940635963</c:v>
                </c:pt>
                <c:pt idx="17">
                  <c:v>108.3940940635963</c:v>
                </c:pt>
                <c:pt idx="18">
                  <c:v>109.3940940635963</c:v>
                </c:pt>
                <c:pt idx="19">
                  <c:v>110.3940940635963</c:v>
                </c:pt>
                <c:pt idx="20">
                  <c:v>111.3940940635963</c:v>
                </c:pt>
                <c:pt idx="21">
                  <c:v>112.3940940635963</c:v>
                </c:pt>
                <c:pt idx="22">
                  <c:v>113.3940940635963</c:v>
                </c:pt>
                <c:pt idx="23">
                  <c:v>114.3940940635963</c:v>
                </c:pt>
                <c:pt idx="24">
                  <c:v>115.3940940635963</c:v>
                </c:pt>
                <c:pt idx="25">
                  <c:v>116.3940940635963</c:v>
                </c:pt>
                <c:pt idx="26">
                  <c:v>117.3940940635963</c:v>
                </c:pt>
                <c:pt idx="27">
                  <c:v>118.3940940635963</c:v>
                </c:pt>
                <c:pt idx="28">
                  <c:v>119.3940940635963</c:v>
                </c:pt>
                <c:pt idx="29">
                  <c:v>120.3940940635963</c:v>
                </c:pt>
                <c:pt idx="30">
                  <c:v>121.3940940635963</c:v>
                </c:pt>
                <c:pt idx="31">
                  <c:v>122.3940940635963</c:v>
                </c:pt>
                <c:pt idx="32">
                  <c:v>123.3940940635963</c:v>
                </c:pt>
                <c:pt idx="33">
                  <c:v>132.47</c:v>
                </c:pt>
                <c:pt idx="34">
                  <c:v>133.47</c:v>
                </c:pt>
                <c:pt idx="35">
                  <c:v>134.47</c:v>
                </c:pt>
                <c:pt idx="36">
                  <c:v>135.47</c:v>
                </c:pt>
                <c:pt idx="37">
                  <c:v>136.47</c:v>
                </c:pt>
                <c:pt idx="38">
                  <c:v>137.47</c:v>
                </c:pt>
                <c:pt idx="39">
                  <c:v>138.47</c:v>
                </c:pt>
                <c:pt idx="40">
                  <c:v>139.47</c:v>
                </c:pt>
                <c:pt idx="41">
                  <c:v>140.47</c:v>
                </c:pt>
                <c:pt idx="42">
                  <c:v>141.47</c:v>
                </c:pt>
                <c:pt idx="43">
                  <c:v>142.47</c:v>
                </c:pt>
                <c:pt idx="44">
                  <c:v>143.47</c:v>
                </c:pt>
                <c:pt idx="45">
                  <c:v>144.47</c:v>
                </c:pt>
                <c:pt idx="46">
                  <c:v>145.47</c:v>
                </c:pt>
                <c:pt idx="47">
                  <c:v>146.47</c:v>
                </c:pt>
                <c:pt idx="48">
                  <c:v>147.47</c:v>
                </c:pt>
                <c:pt idx="49">
                  <c:v>148.47</c:v>
                </c:pt>
                <c:pt idx="50">
                  <c:v>149.47</c:v>
                </c:pt>
              </c:numCache>
            </c:numRef>
          </c:xVal>
          <c:yVal>
            <c:numRef>
              <c:f>'V-N Diagram'!$AH$39:$AH$89</c:f>
              <c:numCache>
                <c:formatCode>General</c:formatCode>
                <c:ptCount val="51"/>
                <c:pt idx="0">
                  <c:v>1.5870208867142392</c:v>
                </c:pt>
                <c:pt idx="1">
                  <c:v>1.6219400616915236</c:v>
                </c:pt>
                <c:pt idx="2">
                  <c:v>1.657239230348849</c:v>
                </c:pt>
                <c:pt idx="3">
                  <c:v>1.6929183926862164</c:v>
                </c:pt>
                <c:pt idx="4">
                  <c:v>1.7289775487036243</c:v>
                </c:pt>
                <c:pt idx="5">
                  <c:v>1.7654166984010742</c:v>
                </c:pt>
                <c:pt idx="6">
                  <c:v>1.8022358417785647</c:v>
                </c:pt>
                <c:pt idx="7">
                  <c:v>1.8394349788360966</c:v>
                </c:pt>
                <c:pt idx="8">
                  <c:v>1.8770141095736697</c:v>
                </c:pt>
                <c:pt idx="9">
                  <c:v>1.9149732339912844</c:v>
                </c:pt>
                <c:pt idx="10">
                  <c:v>1.9533123520889404</c:v>
                </c:pt>
                <c:pt idx="11">
                  <c:v>1.9920314638666374</c:v>
                </c:pt>
                <c:pt idx="12">
                  <c:v>2.0311305693243762</c:v>
                </c:pt>
                <c:pt idx="13">
                  <c:v>2.0706096684621556</c:v>
                </c:pt>
                <c:pt idx="14">
                  <c:v>2.1104687612799768</c:v>
                </c:pt>
                <c:pt idx="15">
                  <c:v>2.1507078477778383</c:v>
                </c:pt>
                <c:pt idx="16">
                  <c:v>2.1913269279557417</c:v>
                </c:pt>
                <c:pt idx="17">
                  <c:v>2.2323260018136866</c:v>
                </c:pt>
                <c:pt idx="18">
                  <c:v>2.2737050693516725</c:v>
                </c:pt>
                <c:pt idx="19">
                  <c:v>2.3154641305696999</c:v>
                </c:pt>
                <c:pt idx="20">
                  <c:v>2.3576031854677684</c:v>
                </c:pt>
                <c:pt idx="21">
                  <c:v>2.4001222340458783</c:v>
                </c:pt>
                <c:pt idx="22">
                  <c:v>2.4430212763040298</c:v>
                </c:pt>
                <c:pt idx="23">
                  <c:v>2.4863003122422218</c:v>
                </c:pt>
                <c:pt idx="24">
                  <c:v>2.5299593418604549</c:v>
                </c:pt>
                <c:pt idx="25">
                  <c:v>2.5739983651587304</c:v>
                </c:pt>
                <c:pt idx="26">
                  <c:v>2.618417382137046</c:v>
                </c:pt>
                <c:pt idx="27">
                  <c:v>2.6632163927954036</c:v>
                </c:pt>
                <c:pt idx="28">
                  <c:v>2.7083953971338017</c:v>
                </c:pt>
                <c:pt idx="29">
                  <c:v>2.7539543951522418</c:v>
                </c:pt>
                <c:pt idx="30">
                  <c:v>2.7998933868507234</c:v>
                </c:pt>
                <c:pt idx="31">
                  <c:v>2.8462123722292456</c:v>
                </c:pt>
                <c:pt idx="32">
                  <c:v>2.8929113512878097</c:v>
                </c:pt>
                <c:pt idx="33">
                  <c:v>3.3341217187312489</c:v>
                </c:pt>
              </c:numCache>
            </c:numRef>
          </c:yVal>
          <c:smooth val="0"/>
          <c:extLst>
            <c:ext xmlns:c16="http://schemas.microsoft.com/office/drawing/2014/chart" uri="{C3380CC4-5D6E-409C-BE32-E72D297353CC}">
              <c16:uniqueId val="{00000000-42F2-4491-B1D6-20F3A9CB40BB}"/>
            </c:ext>
          </c:extLst>
        </c:ser>
        <c:ser>
          <c:idx val="1"/>
          <c:order val="1"/>
          <c:tx>
            <c:strRef>
              <c:f>'V-N Diagram'!$AI$37:$AJ$37</c:f>
              <c:strCache>
                <c:ptCount val="2"/>
                <c:pt idx="0">
                  <c:v>negative stall</c:v>
                </c:pt>
              </c:strCache>
            </c:strRef>
          </c:tx>
          <c:spPr>
            <a:ln w="19050" cap="rnd">
              <a:solidFill>
                <a:schemeClr val="accent2"/>
              </a:solidFill>
              <a:round/>
            </a:ln>
            <a:effectLst/>
          </c:spPr>
          <c:marker>
            <c:symbol val="none"/>
          </c:marker>
          <c:xVal>
            <c:numRef>
              <c:f>'V-N Diagram'!$AI$39:$AI$89</c:f>
              <c:numCache>
                <c:formatCode>General</c:formatCode>
                <c:ptCount val="51"/>
                <c:pt idx="0">
                  <c:v>0</c:v>
                </c:pt>
                <c:pt idx="1">
                  <c:v>4</c:v>
                </c:pt>
                <c:pt idx="2">
                  <c:v>8</c:v>
                </c:pt>
                <c:pt idx="3">
                  <c:v>12</c:v>
                </c:pt>
                <c:pt idx="4">
                  <c:v>16</c:v>
                </c:pt>
                <c:pt idx="5">
                  <c:v>20</c:v>
                </c:pt>
                <c:pt idx="6">
                  <c:v>24</c:v>
                </c:pt>
                <c:pt idx="7">
                  <c:v>28</c:v>
                </c:pt>
                <c:pt idx="8">
                  <c:v>32</c:v>
                </c:pt>
                <c:pt idx="9">
                  <c:v>36</c:v>
                </c:pt>
                <c:pt idx="10">
                  <c:v>40</c:v>
                </c:pt>
                <c:pt idx="11">
                  <c:v>44</c:v>
                </c:pt>
                <c:pt idx="12">
                  <c:v>48</c:v>
                </c:pt>
                <c:pt idx="13">
                  <c:v>52</c:v>
                </c:pt>
                <c:pt idx="14">
                  <c:v>56</c:v>
                </c:pt>
                <c:pt idx="15">
                  <c:v>60</c:v>
                </c:pt>
                <c:pt idx="16">
                  <c:v>64</c:v>
                </c:pt>
                <c:pt idx="17">
                  <c:v>68</c:v>
                </c:pt>
                <c:pt idx="18">
                  <c:v>72</c:v>
                </c:pt>
                <c:pt idx="19">
                  <c:v>76</c:v>
                </c:pt>
                <c:pt idx="20">
                  <c:v>80</c:v>
                </c:pt>
                <c:pt idx="21">
                  <c:v>84</c:v>
                </c:pt>
                <c:pt idx="22">
                  <c:v>88</c:v>
                </c:pt>
                <c:pt idx="23">
                  <c:v>92</c:v>
                </c:pt>
                <c:pt idx="24">
                  <c:v>96</c:v>
                </c:pt>
                <c:pt idx="25">
                  <c:v>100</c:v>
                </c:pt>
                <c:pt idx="26">
                  <c:v>104</c:v>
                </c:pt>
                <c:pt idx="27">
                  <c:v>108</c:v>
                </c:pt>
                <c:pt idx="28">
                  <c:v>112</c:v>
                </c:pt>
                <c:pt idx="29">
                  <c:v>116</c:v>
                </c:pt>
                <c:pt idx="30">
                  <c:v>120</c:v>
                </c:pt>
                <c:pt idx="31">
                  <c:v>124</c:v>
                </c:pt>
                <c:pt idx="32">
                  <c:v>128</c:v>
                </c:pt>
                <c:pt idx="33">
                  <c:v>132</c:v>
                </c:pt>
                <c:pt idx="34">
                  <c:v>136</c:v>
                </c:pt>
                <c:pt idx="35">
                  <c:v>140</c:v>
                </c:pt>
                <c:pt idx="36">
                  <c:v>144</c:v>
                </c:pt>
                <c:pt idx="37">
                  <c:v>148</c:v>
                </c:pt>
                <c:pt idx="38">
                  <c:v>152</c:v>
                </c:pt>
                <c:pt idx="39">
                  <c:v>156</c:v>
                </c:pt>
                <c:pt idx="40">
                  <c:v>160</c:v>
                </c:pt>
                <c:pt idx="41">
                  <c:v>164</c:v>
                </c:pt>
                <c:pt idx="42">
                  <c:v>168</c:v>
                </c:pt>
                <c:pt idx="43">
                  <c:v>172</c:v>
                </c:pt>
                <c:pt idx="44">
                  <c:v>176</c:v>
                </c:pt>
                <c:pt idx="45">
                  <c:v>180</c:v>
                </c:pt>
                <c:pt idx="46">
                  <c:v>184</c:v>
                </c:pt>
                <c:pt idx="47">
                  <c:v>188</c:v>
                </c:pt>
                <c:pt idx="48">
                  <c:v>192</c:v>
                </c:pt>
                <c:pt idx="49">
                  <c:v>196</c:v>
                </c:pt>
                <c:pt idx="50">
                  <c:v>200</c:v>
                </c:pt>
              </c:numCache>
            </c:numRef>
          </c:xVal>
          <c:yVal>
            <c:numRef>
              <c:f>'V-N Diagram'!$AJ$39:$AJ$89</c:f>
              <c:numCache>
                <c:formatCode>General</c:formatCode>
                <c:ptCount val="51"/>
                <c:pt idx="0">
                  <c:v>0</c:v>
                </c:pt>
                <c:pt idx="1">
                  <c:v>-1.3673339761589404E-3</c:v>
                </c:pt>
                <c:pt idx="2">
                  <c:v>-5.4693359046357618E-3</c:v>
                </c:pt>
                <c:pt idx="3">
                  <c:v>-1.2306005785430466E-2</c:v>
                </c:pt>
                <c:pt idx="4">
                  <c:v>-2.1877343618543047E-2</c:v>
                </c:pt>
                <c:pt idx="5">
                  <c:v>-3.4183349403973509E-2</c:v>
                </c:pt>
                <c:pt idx="6">
                  <c:v>-4.9224023141721862E-2</c:v>
                </c:pt>
                <c:pt idx="7">
                  <c:v>-6.6999364831788089E-2</c:v>
                </c:pt>
                <c:pt idx="8">
                  <c:v>-8.7509374474172189E-2</c:v>
                </c:pt>
                <c:pt idx="9">
                  <c:v>-0.11075405206887418</c:v>
                </c:pt>
                <c:pt idx="10">
                  <c:v>-0.13673339761589404</c:v>
                </c:pt>
                <c:pt idx="11">
                  <c:v>-0.16544741111523181</c:v>
                </c:pt>
                <c:pt idx="12">
                  <c:v>-0.19689609256688745</c:v>
                </c:pt>
                <c:pt idx="13">
                  <c:v>-0.23107944197086097</c:v>
                </c:pt>
                <c:pt idx="14">
                  <c:v>-0.26799745932715235</c:v>
                </c:pt>
                <c:pt idx="15">
                  <c:v>-0.30765014463576157</c:v>
                </c:pt>
                <c:pt idx="16">
                  <c:v>-0.35003749789668875</c:v>
                </c:pt>
                <c:pt idx="17">
                  <c:v>-0.39515951910993374</c:v>
                </c:pt>
                <c:pt idx="18">
                  <c:v>-0.4430162082754967</c:v>
                </c:pt>
                <c:pt idx="19">
                  <c:v>-0.49360756539337752</c:v>
                </c:pt>
                <c:pt idx="20">
                  <c:v>-0.54693359046357615</c:v>
                </c:pt>
                <c:pt idx="21">
                  <c:v>-0.60299428348609274</c:v>
                </c:pt>
                <c:pt idx="22">
                  <c:v>-0.66178964446092725</c:v>
                </c:pt>
                <c:pt idx="23">
                  <c:v>-0.72331967338807956</c:v>
                </c:pt>
                <c:pt idx="24">
                  <c:v>-0.78758437026754979</c:v>
                </c:pt>
                <c:pt idx="25">
                  <c:v>-0.85458373509933772</c:v>
                </c:pt>
                <c:pt idx="26">
                  <c:v>-0.92431776788344389</c:v>
                </c:pt>
                <c:pt idx="27">
                  <c:v>-0.99678646861986764</c:v>
                </c:pt>
                <c:pt idx="28">
                  <c:v>-1.0719898373086094</c:v>
                </c:pt>
                <c:pt idx="29">
                  <c:v>-1.149927873949669</c:v>
                </c:pt>
                <c:pt idx="30">
                  <c:v>-1.2306005785430463</c:v>
                </c:pt>
                <c:pt idx="31">
                  <c:v>-1.3140079510887419</c:v>
                </c:pt>
                <c:pt idx="32">
                  <c:v>-1.400149991586755</c:v>
                </c:pt>
                <c:pt idx="33">
                  <c:v>-1.4890267000370863</c:v>
                </c:pt>
                <c:pt idx="34">
                  <c:v>-1.580638076439735</c:v>
                </c:pt>
                <c:pt idx="35">
                  <c:v>-1.674984120794702</c:v>
                </c:pt>
                <c:pt idx="36">
                  <c:v>-1.7720648331019868</c:v>
                </c:pt>
                <c:pt idx="37">
                  <c:v>-1.8718802133615893</c:v>
                </c:pt>
                <c:pt idx="38">
                  <c:v>-1.9744302615735101</c:v>
                </c:pt>
                <c:pt idx="39">
                  <c:v>-2.0797149777377482</c:v>
                </c:pt>
                <c:pt idx="40">
                  <c:v>-2.1877343618543046</c:v>
                </c:pt>
                <c:pt idx="41">
                  <c:v>-2.2984884139231792</c:v>
                </c:pt>
                <c:pt idx="42">
                  <c:v>-2.411977133944371</c:v>
                </c:pt>
                <c:pt idx="43">
                  <c:v>-2.5282005219178809</c:v>
                </c:pt>
                <c:pt idx="44">
                  <c:v>-2.647158577843709</c:v>
                </c:pt>
                <c:pt idx="45">
                  <c:v>-2.7688513017218543</c:v>
                </c:pt>
                <c:pt idx="46">
                  <c:v>-2.8932786935523183</c:v>
                </c:pt>
                <c:pt idx="47">
                  <c:v>-3.0204407533350999</c:v>
                </c:pt>
                <c:pt idx="48">
                  <c:v>-3.1503374810701992</c:v>
                </c:pt>
                <c:pt idx="49">
                  <c:v>-3.2829688767576162</c:v>
                </c:pt>
                <c:pt idx="50">
                  <c:v>-3.4183349403973509</c:v>
                </c:pt>
              </c:numCache>
            </c:numRef>
          </c:yVal>
          <c:smooth val="0"/>
          <c:extLst>
            <c:ext xmlns:c16="http://schemas.microsoft.com/office/drawing/2014/chart" uri="{C3380CC4-5D6E-409C-BE32-E72D297353CC}">
              <c16:uniqueId val="{00000001-42F2-4491-B1D6-20F3A9CB40BB}"/>
            </c:ext>
          </c:extLst>
        </c:ser>
        <c:ser>
          <c:idx val="2"/>
          <c:order val="2"/>
          <c:tx>
            <c:strRef>
              <c:f>'V-N Diagram'!$AK$37:$AL$37</c:f>
              <c:strCache>
                <c:ptCount val="2"/>
                <c:pt idx="0">
                  <c:v>Vg</c:v>
                </c:pt>
              </c:strCache>
            </c:strRef>
          </c:tx>
          <c:spPr>
            <a:ln w="19050" cap="rnd">
              <a:solidFill>
                <a:schemeClr val="accent3"/>
              </a:solidFill>
              <a:round/>
            </a:ln>
            <a:effectLst/>
          </c:spPr>
          <c:marker>
            <c:symbol val="none"/>
          </c:marker>
          <c:xVal>
            <c:numRef>
              <c:f>'V-N Diagram'!$AK$39:$AK$89</c:f>
              <c:numCache>
                <c:formatCode>General</c:formatCode>
                <c:ptCount val="51"/>
                <c:pt idx="0">
                  <c:v>197.721490063907</c:v>
                </c:pt>
                <c:pt idx="1">
                  <c:v>197.721490063907</c:v>
                </c:pt>
                <c:pt idx="2">
                  <c:v>197.721490063907</c:v>
                </c:pt>
                <c:pt idx="3">
                  <c:v>197.721490063907</c:v>
                </c:pt>
                <c:pt idx="4">
                  <c:v>197.721490063907</c:v>
                </c:pt>
                <c:pt idx="5">
                  <c:v>197.721490063907</c:v>
                </c:pt>
                <c:pt idx="6">
                  <c:v>197.721490063907</c:v>
                </c:pt>
                <c:pt idx="7">
                  <c:v>197.721490063907</c:v>
                </c:pt>
                <c:pt idx="8">
                  <c:v>197.721490063907</c:v>
                </c:pt>
                <c:pt idx="9">
                  <c:v>197.721490063907</c:v>
                </c:pt>
                <c:pt idx="10">
                  <c:v>197.721490063907</c:v>
                </c:pt>
                <c:pt idx="11">
                  <c:v>197.721490063907</c:v>
                </c:pt>
                <c:pt idx="12">
                  <c:v>197.721490063907</c:v>
                </c:pt>
                <c:pt idx="13">
                  <c:v>197.721490063907</c:v>
                </c:pt>
                <c:pt idx="14">
                  <c:v>197.721490063907</c:v>
                </c:pt>
                <c:pt idx="15">
                  <c:v>197.721490063907</c:v>
                </c:pt>
                <c:pt idx="16">
                  <c:v>197.721490063907</c:v>
                </c:pt>
                <c:pt idx="17">
                  <c:v>197.721490063907</c:v>
                </c:pt>
                <c:pt idx="18">
                  <c:v>197.721490063907</c:v>
                </c:pt>
                <c:pt idx="19">
                  <c:v>197.721490063907</c:v>
                </c:pt>
                <c:pt idx="20">
                  <c:v>197.721490063907</c:v>
                </c:pt>
                <c:pt idx="21">
                  <c:v>197.721490063907</c:v>
                </c:pt>
                <c:pt idx="22">
                  <c:v>197.721490063907</c:v>
                </c:pt>
                <c:pt idx="23">
                  <c:v>197.721490063907</c:v>
                </c:pt>
                <c:pt idx="24">
                  <c:v>197.721490063907</c:v>
                </c:pt>
                <c:pt idx="25">
                  <c:v>197.721490063907</c:v>
                </c:pt>
                <c:pt idx="26">
                  <c:v>197.721490063907</c:v>
                </c:pt>
                <c:pt idx="27">
                  <c:v>197.721490063907</c:v>
                </c:pt>
                <c:pt idx="28">
                  <c:v>197.721490063907</c:v>
                </c:pt>
                <c:pt idx="29">
                  <c:v>197.721490063907</c:v>
                </c:pt>
                <c:pt idx="30">
                  <c:v>197.721490063907</c:v>
                </c:pt>
                <c:pt idx="31">
                  <c:v>197.721490063907</c:v>
                </c:pt>
                <c:pt idx="32">
                  <c:v>197.721490063907</c:v>
                </c:pt>
                <c:pt idx="33">
                  <c:v>197.721490063907</c:v>
                </c:pt>
                <c:pt idx="34">
                  <c:v>197.721490063907</c:v>
                </c:pt>
                <c:pt idx="35">
                  <c:v>197.721490063907</c:v>
                </c:pt>
                <c:pt idx="36">
                  <c:v>197.721490063907</c:v>
                </c:pt>
                <c:pt idx="37">
                  <c:v>197.721490063907</c:v>
                </c:pt>
                <c:pt idx="38">
                  <c:v>197.721490063907</c:v>
                </c:pt>
                <c:pt idx="39">
                  <c:v>197.721490063907</c:v>
                </c:pt>
                <c:pt idx="40">
                  <c:v>197.721490063907</c:v>
                </c:pt>
                <c:pt idx="41">
                  <c:v>197.721490063907</c:v>
                </c:pt>
                <c:pt idx="42">
                  <c:v>197.721490063907</c:v>
                </c:pt>
                <c:pt idx="43">
                  <c:v>197.721490063907</c:v>
                </c:pt>
                <c:pt idx="44">
                  <c:v>197.721490063907</c:v>
                </c:pt>
                <c:pt idx="45">
                  <c:v>197.721490063907</c:v>
                </c:pt>
                <c:pt idx="46">
                  <c:v>197.721490063907</c:v>
                </c:pt>
                <c:pt idx="47">
                  <c:v>197.721490063907</c:v>
                </c:pt>
                <c:pt idx="48">
                  <c:v>197.721490063907</c:v>
                </c:pt>
                <c:pt idx="49">
                  <c:v>197.721490063907</c:v>
                </c:pt>
                <c:pt idx="50">
                  <c:v>197.721490063907</c:v>
                </c:pt>
              </c:numCache>
            </c:numRef>
          </c:xVal>
          <c:yVal>
            <c:numRef>
              <c:f>'V-N Diagram'!$AL$39:$AL$89</c:f>
              <c:numCache>
                <c:formatCode>General</c:formatCode>
                <c:ptCount val="51"/>
                <c:pt idx="0">
                  <c:v>-3</c:v>
                </c:pt>
                <c:pt idx="1">
                  <c:v>-2.84</c:v>
                </c:pt>
                <c:pt idx="2">
                  <c:v>-2.68</c:v>
                </c:pt>
                <c:pt idx="3">
                  <c:v>-2.52</c:v>
                </c:pt>
                <c:pt idx="4">
                  <c:v>-2.36</c:v>
                </c:pt>
                <c:pt idx="5">
                  <c:v>-2.2000000000000002</c:v>
                </c:pt>
                <c:pt idx="6">
                  <c:v>-2.04</c:v>
                </c:pt>
                <c:pt idx="7">
                  <c:v>-1.88</c:v>
                </c:pt>
                <c:pt idx="8">
                  <c:v>-1.72</c:v>
                </c:pt>
                <c:pt idx="9">
                  <c:v>-1.56</c:v>
                </c:pt>
                <c:pt idx="10">
                  <c:v>-1.4</c:v>
                </c:pt>
                <c:pt idx="11">
                  <c:v>-1.24</c:v>
                </c:pt>
                <c:pt idx="12">
                  <c:v>-1.08</c:v>
                </c:pt>
                <c:pt idx="13">
                  <c:v>-0.92</c:v>
                </c:pt>
                <c:pt idx="14">
                  <c:v>-0.76</c:v>
                </c:pt>
                <c:pt idx="15">
                  <c:v>-0.6</c:v>
                </c:pt>
                <c:pt idx="16">
                  <c:v>-0.44</c:v>
                </c:pt>
                <c:pt idx="17">
                  <c:v>-0.28000000000000003</c:v>
                </c:pt>
                <c:pt idx="18">
                  <c:v>-0.12</c:v>
                </c:pt>
                <c:pt idx="19">
                  <c:v>0.04</c:v>
                </c:pt>
                <c:pt idx="20">
                  <c:v>0.2</c:v>
                </c:pt>
                <c:pt idx="21">
                  <c:v>0.36</c:v>
                </c:pt>
                <c:pt idx="22">
                  <c:v>0.52</c:v>
                </c:pt>
                <c:pt idx="23">
                  <c:v>0.68</c:v>
                </c:pt>
                <c:pt idx="24">
                  <c:v>0.84</c:v>
                </c:pt>
                <c:pt idx="25">
                  <c:v>1</c:v>
                </c:pt>
                <c:pt idx="26">
                  <c:v>1.1599999999999999</c:v>
                </c:pt>
                <c:pt idx="27">
                  <c:v>1.32</c:v>
                </c:pt>
                <c:pt idx="28">
                  <c:v>1.48</c:v>
                </c:pt>
                <c:pt idx="29">
                  <c:v>1.64</c:v>
                </c:pt>
                <c:pt idx="30">
                  <c:v>1.8</c:v>
                </c:pt>
                <c:pt idx="31">
                  <c:v>1.96</c:v>
                </c:pt>
                <c:pt idx="32">
                  <c:v>2.12</c:v>
                </c:pt>
                <c:pt idx="33">
                  <c:v>2.2799999999999998</c:v>
                </c:pt>
                <c:pt idx="34">
                  <c:v>2.44</c:v>
                </c:pt>
                <c:pt idx="35">
                  <c:v>2.6</c:v>
                </c:pt>
                <c:pt idx="36">
                  <c:v>2.76000000000001</c:v>
                </c:pt>
                <c:pt idx="37">
                  <c:v>2.9200000000000101</c:v>
                </c:pt>
                <c:pt idx="38">
                  <c:v>3.0800000000000098</c:v>
                </c:pt>
                <c:pt idx="39">
                  <c:v>3.24000000000001</c:v>
                </c:pt>
                <c:pt idx="40">
                  <c:v>3.4000000000000101</c:v>
                </c:pt>
                <c:pt idx="41">
                  <c:v>3.5600000000000098</c:v>
                </c:pt>
                <c:pt idx="42">
                  <c:v>3.72000000000001</c:v>
                </c:pt>
                <c:pt idx="43">
                  <c:v>3.8800000000000101</c:v>
                </c:pt>
                <c:pt idx="44">
                  <c:v>4.0400000000000098</c:v>
                </c:pt>
                <c:pt idx="45">
                  <c:v>4.2000000000000099</c:v>
                </c:pt>
                <c:pt idx="46">
                  <c:v>4.3600000000000101</c:v>
                </c:pt>
                <c:pt idx="47">
                  <c:v>4.5200000000000102</c:v>
                </c:pt>
                <c:pt idx="48">
                  <c:v>4.6800000000000104</c:v>
                </c:pt>
                <c:pt idx="49">
                  <c:v>4.8400000000000096</c:v>
                </c:pt>
                <c:pt idx="50">
                  <c:v>5.0000000000000098</c:v>
                </c:pt>
              </c:numCache>
            </c:numRef>
          </c:yVal>
          <c:smooth val="0"/>
          <c:extLst>
            <c:ext xmlns:c16="http://schemas.microsoft.com/office/drawing/2014/chart" uri="{C3380CC4-5D6E-409C-BE32-E72D297353CC}">
              <c16:uniqueId val="{00000002-42F2-4491-B1D6-20F3A9CB40BB}"/>
            </c:ext>
          </c:extLst>
        </c:ser>
        <c:ser>
          <c:idx val="3"/>
          <c:order val="3"/>
          <c:tx>
            <c:strRef>
              <c:f>'V-N Diagram'!$AM$37:$AN$37</c:f>
              <c:strCache>
                <c:ptCount val="2"/>
                <c:pt idx="0">
                  <c:v>Vc</c:v>
                </c:pt>
              </c:strCache>
            </c:strRef>
          </c:tx>
          <c:spPr>
            <a:ln w="19050" cap="rnd">
              <a:solidFill>
                <a:schemeClr val="accent4"/>
              </a:solidFill>
              <a:round/>
            </a:ln>
            <a:effectLst/>
          </c:spPr>
          <c:marker>
            <c:symbol val="none"/>
          </c:marker>
          <c:xVal>
            <c:numRef>
              <c:f>'V-N Diagram'!$AM$39:$AM$89</c:f>
              <c:numCache>
                <c:formatCode>General</c:formatCode>
                <c:ptCount val="51"/>
                <c:pt idx="0">
                  <c:v>230</c:v>
                </c:pt>
                <c:pt idx="1">
                  <c:v>230</c:v>
                </c:pt>
                <c:pt idx="2">
                  <c:v>230</c:v>
                </c:pt>
                <c:pt idx="3">
                  <c:v>230</c:v>
                </c:pt>
                <c:pt idx="4">
                  <c:v>230</c:v>
                </c:pt>
                <c:pt idx="5">
                  <c:v>230</c:v>
                </c:pt>
                <c:pt idx="6">
                  <c:v>230</c:v>
                </c:pt>
                <c:pt idx="7">
                  <c:v>230</c:v>
                </c:pt>
                <c:pt idx="8">
                  <c:v>230</c:v>
                </c:pt>
                <c:pt idx="9">
                  <c:v>230</c:v>
                </c:pt>
                <c:pt idx="10">
                  <c:v>230</c:v>
                </c:pt>
                <c:pt idx="11">
                  <c:v>230</c:v>
                </c:pt>
                <c:pt idx="12">
                  <c:v>230</c:v>
                </c:pt>
                <c:pt idx="13">
                  <c:v>230</c:v>
                </c:pt>
                <c:pt idx="14">
                  <c:v>230</c:v>
                </c:pt>
                <c:pt idx="15">
                  <c:v>230</c:v>
                </c:pt>
                <c:pt idx="16">
                  <c:v>230</c:v>
                </c:pt>
                <c:pt idx="17">
                  <c:v>230</c:v>
                </c:pt>
                <c:pt idx="18">
                  <c:v>230</c:v>
                </c:pt>
                <c:pt idx="19">
                  <c:v>230</c:v>
                </c:pt>
                <c:pt idx="20">
                  <c:v>230</c:v>
                </c:pt>
                <c:pt idx="21">
                  <c:v>230</c:v>
                </c:pt>
                <c:pt idx="22">
                  <c:v>230</c:v>
                </c:pt>
                <c:pt idx="23">
                  <c:v>230</c:v>
                </c:pt>
                <c:pt idx="24">
                  <c:v>230</c:v>
                </c:pt>
                <c:pt idx="25">
                  <c:v>230</c:v>
                </c:pt>
                <c:pt idx="26">
                  <c:v>230</c:v>
                </c:pt>
                <c:pt idx="27">
                  <c:v>230</c:v>
                </c:pt>
                <c:pt idx="28">
                  <c:v>230</c:v>
                </c:pt>
                <c:pt idx="29">
                  <c:v>230</c:v>
                </c:pt>
                <c:pt idx="30">
                  <c:v>230</c:v>
                </c:pt>
                <c:pt idx="31">
                  <c:v>230</c:v>
                </c:pt>
                <c:pt idx="32">
                  <c:v>230</c:v>
                </c:pt>
                <c:pt idx="33">
                  <c:v>230</c:v>
                </c:pt>
                <c:pt idx="34">
                  <c:v>230</c:v>
                </c:pt>
                <c:pt idx="35">
                  <c:v>230</c:v>
                </c:pt>
                <c:pt idx="36">
                  <c:v>230</c:v>
                </c:pt>
                <c:pt idx="37">
                  <c:v>230</c:v>
                </c:pt>
                <c:pt idx="38">
                  <c:v>230</c:v>
                </c:pt>
                <c:pt idx="39">
                  <c:v>230</c:v>
                </c:pt>
                <c:pt idx="40">
                  <c:v>230</c:v>
                </c:pt>
                <c:pt idx="41">
                  <c:v>230</c:v>
                </c:pt>
                <c:pt idx="42">
                  <c:v>230</c:v>
                </c:pt>
                <c:pt idx="43">
                  <c:v>230</c:v>
                </c:pt>
                <c:pt idx="44">
                  <c:v>230</c:v>
                </c:pt>
                <c:pt idx="45">
                  <c:v>230</c:v>
                </c:pt>
                <c:pt idx="46">
                  <c:v>230</c:v>
                </c:pt>
                <c:pt idx="47">
                  <c:v>230</c:v>
                </c:pt>
                <c:pt idx="48">
                  <c:v>230</c:v>
                </c:pt>
                <c:pt idx="49">
                  <c:v>230</c:v>
                </c:pt>
                <c:pt idx="50">
                  <c:v>230</c:v>
                </c:pt>
              </c:numCache>
            </c:numRef>
          </c:xVal>
          <c:yVal>
            <c:numRef>
              <c:f>'V-N Diagram'!$AN$39:$AN$89</c:f>
              <c:numCache>
                <c:formatCode>General</c:formatCode>
                <c:ptCount val="51"/>
                <c:pt idx="0">
                  <c:v>-3</c:v>
                </c:pt>
                <c:pt idx="1">
                  <c:v>-2.84</c:v>
                </c:pt>
                <c:pt idx="2">
                  <c:v>-2.68</c:v>
                </c:pt>
                <c:pt idx="3">
                  <c:v>-2.52</c:v>
                </c:pt>
                <c:pt idx="4">
                  <c:v>-2.36</c:v>
                </c:pt>
                <c:pt idx="5">
                  <c:v>-2.2000000000000002</c:v>
                </c:pt>
                <c:pt idx="6">
                  <c:v>-2.04</c:v>
                </c:pt>
                <c:pt idx="7">
                  <c:v>-1.88</c:v>
                </c:pt>
                <c:pt idx="8">
                  <c:v>-1.72</c:v>
                </c:pt>
                <c:pt idx="9">
                  <c:v>-1.56</c:v>
                </c:pt>
                <c:pt idx="10">
                  <c:v>-1.4</c:v>
                </c:pt>
                <c:pt idx="11">
                  <c:v>-1.24</c:v>
                </c:pt>
                <c:pt idx="12">
                  <c:v>-1.08</c:v>
                </c:pt>
                <c:pt idx="13">
                  <c:v>-0.92</c:v>
                </c:pt>
                <c:pt idx="14">
                  <c:v>-0.76</c:v>
                </c:pt>
                <c:pt idx="15">
                  <c:v>-0.6</c:v>
                </c:pt>
                <c:pt idx="16">
                  <c:v>-0.44</c:v>
                </c:pt>
                <c:pt idx="17">
                  <c:v>-0.28000000000000003</c:v>
                </c:pt>
                <c:pt idx="18">
                  <c:v>-0.12</c:v>
                </c:pt>
                <c:pt idx="19">
                  <c:v>0.04</c:v>
                </c:pt>
                <c:pt idx="20">
                  <c:v>0.2</c:v>
                </c:pt>
                <c:pt idx="21">
                  <c:v>0.36</c:v>
                </c:pt>
                <c:pt idx="22">
                  <c:v>0.52</c:v>
                </c:pt>
                <c:pt idx="23">
                  <c:v>0.68</c:v>
                </c:pt>
                <c:pt idx="24">
                  <c:v>0.84</c:v>
                </c:pt>
                <c:pt idx="25">
                  <c:v>1</c:v>
                </c:pt>
                <c:pt idx="26">
                  <c:v>1.1599999999999999</c:v>
                </c:pt>
                <c:pt idx="27">
                  <c:v>1.32</c:v>
                </c:pt>
                <c:pt idx="28">
                  <c:v>1.48</c:v>
                </c:pt>
                <c:pt idx="29">
                  <c:v>1.64</c:v>
                </c:pt>
                <c:pt idx="30">
                  <c:v>1.8</c:v>
                </c:pt>
                <c:pt idx="31">
                  <c:v>1.96</c:v>
                </c:pt>
                <c:pt idx="32">
                  <c:v>2.12</c:v>
                </c:pt>
                <c:pt idx="33">
                  <c:v>2.2799999999999998</c:v>
                </c:pt>
                <c:pt idx="34">
                  <c:v>2.44</c:v>
                </c:pt>
                <c:pt idx="35">
                  <c:v>2.6</c:v>
                </c:pt>
                <c:pt idx="36">
                  <c:v>2.76000000000001</c:v>
                </c:pt>
                <c:pt idx="37">
                  <c:v>2.9200000000000101</c:v>
                </c:pt>
                <c:pt idx="38">
                  <c:v>3.0800000000000098</c:v>
                </c:pt>
                <c:pt idx="39">
                  <c:v>3.24000000000001</c:v>
                </c:pt>
                <c:pt idx="40">
                  <c:v>3.4000000000000101</c:v>
                </c:pt>
                <c:pt idx="41">
                  <c:v>3.5600000000000098</c:v>
                </c:pt>
                <c:pt idx="42">
                  <c:v>3.72000000000001</c:v>
                </c:pt>
                <c:pt idx="43">
                  <c:v>3.8800000000000101</c:v>
                </c:pt>
                <c:pt idx="44">
                  <c:v>4.0400000000000098</c:v>
                </c:pt>
                <c:pt idx="45">
                  <c:v>4.2000000000000099</c:v>
                </c:pt>
                <c:pt idx="46">
                  <c:v>4.3600000000000101</c:v>
                </c:pt>
                <c:pt idx="47">
                  <c:v>4.5200000000000102</c:v>
                </c:pt>
                <c:pt idx="48">
                  <c:v>4.6800000000000104</c:v>
                </c:pt>
                <c:pt idx="49">
                  <c:v>4.8400000000000096</c:v>
                </c:pt>
                <c:pt idx="50">
                  <c:v>5.0000000000000098</c:v>
                </c:pt>
              </c:numCache>
            </c:numRef>
          </c:yVal>
          <c:smooth val="0"/>
          <c:extLst>
            <c:ext xmlns:c16="http://schemas.microsoft.com/office/drawing/2014/chart" uri="{C3380CC4-5D6E-409C-BE32-E72D297353CC}">
              <c16:uniqueId val="{00000003-42F2-4491-B1D6-20F3A9CB40BB}"/>
            </c:ext>
          </c:extLst>
        </c:ser>
        <c:ser>
          <c:idx val="4"/>
          <c:order val="4"/>
          <c:tx>
            <c:strRef>
              <c:f>'V-N Diagram'!$AO$37:$AP$37</c:f>
              <c:strCache>
                <c:ptCount val="2"/>
                <c:pt idx="0">
                  <c:v>Vd</c:v>
                </c:pt>
              </c:strCache>
            </c:strRef>
          </c:tx>
          <c:spPr>
            <a:ln w="19050" cap="rnd">
              <a:solidFill>
                <a:schemeClr val="accent5"/>
              </a:solidFill>
              <a:round/>
            </a:ln>
            <a:effectLst/>
          </c:spPr>
          <c:marker>
            <c:symbol val="none"/>
          </c:marker>
          <c:xVal>
            <c:numRef>
              <c:f>'V-N Diagram'!$AO$39:$AO$89</c:f>
              <c:numCache>
                <c:formatCode>General</c:formatCode>
                <c:ptCount val="51"/>
                <c:pt idx="0">
                  <c:v>378</c:v>
                </c:pt>
                <c:pt idx="1">
                  <c:v>378</c:v>
                </c:pt>
                <c:pt idx="2">
                  <c:v>378</c:v>
                </c:pt>
                <c:pt idx="3">
                  <c:v>378</c:v>
                </c:pt>
                <c:pt idx="4">
                  <c:v>378</c:v>
                </c:pt>
                <c:pt idx="5">
                  <c:v>378</c:v>
                </c:pt>
                <c:pt idx="6">
                  <c:v>378</c:v>
                </c:pt>
                <c:pt idx="7">
                  <c:v>378</c:v>
                </c:pt>
                <c:pt idx="8">
                  <c:v>378</c:v>
                </c:pt>
                <c:pt idx="9">
                  <c:v>378</c:v>
                </c:pt>
                <c:pt idx="10">
                  <c:v>378</c:v>
                </c:pt>
                <c:pt idx="11">
                  <c:v>378</c:v>
                </c:pt>
                <c:pt idx="12">
                  <c:v>378</c:v>
                </c:pt>
                <c:pt idx="13">
                  <c:v>378</c:v>
                </c:pt>
                <c:pt idx="14">
                  <c:v>378</c:v>
                </c:pt>
                <c:pt idx="15">
                  <c:v>378</c:v>
                </c:pt>
                <c:pt idx="16">
                  <c:v>378</c:v>
                </c:pt>
                <c:pt idx="17">
                  <c:v>378</c:v>
                </c:pt>
                <c:pt idx="18">
                  <c:v>378</c:v>
                </c:pt>
                <c:pt idx="19">
                  <c:v>378</c:v>
                </c:pt>
                <c:pt idx="20">
                  <c:v>378</c:v>
                </c:pt>
                <c:pt idx="21">
                  <c:v>378</c:v>
                </c:pt>
                <c:pt idx="22">
                  <c:v>378</c:v>
                </c:pt>
                <c:pt idx="23">
                  <c:v>378</c:v>
                </c:pt>
                <c:pt idx="24">
                  <c:v>378</c:v>
                </c:pt>
                <c:pt idx="25">
                  <c:v>378</c:v>
                </c:pt>
                <c:pt idx="26">
                  <c:v>378</c:v>
                </c:pt>
                <c:pt idx="27">
                  <c:v>378</c:v>
                </c:pt>
                <c:pt idx="28">
                  <c:v>378</c:v>
                </c:pt>
                <c:pt idx="29">
                  <c:v>378</c:v>
                </c:pt>
                <c:pt idx="30">
                  <c:v>378</c:v>
                </c:pt>
                <c:pt idx="31">
                  <c:v>378</c:v>
                </c:pt>
                <c:pt idx="32">
                  <c:v>378</c:v>
                </c:pt>
                <c:pt idx="33">
                  <c:v>378</c:v>
                </c:pt>
                <c:pt idx="34">
                  <c:v>378</c:v>
                </c:pt>
                <c:pt idx="35">
                  <c:v>378</c:v>
                </c:pt>
                <c:pt idx="36">
                  <c:v>378</c:v>
                </c:pt>
                <c:pt idx="37">
                  <c:v>378</c:v>
                </c:pt>
                <c:pt idx="38">
                  <c:v>378</c:v>
                </c:pt>
                <c:pt idx="39">
                  <c:v>378</c:v>
                </c:pt>
                <c:pt idx="40">
                  <c:v>378</c:v>
                </c:pt>
                <c:pt idx="41">
                  <c:v>378</c:v>
                </c:pt>
                <c:pt idx="42">
                  <c:v>378</c:v>
                </c:pt>
                <c:pt idx="43">
                  <c:v>378</c:v>
                </c:pt>
                <c:pt idx="44">
                  <c:v>378</c:v>
                </c:pt>
                <c:pt idx="45">
                  <c:v>378</c:v>
                </c:pt>
                <c:pt idx="46">
                  <c:v>378</c:v>
                </c:pt>
                <c:pt idx="47">
                  <c:v>378</c:v>
                </c:pt>
                <c:pt idx="48">
                  <c:v>378</c:v>
                </c:pt>
                <c:pt idx="49">
                  <c:v>378</c:v>
                </c:pt>
                <c:pt idx="50">
                  <c:v>378</c:v>
                </c:pt>
              </c:numCache>
            </c:numRef>
          </c:xVal>
          <c:yVal>
            <c:numRef>
              <c:f>'V-N Diagram'!$AP$39:$AP$89</c:f>
              <c:numCache>
                <c:formatCode>General</c:formatCode>
                <c:ptCount val="51"/>
                <c:pt idx="0">
                  <c:v>-3</c:v>
                </c:pt>
                <c:pt idx="1">
                  <c:v>-2.84</c:v>
                </c:pt>
                <c:pt idx="2">
                  <c:v>-2.68</c:v>
                </c:pt>
                <c:pt idx="3">
                  <c:v>-2.52</c:v>
                </c:pt>
                <c:pt idx="4">
                  <c:v>-2.36</c:v>
                </c:pt>
                <c:pt idx="5">
                  <c:v>-2.2000000000000002</c:v>
                </c:pt>
                <c:pt idx="6">
                  <c:v>-2.04</c:v>
                </c:pt>
                <c:pt idx="7">
                  <c:v>-1.88</c:v>
                </c:pt>
                <c:pt idx="8">
                  <c:v>-1.72</c:v>
                </c:pt>
                <c:pt idx="9">
                  <c:v>-1.56</c:v>
                </c:pt>
                <c:pt idx="10">
                  <c:v>-1.4</c:v>
                </c:pt>
                <c:pt idx="11">
                  <c:v>-1.24</c:v>
                </c:pt>
                <c:pt idx="12">
                  <c:v>-1.08</c:v>
                </c:pt>
                <c:pt idx="13">
                  <c:v>-0.92</c:v>
                </c:pt>
                <c:pt idx="14">
                  <c:v>-0.76</c:v>
                </c:pt>
                <c:pt idx="15">
                  <c:v>-0.6</c:v>
                </c:pt>
                <c:pt idx="16">
                  <c:v>-0.44</c:v>
                </c:pt>
                <c:pt idx="17">
                  <c:v>-0.28000000000000003</c:v>
                </c:pt>
                <c:pt idx="18">
                  <c:v>-0.12</c:v>
                </c:pt>
                <c:pt idx="19">
                  <c:v>0.04</c:v>
                </c:pt>
                <c:pt idx="20">
                  <c:v>0.2</c:v>
                </c:pt>
                <c:pt idx="21">
                  <c:v>0.36</c:v>
                </c:pt>
                <c:pt idx="22">
                  <c:v>0.52</c:v>
                </c:pt>
                <c:pt idx="23">
                  <c:v>0.68</c:v>
                </c:pt>
                <c:pt idx="24">
                  <c:v>0.84</c:v>
                </c:pt>
                <c:pt idx="25">
                  <c:v>1</c:v>
                </c:pt>
                <c:pt idx="26">
                  <c:v>1.1599999999999999</c:v>
                </c:pt>
                <c:pt idx="27">
                  <c:v>1.32</c:v>
                </c:pt>
                <c:pt idx="28">
                  <c:v>1.48</c:v>
                </c:pt>
                <c:pt idx="29">
                  <c:v>1.64</c:v>
                </c:pt>
                <c:pt idx="30">
                  <c:v>1.8</c:v>
                </c:pt>
                <c:pt idx="31">
                  <c:v>1.96</c:v>
                </c:pt>
                <c:pt idx="32">
                  <c:v>2.12</c:v>
                </c:pt>
                <c:pt idx="33">
                  <c:v>2.2799999999999998</c:v>
                </c:pt>
                <c:pt idx="34">
                  <c:v>2.44</c:v>
                </c:pt>
                <c:pt idx="35">
                  <c:v>2.6</c:v>
                </c:pt>
                <c:pt idx="36">
                  <c:v>2.76000000000001</c:v>
                </c:pt>
                <c:pt idx="37">
                  <c:v>2.9200000000000101</c:v>
                </c:pt>
                <c:pt idx="38">
                  <c:v>3.0800000000000098</c:v>
                </c:pt>
                <c:pt idx="39">
                  <c:v>3.24000000000001</c:v>
                </c:pt>
                <c:pt idx="40">
                  <c:v>3.4000000000000101</c:v>
                </c:pt>
                <c:pt idx="41">
                  <c:v>3.5600000000000098</c:v>
                </c:pt>
                <c:pt idx="42">
                  <c:v>3.72000000000001</c:v>
                </c:pt>
                <c:pt idx="43">
                  <c:v>3.8800000000000101</c:v>
                </c:pt>
                <c:pt idx="44">
                  <c:v>4.0400000000000098</c:v>
                </c:pt>
                <c:pt idx="45">
                  <c:v>4.2000000000000099</c:v>
                </c:pt>
                <c:pt idx="46">
                  <c:v>4.3600000000000101</c:v>
                </c:pt>
                <c:pt idx="47">
                  <c:v>4.5200000000000102</c:v>
                </c:pt>
                <c:pt idx="48">
                  <c:v>4.6800000000000104</c:v>
                </c:pt>
                <c:pt idx="49">
                  <c:v>4.8400000000000096</c:v>
                </c:pt>
                <c:pt idx="50">
                  <c:v>5.0000000000000098</c:v>
                </c:pt>
              </c:numCache>
            </c:numRef>
          </c:yVal>
          <c:smooth val="0"/>
          <c:extLst>
            <c:ext xmlns:c16="http://schemas.microsoft.com/office/drawing/2014/chart" uri="{C3380CC4-5D6E-409C-BE32-E72D297353CC}">
              <c16:uniqueId val="{00000004-42F2-4491-B1D6-20F3A9CB40BB}"/>
            </c:ext>
          </c:extLst>
        </c:ser>
        <c:ser>
          <c:idx val="5"/>
          <c:order val="5"/>
          <c:tx>
            <c:strRef>
              <c:f>'V-N Diagram'!$AQ$37:$AR$37</c:f>
              <c:strCache>
                <c:ptCount val="2"/>
                <c:pt idx="0">
                  <c:v>Va</c:v>
                </c:pt>
              </c:strCache>
            </c:strRef>
          </c:tx>
          <c:spPr>
            <a:ln w="19050" cap="rnd">
              <a:solidFill>
                <a:schemeClr val="accent6"/>
              </a:solidFill>
              <a:round/>
            </a:ln>
            <a:effectLst/>
          </c:spPr>
          <c:marker>
            <c:symbol val="none"/>
          </c:marker>
          <c:xVal>
            <c:numRef>
              <c:f>'V-N Diagram'!$AQ$39:$AQ$89</c:f>
              <c:numCache>
                <c:formatCode>General</c:formatCode>
                <c:ptCount val="51"/>
                <c:pt idx="0">
                  <c:v>156.47269016040096</c:v>
                </c:pt>
                <c:pt idx="1">
                  <c:v>156.47269016040096</c:v>
                </c:pt>
                <c:pt idx="2">
                  <c:v>156.47269016040096</c:v>
                </c:pt>
                <c:pt idx="3">
                  <c:v>156.47269016040096</c:v>
                </c:pt>
                <c:pt idx="4">
                  <c:v>156.47269016040096</c:v>
                </c:pt>
                <c:pt idx="5">
                  <c:v>156.47269016040096</c:v>
                </c:pt>
                <c:pt idx="6">
                  <c:v>156.47269016040096</c:v>
                </c:pt>
                <c:pt idx="7">
                  <c:v>156.47269016040096</c:v>
                </c:pt>
                <c:pt idx="8">
                  <c:v>156.47269016040096</c:v>
                </c:pt>
                <c:pt idx="9">
                  <c:v>156.47269016040096</c:v>
                </c:pt>
                <c:pt idx="10">
                  <c:v>156.47269016040096</c:v>
                </c:pt>
                <c:pt idx="11">
                  <c:v>156.47269016040096</c:v>
                </c:pt>
                <c:pt idx="12">
                  <c:v>156.47269016040096</c:v>
                </c:pt>
                <c:pt idx="13">
                  <c:v>156.47269016040096</c:v>
                </c:pt>
                <c:pt idx="14">
                  <c:v>156.47269016040096</c:v>
                </c:pt>
                <c:pt idx="15">
                  <c:v>156.47269016040096</c:v>
                </c:pt>
                <c:pt idx="16">
                  <c:v>156.47269016040096</c:v>
                </c:pt>
                <c:pt idx="17">
                  <c:v>156.47269016040096</c:v>
                </c:pt>
                <c:pt idx="18">
                  <c:v>156.47269016040096</c:v>
                </c:pt>
                <c:pt idx="19">
                  <c:v>156.47269016040096</c:v>
                </c:pt>
                <c:pt idx="20">
                  <c:v>156.47269016040096</c:v>
                </c:pt>
                <c:pt idx="21">
                  <c:v>156.47269016040096</c:v>
                </c:pt>
                <c:pt idx="22">
                  <c:v>156.47269016040096</c:v>
                </c:pt>
                <c:pt idx="23">
                  <c:v>156.47269016040096</c:v>
                </c:pt>
                <c:pt idx="24">
                  <c:v>156.47269016040096</c:v>
                </c:pt>
                <c:pt idx="25">
                  <c:v>156.47269016040096</c:v>
                </c:pt>
                <c:pt idx="26">
                  <c:v>156.47269016040096</c:v>
                </c:pt>
                <c:pt idx="27">
                  <c:v>156.47269016040096</c:v>
                </c:pt>
                <c:pt idx="28">
                  <c:v>156.47269016040096</c:v>
                </c:pt>
                <c:pt idx="29">
                  <c:v>156.47269016040096</c:v>
                </c:pt>
                <c:pt idx="30">
                  <c:v>156.47269016040096</c:v>
                </c:pt>
                <c:pt idx="31">
                  <c:v>156.47269016040096</c:v>
                </c:pt>
                <c:pt idx="32">
                  <c:v>156.47269016040096</c:v>
                </c:pt>
                <c:pt idx="33">
                  <c:v>156.47269016040096</c:v>
                </c:pt>
                <c:pt idx="34">
                  <c:v>156.47269016040096</c:v>
                </c:pt>
                <c:pt idx="35">
                  <c:v>156.47269016040096</c:v>
                </c:pt>
                <c:pt idx="36">
                  <c:v>156.47269016040096</c:v>
                </c:pt>
                <c:pt idx="37">
                  <c:v>156.47269016040096</c:v>
                </c:pt>
                <c:pt idx="38">
                  <c:v>156.47269016040096</c:v>
                </c:pt>
                <c:pt idx="39">
                  <c:v>156.47269016040096</c:v>
                </c:pt>
                <c:pt idx="40">
                  <c:v>156.47269016040096</c:v>
                </c:pt>
                <c:pt idx="41">
                  <c:v>156.47269016040096</c:v>
                </c:pt>
                <c:pt idx="42">
                  <c:v>156.47269016040096</c:v>
                </c:pt>
                <c:pt idx="43">
                  <c:v>156.47269016040096</c:v>
                </c:pt>
                <c:pt idx="44">
                  <c:v>156.47269016040096</c:v>
                </c:pt>
                <c:pt idx="45">
                  <c:v>156.47269016040096</c:v>
                </c:pt>
                <c:pt idx="46">
                  <c:v>156.47269016040096</c:v>
                </c:pt>
                <c:pt idx="47">
                  <c:v>156.47269016040096</c:v>
                </c:pt>
                <c:pt idx="48">
                  <c:v>156.47269016040096</c:v>
                </c:pt>
                <c:pt idx="49">
                  <c:v>156.47269016040096</c:v>
                </c:pt>
                <c:pt idx="50">
                  <c:v>156.47269016040096</c:v>
                </c:pt>
              </c:numCache>
            </c:numRef>
          </c:xVal>
          <c:yVal>
            <c:numRef>
              <c:f>'V-N Diagram'!$AR$39:$AR$89</c:f>
              <c:numCache>
                <c:formatCode>General</c:formatCode>
                <c:ptCount val="51"/>
                <c:pt idx="0">
                  <c:v>-3</c:v>
                </c:pt>
                <c:pt idx="1">
                  <c:v>-2.84</c:v>
                </c:pt>
                <c:pt idx="2">
                  <c:v>-2.68</c:v>
                </c:pt>
                <c:pt idx="3">
                  <c:v>-2.52</c:v>
                </c:pt>
                <c:pt idx="4">
                  <c:v>-2.36</c:v>
                </c:pt>
                <c:pt idx="5">
                  <c:v>-2.2000000000000002</c:v>
                </c:pt>
                <c:pt idx="6">
                  <c:v>-2.04</c:v>
                </c:pt>
                <c:pt idx="7">
                  <c:v>-1.88</c:v>
                </c:pt>
                <c:pt idx="8">
                  <c:v>-1.72</c:v>
                </c:pt>
                <c:pt idx="9">
                  <c:v>-1.56</c:v>
                </c:pt>
                <c:pt idx="10">
                  <c:v>-1.4</c:v>
                </c:pt>
                <c:pt idx="11">
                  <c:v>-1.24</c:v>
                </c:pt>
                <c:pt idx="12">
                  <c:v>-1.08</c:v>
                </c:pt>
                <c:pt idx="13">
                  <c:v>-0.92</c:v>
                </c:pt>
                <c:pt idx="14">
                  <c:v>-0.76</c:v>
                </c:pt>
                <c:pt idx="15">
                  <c:v>-0.6</c:v>
                </c:pt>
                <c:pt idx="16">
                  <c:v>-0.44</c:v>
                </c:pt>
                <c:pt idx="17">
                  <c:v>-0.28000000000000003</c:v>
                </c:pt>
                <c:pt idx="18">
                  <c:v>-0.12</c:v>
                </c:pt>
                <c:pt idx="19">
                  <c:v>0.04</c:v>
                </c:pt>
                <c:pt idx="20">
                  <c:v>0.2</c:v>
                </c:pt>
                <c:pt idx="21">
                  <c:v>0.36</c:v>
                </c:pt>
                <c:pt idx="22">
                  <c:v>0.52</c:v>
                </c:pt>
                <c:pt idx="23">
                  <c:v>0.68</c:v>
                </c:pt>
                <c:pt idx="24">
                  <c:v>0.84</c:v>
                </c:pt>
                <c:pt idx="25">
                  <c:v>1</c:v>
                </c:pt>
                <c:pt idx="26">
                  <c:v>1.1599999999999999</c:v>
                </c:pt>
                <c:pt idx="27">
                  <c:v>1.32</c:v>
                </c:pt>
                <c:pt idx="28">
                  <c:v>1.48</c:v>
                </c:pt>
                <c:pt idx="29">
                  <c:v>1.64</c:v>
                </c:pt>
                <c:pt idx="30">
                  <c:v>1.8</c:v>
                </c:pt>
                <c:pt idx="31">
                  <c:v>1.96</c:v>
                </c:pt>
                <c:pt idx="32">
                  <c:v>2.12</c:v>
                </c:pt>
                <c:pt idx="33">
                  <c:v>2.2799999999999998</c:v>
                </c:pt>
                <c:pt idx="34">
                  <c:v>2.44</c:v>
                </c:pt>
                <c:pt idx="35">
                  <c:v>2.6</c:v>
                </c:pt>
                <c:pt idx="36">
                  <c:v>2.76000000000001</c:v>
                </c:pt>
                <c:pt idx="37">
                  <c:v>2.9200000000000101</c:v>
                </c:pt>
                <c:pt idx="38">
                  <c:v>3.0800000000000098</c:v>
                </c:pt>
                <c:pt idx="39">
                  <c:v>3.24000000000001</c:v>
                </c:pt>
                <c:pt idx="40">
                  <c:v>3.4000000000000101</c:v>
                </c:pt>
                <c:pt idx="41">
                  <c:v>3.5600000000000098</c:v>
                </c:pt>
                <c:pt idx="42">
                  <c:v>3.72000000000001</c:v>
                </c:pt>
                <c:pt idx="43">
                  <c:v>3.8800000000000101</c:v>
                </c:pt>
                <c:pt idx="44">
                  <c:v>4.0400000000000098</c:v>
                </c:pt>
                <c:pt idx="45">
                  <c:v>4.2000000000000099</c:v>
                </c:pt>
                <c:pt idx="46">
                  <c:v>4.3600000000000101</c:v>
                </c:pt>
                <c:pt idx="47">
                  <c:v>4.5200000000000102</c:v>
                </c:pt>
                <c:pt idx="48">
                  <c:v>4.6800000000000104</c:v>
                </c:pt>
                <c:pt idx="49">
                  <c:v>4.8400000000000096</c:v>
                </c:pt>
                <c:pt idx="50">
                  <c:v>5.0000000000000098</c:v>
                </c:pt>
              </c:numCache>
            </c:numRef>
          </c:yVal>
          <c:smooth val="0"/>
          <c:extLst>
            <c:ext xmlns:c16="http://schemas.microsoft.com/office/drawing/2014/chart" uri="{C3380CC4-5D6E-409C-BE32-E72D297353CC}">
              <c16:uniqueId val="{00000005-42F2-4491-B1D6-20F3A9CB40BB}"/>
            </c:ext>
          </c:extLst>
        </c:ser>
        <c:ser>
          <c:idx val="6"/>
          <c:order val="6"/>
          <c:tx>
            <c:strRef>
              <c:f>'V-N Diagram'!$AS$37:$AT$37</c:f>
              <c:strCache>
                <c:ptCount val="2"/>
                <c:pt idx="0">
                  <c:v>VS+</c:v>
                </c:pt>
              </c:strCache>
            </c:strRef>
          </c:tx>
          <c:spPr>
            <a:ln w="19050" cap="rnd">
              <a:solidFill>
                <a:schemeClr val="accent1">
                  <a:lumMod val="60000"/>
                </a:schemeClr>
              </a:solidFill>
              <a:round/>
            </a:ln>
            <a:effectLst/>
          </c:spPr>
          <c:marker>
            <c:symbol val="none"/>
          </c:marker>
          <c:xVal>
            <c:numRef>
              <c:f>'V-N Diagram'!$AS$39:$AS$89</c:f>
              <c:numCache>
                <c:formatCode>0.00</c:formatCode>
                <c:ptCount val="51"/>
                <c:pt idx="0">
                  <c:v>91.394094063596299</c:v>
                </c:pt>
                <c:pt idx="1">
                  <c:v>91.394094063596299</c:v>
                </c:pt>
                <c:pt idx="2">
                  <c:v>91.394094063596299</c:v>
                </c:pt>
                <c:pt idx="3">
                  <c:v>91.394094063596299</c:v>
                </c:pt>
                <c:pt idx="4">
                  <c:v>91.394094063596299</c:v>
                </c:pt>
                <c:pt idx="5">
                  <c:v>91.394094063596299</c:v>
                </c:pt>
                <c:pt idx="6">
                  <c:v>91.394094063596299</c:v>
                </c:pt>
                <c:pt idx="7">
                  <c:v>91.394094063596299</c:v>
                </c:pt>
                <c:pt idx="8">
                  <c:v>91.394094063596299</c:v>
                </c:pt>
                <c:pt idx="9">
                  <c:v>91.394094063596299</c:v>
                </c:pt>
                <c:pt idx="10">
                  <c:v>91.394094063596299</c:v>
                </c:pt>
                <c:pt idx="11">
                  <c:v>91.394094063596299</c:v>
                </c:pt>
                <c:pt idx="12">
                  <c:v>91.394094063596299</c:v>
                </c:pt>
                <c:pt idx="13">
                  <c:v>91.394094063596299</c:v>
                </c:pt>
                <c:pt idx="14">
                  <c:v>91.394094063596299</c:v>
                </c:pt>
                <c:pt idx="15">
                  <c:v>91.394094063596299</c:v>
                </c:pt>
                <c:pt idx="16">
                  <c:v>91.394094063596299</c:v>
                </c:pt>
                <c:pt idx="17">
                  <c:v>91.394094063596299</c:v>
                </c:pt>
                <c:pt idx="18">
                  <c:v>91.394094063596299</c:v>
                </c:pt>
                <c:pt idx="19">
                  <c:v>91.394094063596299</c:v>
                </c:pt>
                <c:pt idx="20">
                  <c:v>91.394094063596299</c:v>
                </c:pt>
                <c:pt idx="21">
                  <c:v>91.394094063596299</c:v>
                </c:pt>
                <c:pt idx="22">
                  <c:v>91.394094063596299</c:v>
                </c:pt>
                <c:pt idx="23">
                  <c:v>91.394094063596299</c:v>
                </c:pt>
                <c:pt idx="24">
                  <c:v>91.394094063596299</c:v>
                </c:pt>
                <c:pt idx="25">
                  <c:v>91.394094063596299</c:v>
                </c:pt>
                <c:pt idx="26">
                  <c:v>91.394094063596299</c:v>
                </c:pt>
                <c:pt idx="27">
                  <c:v>91.394094063596299</c:v>
                </c:pt>
                <c:pt idx="28">
                  <c:v>91.394094063596299</c:v>
                </c:pt>
                <c:pt idx="29">
                  <c:v>91.394094063596299</c:v>
                </c:pt>
                <c:pt idx="30">
                  <c:v>91.394094063596299</c:v>
                </c:pt>
                <c:pt idx="31">
                  <c:v>91.394094063596299</c:v>
                </c:pt>
                <c:pt idx="32">
                  <c:v>91.394094063596299</c:v>
                </c:pt>
                <c:pt idx="33">
                  <c:v>91.394094063596299</c:v>
                </c:pt>
                <c:pt idx="34">
                  <c:v>91.394094063596299</c:v>
                </c:pt>
                <c:pt idx="35">
                  <c:v>91.394094063596299</c:v>
                </c:pt>
                <c:pt idx="36">
                  <c:v>91.394094063596299</c:v>
                </c:pt>
                <c:pt idx="37">
                  <c:v>91.394094063596299</c:v>
                </c:pt>
                <c:pt idx="38">
                  <c:v>91.394094063596299</c:v>
                </c:pt>
                <c:pt idx="39">
                  <c:v>91.394094063596299</c:v>
                </c:pt>
                <c:pt idx="40">
                  <c:v>91.394094063596299</c:v>
                </c:pt>
                <c:pt idx="41">
                  <c:v>91.394094063596299</c:v>
                </c:pt>
                <c:pt idx="42">
                  <c:v>91.394094063596299</c:v>
                </c:pt>
                <c:pt idx="43">
                  <c:v>91.394094063596299</c:v>
                </c:pt>
                <c:pt idx="44">
                  <c:v>91.394094063596299</c:v>
                </c:pt>
                <c:pt idx="45">
                  <c:v>91.394094063596299</c:v>
                </c:pt>
                <c:pt idx="46">
                  <c:v>91.394094063596299</c:v>
                </c:pt>
                <c:pt idx="47">
                  <c:v>91.394094063596299</c:v>
                </c:pt>
                <c:pt idx="48">
                  <c:v>91.394094063596299</c:v>
                </c:pt>
                <c:pt idx="49">
                  <c:v>91.394094063596299</c:v>
                </c:pt>
                <c:pt idx="50">
                  <c:v>91.394094063596299</c:v>
                </c:pt>
              </c:numCache>
            </c:numRef>
          </c:xVal>
          <c:yVal>
            <c:numRef>
              <c:f>'V-N Diagram'!$AT$39:$AT$89</c:f>
              <c:numCache>
                <c:formatCode>General</c:formatCode>
                <c:ptCount val="51"/>
                <c:pt idx="0">
                  <c:v>-3</c:v>
                </c:pt>
                <c:pt idx="1">
                  <c:v>-2.84</c:v>
                </c:pt>
                <c:pt idx="2">
                  <c:v>-2.68</c:v>
                </c:pt>
                <c:pt idx="3">
                  <c:v>-2.52</c:v>
                </c:pt>
                <c:pt idx="4">
                  <c:v>-2.36</c:v>
                </c:pt>
                <c:pt idx="5">
                  <c:v>-2.2000000000000002</c:v>
                </c:pt>
                <c:pt idx="6">
                  <c:v>-2.04</c:v>
                </c:pt>
                <c:pt idx="7">
                  <c:v>-1.88</c:v>
                </c:pt>
                <c:pt idx="8">
                  <c:v>-1.72</c:v>
                </c:pt>
                <c:pt idx="9">
                  <c:v>-1.56</c:v>
                </c:pt>
                <c:pt idx="10">
                  <c:v>-1.4</c:v>
                </c:pt>
                <c:pt idx="11">
                  <c:v>-1.24</c:v>
                </c:pt>
                <c:pt idx="12">
                  <c:v>-1.08</c:v>
                </c:pt>
                <c:pt idx="13">
                  <c:v>-0.92</c:v>
                </c:pt>
                <c:pt idx="14">
                  <c:v>-0.76</c:v>
                </c:pt>
                <c:pt idx="15">
                  <c:v>-0.6</c:v>
                </c:pt>
                <c:pt idx="16">
                  <c:v>-0.44</c:v>
                </c:pt>
                <c:pt idx="17">
                  <c:v>-0.28000000000000003</c:v>
                </c:pt>
                <c:pt idx="18">
                  <c:v>-0.12</c:v>
                </c:pt>
                <c:pt idx="19">
                  <c:v>0.04</c:v>
                </c:pt>
                <c:pt idx="20">
                  <c:v>0.2</c:v>
                </c:pt>
                <c:pt idx="21">
                  <c:v>0.36</c:v>
                </c:pt>
                <c:pt idx="22">
                  <c:v>0.52</c:v>
                </c:pt>
                <c:pt idx="23">
                  <c:v>0.68</c:v>
                </c:pt>
                <c:pt idx="24">
                  <c:v>0.84</c:v>
                </c:pt>
                <c:pt idx="25">
                  <c:v>1</c:v>
                </c:pt>
                <c:pt idx="26">
                  <c:v>1.1599999999999999</c:v>
                </c:pt>
                <c:pt idx="27">
                  <c:v>1.32</c:v>
                </c:pt>
                <c:pt idx="28">
                  <c:v>1.48</c:v>
                </c:pt>
                <c:pt idx="29">
                  <c:v>1.64</c:v>
                </c:pt>
                <c:pt idx="30">
                  <c:v>1.8</c:v>
                </c:pt>
                <c:pt idx="31">
                  <c:v>1.96</c:v>
                </c:pt>
                <c:pt idx="32">
                  <c:v>2.12</c:v>
                </c:pt>
                <c:pt idx="33">
                  <c:v>2.2799999999999998</c:v>
                </c:pt>
                <c:pt idx="34">
                  <c:v>2.44</c:v>
                </c:pt>
                <c:pt idx="35">
                  <c:v>2.6</c:v>
                </c:pt>
                <c:pt idx="36">
                  <c:v>2.76000000000001</c:v>
                </c:pt>
                <c:pt idx="37">
                  <c:v>2.9200000000000101</c:v>
                </c:pt>
                <c:pt idx="38">
                  <c:v>3.0800000000000098</c:v>
                </c:pt>
                <c:pt idx="39">
                  <c:v>3.24000000000001</c:v>
                </c:pt>
                <c:pt idx="40">
                  <c:v>3.4000000000000101</c:v>
                </c:pt>
                <c:pt idx="41">
                  <c:v>3.5600000000000098</c:v>
                </c:pt>
                <c:pt idx="42">
                  <c:v>3.72000000000001</c:v>
                </c:pt>
                <c:pt idx="43">
                  <c:v>3.8800000000000101</c:v>
                </c:pt>
                <c:pt idx="44">
                  <c:v>4.0400000000000098</c:v>
                </c:pt>
                <c:pt idx="45">
                  <c:v>4.2000000000000099</c:v>
                </c:pt>
                <c:pt idx="46">
                  <c:v>4.3600000000000101</c:v>
                </c:pt>
                <c:pt idx="47">
                  <c:v>4.5200000000000102</c:v>
                </c:pt>
                <c:pt idx="48">
                  <c:v>4.6800000000000104</c:v>
                </c:pt>
                <c:pt idx="49">
                  <c:v>4.8400000000000096</c:v>
                </c:pt>
                <c:pt idx="50">
                  <c:v>5.0000000000000098</c:v>
                </c:pt>
              </c:numCache>
            </c:numRef>
          </c:yVal>
          <c:smooth val="0"/>
          <c:extLst>
            <c:ext xmlns:c16="http://schemas.microsoft.com/office/drawing/2014/chart" uri="{C3380CC4-5D6E-409C-BE32-E72D297353CC}">
              <c16:uniqueId val="{00000006-42F2-4491-B1D6-20F3A9CB40BB}"/>
            </c:ext>
          </c:extLst>
        </c:ser>
        <c:ser>
          <c:idx val="7"/>
          <c:order val="7"/>
          <c:tx>
            <c:strRef>
              <c:f>'V-N Diagram'!$AU$37:$AV$37</c:f>
              <c:strCache>
                <c:ptCount val="2"/>
                <c:pt idx="0">
                  <c:v>VS-</c:v>
                </c:pt>
              </c:strCache>
            </c:strRef>
          </c:tx>
          <c:spPr>
            <a:ln w="19050" cap="rnd">
              <a:solidFill>
                <a:schemeClr val="accent2">
                  <a:lumMod val="60000"/>
                </a:schemeClr>
              </a:solidFill>
              <a:round/>
            </a:ln>
            <a:effectLst/>
          </c:spPr>
          <c:marker>
            <c:symbol val="none"/>
          </c:marker>
          <c:xVal>
            <c:numRef>
              <c:f>'V-N Diagram'!$AU$39:$AU$89</c:f>
              <c:numCache>
                <c:formatCode>0.00</c:formatCode>
                <c:ptCount val="51"/>
                <c:pt idx="0">
                  <c:v>108.13895043686934</c:v>
                </c:pt>
                <c:pt idx="1">
                  <c:v>108.13895043686934</c:v>
                </c:pt>
                <c:pt idx="2">
                  <c:v>108.13895043686934</c:v>
                </c:pt>
                <c:pt idx="3">
                  <c:v>108.13895043686934</c:v>
                </c:pt>
                <c:pt idx="4">
                  <c:v>108.13895043686934</c:v>
                </c:pt>
                <c:pt idx="5">
                  <c:v>108.13895043686934</c:v>
                </c:pt>
                <c:pt idx="6">
                  <c:v>108.13895043686934</c:v>
                </c:pt>
                <c:pt idx="7">
                  <c:v>108.13895043686934</c:v>
                </c:pt>
                <c:pt idx="8">
                  <c:v>108.13895043686934</c:v>
                </c:pt>
                <c:pt idx="9">
                  <c:v>108.13895043686934</c:v>
                </c:pt>
                <c:pt idx="10">
                  <c:v>108.13895043686934</c:v>
                </c:pt>
                <c:pt idx="11">
                  <c:v>108.13895043686934</c:v>
                </c:pt>
                <c:pt idx="12">
                  <c:v>108.13895043686934</c:v>
                </c:pt>
                <c:pt idx="13">
                  <c:v>108.13895043686934</c:v>
                </c:pt>
                <c:pt idx="14">
                  <c:v>108.13895043686934</c:v>
                </c:pt>
                <c:pt idx="15">
                  <c:v>108.13895043686934</c:v>
                </c:pt>
                <c:pt idx="16">
                  <c:v>108.13895043686934</c:v>
                </c:pt>
                <c:pt idx="17">
                  <c:v>108.13895043686934</c:v>
                </c:pt>
                <c:pt idx="18">
                  <c:v>108.13895043686934</c:v>
                </c:pt>
                <c:pt idx="19">
                  <c:v>108.13895043686934</c:v>
                </c:pt>
                <c:pt idx="20">
                  <c:v>108.13895043686934</c:v>
                </c:pt>
                <c:pt idx="21">
                  <c:v>108.13895043686934</c:v>
                </c:pt>
                <c:pt idx="22">
                  <c:v>108.13895043686934</c:v>
                </c:pt>
                <c:pt idx="23">
                  <c:v>108.13895043686934</c:v>
                </c:pt>
                <c:pt idx="24">
                  <c:v>108.13895043686934</c:v>
                </c:pt>
                <c:pt idx="25">
                  <c:v>108.13895043686934</c:v>
                </c:pt>
                <c:pt idx="26">
                  <c:v>108.13895043686934</c:v>
                </c:pt>
                <c:pt idx="27">
                  <c:v>108.13895043686934</c:v>
                </c:pt>
                <c:pt idx="28">
                  <c:v>108.13895043686934</c:v>
                </c:pt>
                <c:pt idx="29">
                  <c:v>108.13895043686934</c:v>
                </c:pt>
                <c:pt idx="30">
                  <c:v>108.13895043686934</c:v>
                </c:pt>
                <c:pt idx="31">
                  <c:v>108.13895043686934</c:v>
                </c:pt>
                <c:pt idx="32">
                  <c:v>108.13895043686934</c:v>
                </c:pt>
                <c:pt idx="33">
                  <c:v>108.13895043686934</c:v>
                </c:pt>
                <c:pt idx="34">
                  <c:v>108.13895043686934</c:v>
                </c:pt>
                <c:pt idx="35">
                  <c:v>108.13895043686934</c:v>
                </c:pt>
                <c:pt idx="36">
                  <c:v>108.13895043686934</c:v>
                </c:pt>
                <c:pt idx="37">
                  <c:v>108.13895043686934</c:v>
                </c:pt>
                <c:pt idx="38">
                  <c:v>108.13895043686934</c:v>
                </c:pt>
                <c:pt idx="39">
                  <c:v>108.13895043686934</c:v>
                </c:pt>
                <c:pt idx="40">
                  <c:v>108.13895043686934</c:v>
                </c:pt>
                <c:pt idx="41">
                  <c:v>108.13895043686934</c:v>
                </c:pt>
                <c:pt idx="42">
                  <c:v>108.13895043686934</c:v>
                </c:pt>
                <c:pt idx="43">
                  <c:v>108.13895043686934</c:v>
                </c:pt>
                <c:pt idx="44">
                  <c:v>108.13895043686934</c:v>
                </c:pt>
                <c:pt idx="45">
                  <c:v>108.13895043686934</c:v>
                </c:pt>
                <c:pt idx="46">
                  <c:v>108.13895043686934</c:v>
                </c:pt>
                <c:pt idx="47">
                  <c:v>108.13895043686934</c:v>
                </c:pt>
                <c:pt idx="48">
                  <c:v>108.13895043686934</c:v>
                </c:pt>
                <c:pt idx="49">
                  <c:v>108.13895043686934</c:v>
                </c:pt>
                <c:pt idx="50">
                  <c:v>108.13895043686934</c:v>
                </c:pt>
              </c:numCache>
            </c:numRef>
          </c:xVal>
          <c:yVal>
            <c:numRef>
              <c:f>'V-N Diagram'!$AV$39:$AV$89</c:f>
              <c:numCache>
                <c:formatCode>General</c:formatCode>
                <c:ptCount val="51"/>
                <c:pt idx="0">
                  <c:v>-3</c:v>
                </c:pt>
                <c:pt idx="1">
                  <c:v>-2.84</c:v>
                </c:pt>
                <c:pt idx="2">
                  <c:v>-2.68</c:v>
                </c:pt>
                <c:pt idx="3">
                  <c:v>-2.52</c:v>
                </c:pt>
                <c:pt idx="4">
                  <c:v>-2.36</c:v>
                </c:pt>
                <c:pt idx="5">
                  <c:v>-2.2000000000000002</c:v>
                </c:pt>
                <c:pt idx="6">
                  <c:v>-2.04</c:v>
                </c:pt>
                <c:pt idx="7">
                  <c:v>-1.88</c:v>
                </c:pt>
                <c:pt idx="8">
                  <c:v>-1.72</c:v>
                </c:pt>
                <c:pt idx="9">
                  <c:v>-1.56</c:v>
                </c:pt>
                <c:pt idx="10">
                  <c:v>-1.4</c:v>
                </c:pt>
                <c:pt idx="11">
                  <c:v>-1.24</c:v>
                </c:pt>
                <c:pt idx="12">
                  <c:v>-1.08</c:v>
                </c:pt>
                <c:pt idx="13">
                  <c:v>-0.92</c:v>
                </c:pt>
                <c:pt idx="14">
                  <c:v>-0.76</c:v>
                </c:pt>
                <c:pt idx="15">
                  <c:v>-0.6</c:v>
                </c:pt>
                <c:pt idx="16">
                  <c:v>-0.44</c:v>
                </c:pt>
                <c:pt idx="17">
                  <c:v>-0.28000000000000003</c:v>
                </c:pt>
                <c:pt idx="18">
                  <c:v>-0.12</c:v>
                </c:pt>
                <c:pt idx="19">
                  <c:v>0</c:v>
                </c:pt>
              </c:numCache>
            </c:numRef>
          </c:yVal>
          <c:smooth val="0"/>
          <c:extLst>
            <c:ext xmlns:c16="http://schemas.microsoft.com/office/drawing/2014/chart" uri="{C3380CC4-5D6E-409C-BE32-E72D297353CC}">
              <c16:uniqueId val="{00000007-42F2-4491-B1D6-20F3A9CB40BB}"/>
            </c:ext>
          </c:extLst>
        </c:ser>
        <c:ser>
          <c:idx val="8"/>
          <c:order val="8"/>
          <c:tx>
            <c:strRef>
              <c:f>'V-N Diagram'!$AW$37:$AX$37</c:f>
              <c:strCache>
                <c:ptCount val="2"/>
                <c:pt idx="0">
                  <c:v>ng1</c:v>
                </c:pt>
              </c:strCache>
            </c:strRef>
          </c:tx>
          <c:spPr>
            <a:ln w="19050" cap="rnd">
              <a:solidFill>
                <a:schemeClr val="accent3">
                  <a:lumMod val="60000"/>
                </a:schemeClr>
              </a:solidFill>
              <a:prstDash val="dash"/>
              <a:round/>
            </a:ln>
            <a:effectLst/>
          </c:spPr>
          <c:marker>
            <c:symbol val="none"/>
          </c:marker>
          <c:xVal>
            <c:numRef>
              <c:f>'V-N Diagram'!$AW$39:$AW$89</c:f>
              <c:numCache>
                <c:formatCode>General</c:formatCode>
                <c:ptCount val="51"/>
                <c:pt idx="0">
                  <c:v>0</c:v>
                </c:pt>
                <c:pt idx="1">
                  <c:v>8</c:v>
                </c:pt>
                <c:pt idx="2">
                  <c:v>16</c:v>
                </c:pt>
                <c:pt idx="3">
                  <c:v>24</c:v>
                </c:pt>
                <c:pt idx="4">
                  <c:v>32</c:v>
                </c:pt>
                <c:pt idx="5">
                  <c:v>40</c:v>
                </c:pt>
                <c:pt idx="6">
                  <c:v>48</c:v>
                </c:pt>
                <c:pt idx="7">
                  <c:v>56</c:v>
                </c:pt>
                <c:pt idx="8">
                  <c:v>64</c:v>
                </c:pt>
                <c:pt idx="9">
                  <c:v>72</c:v>
                </c:pt>
                <c:pt idx="10">
                  <c:v>80</c:v>
                </c:pt>
                <c:pt idx="11">
                  <c:v>88</c:v>
                </c:pt>
                <c:pt idx="12">
                  <c:v>96</c:v>
                </c:pt>
                <c:pt idx="13">
                  <c:v>104</c:v>
                </c:pt>
                <c:pt idx="14">
                  <c:v>112</c:v>
                </c:pt>
                <c:pt idx="15">
                  <c:v>120</c:v>
                </c:pt>
                <c:pt idx="16">
                  <c:v>128</c:v>
                </c:pt>
                <c:pt idx="17">
                  <c:v>136</c:v>
                </c:pt>
                <c:pt idx="18">
                  <c:v>144</c:v>
                </c:pt>
                <c:pt idx="19">
                  <c:v>152</c:v>
                </c:pt>
                <c:pt idx="20">
                  <c:v>160</c:v>
                </c:pt>
                <c:pt idx="21">
                  <c:v>168</c:v>
                </c:pt>
                <c:pt idx="22">
                  <c:v>176</c:v>
                </c:pt>
                <c:pt idx="23">
                  <c:v>184</c:v>
                </c:pt>
                <c:pt idx="24">
                  <c:v>192</c:v>
                </c:pt>
                <c:pt idx="25">
                  <c:v>200</c:v>
                </c:pt>
                <c:pt idx="26">
                  <c:v>208</c:v>
                </c:pt>
                <c:pt idx="27">
                  <c:v>216</c:v>
                </c:pt>
                <c:pt idx="28">
                  <c:v>224</c:v>
                </c:pt>
                <c:pt idx="29">
                  <c:v>232</c:v>
                </c:pt>
                <c:pt idx="30">
                  <c:v>240</c:v>
                </c:pt>
                <c:pt idx="31">
                  <c:v>248</c:v>
                </c:pt>
                <c:pt idx="32">
                  <c:v>256</c:v>
                </c:pt>
                <c:pt idx="33">
                  <c:v>264</c:v>
                </c:pt>
                <c:pt idx="34">
                  <c:v>272</c:v>
                </c:pt>
                <c:pt idx="35">
                  <c:v>280</c:v>
                </c:pt>
                <c:pt idx="36">
                  <c:v>288</c:v>
                </c:pt>
                <c:pt idx="37">
                  <c:v>296</c:v>
                </c:pt>
                <c:pt idx="38">
                  <c:v>304</c:v>
                </c:pt>
                <c:pt idx="39">
                  <c:v>312</c:v>
                </c:pt>
                <c:pt idx="40">
                  <c:v>320</c:v>
                </c:pt>
                <c:pt idx="41">
                  <c:v>328</c:v>
                </c:pt>
                <c:pt idx="42">
                  <c:v>336</c:v>
                </c:pt>
                <c:pt idx="43">
                  <c:v>344</c:v>
                </c:pt>
                <c:pt idx="44">
                  <c:v>352</c:v>
                </c:pt>
                <c:pt idx="45">
                  <c:v>360</c:v>
                </c:pt>
                <c:pt idx="46">
                  <c:v>368</c:v>
                </c:pt>
                <c:pt idx="47">
                  <c:v>376</c:v>
                </c:pt>
                <c:pt idx="48">
                  <c:v>384</c:v>
                </c:pt>
                <c:pt idx="49">
                  <c:v>392</c:v>
                </c:pt>
                <c:pt idx="50">
                  <c:v>400</c:v>
                </c:pt>
              </c:numCache>
            </c:numRef>
          </c:xVal>
          <c:yVal>
            <c:numRef>
              <c:f>'V-N Diagram'!$AX$39:$AX$89</c:f>
              <c:numCache>
                <c:formatCode>General</c:formatCode>
                <c:ptCount val="51"/>
                <c:pt idx="0">
                  <c:v>1</c:v>
                </c:pt>
                <c:pt idx="1">
                  <c:v>0.9034500646857091</c:v>
                </c:pt>
                <c:pt idx="2">
                  <c:v>0.8069001293714182</c:v>
                </c:pt>
                <c:pt idx="3">
                  <c:v>0.71035019405712729</c:v>
                </c:pt>
                <c:pt idx="4">
                  <c:v>0.61380025874283639</c:v>
                </c:pt>
                <c:pt idx="5">
                  <c:v>0.51725032342854538</c:v>
                </c:pt>
                <c:pt idx="6">
                  <c:v>0.42070038811425459</c:v>
                </c:pt>
                <c:pt idx="7">
                  <c:v>0.32415045279996357</c:v>
                </c:pt>
                <c:pt idx="8">
                  <c:v>0.22760051748567267</c:v>
                </c:pt>
                <c:pt idx="9">
                  <c:v>0.13105058217138166</c:v>
                </c:pt>
                <c:pt idx="10">
                  <c:v>3.4500646857090755E-2</c:v>
                </c:pt>
                <c:pt idx="11">
                  <c:v>-6.2049288457200147E-2</c:v>
                </c:pt>
                <c:pt idx="12">
                  <c:v>-0.15859922377149083</c:v>
                </c:pt>
                <c:pt idx="13">
                  <c:v>-0.25514915908578195</c:v>
                </c:pt>
                <c:pt idx="14">
                  <c:v>-0.35169909440007285</c:v>
                </c:pt>
                <c:pt idx="15">
                  <c:v>-0.44824902971436398</c:v>
                </c:pt>
                <c:pt idx="16">
                  <c:v>-0.54479896502865466</c:v>
                </c:pt>
                <c:pt idx="17">
                  <c:v>-0.64134890034294534</c:v>
                </c:pt>
                <c:pt idx="18">
                  <c:v>-0.73789883565723668</c:v>
                </c:pt>
                <c:pt idx="19">
                  <c:v>-0.83444877097152736</c:v>
                </c:pt>
                <c:pt idx="20">
                  <c:v>-0.93099870628581849</c:v>
                </c:pt>
                <c:pt idx="21">
                  <c:v>-1.0275486416001089</c:v>
                </c:pt>
                <c:pt idx="22">
                  <c:v>-1.1240985769144003</c:v>
                </c:pt>
                <c:pt idx="23">
                  <c:v>-1.2206485122286908</c:v>
                </c:pt>
                <c:pt idx="24">
                  <c:v>-1.3171984475429817</c:v>
                </c:pt>
                <c:pt idx="25">
                  <c:v>-1.4137483828572726</c:v>
                </c:pt>
                <c:pt idx="26">
                  <c:v>-1.5102983181715639</c:v>
                </c:pt>
                <c:pt idx="27">
                  <c:v>-1.6068482534858548</c:v>
                </c:pt>
                <c:pt idx="28">
                  <c:v>-1.7033981888001457</c:v>
                </c:pt>
                <c:pt idx="29">
                  <c:v>-1.7999481241144366</c:v>
                </c:pt>
                <c:pt idx="30">
                  <c:v>-1.896498059428728</c:v>
                </c:pt>
                <c:pt idx="31">
                  <c:v>-1.993047994743018</c:v>
                </c:pt>
                <c:pt idx="32">
                  <c:v>-2.0895979300573093</c:v>
                </c:pt>
                <c:pt idx="33">
                  <c:v>-2.1861478653716002</c:v>
                </c:pt>
                <c:pt idx="34">
                  <c:v>-2.2826978006858907</c:v>
                </c:pt>
                <c:pt idx="35">
                  <c:v>-2.379247736000182</c:v>
                </c:pt>
                <c:pt idx="36">
                  <c:v>-2.4757976713144734</c:v>
                </c:pt>
                <c:pt idx="37">
                  <c:v>-2.5723476066287643</c:v>
                </c:pt>
                <c:pt idx="38">
                  <c:v>-2.6688975419430547</c:v>
                </c:pt>
                <c:pt idx="39">
                  <c:v>-2.7654474772573456</c:v>
                </c:pt>
                <c:pt idx="40">
                  <c:v>-2.861997412571637</c:v>
                </c:pt>
                <c:pt idx="41">
                  <c:v>-2.958547347885927</c:v>
                </c:pt>
                <c:pt idx="42">
                  <c:v>-3.0550972832002179</c:v>
                </c:pt>
                <c:pt idx="43">
                  <c:v>-3.1516472185145092</c:v>
                </c:pt>
                <c:pt idx="44">
                  <c:v>-3.2481971538288006</c:v>
                </c:pt>
                <c:pt idx="45">
                  <c:v>-3.344747089143091</c:v>
                </c:pt>
                <c:pt idx="46">
                  <c:v>-3.4412970244573815</c:v>
                </c:pt>
                <c:pt idx="47">
                  <c:v>-3.5378469597716729</c:v>
                </c:pt>
                <c:pt idx="48">
                  <c:v>-3.6343968950859633</c:v>
                </c:pt>
                <c:pt idx="49">
                  <c:v>-3.7309468304002547</c:v>
                </c:pt>
                <c:pt idx="50">
                  <c:v>-3.8274967657145451</c:v>
                </c:pt>
              </c:numCache>
            </c:numRef>
          </c:yVal>
          <c:smooth val="0"/>
          <c:extLst>
            <c:ext xmlns:c16="http://schemas.microsoft.com/office/drawing/2014/chart" uri="{C3380CC4-5D6E-409C-BE32-E72D297353CC}">
              <c16:uniqueId val="{00000008-42F2-4491-B1D6-20F3A9CB40BB}"/>
            </c:ext>
          </c:extLst>
        </c:ser>
        <c:ser>
          <c:idx val="9"/>
          <c:order val="9"/>
          <c:tx>
            <c:strRef>
              <c:f>'V-N Diagram'!$AY$37:$AZ$37</c:f>
              <c:strCache>
                <c:ptCount val="2"/>
                <c:pt idx="0">
                  <c:v>ng2</c:v>
                </c:pt>
              </c:strCache>
            </c:strRef>
          </c:tx>
          <c:spPr>
            <a:ln w="19050" cap="rnd">
              <a:solidFill>
                <a:schemeClr val="accent4">
                  <a:lumMod val="60000"/>
                </a:schemeClr>
              </a:solidFill>
              <a:prstDash val="dash"/>
              <a:round/>
            </a:ln>
            <a:effectLst/>
          </c:spPr>
          <c:marker>
            <c:symbol val="none"/>
          </c:marker>
          <c:xVal>
            <c:numRef>
              <c:f>'V-N Diagram'!$AY$39:$AY$89</c:f>
              <c:numCache>
                <c:formatCode>General</c:formatCode>
                <c:ptCount val="51"/>
                <c:pt idx="0">
                  <c:v>0</c:v>
                </c:pt>
                <c:pt idx="1">
                  <c:v>8</c:v>
                </c:pt>
                <c:pt idx="2">
                  <c:v>16</c:v>
                </c:pt>
                <c:pt idx="3">
                  <c:v>24</c:v>
                </c:pt>
                <c:pt idx="4">
                  <c:v>32</c:v>
                </c:pt>
                <c:pt idx="5">
                  <c:v>40</c:v>
                </c:pt>
                <c:pt idx="6">
                  <c:v>48</c:v>
                </c:pt>
                <c:pt idx="7">
                  <c:v>56</c:v>
                </c:pt>
                <c:pt idx="8">
                  <c:v>64</c:v>
                </c:pt>
                <c:pt idx="9">
                  <c:v>72</c:v>
                </c:pt>
                <c:pt idx="10">
                  <c:v>80</c:v>
                </c:pt>
                <c:pt idx="11">
                  <c:v>88</c:v>
                </c:pt>
                <c:pt idx="12">
                  <c:v>96</c:v>
                </c:pt>
                <c:pt idx="13">
                  <c:v>104</c:v>
                </c:pt>
                <c:pt idx="14">
                  <c:v>112</c:v>
                </c:pt>
                <c:pt idx="15">
                  <c:v>120</c:v>
                </c:pt>
                <c:pt idx="16">
                  <c:v>128</c:v>
                </c:pt>
                <c:pt idx="17">
                  <c:v>136</c:v>
                </c:pt>
                <c:pt idx="18">
                  <c:v>144</c:v>
                </c:pt>
                <c:pt idx="19">
                  <c:v>152</c:v>
                </c:pt>
                <c:pt idx="20">
                  <c:v>160</c:v>
                </c:pt>
                <c:pt idx="21">
                  <c:v>168</c:v>
                </c:pt>
                <c:pt idx="22">
                  <c:v>176</c:v>
                </c:pt>
                <c:pt idx="23">
                  <c:v>184</c:v>
                </c:pt>
                <c:pt idx="24">
                  <c:v>192</c:v>
                </c:pt>
                <c:pt idx="25">
                  <c:v>200</c:v>
                </c:pt>
                <c:pt idx="26">
                  <c:v>208</c:v>
                </c:pt>
                <c:pt idx="27">
                  <c:v>216</c:v>
                </c:pt>
                <c:pt idx="28">
                  <c:v>224</c:v>
                </c:pt>
                <c:pt idx="29">
                  <c:v>232</c:v>
                </c:pt>
                <c:pt idx="30">
                  <c:v>240</c:v>
                </c:pt>
                <c:pt idx="31">
                  <c:v>248</c:v>
                </c:pt>
                <c:pt idx="32">
                  <c:v>256</c:v>
                </c:pt>
                <c:pt idx="33">
                  <c:v>264</c:v>
                </c:pt>
                <c:pt idx="34">
                  <c:v>272</c:v>
                </c:pt>
                <c:pt idx="35">
                  <c:v>280</c:v>
                </c:pt>
                <c:pt idx="36">
                  <c:v>288</c:v>
                </c:pt>
                <c:pt idx="37">
                  <c:v>296</c:v>
                </c:pt>
                <c:pt idx="38">
                  <c:v>304</c:v>
                </c:pt>
                <c:pt idx="39">
                  <c:v>312</c:v>
                </c:pt>
                <c:pt idx="40">
                  <c:v>320</c:v>
                </c:pt>
                <c:pt idx="41">
                  <c:v>328</c:v>
                </c:pt>
                <c:pt idx="42">
                  <c:v>336</c:v>
                </c:pt>
                <c:pt idx="43">
                  <c:v>344</c:v>
                </c:pt>
                <c:pt idx="44">
                  <c:v>352</c:v>
                </c:pt>
                <c:pt idx="45">
                  <c:v>360</c:v>
                </c:pt>
                <c:pt idx="46">
                  <c:v>368</c:v>
                </c:pt>
                <c:pt idx="47">
                  <c:v>376</c:v>
                </c:pt>
                <c:pt idx="48">
                  <c:v>384</c:v>
                </c:pt>
                <c:pt idx="49">
                  <c:v>392</c:v>
                </c:pt>
                <c:pt idx="50">
                  <c:v>400</c:v>
                </c:pt>
              </c:numCache>
            </c:numRef>
          </c:xVal>
          <c:yVal>
            <c:numRef>
              <c:f>'V-N Diagram'!$AZ$39:$AZ$89</c:f>
              <c:numCache>
                <c:formatCode>General</c:formatCode>
                <c:ptCount val="51"/>
                <c:pt idx="0">
                  <c:v>1</c:v>
                </c:pt>
                <c:pt idx="1">
                  <c:v>0.95172503234285455</c:v>
                </c:pt>
                <c:pt idx="2">
                  <c:v>0.9034500646857091</c:v>
                </c:pt>
                <c:pt idx="3">
                  <c:v>0.85517509702856365</c:v>
                </c:pt>
                <c:pt idx="4">
                  <c:v>0.8069001293714182</c:v>
                </c:pt>
                <c:pt idx="5">
                  <c:v>0.75862516171427274</c:v>
                </c:pt>
                <c:pt idx="6">
                  <c:v>0.71035019405712729</c:v>
                </c:pt>
                <c:pt idx="7">
                  <c:v>0.66207522639998184</c:v>
                </c:pt>
                <c:pt idx="8">
                  <c:v>0.61380025874283639</c:v>
                </c:pt>
                <c:pt idx="9">
                  <c:v>0.56552529108569083</c:v>
                </c:pt>
                <c:pt idx="10">
                  <c:v>0.51725032342854538</c:v>
                </c:pt>
                <c:pt idx="11">
                  <c:v>0.46897535577139993</c:v>
                </c:pt>
                <c:pt idx="12">
                  <c:v>0.42070038811425459</c:v>
                </c:pt>
                <c:pt idx="13">
                  <c:v>0.37242542045710902</c:v>
                </c:pt>
                <c:pt idx="14">
                  <c:v>0.32415045279996357</c:v>
                </c:pt>
                <c:pt idx="15">
                  <c:v>0.27587548514281801</c:v>
                </c:pt>
                <c:pt idx="16">
                  <c:v>0.22760051748567267</c:v>
                </c:pt>
                <c:pt idx="17">
                  <c:v>0.17932554982852733</c:v>
                </c:pt>
                <c:pt idx="18">
                  <c:v>0.13105058217138166</c:v>
                </c:pt>
                <c:pt idx="19">
                  <c:v>8.2775614514236318E-2</c:v>
                </c:pt>
                <c:pt idx="20">
                  <c:v>3.4500646857090755E-2</c:v>
                </c:pt>
                <c:pt idx="21">
                  <c:v>-1.3774320800054474E-2</c:v>
                </c:pt>
                <c:pt idx="22">
                  <c:v>-6.2049288457200147E-2</c:v>
                </c:pt>
                <c:pt idx="23">
                  <c:v>-0.11032425611434538</c:v>
                </c:pt>
                <c:pt idx="24">
                  <c:v>-0.15859922377149083</c:v>
                </c:pt>
                <c:pt idx="25">
                  <c:v>-0.20687419142863628</c:v>
                </c:pt>
                <c:pt idx="26">
                  <c:v>-0.25514915908578195</c:v>
                </c:pt>
                <c:pt idx="27">
                  <c:v>-0.3034241267429274</c:v>
                </c:pt>
                <c:pt idx="28">
                  <c:v>-0.35169909440007285</c:v>
                </c:pt>
                <c:pt idx="29">
                  <c:v>-0.3999740620572183</c:v>
                </c:pt>
                <c:pt idx="30">
                  <c:v>-0.44824902971436398</c:v>
                </c:pt>
                <c:pt idx="31">
                  <c:v>-0.49652399737150898</c:v>
                </c:pt>
                <c:pt idx="32">
                  <c:v>-0.54479896502865466</c:v>
                </c:pt>
                <c:pt idx="33">
                  <c:v>-0.59307393268580011</c:v>
                </c:pt>
                <c:pt idx="34">
                  <c:v>-0.64134890034294534</c:v>
                </c:pt>
                <c:pt idx="35">
                  <c:v>-0.68962386800009101</c:v>
                </c:pt>
                <c:pt idx="36">
                  <c:v>-0.73789883565723668</c:v>
                </c:pt>
                <c:pt idx="37">
                  <c:v>-0.78617380331438214</c:v>
                </c:pt>
                <c:pt idx="38">
                  <c:v>-0.83444877097152736</c:v>
                </c:pt>
                <c:pt idx="39">
                  <c:v>-0.88272373862867282</c:v>
                </c:pt>
                <c:pt idx="40">
                  <c:v>-0.93099870628581849</c:v>
                </c:pt>
                <c:pt idx="41">
                  <c:v>-0.9792736739429635</c:v>
                </c:pt>
                <c:pt idx="42">
                  <c:v>-1.0275486416001089</c:v>
                </c:pt>
                <c:pt idx="43">
                  <c:v>-1.0758236092572546</c:v>
                </c:pt>
                <c:pt idx="44">
                  <c:v>-1.1240985769144003</c:v>
                </c:pt>
                <c:pt idx="45">
                  <c:v>-1.1723735445715455</c:v>
                </c:pt>
                <c:pt idx="46">
                  <c:v>-1.2206485122286908</c:v>
                </c:pt>
                <c:pt idx="47">
                  <c:v>-1.2689234798858364</c:v>
                </c:pt>
                <c:pt idx="48">
                  <c:v>-1.3171984475429817</c:v>
                </c:pt>
                <c:pt idx="49">
                  <c:v>-1.3654734152001273</c:v>
                </c:pt>
                <c:pt idx="50">
                  <c:v>-1.4137483828572726</c:v>
                </c:pt>
              </c:numCache>
            </c:numRef>
          </c:yVal>
          <c:smooth val="0"/>
          <c:extLst>
            <c:ext xmlns:c16="http://schemas.microsoft.com/office/drawing/2014/chart" uri="{C3380CC4-5D6E-409C-BE32-E72D297353CC}">
              <c16:uniqueId val="{00000009-42F2-4491-B1D6-20F3A9CB40BB}"/>
            </c:ext>
          </c:extLst>
        </c:ser>
        <c:ser>
          <c:idx val="10"/>
          <c:order val="10"/>
          <c:tx>
            <c:strRef>
              <c:f>'V-N Diagram'!$BA$37:$BB$37</c:f>
              <c:strCache>
                <c:ptCount val="2"/>
                <c:pt idx="0">
                  <c:v>ng3</c:v>
                </c:pt>
              </c:strCache>
            </c:strRef>
          </c:tx>
          <c:spPr>
            <a:ln w="19050" cap="rnd">
              <a:solidFill>
                <a:schemeClr val="accent5">
                  <a:lumMod val="60000"/>
                </a:schemeClr>
              </a:solidFill>
              <a:prstDash val="dash"/>
              <a:round/>
            </a:ln>
            <a:effectLst/>
          </c:spPr>
          <c:marker>
            <c:symbol val="none"/>
          </c:marker>
          <c:xVal>
            <c:numRef>
              <c:f>'V-N Diagram'!$BA$39:$BA$89</c:f>
              <c:numCache>
                <c:formatCode>General</c:formatCode>
                <c:ptCount val="51"/>
                <c:pt idx="0">
                  <c:v>0</c:v>
                </c:pt>
                <c:pt idx="1">
                  <c:v>8</c:v>
                </c:pt>
                <c:pt idx="2">
                  <c:v>16</c:v>
                </c:pt>
                <c:pt idx="3">
                  <c:v>24</c:v>
                </c:pt>
                <c:pt idx="4">
                  <c:v>32</c:v>
                </c:pt>
                <c:pt idx="5">
                  <c:v>40</c:v>
                </c:pt>
                <c:pt idx="6">
                  <c:v>48</c:v>
                </c:pt>
                <c:pt idx="7">
                  <c:v>56</c:v>
                </c:pt>
                <c:pt idx="8">
                  <c:v>64</c:v>
                </c:pt>
                <c:pt idx="9">
                  <c:v>72</c:v>
                </c:pt>
                <c:pt idx="10">
                  <c:v>80</c:v>
                </c:pt>
                <c:pt idx="11">
                  <c:v>88</c:v>
                </c:pt>
                <c:pt idx="12">
                  <c:v>96</c:v>
                </c:pt>
                <c:pt idx="13">
                  <c:v>104</c:v>
                </c:pt>
                <c:pt idx="14">
                  <c:v>112</c:v>
                </c:pt>
                <c:pt idx="15">
                  <c:v>120</c:v>
                </c:pt>
                <c:pt idx="16">
                  <c:v>128</c:v>
                </c:pt>
                <c:pt idx="17">
                  <c:v>136</c:v>
                </c:pt>
                <c:pt idx="18">
                  <c:v>144</c:v>
                </c:pt>
                <c:pt idx="19">
                  <c:v>152</c:v>
                </c:pt>
                <c:pt idx="20">
                  <c:v>160</c:v>
                </c:pt>
                <c:pt idx="21">
                  <c:v>168</c:v>
                </c:pt>
                <c:pt idx="22">
                  <c:v>176</c:v>
                </c:pt>
                <c:pt idx="23">
                  <c:v>184</c:v>
                </c:pt>
                <c:pt idx="24">
                  <c:v>192</c:v>
                </c:pt>
                <c:pt idx="25">
                  <c:v>200</c:v>
                </c:pt>
                <c:pt idx="26">
                  <c:v>208</c:v>
                </c:pt>
                <c:pt idx="27">
                  <c:v>216</c:v>
                </c:pt>
                <c:pt idx="28">
                  <c:v>224</c:v>
                </c:pt>
                <c:pt idx="29">
                  <c:v>232</c:v>
                </c:pt>
                <c:pt idx="30">
                  <c:v>240</c:v>
                </c:pt>
                <c:pt idx="31">
                  <c:v>248</c:v>
                </c:pt>
                <c:pt idx="32">
                  <c:v>256</c:v>
                </c:pt>
                <c:pt idx="33">
                  <c:v>264</c:v>
                </c:pt>
                <c:pt idx="34">
                  <c:v>272</c:v>
                </c:pt>
                <c:pt idx="35">
                  <c:v>280</c:v>
                </c:pt>
                <c:pt idx="36">
                  <c:v>288</c:v>
                </c:pt>
                <c:pt idx="37">
                  <c:v>296</c:v>
                </c:pt>
                <c:pt idx="38">
                  <c:v>304</c:v>
                </c:pt>
                <c:pt idx="39">
                  <c:v>312</c:v>
                </c:pt>
                <c:pt idx="40">
                  <c:v>320</c:v>
                </c:pt>
                <c:pt idx="41">
                  <c:v>328</c:v>
                </c:pt>
                <c:pt idx="42">
                  <c:v>336</c:v>
                </c:pt>
                <c:pt idx="43">
                  <c:v>344</c:v>
                </c:pt>
                <c:pt idx="44">
                  <c:v>352</c:v>
                </c:pt>
                <c:pt idx="45">
                  <c:v>360</c:v>
                </c:pt>
                <c:pt idx="46">
                  <c:v>368</c:v>
                </c:pt>
                <c:pt idx="47">
                  <c:v>376</c:v>
                </c:pt>
                <c:pt idx="48">
                  <c:v>384</c:v>
                </c:pt>
                <c:pt idx="49">
                  <c:v>392</c:v>
                </c:pt>
                <c:pt idx="50">
                  <c:v>400</c:v>
                </c:pt>
              </c:numCache>
            </c:numRef>
          </c:xVal>
          <c:yVal>
            <c:numRef>
              <c:f>'V-N Diagram'!$BB$39:$BB$89</c:f>
              <c:numCache>
                <c:formatCode>General</c:formatCode>
                <c:ptCount val="51"/>
                <c:pt idx="0">
                  <c:v>1</c:v>
                </c:pt>
                <c:pt idx="1">
                  <c:v>1.0482749676571455</c:v>
                </c:pt>
                <c:pt idx="2">
                  <c:v>1.0965499353142909</c:v>
                </c:pt>
                <c:pt idx="3">
                  <c:v>1.1448249029714364</c:v>
                </c:pt>
                <c:pt idx="4">
                  <c:v>1.1930998706285818</c:v>
                </c:pt>
                <c:pt idx="5">
                  <c:v>1.2413748382857273</c:v>
                </c:pt>
                <c:pt idx="6">
                  <c:v>1.2896498059428727</c:v>
                </c:pt>
                <c:pt idx="7">
                  <c:v>1.3379247736000182</c:v>
                </c:pt>
                <c:pt idx="8">
                  <c:v>1.3861997412571636</c:v>
                </c:pt>
                <c:pt idx="9">
                  <c:v>1.4344747089143093</c:v>
                </c:pt>
                <c:pt idx="10">
                  <c:v>1.4827496765714545</c:v>
                </c:pt>
                <c:pt idx="11">
                  <c:v>1.5310246442286002</c:v>
                </c:pt>
                <c:pt idx="12">
                  <c:v>1.5792996118857454</c:v>
                </c:pt>
                <c:pt idx="13">
                  <c:v>1.6275745795428911</c:v>
                </c:pt>
                <c:pt idx="14">
                  <c:v>1.6758495472000363</c:v>
                </c:pt>
                <c:pt idx="15">
                  <c:v>1.724124514857182</c:v>
                </c:pt>
                <c:pt idx="16">
                  <c:v>1.7723994825143272</c:v>
                </c:pt>
                <c:pt idx="17">
                  <c:v>1.8206744501714727</c:v>
                </c:pt>
                <c:pt idx="18">
                  <c:v>1.8689494178286183</c:v>
                </c:pt>
                <c:pt idx="19">
                  <c:v>1.9172243854857638</c:v>
                </c:pt>
                <c:pt idx="20">
                  <c:v>1.9654993531429092</c:v>
                </c:pt>
                <c:pt idx="21">
                  <c:v>2.0137743208000547</c:v>
                </c:pt>
                <c:pt idx="22">
                  <c:v>2.0620492884572004</c:v>
                </c:pt>
                <c:pt idx="23">
                  <c:v>2.1103242561143452</c:v>
                </c:pt>
                <c:pt idx="24">
                  <c:v>2.1585992237714908</c:v>
                </c:pt>
                <c:pt idx="25">
                  <c:v>2.2068741914286365</c:v>
                </c:pt>
                <c:pt idx="26">
                  <c:v>2.2551491590857822</c:v>
                </c:pt>
                <c:pt idx="27">
                  <c:v>2.3034241267429274</c:v>
                </c:pt>
                <c:pt idx="28">
                  <c:v>2.3516990944000726</c:v>
                </c:pt>
                <c:pt idx="29">
                  <c:v>2.3999740620572183</c:v>
                </c:pt>
                <c:pt idx="30">
                  <c:v>2.448249029714364</c:v>
                </c:pt>
                <c:pt idx="31">
                  <c:v>2.4965239973715088</c:v>
                </c:pt>
                <c:pt idx="32">
                  <c:v>2.5447989650286544</c:v>
                </c:pt>
                <c:pt idx="33">
                  <c:v>2.5930739326858001</c:v>
                </c:pt>
                <c:pt idx="34">
                  <c:v>2.6413489003429453</c:v>
                </c:pt>
                <c:pt idx="35">
                  <c:v>2.689623868000091</c:v>
                </c:pt>
                <c:pt idx="36">
                  <c:v>2.7378988356572367</c:v>
                </c:pt>
                <c:pt idx="37">
                  <c:v>2.7861738033143819</c:v>
                </c:pt>
                <c:pt idx="38">
                  <c:v>2.8344487709715276</c:v>
                </c:pt>
                <c:pt idx="39">
                  <c:v>2.8827237386286728</c:v>
                </c:pt>
                <c:pt idx="40">
                  <c:v>2.9309987062858185</c:v>
                </c:pt>
                <c:pt idx="41">
                  <c:v>2.9792736739429637</c:v>
                </c:pt>
                <c:pt idx="42">
                  <c:v>3.0275486416001089</c:v>
                </c:pt>
                <c:pt idx="43">
                  <c:v>3.0758236092572546</c:v>
                </c:pt>
                <c:pt idx="44">
                  <c:v>3.1240985769144003</c:v>
                </c:pt>
                <c:pt idx="45">
                  <c:v>3.1723735445715455</c:v>
                </c:pt>
                <c:pt idx="46">
                  <c:v>3.2206485122286908</c:v>
                </c:pt>
                <c:pt idx="47">
                  <c:v>3.2689234798858364</c:v>
                </c:pt>
                <c:pt idx="48">
                  <c:v>3.3171984475429817</c:v>
                </c:pt>
                <c:pt idx="49">
                  <c:v>3.3654734152001273</c:v>
                </c:pt>
                <c:pt idx="50">
                  <c:v>3.4137483828572726</c:v>
                </c:pt>
              </c:numCache>
            </c:numRef>
          </c:yVal>
          <c:smooth val="0"/>
          <c:extLst>
            <c:ext xmlns:c16="http://schemas.microsoft.com/office/drawing/2014/chart" uri="{C3380CC4-5D6E-409C-BE32-E72D297353CC}">
              <c16:uniqueId val="{0000000A-42F2-4491-B1D6-20F3A9CB40BB}"/>
            </c:ext>
          </c:extLst>
        </c:ser>
        <c:ser>
          <c:idx val="11"/>
          <c:order val="11"/>
          <c:tx>
            <c:strRef>
              <c:f>'V-N Diagram'!$BC$37:$BD$37</c:f>
              <c:strCache>
                <c:ptCount val="2"/>
                <c:pt idx="0">
                  <c:v>ng4</c:v>
                </c:pt>
              </c:strCache>
            </c:strRef>
          </c:tx>
          <c:spPr>
            <a:ln w="19050" cap="rnd">
              <a:solidFill>
                <a:schemeClr val="accent6">
                  <a:lumMod val="60000"/>
                </a:schemeClr>
              </a:solidFill>
              <a:prstDash val="dash"/>
              <a:round/>
            </a:ln>
            <a:effectLst/>
          </c:spPr>
          <c:marker>
            <c:symbol val="none"/>
          </c:marker>
          <c:xVal>
            <c:numRef>
              <c:f>'V-N Diagram'!$BC$39:$BC$89</c:f>
              <c:numCache>
                <c:formatCode>General</c:formatCode>
                <c:ptCount val="51"/>
                <c:pt idx="0">
                  <c:v>0</c:v>
                </c:pt>
                <c:pt idx="1">
                  <c:v>8</c:v>
                </c:pt>
                <c:pt idx="2">
                  <c:v>16</c:v>
                </c:pt>
                <c:pt idx="3">
                  <c:v>24</c:v>
                </c:pt>
                <c:pt idx="4">
                  <c:v>32</c:v>
                </c:pt>
                <c:pt idx="5">
                  <c:v>40</c:v>
                </c:pt>
                <c:pt idx="6">
                  <c:v>48</c:v>
                </c:pt>
                <c:pt idx="7">
                  <c:v>56</c:v>
                </c:pt>
                <c:pt idx="8">
                  <c:v>64</c:v>
                </c:pt>
                <c:pt idx="9">
                  <c:v>72</c:v>
                </c:pt>
                <c:pt idx="10">
                  <c:v>80</c:v>
                </c:pt>
                <c:pt idx="11">
                  <c:v>88</c:v>
                </c:pt>
                <c:pt idx="12">
                  <c:v>96</c:v>
                </c:pt>
                <c:pt idx="13">
                  <c:v>104</c:v>
                </c:pt>
                <c:pt idx="14">
                  <c:v>112</c:v>
                </c:pt>
                <c:pt idx="15">
                  <c:v>120</c:v>
                </c:pt>
                <c:pt idx="16">
                  <c:v>128</c:v>
                </c:pt>
                <c:pt idx="17">
                  <c:v>136</c:v>
                </c:pt>
                <c:pt idx="18">
                  <c:v>144</c:v>
                </c:pt>
                <c:pt idx="19">
                  <c:v>152</c:v>
                </c:pt>
                <c:pt idx="20">
                  <c:v>160</c:v>
                </c:pt>
                <c:pt idx="21">
                  <c:v>168</c:v>
                </c:pt>
                <c:pt idx="22">
                  <c:v>176</c:v>
                </c:pt>
                <c:pt idx="23">
                  <c:v>184</c:v>
                </c:pt>
                <c:pt idx="24">
                  <c:v>192</c:v>
                </c:pt>
                <c:pt idx="25">
                  <c:v>200</c:v>
                </c:pt>
                <c:pt idx="26">
                  <c:v>208</c:v>
                </c:pt>
                <c:pt idx="27">
                  <c:v>216</c:v>
                </c:pt>
                <c:pt idx="28">
                  <c:v>224</c:v>
                </c:pt>
                <c:pt idx="29">
                  <c:v>232</c:v>
                </c:pt>
                <c:pt idx="30">
                  <c:v>240</c:v>
                </c:pt>
                <c:pt idx="31">
                  <c:v>248</c:v>
                </c:pt>
                <c:pt idx="32">
                  <c:v>256</c:v>
                </c:pt>
                <c:pt idx="33">
                  <c:v>264</c:v>
                </c:pt>
                <c:pt idx="34">
                  <c:v>272</c:v>
                </c:pt>
                <c:pt idx="35">
                  <c:v>280</c:v>
                </c:pt>
                <c:pt idx="36">
                  <c:v>288</c:v>
                </c:pt>
                <c:pt idx="37">
                  <c:v>296</c:v>
                </c:pt>
                <c:pt idx="38">
                  <c:v>304</c:v>
                </c:pt>
                <c:pt idx="39">
                  <c:v>312</c:v>
                </c:pt>
                <c:pt idx="40">
                  <c:v>320</c:v>
                </c:pt>
                <c:pt idx="41">
                  <c:v>328</c:v>
                </c:pt>
                <c:pt idx="42">
                  <c:v>336</c:v>
                </c:pt>
                <c:pt idx="43">
                  <c:v>344</c:v>
                </c:pt>
                <c:pt idx="44">
                  <c:v>352</c:v>
                </c:pt>
                <c:pt idx="45">
                  <c:v>360</c:v>
                </c:pt>
                <c:pt idx="46">
                  <c:v>368</c:v>
                </c:pt>
                <c:pt idx="47">
                  <c:v>376</c:v>
                </c:pt>
                <c:pt idx="48">
                  <c:v>384</c:v>
                </c:pt>
                <c:pt idx="49">
                  <c:v>392</c:v>
                </c:pt>
                <c:pt idx="50">
                  <c:v>400</c:v>
                </c:pt>
              </c:numCache>
            </c:numRef>
          </c:xVal>
          <c:yVal>
            <c:numRef>
              <c:f>'V-N Diagram'!$BD$39:$BD$89</c:f>
              <c:numCache>
                <c:formatCode>General</c:formatCode>
                <c:ptCount val="51"/>
                <c:pt idx="0">
                  <c:v>1</c:v>
                </c:pt>
                <c:pt idx="1">
                  <c:v>1.0965499353142909</c:v>
                </c:pt>
                <c:pt idx="2">
                  <c:v>1.1930998706285818</c:v>
                </c:pt>
                <c:pt idx="3">
                  <c:v>1.2896498059428727</c:v>
                </c:pt>
                <c:pt idx="4">
                  <c:v>1.3861997412571636</c:v>
                </c:pt>
                <c:pt idx="5">
                  <c:v>1.4827496765714545</c:v>
                </c:pt>
                <c:pt idx="6">
                  <c:v>1.5792996118857454</c:v>
                </c:pt>
                <c:pt idx="7">
                  <c:v>1.6758495472000363</c:v>
                </c:pt>
                <c:pt idx="8">
                  <c:v>1.7723994825143272</c:v>
                </c:pt>
                <c:pt idx="9">
                  <c:v>1.8689494178286183</c:v>
                </c:pt>
                <c:pt idx="10">
                  <c:v>1.9654993531429092</c:v>
                </c:pt>
                <c:pt idx="11">
                  <c:v>2.0620492884572004</c:v>
                </c:pt>
                <c:pt idx="12">
                  <c:v>2.1585992237714908</c:v>
                </c:pt>
                <c:pt idx="13">
                  <c:v>2.2551491590857822</c:v>
                </c:pt>
                <c:pt idx="14">
                  <c:v>2.3516990944000726</c:v>
                </c:pt>
                <c:pt idx="15">
                  <c:v>2.448249029714364</c:v>
                </c:pt>
                <c:pt idx="16">
                  <c:v>2.5447989650286544</c:v>
                </c:pt>
                <c:pt idx="17">
                  <c:v>2.6413489003429453</c:v>
                </c:pt>
                <c:pt idx="18">
                  <c:v>2.7378988356572367</c:v>
                </c:pt>
                <c:pt idx="19">
                  <c:v>2.8344487709715276</c:v>
                </c:pt>
                <c:pt idx="20">
                  <c:v>2.9309987062858185</c:v>
                </c:pt>
                <c:pt idx="21">
                  <c:v>3.0275486416001089</c:v>
                </c:pt>
                <c:pt idx="22">
                  <c:v>3.1240985769144003</c:v>
                </c:pt>
                <c:pt idx="23">
                  <c:v>3.2206485122286908</c:v>
                </c:pt>
                <c:pt idx="24">
                  <c:v>3.3171984475429817</c:v>
                </c:pt>
                <c:pt idx="25">
                  <c:v>3.4137483828572726</c:v>
                </c:pt>
                <c:pt idx="26">
                  <c:v>3.5102983181715639</c:v>
                </c:pt>
                <c:pt idx="27">
                  <c:v>3.6068482534858548</c:v>
                </c:pt>
                <c:pt idx="28">
                  <c:v>3.7033981888001457</c:v>
                </c:pt>
                <c:pt idx="29">
                  <c:v>3.7999481241144366</c:v>
                </c:pt>
                <c:pt idx="30">
                  <c:v>3.896498059428728</c:v>
                </c:pt>
                <c:pt idx="31">
                  <c:v>3.993047994743018</c:v>
                </c:pt>
                <c:pt idx="32">
                  <c:v>4.0895979300573089</c:v>
                </c:pt>
                <c:pt idx="33">
                  <c:v>4.1861478653716002</c:v>
                </c:pt>
                <c:pt idx="34">
                  <c:v>4.2826978006858907</c:v>
                </c:pt>
                <c:pt idx="35">
                  <c:v>4.379247736000182</c:v>
                </c:pt>
                <c:pt idx="36">
                  <c:v>4.4757976713144734</c:v>
                </c:pt>
                <c:pt idx="37">
                  <c:v>4.5723476066287638</c:v>
                </c:pt>
                <c:pt idx="38">
                  <c:v>4.6688975419430552</c:v>
                </c:pt>
                <c:pt idx="39">
                  <c:v>4.7654474772573456</c:v>
                </c:pt>
                <c:pt idx="40">
                  <c:v>4.861997412571637</c:v>
                </c:pt>
                <c:pt idx="41">
                  <c:v>4.9585473478859274</c:v>
                </c:pt>
                <c:pt idx="42">
                  <c:v>5.0550972832002179</c:v>
                </c:pt>
                <c:pt idx="43">
                  <c:v>5.1516472185145092</c:v>
                </c:pt>
                <c:pt idx="44">
                  <c:v>5.2481971538288006</c:v>
                </c:pt>
                <c:pt idx="45">
                  <c:v>5.344747089143091</c:v>
                </c:pt>
                <c:pt idx="46">
                  <c:v>5.4412970244573815</c:v>
                </c:pt>
                <c:pt idx="47">
                  <c:v>5.5378469597716729</c:v>
                </c:pt>
                <c:pt idx="48">
                  <c:v>5.6343968950859633</c:v>
                </c:pt>
                <c:pt idx="49">
                  <c:v>5.7309468304002547</c:v>
                </c:pt>
                <c:pt idx="50">
                  <c:v>5.8274967657145451</c:v>
                </c:pt>
              </c:numCache>
            </c:numRef>
          </c:yVal>
          <c:smooth val="0"/>
          <c:extLst>
            <c:ext xmlns:c16="http://schemas.microsoft.com/office/drawing/2014/chart" uri="{C3380CC4-5D6E-409C-BE32-E72D297353CC}">
              <c16:uniqueId val="{0000000B-42F2-4491-B1D6-20F3A9CB40BB}"/>
            </c:ext>
          </c:extLst>
        </c:ser>
        <c:ser>
          <c:idx val="12"/>
          <c:order val="12"/>
          <c:tx>
            <c:strRef>
              <c:f>'V-N Diagram'!$BE$37:$BF$37</c:f>
              <c:strCache>
                <c:ptCount val="2"/>
                <c:pt idx="0">
                  <c:v>ng1</c:v>
                </c:pt>
              </c:strCache>
            </c:strRef>
          </c:tx>
          <c:spPr>
            <a:ln w="19050" cap="rnd">
              <a:solidFill>
                <a:schemeClr val="accent1">
                  <a:lumMod val="80000"/>
                  <a:lumOff val="20000"/>
                </a:schemeClr>
              </a:solidFill>
              <a:round/>
            </a:ln>
            <a:effectLst/>
          </c:spPr>
          <c:marker>
            <c:symbol val="none"/>
          </c:marker>
          <c:xVal>
            <c:numRef>
              <c:f>'V-N Diagram'!$BE$39:$BE$40</c:f>
              <c:numCache>
                <c:formatCode>General</c:formatCode>
                <c:ptCount val="2"/>
                <c:pt idx="0">
                  <c:v>178.07110921865018</c:v>
                </c:pt>
                <c:pt idx="1">
                  <c:v>230</c:v>
                </c:pt>
              </c:numCache>
            </c:numRef>
          </c:xVal>
          <c:yVal>
            <c:numRef>
              <c:f>'V-N Diagram'!$BF$39:$BF$40</c:f>
              <c:numCache>
                <c:formatCode>General</c:formatCode>
                <c:ptCount val="2"/>
                <c:pt idx="0" formatCode="0.00">
                  <c:v>-1.1724675324675324</c:v>
                </c:pt>
                <c:pt idx="1">
                  <c:v>-1.7758106402858638</c:v>
                </c:pt>
              </c:numCache>
            </c:numRef>
          </c:yVal>
          <c:smooth val="0"/>
          <c:extLst>
            <c:ext xmlns:c16="http://schemas.microsoft.com/office/drawing/2014/chart" uri="{C3380CC4-5D6E-409C-BE32-E72D297353CC}">
              <c16:uniqueId val="{0000000C-42F2-4491-B1D6-20F3A9CB40BB}"/>
            </c:ext>
          </c:extLst>
        </c:ser>
        <c:ser>
          <c:idx val="13"/>
          <c:order val="13"/>
          <c:tx>
            <c:strRef>
              <c:f>'V-N Diagram'!$BG$37:$BH$37</c:f>
              <c:strCache>
                <c:ptCount val="2"/>
                <c:pt idx="0">
                  <c:v>ng4</c:v>
                </c:pt>
              </c:strCache>
            </c:strRef>
          </c:tx>
          <c:spPr>
            <a:ln w="19050" cap="rnd">
              <a:solidFill>
                <a:schemeClr val="accent2">
                  <a:lumMod val="80000"/>
                  <a:lumOff val="20000"/>
                </a:schemeClr>
              </a:solidFill>
              <a:round/>
            </a:ln>
            <a:effectLst/>
          </c:spPr>
          <c:marker>
            <c:symbol val="none"/>
          </c:marker>
          <c:dPt>
            <c:idx val="1"/>
            <c:marker>
              <c:symbol val="none"/>
            </c:marker>
            <c:bubble3D val="0"/>
            <c:spPr>
              <a:ln w="19050" cap="rnd">
                <a:solidFill>
                  <a:schemeClr val="accent2">
                    <a:lumMod val="80000"/>
                    <a:lumOff val="20000"/>
                  </a:schemeClr>
                </a:solidFill>
                <a:round/>
              </a:ln>
              <a:effectLst/>
            </c:spPr>
            <c:extLst>
              <c:ext xmlns:c16="http://schemas.microsoft.com/office/drawing/2014/chart" uri="{C3380CC4-5D6E-409C-BE32-E72D297353CC}">
                <c16:uniqueId val="{00000012-42F2-4491-B1D6-20F3A9CB40BB}"/>
              </c:ext>
            </c:extLst>
          </c:dPt>
          <c:xVal>
            <c:numRef>
              <c:f>'V-N Diagram'!$BG$39:$BG$40</c:f>
              <c:numCache>
                <c:formatCode>General</c:formatCode>
                <c:ptCount val="2"/>
                <c:pt idx="0">
                  <c:v>158.29252714498614</c:v>
                </c:pt>
                <c:pt idx="1">
                  <c:v>230</c:v>
                </c:pt>
              </c:numCache>
            </c:numRef>
          </c:xVal>
          <c:yVal>
            <c:numRef>
              <c:f>'V-N Diagram'!$BH$39:$BH$40</c:f>
              <c:numCache>
                <c:formatCode>General</c:formatCode>
                <c:ptCount val="2"/>
                <c:pt idx="0" formatCode="0.00">
                  <c:v>2.9311688311688311</c:v>
                </c:pt>
                <c:pt idx="1">
                  <c:v>3.7758106402858638</c:v>
                </c:pt>
              </c:numCache>
            </c:numRef>
          </c:yVal>
          <c:smooth val="0"/>
          <c:extLst>
            <c:ext xmlns:c16="http://schemas.microsoft.com/office/drawing/2014/chart" uri="{C3380CC4-5D6E-409C-BE32-E72D297353CC}">
              <c16:uniqueId val="{0000000D-42F2-4491-B1D6-20F3A9CB40BB}"/>
            </c:ext>
          </c:extLst>
        </c:ser>
        <c:ser>
          <c:idx val="14"/>
          <c:order val="14"/>
          <c:tx>
            <c:strRef>
              <c:f>'V-N Diagram'!$BI$37:$BJ$37</c:f>
              <c:strCache>
                <c:ptCount val="2"/>
                <c:pt idx="0">
                  <c:v>n1</c:v>
                </c:pt>
              </c:strCache>
            </c:strRef>
          </c:tx>
          <c:spPr>
            <a:ln w="19050" cap="rnd">
              <a:solidFill>
                <a:schemeClr val="accent3">
                  <a:lumMod val="80000"/>
                  <a:lumOff val="20000"/>
                </a:schemeClr>
              </a:solidFill>
              <a:round/>
            </a:ln>
            <a:effectLst/>
          </c:spPr>
          <c:marker>
            <c:symbol val="none"/>
          </c:marker>
          <c:xVal>
            <c:numRef>
              <c:f>'V-N Diagram'!$BI$39:$BI$40</c:f>
              <c:numCache>
                <c:formatCode>General</c:formatCode>
                <c:ptCount val="2"/>
                <c:pt idx="0" formatCode="0.00">
                  <c:v>132.47</c:v>
                </c:pt>
                <c:pt idx="1">
                  <c:v>158.29252714498614</c:v>
                </c:pt>
              </c:numCache>
            </c:numRef>
          </c:xVal>
          <c:yVal>
            <c:numRef>
              <c:f>'V-N Diagram'!$BJ$39:$BJ$40</c:f>
              <c:numCache>
                <c:formatCode>0.00</c:formatCode>
                <c:ptCount val="2"/>
                <c:pt idx="0">
                  <c:v>2.9311688311688311</c:v>
                </c:pt>
                <c:pt idx="1">
                  <c:v>2.9311688311688311</c:v>
                </c:pt>
              </c:numCache>
            </c:numRef>
          </c:yVal>
          <c:smooth val="0"/>
          <c:extLst>
            <c:ext xmlns:c16="http://schemas.microsoft.com/office/drawing/2014/chart" uri="{C3380CC4-5D6E-409C-BE32-E72D297353CC}">
              <c16:uniqueId val="{0000000E-42F2-4491-B1D6-20F3A9CB40BB}"/>
            </c:ext>
          </c:extLst>
        </c:ser>
        <c:ser>
          <c:idx val="15"/>
          <c:order val="15"/>
          <c:tx>
            <c:strRef>
              <c:f>'V-N Diagram'!$BK$37:$BL$37</c:f>
              <c:strCache>
                <c:ptCount val="2"/>
                <c:pt idx="0">
                  <c:v>n2</c:v>
                </c:pt>
              </c:strCache>
            </c:strRef>
          </c:tx>
          <c:spPr>
            <a:ln w="19050" cap="rnd">
              <a:solidFill>
                <a:schemeClr val="accent4">
                  <a:lumMod val="80000"/>
                  <a:lumOff val="20000"/>
                </a:schemeClr>
              </a:solidFill>
              <a:round/>
            </a:ln>
            <a:effectLst/>
          </c:spPr>
          <c:marker>
            <c:symbol val="none"/>
          </c:marker>
          <c:xVal>
            <c:numRef>
              <c:f>'V-N Diagram'!$BK$39:$BK$40</c:f>
              <c:numCache>
                <c:formatCode>General</c:formatCode>
                <c:ptCount val="2"/>
                <c:pt idx="0">
                  <c:v>0</c:v>
                </c:pt>
                <c:pt idx="1">
                  <c:v>178.07110921865018</c:v>
                </c:pt>
              </c:numCache>
            </c:numRef>
          </c:xVal>
          <c:yVal>
            <c:numRef>
              <c:f>'V-N Diagram'!$BL$39:$BL$40</c:f>
              <c:numCache>
                <c:formatCode>0.00</c:formatCode>
                <c:ptCount val="2"/>
                <c:pt idx="0">
                  <c:v>-1.1724675324675324</c:v>
                </c:pt>
                <c:pt idx="1">
                  <c:v>-1.1724675324675324</c:v>
                </c:pt>
              </c:numCache>
            </c:numRef>
          </c:yVal>
          <c:smooth val="0"/>
          <c:extLst>
            <c:ext xmlns:c16="http://schemas.microsoft.com/office/drawing/2014/chart" uri="{C3380CC4-5D6E-409C-BE32-E72D297353CC}">
              <c16:uniqueId val="{0000000F-42F2-4491-B1D6-20F3A9CB40BB}"/>
            </c:ext>
          </c:extLst>
        </c:ser>
        <c:ser>
          <c:idx val="16"/>
          <c:order val="16"/>
          <c:tx>
            <c:strRef>
              <c:f>'V-N Diagram'!$BM$37:$BN$37</c:f>
              <c:strCache>
                <c:ptCount val="2"/>
                <c:pt idx="0">
                  <c:v>ng1 intersect line</c:v>
                </c:pt>
              </c:strCache>
            </c:strRef>
          </c:tx>
          <c:spPr>
            <a:ln w="19050" cap="rnd">
              <a:solidFill>
                <a:schemeClr val="accent5">
                  <a:lumMod val="80000"/>
                  <a:lumOff val="20000"/>
                </a:schemeClr>
              </a:solidFill>
              <a:round/>
            </a:ln>
            <a:effectLst/>
          </c:spPr>
          <c:marker>
            <c:symbol val="none"/>
          </c:marker>
          <c:xVal>
            <c:numRef>
              <c:f>'V-N Diagram'!$BM$39:$BM$40</c:f>
              <c:numCache>
                <c:formatCode>General</c:formatCode>
                <c:ptCount val="2"/>
                <c:pt idx="0">
                  <c:v>230</c:v>
                </c:pt>
                <c:pt idx="1">
                  <c:v>378</c:v>
                </c:pt>
              </c:numCache>
            </c:numRef>
          </c:xVal>
          <c:yVal>
            <c:numRef>
              <c:f>'V-N Diagram'!$BN$39:$BN$40</c:f>
              <c:numCache>
                <c:formatCode>General</c:formatCode>
                <c:ptCount val="2"/>
                <c:pt idx="0">
                  <c:v>-1.7758106402858638</c:v>
                </c:pt>
                <c:pt idx="1">
                  <c:v>-1.3058000000000001</c:v>
                </c:pt>
              </c:numCache>
            </c:numRef>
          </c:yVal>
          <c:smooth val="0"/>
          <c:extLst>
            <c:ext xmlns:c16="http://schemas.microsoft.com/office/drawing/2014/chart" uri="{C3380CC4-5D6E-409C-BE32-E72D297353CC}">
              <c16:uniqueId val="{00000014-42F2-4491-B1D6-20F3A9CB40BB}"/>
            </c:ext>
          </c:extLst>
        </c:ser>
        <c:ser>
          <c:idx val="17"/>
          <c:order val="17"/>
          <c:tx>
            <c:strRef>
              <c:f>'V-N Diagram'!$BO$37:$BP$37</c:f>
              <c:strCache>
                <c:ptCount val="2"/>
                <c:pt idx="0">
                  <c:v>ng4 intersect line</c:v>
                </c:pt>
              </c:strCache>
            </c:strRef>
          </c:tx>
          <c:spPr>
            <a:ln w="19050" cap="rnd">
              <a:solidFill>
                <a:schemeClr val="accent6">
                  <a:lumMod val="80000"/>
                  <a:lumOff val="20000"/>
                </a:schemeClr>
              </a:solidFill>
              <a:round/>
            </a:ln>
            <a:effectLst/>
          </c:spPr>
          <c:marker>
            <c:symbol val="none"/>
          </c:marker>
          <c:xVal>
            <c:numRef>
              <c:f>'V-N Diagram'!$BO$39:$BO$40</c:f>
              <c:numCache>
                <c:formatCode>General</c:formatCode>
                <c:ptCount val="2"/>
                <c:pt idx="0">
                  <c:v>230</c:v>
                </c:pt>
                <c:pt idx="1">
                  <c:v>378</c:v>
                </c:pt>
              </c:numCache>
            </c:numRef>
          </c:xVal>
          <c:yVal>
            <c:numRef>
              <c:f>'V-N Diagram'!$BP$39:$BP$40</c:f>
              <c:numCache>
                <c:formatCode>General</c:formatCode>
                <c:ptCount val="2"/>
                <c:pt idx="0">
                  <c:v>3.7758106402858638</c:v>
                </c:pt>
                <c:pt idx="1">
                  <c:v>3.3058000000000001</c:v>
                </c:pt>
              </c:numCache>
            </c:numRef>
          </c:yVal>
          <c:smooth val="0"/>
          <c:extLst>
            <c:ext xmlns:c16="http://schemas.microsoft.com/office/drawing/2014/chart" uri="{C3380CC4-5D6E-409C-BE32-E72D297353CC}">
              <c16:uniqueId val="{00000015-42F2-4491-B1D6-20F3A9CB40BB}"/>
            </c:ext>
          </c:extLst>
        </c:ser>
        <c:ser>
          <c:idx val="18"/>
          <c:order val="18"/>
          <c:tx>
            <c:strRef>
              <c:f>'V-N Diagram'!$BQ$37:$BR$37</c:f>
              <c:strCache>
                <c:ptCount val="2"/>
                <c:pt idx="0">
                  <c:v>Zero line</c:v>
                </c:pt>
              </c:strCache>
            </c:strRef>
          </c:tx>
          <c:spPr>
            <a:ln w="19050" cap="rnd">
              <a:solidFill>
                <a:schemeClr val="accent1">
                  <a:lumMod val="80000"/>
                </a:schemeClr>
              </a:solidFill>
              <a:round/>
            </a:ln>
            <a:effectLst/>
          </c:spPr>
          <c:marker>
            <c:symbol val="none"/>
          </c:marker>
          <c:xVal>
            <c:numRef>
              <c:f>'V-N Diagram'!$BQ$39:$BQ$40</c:f>
              <c:numCache>
                <c:formatCode>General</c:formatCode>
                <c:ptCount val="2"/>
                <c:pt idx="0" formatCode="0.00">
                  <c:v>91.394094063596299</c:v>
                </c:pt>
                <c:pt idx="1">
                  <c:v>108.13895043686934</c:v>
                </c:pt>
              </c:numCache>
            </c:numRef>
          </c:xVal>
          <c:yVal>
            <c:numRef>
              <c:f>'V-N Diagram'!$BR$39:$BR$40</c:f>
              <c:numCache>
                <c:formatCode>General</c:formatCode>
                <c:ptCount val="2"/>
                <c:pt idx="0">
                  <c:v>0</c:v>
                </c:pt>
                <c:pt idx="1">
                  <c:v>0</c:v>
                </c:pt>
              </c:numCache>
            </c:numRef>
          </c:yVal>
          <c:smooth val="0"/>
          <c:extLst>
            <c:ext xmlns:c16="http://schemas.microsoft.com/office/drawing/2014/chart" uri="{C3380CC4-5D6E-409C-BE32-E72D297353CC}">
              <c16:uniqueId val="{00000002-F3DE-4356-90C0-18C71D4DA2A8}"/>
            </c:ext>
          </c:extLst>
        </c:ser>
        <c:dLbls>
          <c:showLegendKey val="0"/>
          <c:showVal val="0"/>
          <c:showCatName val="0"/>
          <c:showSerName val="0"/>
          <c:showPercent val="0"/>
          <c:showBubbleSize val="0"/>
        </c:dLbls>
        <c:axId val="1251742136"/>
        <c:axId val="1251747536"/>
      </c:scatterChart>
      <c:valAx>
        <c:axId val="1251742136"/>
        <c:scaling>
          <c:orientation val="minMax"/>
          <c:max val="40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747536"/>
        <c:crosses val="autoZero"/>
        <c:crossBetween val="midCat"/>
      </c:valAx>
      <c:valAx>
        <c:axId val="1251747536"/>
        <c:scaling>
          <c:orientation val="minMax"/>
          <c:max val="5"/>
          <c:min val="-3"/>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74213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CG Weight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5152393157949"/>
          <c:y val="0.12339357380718821"/>
          <c:w val="0.62055456867124492"/>
          <c:h val="0.73600649419313069"/>
        </c:manualLayout>
      </c:layout>
      <c:scatterChart>
        <c:scatterStyle val="lineMarker"/>
        <c:varyColors val="0"/>
        <c:ser>
          <c:idx val="0"/>
          <c:order val="0"/>
          <c:tx>
            <c:v>CG Distribution</c:v>
          </c:tx>
          <c:spPr>
            <a:ln w="25400" cap="rnd">
              <a:noFill/>
              <a:round/>
            </a:ln>
            <a:effectLst/>
          </c:spPr>
          <c:marker>
            <c:symbol val="circle"/>
            <c:size val="5"/>
            <c:spPr>
              <a:solidFill>
                <a:schemeClr val="accent1"/>
              </a:solidFill>
              <a:ln w="9525">
                <a:solidFill>
                  <a:schemeClr val="accent3"/>
                </a:solidFill>
              </a:ln>
              <a:effectLst/>
            </c:spPr>
          </c:marker>
          <c:xVal>
            <c:numRef>
              <c:f>'Quick Pass Calcs'!$Y$5:$Y$20</c:f>
              <c:numCache>
                <c:formatCode>0.000</c:formatCode>
                <c:ptCount val="16"/>
                <c:pt idx="0">
                  <c:v>-8.1448789028304436E-2</c:v>
                </c:pt>
                <c:pt idx="1">
                  <c:v>3.8394865067466498E-2</c:v>
                </c:pt>
                <c:pt idx="2">
                  <c:v>-0.1671778218774429</c:v>
                </c:pt>
                <c:pt idx="3">
                  <c:v>-3.8864411006733768E-2</c:v>
                </c:pt>
                <c:pt idx="4">
                  <c:v>-8.9360749056544009E-2</c:v>
                </c:pt>
                <c:pt idx="5">
                  <c:v>8.0920051045538108E-2</c:v>
                </c:pt>
                <c:pt idx="6">
                  <c:v>-2.5133582198799687E-2</c:v>
                </c:pt>
                <c:pt idx="7">
                  <c:v>0.15093418152674837</c:v>
                </c:pt>
                <c:pt idx="8">
                  <c:v>-4.3598532683865382E-3</c:v>
                </c:pt>
                <c:pt idx="9">
                  <c:v>0.18621664311247815</c:v>
                </c:pt>
                <c:pt idx="10">
                  <c:v>8.2364110614277147E-2</c:v>
                </c:pt>
                <c:pt idx="11">
                  <c:v>0.32338635651278391</c:v>
                </c:pt>
                <c:pt idx="12">
                  <c:v>-6.8689613526570159E-2</c:v>
                </c:pt>
                <c:pt idx="13">
                  <c:v>0.11758840268706809</c:v>
                </c:pt>
                <c:pt idx="14">
                  <c:v>2.2061239666563197E-2</c:v>
                </c:pt>
                <c:pt idx="15">
                  <c:v>0.26699875703921627</c:v>
                </c:pt>
              </c:numCache>
            </c:numRef>
          </c:xVal>
          <c:yVal>
            <c:numRef>
              <c:f>'Quick Pass Calcs'!$V$5:$V$20</c:f>
              <c:numCache>
                <c:formatCode>General</c:formatCode>
                <c:ptCount val="16"/>
                <c:pt idx="0">
                  <c:v>14900</c:v>
                </c:pt>
                <c:pt idx="1">
                  <c:v>11600</c:v>
                </c:pt>
                <c:pt idx="2">
                  <c:v>14460</c:v>
                </c:pt>
                <c:pt idx="3">
                  <c:v>10460</c:v>
                </c:pt>
                <c:pt idx="4">
                  <c:v>13710</c:v>
                </c:pt>
                <c:pt idx="5">
                  <c:v>9710</c:v>
                </c:pt>
                <c:pt idx="6">
                  <c:v>14850</c:v>
                </c:pt>
                <c:pt idx="7">
                  <c:v>10850</c:v>
                </c:pt>
                <c:pt idx="8">
                  <c:v>14460</c:v>
                </c:pt>
                <c:pt idx="9">
                  <c:v>10460</c:v>
                </c:pt>
                <c:pt idx="10">
                  <c:v>13710</c:v>
                </c:pt>
                <c:pt idx="11">
                  <c:v>9710</c:v>
                </c:pt>
                <c:pt idx="12">
                  <c:v>13320</c:v>
                </c:pt>
                <c:pt idx="13">
                  <c:v>9320</c:v>
                </c:pt>
                <c:pt idx="14">
                  <c:v>12570</c:v>
                </c:pt>
                <c:pt idx="15">
                  <c:v>8570</c:v>
                </c:pt>
              </c:numCache>
            </c:numRef>
          </c:yVal>
          <c:smooth val="0"/>
          <c:extLst>
            <c:ext xmlns:c16="http://schemas.microsoft.com/office/drawing/2014/chart" uri="{C3380CC4-5D6E-409C-BE32-E72D297353CC}">
              <c16:uniqueId val="{0000000F-0C5B-495E-97E3-3DC5B53F481D}"/>
            </c:ext>
          </c:extLst>
        </c:ser>
        <c:ser>
          <c:idx val="1"/>
          <c:order val="1"/>
          <c:tx>
            <c:strRef>
              <c:f>'Quick Pass Calcs'!$G$42</c:f>
              <c:strCache>
                <c:ptCount val="1"/>
                <c:pt idx="0">
                  <c:v>Simulated Neutral Point</c:v>
                </c:pt>
              </c:strCache>
            </c:strRef>
          </c:tx>
          <c:spPr>
            <a:ln w="25400" cap="rnd">
              <a:solidFill>
                <a:srgbClr val="FF0000"/>
              </a:solidFill>
              <a:round/>
            </a:ln>
            <a:effectLst/>
          </c:spPr>
          <c:marker>
            <c:symbol val="none"/>
          </c:marker>
          <c:xVal>
            <c:numRef>
              <c:f>'Quick Pass Calcs'!$H$42:$H$43</c:f>
              <c:numCache>
                <c:formatCode>0.0000</c:formatCode>
                <c:ptCount val="2"/>
                <c:pt idx="0">
                  <c:v>0.39402199999999998</c:v>
                </c:pt>
                <c:pt idx="1">
                  <c:v>0.39402199999999998</c:v>
                </c:pt>
              </c:numCache>
            </c:numRef>
          </c:xVal>
          <c:yVal>
            <c:numRef>
              <c:f>'Quick Pass Calcs'!$H$44:$H$45</c:f>
              <c:numCache>
                <c:formatCode>0.00</c:formatCode>
                <c:ptCount val="2"/>
                <c:pt idx="0">
                  <c:v>18000</c:v>
                </c:pt>
                <c:pt idx="1">
                  <c:v>6000</c:v>
                </c:pt>
              </c:numCache>
            </c:numRef>
          </c:yVal>
          <c:smooth val="0"/>
          <c:extLst>
            <c:ext xmlns:c16="http://schemas.microsoft.com/office/drawing/2014/chart" uri="{C3380CC4-5D6E-409C-BE32-E72D297353CC}">
              <c16:uniqueId val="{00000010-0C5B-495E-97E3-3DC5B53F481D}"/>
            </c:ext>
          </c:extLst>
        </c:ser>
        <c:ser>
          <c:idx val="2"/>
          <c:order val="2"/>
          <c:tx>
            <c:strRef>
              <c:f>'Quick Pass Calcs'!$G$47</c:f>
              <c:strCache>
                <c:ptCount val="1"/>
                <c:pt idx="0">
                  <c:v>Fwd CG Envelope</c:v>
                </c:pt>
              </c:strCache>
            </c:strRef>
          </c:tx>
          <c:spPr>
            <a:ln w="25400" cap="rnd">
              <a:solidFill>
                <a:schemeClr val="accent4"/>
              </a:solidFill>
              <a:round/>
            </a:ln>
            <a:effectLst/>
          </c:spPr>
          <c:marker>
            <c:symbol val="none"/>
          </c:marker>
          <c:xVal>
            <c:numRef>
              <c:f>'Quick Pass Calcs'!$I$46:$I$47</c:f>
              <c:numCache>
                <c:formatCode>0.0000</c:formatCode>
                <c:ptCount val="2"/>
                <c:pt idx="0">
                  <c:v>-0.1671778218774429</c:v>
                </c:pt>
                <c:pt idx="1">
                  <c:v>-0.1671778218774429</c:v>
                </c:pt>
              </c:numCache>
            </c:numRef>
          </c:xVal>
          <c:yVal>
            <c:numRef>
              <c:f>'Quick Pass Calcs'!$H$44:$H$45</c:f>
              <c:numCache>
                <c:formatCode>0.00</c:formatCode>
                <c:ptCount val="2"/>
                <c:pt idx="0">
                  <c:v>18000</c:v>
                </c:pt>
                <c:pt idx="1">
                  <c:v>6000</c:v>
                </c:pt>
              </c:numCache>
            </c:numRef>
          </c:yVal>
          <c:smooth val="0"/>
          <c:extLst>
            <c:ext xmlns:c16="http://schemas.microsoft.com/office/drawing/2014/chart" uri="{C3380CC4-5D6E-409C-BE32-E72D297353CC}">
              <c16:uniqueId val="{00000011-0C5B-495E-97E3-3DC5B53F481D}"/>
            </c:ext>
          </c:extLst>
        </c:ser>
        <c:ser>
          <c:idx val="3"/>
          <c:order val="3"/>
          <c:tx>
            <c:strRef>
              <c:f>'Quick Pass Calcs'!$G$48</c:f>
              <c:strCache>
                <c:ptCount val="1"/>
                <c:pt idx="0">
                  <c:v>Aft CG Envelope</c:v>
                </c:pt>
              </c:strCache>
            </c:strRef>
          </c:tx>
          <c:spPr>
            <a:ln w="25400" cap="rnd">
              <a:solidFill>
                <a:schemeClr val="tx1"/>
              </a:solidFill>
              <a:round/>
            </a:ln>
            <a:effectLst/>
          </c:spPr>
          <c:marker>
            <c:symbol val="none"/>
          </c:marker>
          <c:xVal>
            <c:numRef>
              <c:f>'Quick Pass Calcs'!$I$48:$I$49</c:f>
              <c:numCache>
                <c:formatCode>0.0000</c:formatCode>
                <c:ptCount val="2"/>
                <c:pt idx="0">
                  <c:v>0.32338635651278391</c:v>
                </c:pt>
                <c:pt idx="1">
                  <c:v>0.32338635651278391</c:v>
                </c:pt>
              </c:numCache>
            </c:numRef>
          </c:xVal>
          <c:yVal>
            <c:numRef>
              <c:f>'Quick Pass Calcs'!$H$44:$H$45</c:f>
              <c:numCache>
                <c:formatCode>0.00</c:formatCode>
                <c:ptCount val="2"/>
                <c:pt idx="0">
                  <c:v>18000</c:v>
                </c:pt>
                <c:pt idx="1">
                  <c:v>6000</c:v>
                </c:pt>
              </c:numCache>
            </c:numRef>
          </c:yVal>
          <c:smooth val="0"/>
          <c:extLst>
            <c:ext xmlns:c16="http://schemas.microsoft.com/office/drawing/2014/chart" uri="{C3380CC4-5D6E-409C-BE32-E72D297353CC}">
              <c16:uniqueId val="{00000012-0C5B-495E-97E3-3DC5B53F481D}"/>
            </c:ext>
          </c:extLst>
        </c:ser>
        <c:dLbls>
          <c:showLegendKey val="0"/>
          <c:showVal val="0"/>
          <c:showCatName val="0"/>
          <c:showSerName val="0"/>
          <c:showPercent val="0"/>
          <c:showBubbleSize val="0"/>
        </c:dLbls>
        <c:axId val="832353552"/>
        <c:axId val="832345992"/>
      </c:scatterChart>
      <c:valAx>
        <c:axId val="8323535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Mean</a:t>
                </a:r>
                <a:r>
                  <a:rPr lang="en-US" baseline="0"/>
                  <a:t> Aerodynamic Chord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345992"/>
        <c:crosses val="autoZero"/>
        <c:crossBetween val="midCat"/>
      </c:valAx>
      <c:valAx>
        <c:axId val="832345992"/>
        <c:scaling>
          <c:orientation val="minMax"/>
          <c:max val="18000"/>
          <c:min val="6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Weight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353552"/>
        <c:crosses val="autoZero"/>
        <c:crossBetween val="midCat"/>
      </c:valAx>
      <c:spPr>
        <a:noFill/>
        <a:ln>
          <a:noFill/>
        </a:ln>
        <a:effectLst/>
      </c:spPr>
    </c:plotArea>
    <c:legend>
      <c:legendPos val="r"/>
      <c:layout>
        <c:manualLayout>
          <c:xMode val="edge"/>
          <c:yMode val="edge"/>
          <c:x val="0.77206267328009304"/>
          <c:y val="0.23087705356595298"/>
          <c:w val="0.21120130516323016"/>
          <c:h val="0.487364351817339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Fuselage Centerline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'Geometry (1)'!$M$3:$M$32</c:f>
              <c:numCache>
                <c:formatCode>General</c:formatCode>
                <c:ptCount val="3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numCache>
            </c:numRef>
          </c:xVal>
          <c:yVal>
            <c:numRef>
              <c:f>'Geometry (1)'!$Q$3:$Q$32</c:f>
              <c:numCache>
                <c:formatCode>General</c:formatCode>
                <c:ptCount val="30"/>
                <c:pt idx="0">
                  <c:v>-0.36799999999999999</c:v>
                </c:pt>
                <c:pt idx="1">
                  <c:v>-0.36799999999999999</c:v>
                </c:pt>
                <c:pt idx="2">
                  <c:v>-0.24349999999999999</c:v>
                </c:pt>
                <c:pt idx="3">
                  <c:v>-0.14729999999999999</c:v>
                </c:pt>
                <c:pt idx="4">
                  <c:v>5.9999999999999995E-4</c:v>
                </c:pt>
                <c:pt idx="5">
                  <c:v>1.117</c:v>
                </c:pt>
                <c:pt idx="6">
                  <c:v>1.6052999999999999</c:v>
                </c:pt>
                <c:pt idx="7">
                  <c:v>1.75</c:v>
                </c:pt>
                <c:pt idx="8">
                  <c:v>1.75</c:v>
                </c:pt>
                <c:pt idx="9">
                  <c:v>1.75</c:v>
                </c:pt>
                <c:pt idx="10">
                  <c:v>1.75</c:v>
                </c:pt>
                <c:pt idx="11">
                  <c:v>1.75</c:v>
                </c:pt>
                <c:pt idx="12">
                  <c:v>1.75</c:v>
                </c:pt>
                <c:pt idx="13">
                  <c:v>1.75</c:v>
                </c:pt>
                <c:pt idx="14">
                  <c:v>1.75</c:v>
                </c:pt>
                <c:pt idx="15">
                  <c:v>1.75</c:v>
                </c:pt>
                <c:pt idx="16">
                  <c:v>1.75</c:v>
                </c:pt>
                <c:pt idx="17">
                  <c:v>1.75</c:v>
                </c:pt>
                <c:pt idx="18">
                  <c:v>1.75</c:v>
                </c:pt>
                <c:pt idx="19">
                  <c:v>1.75</c:v>
                </c:pt>
                <c:pt idx="20">
                  <c:v>1.75</c:v>
                </c:pt>
                <c:pt idx="21">
                  <c:v>1.75</c:v>
                </c:pt>
                <c:pt idx="22">
                  <c:v>1.7834000000000001</c:v>
                </c:pt>
                <c:pt idx="23">
                  <c:v>1.8842000000000001</c:v>
                </c:pt>
                <c:pt idx="24">
                  <c:v>2.0545</c:v>
                </c:pt>
                <c:pt idx="25">
                  <c:v>2.2980999999999998</c:v>
                </c:pt>
                <c:pt idx="26">
                  <c:v>2.6202999999999999</c:v>
                </c:pt>
                <c:pt idx="27">
                  <c:v>3.0305</c:v>
                </c:pt>
                <c:pt idx="28">
                  <c:v>3.4775</c:v>
                </c:pt>
                <c:pt idx="29">
                  <c:v>4.0147000000000004</c:v>
                </c:pt>
              </c:numCache>
            </c:numRef>
          </c:yVal>
          <c:smooth val="0"/>
          <c:extLst>
            <c:ext xmlns:c16="http://schemas.microsoft.com/office/drawing/2014/chart" uri="{C3380CC4-5D6E-409C-BE32-E72D297353CC}">
              <c16:uniqueId val="{00000004-6032-4C50-9D64-650EEB26F02D}"/>
            </c:ext>
          </c:extLst>
        </c:ser>
        <c:dLbls>
          <c:showLegendKey val="0"/>
          <c:showVal val="0"/>
          <c:showCatName val="0"/>
          <c:showSerName val="0"/>
          <c:showPercent val="0"/>
          <c:showBubbleSize val="0"/>
        </c:dLbls>
        <c:axId val="2014643719"/>
        <c:axId val="2014645767"/>
      </c:scatterChart>
      <c:valAx>
        <c:axId val="20146437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645767"/>
        <c:crosses val="autoZero"/>
        <c:crossBetween val="midCat"/>
      </c:valAx>
      <c:valAx>
        <c:axId val="2014645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 from Nose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64371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Fuselage Outline &amp; Centerline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solidFill>
                <a:srgbClr val="145F82"/>
              </a:solidFill>
              <a:prstDash val="solid"/>
              <a:round/>
            </a:ln>
            <a:effectLst/>
          </c:spPr>
          <c:marker>
            <c:symbol val="none"/>
          </c:marker>
          <c:xVal>
            <c:numRef>
              <c:f>Geometry!$N$3:$AR$3</c:f>
              <c:numCache>
                <c:formatCode>General</c:formatCode>
                <c:ptCount val="31"/>
                <c:pt idx="0">
                  <c:v>0</c:v>
                </c:pt>
                <c:pt idx="1">
                  <c:v>3</c:v>
                </c:pt>
                <c:pt idx="2">
                  <c:v>5</c:v>
                </c:pt>
                <c:pt idx="3">
                  <c:v>8</c:v>
                </c:pt>
                <c:pt idx="4">
                  <c:v>10</c:v>
                </c:pt>
                <c:pt idx="5">
                  <c:v>12</c:v>
                </c:pt>
                <c:pt idx="6">
                  <c:v>14</c:v>
                </c:pt>
                <c:pt idx="7">
                  <c:v>16</c:v>
                </c:pt>
                <c:pt idx="8">
                  <c:v>18</c:v>
                </c:pt>
                <c:pt idx="9">
                  <c:v>22</c:v>
                </c:pt>
                <c:pt idx="10">
                  <c:v>26</c:v>
                </c:pt>
                <c:pt idx="11">
                  <c:v>30</c:v>
                </c:pt>
                <c:pt idx="12">
                  <c:v>34</c:v>
                </c:pt>
                <c:pt idx="13">
                  <c:v>38</c:v>
                </c:pt>
                <c:pt idx="14">
                  <c:v>42</c:v>
                </c:pt>
                <c:pt idx="15">
                  <c:v>46</c:v>
                </c:pt>
                <c:pt idx="16">
                  <c:v>50</c:v>
                </c:pt>
                <c:pt idx="17">
                  <c:v>53</c:v>
                </c:pt>
                <c:pt idx="18">
                  <c:v>56</c:v>
                </c:pt>
                <c:pt idx="19">
                  <c:v>59</c:v>
                </c:pt>
                <c:pt idx="20">
                  <c:v>62</c:v>
                </c:pt>
                <c:pt idx="21">
                  <c:v>65</c:v>
                </c:pt>
                <c:pt idx="22">
                  <c:v>68</c:v>
                </c:pt>
              </c:numCache>
            </c:numRef>
          </c:xVal>
          <c:yVal>
            <c:numRef>
              <c:f>Geometry!$N$5:$AR$5</c:f>
              <c:numCache>
                <c:formatCode>General</c:formatCode>
                <c:ptCount val="31"/>
                <c:pt idx="0">
                  <c:v>0</c:v>
                </c:pt>
                <c:pt idx="1">
                  <c:v>1.7829999999999999</c:v>
                </c:pt>
                <c:pt idx="2">
                  <c:v>2.476</c:v>
                </c:pt>
                <c:pt idx="3">
                  <c:v>3.3665000000000003</c:v>
                </c:pt>
                <c:pt idx="4">
                  <c:v>3.867</c:v>
                </c:pt>
                <c:pt idx="5">
                  <c:v>5.4495000000000005</c:v>
                </c:pt>
                <c:pt idx="6">
                  <c:v>6.45</c:v>
                </c:pt>
                <c:pt idx="7">
                  <c:v>7.0145</c:v>
                </c:pt>
                <c:pt idx="8">
                  <c:v>7.1980000000000004</c:v>
                </c:pt>
                <c:pt idx="9">
                  <c:v>7.1980000000000004</c:v>
                </c:pt>
                <c:pt idx="10">
                  <c:v>7.1980000000000004</c:v>
                </c:pt>
                <c:pt idx="11">
                  <c:v>7.1980000000000004</c:v>
                </c:pt>
                <c:pt idx="12">
                  <c:v>7.1980000000000004</c:v>
                </c:pt>
                <c:pt idx="13">
                  <c:v>7.1980000000000004</c:v>
                </c:pt>
                <c:pt idx="14">
                  <c:v>7.1980000000000004</c:v>
                </c:pt>
                <c:pt idx="15">
                  <c:v>7.1980000000000004</c:v>
                </c:pt>
                <c:pt idx="16">
                  <c:v>7.1980000000000004</c:v>
                </c:pt>
                <c:pt idx="17">
                  <c:v>7.1880000000000006</c:v>
                </c:pt>
                <c:pt idx="18">
                  <c:v>7.1280000000000001</c:v>
                </c:pt>
                <c:pt idx="19">
                  <c:v>7.0149999999999997</c:v>
                </c:pt>
                <c:pt idx="20">
                  <c:v>6.851</c:v>
                </c:pt>
                <c:pt idx="21">
                  <c:v>6.6349999999999998</c:v>
                </c:pt>
                <c:pt idx="22">
                  <c:v>6.3660000000000005</c:v>
                </c:pt>
              </c:numCache>
            </c:numRef>
          </c:yVal>
          <c:smooth val="0"/>
          <c:extLst>
            <c:ext xmlns:c16="http://schemas.microsoft.com/office/drawing/2014/chart" uri="{C3380CC4-5D6E-409C-BE32-E72D297353CC}">
              <c16:uniqueId val="{0000000A-43AA-4D04-90D8-3FCA0D035B26}"/>
            </c:ext>
          </c:extLst>
        </c:ser>
        <c:ser>
          <c:idx val="1"/>
          <c:order val="1"/>
          <c:spPr>
            <a:ln w="19050" cap="rnd">
              <a:solidFill>
                <a:srgbClr val="E87331"/>
              </a:solidFill>
              <a:prstDash val="solid"/>
              <a:round/>
            </a:ln>
            <a:effectLst/>
          </c:spPr>
          <c:marker>
            <c:symbol val="none"/>
          </c:marker>
          <c:xVal>
            <c:numRef>
              <c:f>Geometry!$N$3:$AR$3</c:f>
              <c:numCache>
                <c:formatCode>General</c:formatCode>
                <c:ptCount val="31"/>
                <c:pt idx="0">
                  <c:v>0</c:v>
                </c:pt>
                <c:pt idx="1">
                  <c:v>3</c:v>
                </c:pt>
                <c:pt idx="2">
                  <c:v>5</c:v>
                </c:pt>
                <c:pt idx="3">
                  <c:v>8</c:v>
                </c:pt>
                <c:pt idx="4">
                  <c:v>10</c:v>
                </c:pt>
                <c:pt idx="5">
                  <c:v>12</c:v>
                </c:pt>
                <c:pt idx="6">
                  <c:v>14</c:v>
                </c:pt>
                <c:pt idx="7">
                  <c:v>16</c:v>
                </c:pt>
                <c:pt idx="8">
                  <c:v>18</c:v>
                </c:pt>
                <c:pt idx="9">
                  <c:v>22</c:v>
                </c:pt>
                <c:pt idx="10">
                  <c:v>26</c:v>
                </c:pt>
                <c:pt idx="11">
                  <c:v>30</c:v>
                </c:pt>
                <c:pt idx="12">
                  <c:v>34</c:v>
                </c:pt>
                <c:pt idx="13">
                  <c:v>38</c:v>
                </c:pt>
                <c:pt idx="14">
                  <c:v>42</c:v>
                </c:pt>
                <c:pt idx="15">
                  <c:v>46</c:v>
                </c:pt>
                <c:pt idx="16">
                  <c:v>50</c:v>
                </c:pt>
                <c:pt idx="17">
                  <c:v>53</c:v>
                </c:pt>
                <c:pt idx="18">
                  <c:v>56</c:v>
                </c:pt>
                <c:pt idx="19">
                  <c:v>59</c:v>
                </c:pt>
                <c:pt idx="20">
                  <c:v>62</c:v>
                </c:pt>
                <c:pt idx="21">
                  <c:v>65</c:v>
                </c:pt>
                <c:pt idx="22">
                  <c:v>68</c:v>
                </c:pt>
              </c:numCache>
            </c:numRef>
          </c:xVal>
          <c:yVal>
            <c:numRef>
              <c:f>Geometry!$N$6:$AR$6</c:f>
              <c:numCache>
                <c:formatCode>General</c:formatCode>
                <c:ptCount val="31"/>
                <c:pt idx="0">
                  <c:v>0</c:v>
                </c:pt>
                <c:pt idx="1">
                  <c:v>-0.71699999999999997</c:v>
                </c:pt>
                <c:pt idx="2">
                  <c:v>-0.81400000000000006</c:v>
                </c:pt>
                <c:pt idx="3">
                  <c:v>-0.94850000000000012</c:v>
                </c:pt>
                <c:pt idx="4">
                  <c:v>-1.0149999999999997</c:v>
                </c:pt>
                <c:pt idx="5">
                  <c:v>-1.0675000000000003</c:v>
                </c:pt>
                <c:pt idx="6">
                  <c:v>-1.1040000000000001</c:v>
                </c:pt>
                <c:pt idx="7">
                  <c:v>-1.1265000000000001</c:v>
                </c:pt>
                <c:pt idx="8">
                  <c:v>-1.1320000000000001</c:v>
                </c:pt>
                <c:pt idx="9">
                  <c:v>-1.1320000000000001</c:v>
                </c:pt>
                <c:pt idx="10">
                  <c:v>-1.1320000000000001</c:v>
                </c:pt>
                <c:pt idx="11">
                  <c:v>-1.1320000000000001</c:v>
                </c:pt>
                <c:pt idx="12">
                  <c:v>-1.1320000000000001</c:v>
                </c:pt>
                <c:pt idx="13">
                  <c:v>-1.1320000000000001</c:v>
                </c:pt>
                <c:pt idx="14">
                  <c:v>-1.1320000000000001</c:v>
                </c:pt>
                <c:pt idx="15">
                  <c:v>-1.1320000000000001</c:v>
                </c:pt>
                <c:pt idx="16">
                  <c:v>-1.1320000000000001</c:v>
                </c:pt>
                <c:pt idx="17">
                  <c:v>-0.65799999999999992</c:v>
                </c:pt>
                <c:pt idx="18">
                  <c:v>0.1120000000000001</c:v>
                </c:pt>
                <c:pt idx="19">
                  <c:v>0.94700000000000006</c:v>
                </c:pt>
                <c:pt idx="20">
                  <c:v>1.851</c:v>
                </c:pt>
                <c:pt idx="21">
                  <c:v>2.8230000000000004</c:v>
                </c:pt>
                <c:pt idx="22">
                  <c:v>3.8660000000000005</c:v>
                </c:pt>
              </c:numCache>
            </c:numRef>
          </c:yVal>
          <c:smooth val="0"/>
          <c:extLst>
            <c:ext xmlns:c16="http://schemas.microsoft.com/office/drawing/2014/chart" uri="{C3380CC4-5D6E-409C-BE32-E72D297353CC}">
              <c16:uniqueId val="{0000000C-43AA-4D04-90D8-3FCA0D035B26}"/>
            </c:ext>
          </c:extLst>
        </c:ser>
        <c:ser>
          <c:idx val="2"/>
          <c:order val="2"/>
          <c:spPr>
            <a:ln w="19050" cap="rnd">
              <a:solidFill>
                <a:srgbClr val="C0F1C8"/>
              </a:solidFill>
              <a:prstDash val="solid"/>
              <a:round/>
            </a:ln>
            <a:effectLst/>
          </c:spPr>
          <c:marker>
            <c:symbol val="none"/>
          </c:marker>
          <c:xVal>
            <c:numRef>
              <c:f>Geometry!$N$3:$AR$3</c:f>
              <c:numCache>
                <c:formatCode>General</c:formatCode>
                <c:ptCount val="31"/>
                <c:pt idx="0">
                  <c:v>0</c:v>
                </c:pt>
                <c:pt idx="1">
                  <c:v>3</c:v>
                </c:pt>
                <c:pt idx="2">
                  <c:v>5</c:v>
                </c:pt>
                <c:pt idx="3">
                  <c:v>8</c:v>
                </c:pt>
                <c:pt idx="4">
                  <c:v>10</c:v>
                </c:pt>
                <c:pt idx="5">
                  <c:v>12</c:v>
                </c:pt>
                <c:pt idx="6">
                  <c:v>14</c:v>
                </c:pt>
                <c:pt idx="7">
                  <c:v>16</c:v>
                </c:pt>
                <c:pt idx="8">
                  <c:v>18</c:v>
                </c:pt>
                <c:pt idx="9">
                  <c:v>22</c:v>
                </c:pt>
                <c:pt idx="10">
                  <c:v>26</c:v>
                </c:pt>
                <c:pt idx="11">
                  <c:v>30</c:v>
                </c:pt>
                <c:pt idx="12">
                  <c:v>34</c:v>
                </c:pt>
                <c:pt idx="13">
                  <c:v>38</c:v>
                </c:pt>
                <c:pt idx="14">
                  <c:v>42</c:v>
                </c:pt>
                <c:pt idx="15">
                  <c:v>46</c:v>
                </c:pt>
                <c:pt idx="16">
                  <c:v>50</c:v>
                </c:pt>
                <c:pt idx="17">
                  <c:v>53</c:v>
                </c:pt>
                <c:pt idx="18">
                  <c:v>56</c:v>
                </c:pt>
                <c:pt idx="19">
                  <c:v>59</c:v>
                </c:pt>
                <c:pt idx="20">
                  <c:v>62</c:v>
                </c:pt>
                <c:pt idx="21">
                  <c:v>65</c:v>
                </c:pt>
                <c:pt idx="22">
                  <c:v>68</c:v>
                </c:pt>
              </c:numCache>
            </c:numRef>
          </c:xVal>
          <c:yVal>
            <c:numRef>
              <c:f>Geometry!$N$9:$AR$9</c:f>
              <c:numCache>
                <c:formatCode>General</c:formatCode>
                <c:ptCount val="31"/>
                <c:pt idx="0">
                  <c:v>0</c:v>
                </c:pt>
                <c:pt idx="1">
                  <c:v>0.53300000000000003</c:v>
                </c:pt>
                <c:pt idx="2">
                  <c:v>0.83099999999999996</c:v>
                </c:pt>
                <c:pt idx="3">
                  <c:v>1.2090000000000001</c:v>
                </c:pt>
                <c:pt idx="4">
                  <c:v>1.4260000000000002</c:v>
                </c:pt>
                <c:pt idx="5">
                  <c:v>2.1909999999999998</c:v>
                </c:pt>
                <c:pt idx="6">
                  <c:v>2.673</c:v>
                </c:pt>
                <c:pt idx="7">
                  <c:v>2.944</c:v>
                </c:pt>
                <c:pt idx="8">
                  <c:v>3.0329999999999999</c:v>
                </c:pt>
                <c:pt idx="9">
                  <c:v>3.0329999999999999</c:v>
                </c:pt>
                <c:pt idx="10">
                  <c:v>3.0329999999999999</c:v>
                </c:pt>
                <c:pt idx="11">
                  <c:v>3.0329999999999999</c:v>
                </c:pt>
                <c:pt idx="12">
                  <c:v>3.0329999999999999</c:v>
                </c:pt>
                <c:pt idx="13">
                  <c:v>3.0329999999999999</c:v>
                </c:pt>
                <c:pt idx="14">
                  <c:v>3.0329999999999999</c:v>
                </c:pt>
                <c:pt idx="15">
                  <c:v>3.0329999999999999</c:v>
                </c:pt>
                <c:pt idx="16">
                  <c:v>3.0329999999999999</c:v>
                </c:pt>
                <c:pt idx="17">
                  <c:v>3.2650000000000001</c:v>
                </c:pt>
                <c:pt idx="18">
                  <c:v>3.62</c:v>
                </c:pt>
                <c:pt idx="19">
                  <c:v>3.9809999999999999</c:v>
                </c:pt>
                <c:pt idx="20">
                  <c:v>4.351</c:v>
                </c:pt>
                <c:pt idx="21">
                  <c:v>4.7290000000000001</c:v>
                </c:pt>
                <c:pt idx="22">
                  <c:v>5.1160000000000005</c:v>
                </c:pt>
              </c:numCache>
            </c:numRef>
          </c:yVal>
          <c:smooth val="0"/>
          <c:extLst>
            <c:ext xmlns:c16="http://schemas.microsoft.com/office/drawing/2014/chart" uri="{C3380CC4-5D6E-409C-BE32-E72D297353CC}">
              <c16:uniqueId val="{0000000E-43AA-4D04-90D8-3FCA0D035B26}"/>
            </c:ext>
          </c:extLst>
        </c:ser>
        <c:dLbls>
          <c:showLegendKey val="0"/>
          <c:showVal val="0"/>
          <c:showCatName val="0"/>
          <c:showSerName val="0"/>
          <c:showPercent val="0"/>
          <c:showBubbleSize val="0"/>
        </c:dLbls>
        <c:axId val="2014643719"/>
        <c:axId val="2014645767"/>
      </c:scatterChart>
      <c:valAx>
        <c:axId val="20146437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X-Position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645767"/>
        <c:crosses val="autoZero"/>
        <c:crossBetween val="midCat"/>
      </c:valAx>
      <c:valAx>
        <c:axId val="2014645767"/>
        <c:scaling>
          <c:orientation val="minMax"/>
          <c:max val="15"/>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 from Nose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643719"/>
        <c:crosses val="autoZero"/>
        <c:crossBetween val="midCat"/>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Corrected Drag at Cruise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CL/CD</c:v>
          </c:tx>
          <c:spPr>
            <a:ln w="19050" cap="rnd">
              <a:solidFill>
                <a:srgbClr val="0F9ED5"/>
              </a:solidFill>
              <a:prstDash val="solid"/>
              <a:round/>
            </a:ln>
            <a:effectLst/>
          </c:spPr>
          <c:marker>
            <c:symbol val="none"/>
          </c:marker>
          <c:xVal>
            <c:numRef>
              <c:f>'FE-Performance Analysis'!$A$27:$A$262</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'FE-Performance Analysis'!$M$27:$M$262</c:f>
              <c:numCache>
                <c:formatCode>0.00</c:formatCode>
                <c:ptCount val="236"/>
                <c:pt idx="0">
                  <c:v>8.7936704762042268</c:v>
                </c:pt>
                <c:pt idx="1">
                  <c:v>9.0590983387544881</c:v>
                </c:pt>
                <c:pt idx="2">
                  <c:v>9.327246552751788</c:v>
                </c:pt>
                <c:pt idx="3">
                  <c:v>9.5979784637335328</c:v>
                </c:pt>
                <c:pt idx="4">
                  <c:v>9.8711508332846964</c:v>
                </c:pt>
                <c:pt idx="5">
                  <c:v>10.146613836781244</c:v>
                </c:pt>
                <c:pt idx="6">
                  <c:v>10.424211083367878</c:v>
                </c:pt>
                <c:pt idx="7">
                  <c:v>10.703779659319045</c:v>
                </c:pt>
                <c:pt idx="8">
                  <c:v>10.985150195864112</c:v>
                </c:pt>
                <c:pt idx="9">
                  <c:v>11.268146962475615</c:v>
                </c:pt>
                <c:pt idx="10">
                  <c:v>11.552587986524179</c:v>
                </c:pt>
                <c:pt idx="11">
                  <c:v>11.838285200094344</c:v>
                </c:pt>
                <c:pt idx="12">
                  <c:v>12.125044614632275</c:v>
                </c:pt>
                <c:pt idx="13">
                  <c:v>12.412666523959432</c:v>
                </c:pt>
                <c:pt idx="14">
                  <c:v>12.700945736036552</c:v>
                </c:pt>
                <c:pt idx="15">
                  <c:v>12.989671833699429</c:v>
                </c:pt>
                <c:pt idx="16">
                  <c:v>13.278629464413587</c:v>
                </c:pt>
                <c:pt idx="17">
                  <c:v>13.567598658910081</c:v>
                </c:pt>
                <c:pt idx="18">
                  <c:v>13.856355178369531</c:v>
                </c:pt>
                <c:pt idx="19">
                  <c:v>14.144670889619102</c:v>
                </c:pt>
                <c:pt idx="20">
                  <c:v>14.432314167597731</c:v>
                </c:pt>
                <c:pt idx="21">
                  <c:v>14.719050324131285</c:v>
                </c:pt>
                <c:pt idx="22">
                  <c:v>15.004642061842739</c:v>
                </c:pt>
                <c:pt idx="23">
                  <c:v>15.288849951806068</c:v>
                </c:pt>
                <c:pt idx="24">
                  <c:v>15.571432933337507</c:v>
                </c:pt>
                <c:pt idx="25">
                  <c:v>15.85214883410741</c:v>
                </c:pt>
                <c:pt idx="26">
                  <c:v>16.130754908552518</c:v>
                </c:pt>
                <c:pt idx="27">
                  <c:v>16.407008392373996</c:v>
                </c:pt>
                <c:pt idx="28">
                  <c:v>16.680667070724549</c:v>
                </c:pt>
                <c:pt idx="29">
                  <c:v>16.951489857519849</c:v>
                </c:pt>
                <c:pt idx="30">
                  <c:v>17.219237383158585</c:v>
                </c:pt>
                <c:pt idx="31">
                  <c:v>17.483672587803429</c:v>
                </c:pt>
                <c:pt idx="32">
                  <c:v>17.74456131726458</c:v>
                </c:pt>
                <c:pt idx="33">
                  <c:v>18.001672918439869</c:v>
                </c:pt>
                <c:pt idx="34">
                  <c:v>18.254780831202638</c:v>
                </c:pt>
                <c:pt idx="35">
                  <c:v>18.503663173592138</c:v>
                </c:pt>
                <c:pt idx="36">
                  <c:v>18.748103317151518</c:v>
                </c:pt>
                <c:pt idx="37">
                  <c:v>18.987890449277224</c:v>
                </c:pt>
                <c:pt idx="38">
                  <c:v>19.222820119490514</c:v>
                </c:pt>
                <c:pt idx="39">
                  <c:v>19.452694766616535</c:v>
                </c:pt>
                <c:pt idx="40">
                  <c:v>19.677324223959793</c:v>
                </c:pt>
                <c:pt idx="41">
                  <c:v>19.896526199694446</c:v>
                </c:pt>
                <c:pt idx="42">
                  <c:v>20.110126729843856</c:v>
                </c:pt>
                <c:pt idx="43">
                  <c:v>20.317960601403996</c:v>
                </c:pt>
                <c:pt idx="44">
                  <c:v>20.519871743367755</c:v>
                </c:pt>
                <c:pt idx="45">
                  <c:v>20.715713583630148</c:v>
                </c:pt>
                <c:pt idx="46">
                  <c:v>20.905349369994823</c:v>
                </c:pt>
                <c:pt idx="47">
                  <c:v>21.088652453757991</c:v>
                </c:pt>
                <c:pt idx="48">
                  <c:v>21.265506534613557</c:v>
                </c:pt>
                <c:pt idx="49">
                  <c:v>21.435805865900001</c:v>
                </c:pt>
                <c:pt idx="50">
                  <c:v>21.599455419492198</c:v>
                </c:pt>
                <c:pt idx="51">
                  <c:v>21.756371009927083</c:v>
                </c:pt>
                <c:pt idx="52">
                  <c:v>21.906479377636568</c:v>
                </c:pt>
                <c:pt idx="53">
                  <c:v>22.049718231443034</c:v>
                </c:pt>
                <c:pt idx="54">
                  <c:v>22.186036250747222</c:v>
                </c:pt>
                <c:pt idx="55">
                  <c:v>22.315393048103907</c:v>
                </c:pt>
                <c:pt idx="56">
                  <c:v>22.437759093134023</c:v>
                </c:pt>
                <c:pt idx="57">
                  <c:v>22.553115598960705</c:v>
                </c:pt>
                <c:pt idx="58">
                  <c:v>22.661454372578888</c:v>
                </c:pt>
                <c:pt idx="59">
                  <c:v>22.762777630771687</c:v>
                </c:pt>
                <c:pt idx="60">
                  <c:v>22.857097783370293</c:v>
                </c:pt>
                <c:pt idx="61">
                  <c:v>22.94443718581628</c:v>
                </c:pt>
                <c:pt idx="62">
                  <c:v>23.024827863125136</c:v>
                </c:pt>
                <c:pt idx="63">
                  <c:v>23.098311207466892</c:v>
                </c:pt>
                <c:pt idx="64">
                  <c:v>23.164937651673675</c:v>
                </c:pt>
                <c:pt idx="65">
                  <c:v>23.224766321054844</c:v>
                </c:pt>
                <c:pt idx="66">
                  <c:v>23.277864665948581</c:v>
                </c:pt>
                <c:pt idx="67">
                  <c:v>23.324308077464632</c:v>
                </c:pt>
                <c:pt idx="68">
                  <c:v>23.364179488877628</c:v>
                </c:pt>
                <c:pt idx="69">
                  <c:v>23.39756896511479</c:v>
                </c:pt>
                <c:pt idx="70">
                  <c:v>23.424573282747243</c:v>
                </c:pt>
                <c:pt idx="71">
                  <c:v>23.445295502841805</c:v>
                </c:pt>
                <c:pt idx="72">
                  <c:v>23.459844538962066</c:v>
                </c:pt>
                <c:pt idx="73">
                  <c:v>23.468334722524691</c:v>
                </c:pt>
                <c:pt idx="74">
                  <c:v>23.470885367621477</c:v>
                </c:pt>
                <c:pt idx="75">
                  <c:v>23.467620337311288</c:v>
                </c:pt>
                <c:pt idx="76">
                  <c:v>23.458667613270283</c:v>
                </c:pt>
                <c:pt idx="77">
                  <c:v>23.444158870565502</c:v>
                </c:pt>
                <c:pt idx="78">
                  <c:v>23.424229059188001</c:v>
                </c:pt>
                <c:pt idx="79">
                  <c:v>23.399015993848174</c:v>
                </c:pt>
                <c:pt idx="80">
                  <c:v>23.368659953400094</c:v>
                </c:pt>
                <c:pt idx="81">
                  <c:v>23.333303291124583</c:v>
                </c:pt>
                <c:pt idx="82">
                  <c:v>23.293090056963383</c:v>
                </c:pt>
                <c:pt idx="83">
                  <c:v>23.248165632661667</c:v>
                </c:pt>
                <c:pt idx="84">
                  <c:v>23.198676380642496</c:v>
                </c:pt>
                <c:pt idx="85">
                  <c:v>23.144769307307694</c:v>
                </c:pt>
                <c:pt idx="86">
                  <c:v>23.086591741334111</c:v>
                </c:pt>
                <c:pt idx="87">
                  <c:v>23.024291027414389</c:v>
                </c:pt>
                <c:pt idx="88">
                  <c:v>22.958014235777078</c:v>
                </c:pt>
                <c:pt idx="89">
                  <c:v>22.887907887712966</c:v>
                </c:pt>
                <c:pt idx="90">
                  <c:v>22.814117697233215</c:v>
                </c:pt>
                <c:pt idx="91">
                  <c:v>22.736788328890775</c:v>
                </c:pt>
                <c:pt idx="92">
                  <c:v>22.656063171709324</c:v>
                </c:pt>
                <c:pt idx="93">
                  <c:v>22.572084129084224</c:v>
                </c:pt>
                <c:pt idx="94">
                  <c:v>22.484991424447603</c:v>
                </c:pt>
                <c:pt idx="95">
                  <c:v>22.394923422424331</c:v>
                </c:pt>
                <c:pt idx="96">
                  <c:v>22.302016465147421</c:v>
                </c:pt>
                <c:pt idx="97">
                  <c:v>22.206404723350644</c:v>
                </c:pt>
                <c:pt idx="98">
                  <c:v>22.108220061811018</c:v>
                </c:pt>
                <c:pt idx="99">
                  <c:v>22.00759191867645</c:v>
                </c:pt>
                <c:pt idx="100">
                  <c:v>21.904647198181461</c:v>
                </c:pt>
                <c:pt idx="101">
                  <c:v>21.799510176228036</c:v>
                </c:pt>
                <c:pt idx="102">
                  <c:v>21.69230241828793</c:v>
                </c:pt>
                <c:pt idx="103">
                  <c:v>21.583142709067193</c:v>
                </c:pt>
                <c:pt idx="104">
                  <c:v>21.47214699336287</c:v>
                </c:pt>
                <c:pt idx="105">
                  <c:v>21.359428327535177</c:v>
                </c:pt>
                <c:pt idx="106">
                  <c:v>21.245096841016071</c:v>
                </c:pt>
                <c:pt idx="107">
                  <c:v>21.129259707276056</c:v>
                </c:pt>
                <c:pt idx="108">
                  <c:v>21.012021123675151</c:v>
                </c:pt>
                <c:pt idx="109">
                  <c:v>20.893482299631518</c:v>
                </c:pt>
                <c:pt idx="110">
                  <c:v>20.773741452550336</c:v>
                </c:pt>
                <c:pt idx="111">
                  <c:v>20.652893810967875</c:v>
                </c:pt>
                <c:pt idx="112">
                  <c:v>20.531031624379146</c:v>
                </c:pt>
                <c:pt idx="113">
                  <c:v>20.408244179233268</c:v>
                </c:pt>
                <c:pt idx="114">
                  <c:v>20.284617820597063</c:v>
                </c:pt>
                <c:pt idx="115">
                  <c:v>20.160235979005595</c:v>
                </c:pt>
                <c:pt idx="116">
                  <c:v>20.035179202037032</c:v>
                </c:pt>
                <c:pt idx="117">
                  <c:v>19.909525190168452</c:v>
                </c:pt>
                <c:pt idx="118">
                  <c:v>19.783348836489356</c:v>
                </c:pt>
                <c:pt idx="119">
                  <c:v>19.656722269869693</c:v>
                </c:pt>
                <c:pt idx="120">
                  <c:v>19.52971490119949</c:v>
                </c:pt>
                <c:pt idx="121">
                  <c:v>19.4023934723376</c:v>
                </c:pt>
                <c:pt idx="122">
                  <c:v>19.274822107427184</c:v>
                </c:pt>
                <c:pt idx="123">
                  <c:v>19.147062366255533</c:v>
                </c:pt>
                <c:pt idx="124">
                  <c:v>19.019173299355426</c:v>
                </c:pt>
                <c:pt idx="125">
                  <c:v>18.891211504564495</c:v>
                </c:pt>
                <c:pt idx="126">
                  <c:v>18.763231184777641</c:v>
                </c:pt>
                <c:pt idx="127">
                  <c:v>18.635284206645853</c:v>
                </c:pt>
                <c:pt idx="128">
                  <c:v>18.50742015999241</c:v>
                </c:pt>
                <c:pt idx="129">
                  <c:v>18.379686417734082</c:v>
                </c:pt>
                <c:pt idx="130">
                  <c:v>18.252128196111755</c:v>
                </c:pt>
                <c:pt idx="131">
                  <c:v>18.124788615050051</c:v>
                </c:pt>
                <c:pt idx="132">
                  <c:v>17.997708758480719</c:v>
                </c:pt>
                <c:pt idx="133">
                  <c:v>17.870927734478631</c:v>
                </c:pt>
                <c:pt idx="134">
                  <c:v>17.744482735072925</c:v>
                </c:pt>
                <c:pt idx="135">
                  <c:v>17.618409095608452</c:v>
                </c:pt>
                <c:pt idx="136">
                  <c:v>17.492740353544868</c:v>
                </c:pt>
                <c:pt idx="137">
                  <c:v>17.367508306592281</c:v>
                </c:pt>
                <c:pt idx="138">
                  <c:v>17.24274307009285</c:v>
                </c:pt>
                <c:pt idx="139">
                  <c:v>17.118473133568106</c:v>
                </c:pt>
                <c:pt idx="140">
                  <c:v>16.994725416361071</c:v>
                </c:pt>
                <c:pt idx="141">
                  <c:v>16.871525322311122</c:v>
                </c:pt>
                <c:pt idx="142">
                  <c:v>16.748896793407848</c:v>
                </c:pt>
                <c:pt idx="143">
                  <c:v>16.626862362377782</c:v>
                </c:pt>
                <c:pt idx="144">
                  <c:v>16.505443204164969</c:v>
                </c:pt>
                <c:pt idx="145">
                  <c:v>16.384659186273019</c:v>
                </c:pt>
                <c:pt idx="146">
                  <c:v>16.264528917942403</c:v>
                </c:pt>
                <c:pt idx="147">
                  <c:v>16.145069798142142</c:v>
                </c:pt>
                <c:pt idx="148">
                  <c:v>16.02629806236051</c:v>
                </c:pt>
                <c:pt idx="149">
                  <c:v>15.908228828183912</c:v>
                </c:pt>
                <c:pt idx="150">
                  <c:v>15.790876139657374</c:v>
                </c:pt>
                <c:pt idx="151">
                  <c:v>15.674253010424227</c:v>
                </c:pt>
                <c:pt idx="152">
                  <c:v>15.558371465645953</c:v>
                </c:pt>
                <c:pt idx="153">
                  <c:v>15.443242582706423</c:v>
                </c:pt>
                <c:pt idx="154">
                  <c:v>15.32887653070779</c:v>
                </c:pt>
                <c:pt idx="155">
                  <c:v>15.215282608767804</c:v>
                </c:pt>
                <c:pt idx="156">
                  <c:v>15.102469283130651</c:v>
                </c:pt>
                <c:pt idx="157">
                  <c:v>14.99044422310569</c:v>
                </c:pt>
                <c:pt idx="158">
                  <c:v>14.879214335849918</c:v>
                </c:pt>
                <c:pt idx="159">
                  <c:v>14.768785800012104</c:v>
                </c:pt>
                <c:pt idx="160">
                  <c:v>14.659164098257499</c:v>
                </c:pt>
                <c:pt idx="161">
                  <c:v>14.550354048693555</c:v>
                </c:pt>
                <c:pt idx="162">
                  <c:v>14.442359835217907</c:v>
                </c:pt>
                <c:pt idx="163">
                  <c:v>14.335185036810993</c:v>
                </c:pt>
                <c:pt idx="164">
                  <c:v>14.228832655796051</c:v>
                </c:pt>
                <c:pt idx="165">
                  <c:v>14.123305145090303</c:v>
                </c:pt>
                <c:pt idx="166">
                  <c:v>14.018604434471122</c:v>
                </c:pt>
                <c:pt idx="167">
                  <c:v>13.914731955881701</c:v>
                </c:pt>
                <c:pt idx="168">
                  <c:v>13.811688667800706</c:v>
                </c:pt>
                <c:pt idx="169">
                  <c:v>13.709475078700805</c:v>
                </c:pt>
                <c:pt idx="170">
                  <c:v>13.608091269620781</c:v>
                </c:pt>
                <c:pt idx="171">
                  <c:v>13.507536915876067</c:v>
                </c:pt>
                <c:pt idx="172">
                  <c:v>13.407811307932556</c:v>
                </c:pt>
                <c:pt idx="173">
                  <c:v>13.308913371468034</c:v>
                </c:pt>
                <c:pt idx="174">
                  <c:v>13.210841686645834</c:v>
                </c:pt>
                <c:pt idx="175">
                  <c:v>13.113594506624743</c:v>
                </c:pt>
                <c:pt idx="176">
                  <c:v>13.017169775328977</c:v>
                </c:pt>
                <c:pt idx="177">
                  <c:v>12.921565144501809</c:v>
                </c:pt>
                <c:pt idx="178">
                  <c:v>12.826777990065908</c:v>
                </c:pt>
                <c:pt idx="179">
                  <c:v>12.732805427813183</c:v>
                </c:pt>
                <c:pt idx="180">
                  <c:v>12.639644328446407</c:v>
                </c:pt>
                <c:pt idx="181">
                  <c:v>12.547291331994566</c:v>
                </c:pt>
                <c:pt idx="182">
                  <c:v>12.455742861623278</c:v>
                </c:pt>
                <c:pt idx="183">
                  <c:v>12.364995136861268</c:v>
                </c:pt>
                <c:pt idx="184">
                  <c:v>12.275044186263377</c:v>
                </c:pt>
                <c:pt idx="185">
                  <c:v>12.185885859530037</c:v>
                </c:pt>
                <c:pt idx="186">
                  <c:v>12.097515839102693</c:v>
                </c:pt>
                <c:pt idx="187">
                  <c:v>12.009929651254144</c:v>
                </c:pt>
                <c:pt idx="188">
                  <c:v>11.923122676692207</c:v>
                </c:pt>
                <c:pt idx="189">
                  <c:v>11.837090160694776</c:v>
                </c:pt>
                <c:pt idx="190">
                  <c:v>11.751827222793519</c:v>
                </c:pt>
                <c:pt idx="191">
                  <c:v>11.667328866023366</c:v>
                </c:pt>
                <c:pt idx="192">
                  <c:v>11.583589985754012</c:v>
                </c:pt>
                <c:pt idx="193">
                  <c:v>11.500605378119579</c:v>
                </c:pt>
                <c:pt idx="194">
                  <c:v>11.418369748061673</c:v>
                </c:pt>
                <c:pt idx="195">
                  <c:v>11.336877717000963</c:v>
                </c:pt>
                <c:pt idx="196">
                  <c:v>11.256123830151704</c:v>
                </c:pt>
                <c:pt idx="197">
                  <c:v>11.176102563493187</c:v>
                </c:pt>
                <c:pt idx="198">
                  <c:v>11.096808330411726</c:v>
                </c:pt>
                <c:pt idx="199">
                  <c:v>11.018235488026283</c:v>
                </c:pt>
                <c:pt idx="200">
                  <c:v>10.940378343210304</c:v>
                </c:pt>
                <c:pt idx="201">
                  <c:v>10.863231158322137</c:v>
                </c:pt>
                <c:pt idx="202">
                  <c:v>10.78678815665573</c:v>
                </c:pt>
                <c:pt idx="203">
                  <c:v>10.711043527623017</c:v>
                </c:pt>
                <c:pt idx="204">
                  <c:v>10.635991431679015</c:v>
                </c:pt>
                <c:pt idx="205">
                  <c:v>10.561626005000248</c:v>
                </c:pt>
                <c:pt idx="206">
                  <c:v>10.487941363926595</c:v>
                </c:pt>
                <c:pt idx="207">
                  <c:v>10.414931609176609</c:v>
                </c:pt>
                <c:pt idx="208">
                  <c:v>10.342590829845561</c:v>
                </c:pt>
                <c:pt idx="209">
                  <c:v>10.270913107195563</c:v>
                </c:pt>
                <c:pt idx="210">
                  <c:v>10.199892518246385</c:v>
                </c:pt>
                <c:pt idx="211">
                  <c:v>10.129523139175589</c:v>
                </c:pt>
                <c:pt idx="212">
                  <c:v>10.059799048535954</c:v>
                </c:pt>
                <c:pt idx="213">
                  <c:v>9.9907143302982018</c:v>
                </c:pt>
                <c:pt idx="214">
                  <c:v>9.9222630767264519</c:v>
                </c:pt>
                <c:pt idx="215">
                  <c:v>9.8544393910936705</c:v>
                </c:pt>
                <c:pt idx="216">
                  <c:v>9.7872373902441279</c:v>
                </c:pt>
                <c:pt idx="217">
                  <c:v>9.7206512070094835</c:v>
                </c:pt>
                <c:pt idx="218">
                  <c:v>9.6546749924850008</c:v>
                </c:pt>
                <c:pt idx="219">
                  <c:v>9.5893029181720202</c:v>
                </c:pt>
                <c:pt idx="220">
                  <c:v>9.5245291779927097</c:v>
                </c:pt>
                <c:pt idx="221">
                  <c:v>9.4603479901826315</c:v>
                </c:pt>
                <c:pt idx="222">
                  <c:v>9.3967535990667983</c:v>
                </c:pt>
                <c:pt idx="223">
                  <c:v>9.3337402767243347</c:v>
                </c:pt>
                <c:pt idx="224">
                  <c:v>9.2713023245468023</c:v>
                </c:pt>
                <c:pt idx="225">
                  <c:v>9.2094340746950945</c:v>
                </c:pt>
                <c:pt idx="226">
                  <c:v>9.1481298914594493</c:v>
                </c:pt>
                <c:pt idx="227">
                  <c:v>9.0873841725271109</c:v>
                </c:pt>
                <c:pt idx="228">
                  <c:v>9.0271913501618481</c:v>
                </c:pt>
                <c:pt idx="229">
                  <c:v>8.9675458922994959</c:v>
                </c:pt>
                <c:pt idx="230">
                  <c:v>8.9084423035633336</c:v>
                </c:pt>
                <c:pt idx="231">
                  <c:v>8.849875126203175</c:v>
                </c:pt>
                <c:pt idx="232">
                  <c:v>8.7918389409617088</c:v>
                </c:pt>
                <c:pt idx="233">
                  <c:v>8.7343283678715711</c:v>
                </c:pt>
                <c:pt idx="234">
                  <c:v>8.6773380669864597</c:v>
                </c:pt>
                <c:pt idx="235">
                  <c:v>8.6208627390494179</c:v>
                </c:pt>
              </c:numCache>
            </c:numRef>
          </c:yVal>
          <c:smooth val="0"/>
          <c:extLst>
            <c:ext xmlns:c16="http://schemas.microsoft.com/office/drawing/2014/chart" uri="{C3380CC4-5D6E-409C-BE32-E72D297353CC}">
              <c16:uniqueId val="{00000000-BCA4-4740-92C8-0BA0AF157C7D}"/>
            </c:ext>
          </c:extLst>
        </c:ser>
        <c:ser>
          <c:idx val="1"/>
          <c:order val="1"/>
          <c:tx>
            <c:v>CL^1.5/CD</c:v>
          </c:tx>
          <c:spPr>
            <a:ln w="19050" cap="rnd">
              <a:solidFill>
                <a:srgbClr val="E87331"/>
              </a:solidFill>
              <a:prstDash val="solid"/>
              <a:round/>
            </a:ln>
            <a:effectLst/>
          </c:spPr>
          <c:marker>
            <c:symbol val="none"/>
          </c:marker>
          <c:xVal>
            <c:numRef>
              <c:f>'FE-Performance Analysis'!$A$27:$A$262</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'FE-Performance Analysis'!$N$27:$N$262</c:f>
              <c:numCache>
                <c:formatCode>0.00</c:formatCode>
                <c:ptCount val="236"/>
                <c:pt idx="0">
                  <c:v>14.636484364706295</c:v>
                </c:pt>
                <c:pt idx="1">
                  <c:v>14.849812871346595</c:v>
                </c:pt>
                <c:pt idx="2">
                  <c:v>15.061166048810149</c:v>
                </c:pt>
                <c:pt idx="3">
                  <c:v>15.270413626296826</c:v>
                </c:pt>
                <c:pt idx="4">
                  <c:v>15.477422561661017</c:v>
                </c:pt>
                <c:pt idx="5">
                  <c:v>15.682057235877206</c:v>
                </c:pt>
                <c:pt idx="6">
                  <c:v>15.884179664952045</c:v>
                </c:pt>
                <c:pt idx="7">
                  <c:v>16.083649729313095</c:v>
                </c:pt>
                <c:pt idx="8">
                  <c:v>16.280325420600313</c:v>
                </c:pt>
                <c:pt idx="9">
                  <c:v>16.474063105674524</c:v>
                </c:pt>
                <c:pt idx="10">
                  <c:v>16.664717807539418</c:v>
                </c:pt>
                <c:pt idx="11">
                  <c:v>16.852143502749783</c:v>
                </c:pt>
                <c:pt idx="12">
                  <c:v>17.036193434750022</c:v>
                </c:pt>
                <c:pt idx="13">
                  <c:v>17.216720442454189</c:v>
                </c:pt>
                <c:pt idx="14">
                  <c:v>17.393577303243184</c:v>
                </c:pt>
                <c:pt idx="15">
                  <c:v>17.566617089417299</c:v>
                </c:pt>
                <c:pt idx="16">
                  <c:v>17.735693537004199</c:v>
                </c:pt>
                <c:pt idx="17">
                  <c:v>17.900661425685712</c:v>
                </c:pt>
                <c:pt idx="18">
                  <c:v>18.06137696847194</c:v>
                </c:pt>
                <c:pt idx="19">
                  <c:v>18.217698209620874</c:v>
                </c:pt>
                <c:pt idx="20">
                  <c:v>18.369485429176702</c:v>
                </c:pt>
                <c:pt idx="21">
                  <c:v>18.51660155238239</c:v>
                </c:pt>
                <c:pt idx="22">
                  <c:v>18.658912562113489</c:v>
                </c:pt>
                <c:pt idx="23">
                  <c:v>18.796287912382173</c:v>
                </c:pt>
                <c:pt idx="24">
                  <c:v>18.92860094087477</c:v>
                </c:pt>
                <c:pt idx="25">
                  <c:v>19.055729278413992</c:v>
                </c:pt>
                <c:pt idx="26">
                  <c:v>19.177555253180667</c:v>
                </c:pt>
                <c:pt idx="27">
                  <c:v>19.293966287489436</c:v>
                </c:pt>
                <c:pt idx="28">
                  <c:v>19.404855284890623</c:v>
                </c:pt>
                <c:pt idx="29">
                  <c:v>19.510121005366955</c:v>
                </c:pt>
                <c:pt idx="30">
                  <c:v>19.609668426409563</c:v>
                </c:pt>
                <c:pt idx="31">
                  <c:v>19.703409087793638</c:v>
                </c:pt>
                <c:pt idx="32">
                  <c:v>19.791261417930553</c:v>
                </c:pt>
                <c:pt idx="33">
                  <c:v>19.873151039749676</c:v>
                </c:pt>
                <c:pt idx="34">
                  <c:v>19.949011054160028</c:v>
                </c:pt>
                <c:pt idx="35">
                  <c:v>20.018782299258294</c:v>
                </c:pt>
                <c:pt idx="36">
                  <c:v>20.082413583584781</c:v>
                </c:pt>
                <c:pt idx="37">
                  <c:v>20.139861891881832</c:v>
                </c:pt>
                <c:pt idx="38">
                  <c:v>20.191092561978554</c:v>
                </c:pt>
                <c:pt idx="39">
                  <c:v>20.236079431609351</c:v>
                </c:pt>
                <c:pt idx="40">
                  <c:v>20.274804954171131</c:v>
                </c:pt>
                <c:pt idx="41">
                  <c:v>20.307260282631326</c:v>
                </c:pt>
                <c:pt idx="42">
                  <c:v>20.333445321015738</c:v>
                </c:pt>
                <c:pt idx="43">
                  <c:v>20.353368743127703</c:v>
                </c:pt>
                <c:pt idx="44">
                  <c:v>20.367047978376853</c:v>
                </c:pt>
                <c:pt idx="45">
                  <c:v>20.374509164823682</c:v>
                </c:pt>
                <c:pt idx="46">
                  <c:v>20.375787069772944</c:v>
                </c:pt>
                <c:pt idx="47">
                  <c:v>20.370924978472029</c:v>
                </c:pt>
                <c:pt idx="48">
                  <c:v>20.359974551687362</c:v>
                </c:pt>
                <c:pt idx="49">
                  <c:v>20.342995653140342</c:v>
                </c:pt>
                <c:pt idx="50">
                  <c:v>20.320056147981958</c:v>
                </c:pt>
                <c:pt idx="51">
                  <c:v>20.291231673670204</c:v>
                </c:pt>
                <c:pt idx="52">
                  <c:v>20.256605384784514</c:v>
                </c:pt>
                <c:pt idx="53">
                  <c:v>20.216267673465619</c:v>
                </c:pt>
                <c:pt idx="54">
                  <c:v>20.170315867305447</c:v>
                </c:pt>
                <c:pt idx="55">
                  <c:v>20.118853906629379</c:v>
                </c:pt>
                <c:pt idx="56">
                  <c:v>20.061992003211341</c:v>
                </c:pt>
                <c:pt idx="57">
                  <c:v>19.999846282539959</c:v>
                </c:pt>
                <c:pt idx="58">
                  <c:v>19.932538411811922</c:v>
                </c:pt>
                <c:pt idx="59">
                  <c:v>19.860195215865716</c:v>
                </c:pt>
                <c:pt idx="60">
                  <c:v>19.782948283286128</c:v>
                </c:pt>
                <c:pt idx="61">
                  <c:v>19.700933564907665</c:v>
                </c:pt>
                <c:pt idx="62">
                  <c:v>19.614290966923662</c:v>
                </c:pt>
                <c:pt idx="63">
                  <c:v>19.523163940769077</c:v>
                </c:pt>
                <c:pt idx="64">
                  <c:v>19.427699071889123</c:v>
                </c:pt>
                <c:pt idx="65">
                  <c:v>19.328045669435085</c:v>
                </c:pt>
                <c:pt idx="66">
                  <c:v>19.22435535884355</c:v>
                </c:pt>
                <c:pt idx="67">
                  <c:v>19.116781679158152</c:v>
                </c:pt>
                <c:pt idx="68">
                  <c:v>19.005479686844751</c:v>
                </c:pt>
                <c:pt idx="69">
                  <c:v>18.890605567733974</c:v>
                </c:pt>
                <c:pt idx="70">
                  <c:v>18.772316258600355</c:v>
                </c:pt>
                <c:pt idx="71">
                  <c:v>18.650769079757069</c:v>
                </c:pt>
                <c:pt idx="72">
                  <c:v>18.526121379910759</c:v>
                </c:pt>
                <c:pt idx="73">
                  <c:v>18.39853019438409</c:v>
                </c:pt>
                <c:pt idx="74">
                  <c:v>18.268151917675414</c:v>
                </c:pt>
                <c:pt idx="75">
                  <c:v>18.135141991187517</c:v>
                </c:pt>
                <c:pt idx="76">
                  <c:v>17.999654606821242</c:v>
                </c:pt>
                <c:pt idx="77">
                  <c:v>17.861842426996819</c:v>
                </c:pt>
                <c:pt idx="78">
                  <c:v>17.721856321536539</c:v>
                </c:pt>
                <c:pt idx="79">
                  <c:v>17.579845121718019</c:v>
                </c:pt>
                <c:pt idx="80">
                  <c:v>17.435955391689184</c:v>
                </c:pt>
                <c:pt idx="81">
                  <c:v>17.29033121732347</c:v>
                </c:pt>
                <c:pt idx="82">
                  <c:v>17.143114012488972</c:v>
                </c:pt>
                <c:pt idx="83">
                  <c:v>16.99444234260762</c:v>
                </c:pt>
                <c:pt idx="84">
                  <c:v>16.844451765289868</c:v>
                </c:pt>
                <c:pt idx="85">
                  <c:v>16.693274687749337</c:v>
                </c:pt>
                <c:pt idx="86">
                  <c:v>16.541040240626817</c:v>
                </c:pt>
                <c:pt idx="87">
                  <c:v>16.387874167787803</c:v>
                </c:pt>
                <c:pt idx="88">
                  <c:v>16.233898731599492</c:v>
                </c:pt>
                <c:pt idx="89">
                  <c:v>16.079232633142951</c:v>
                </c:pt>
                <c:pt idx="90">
                  <c:v>15.92399094677368</c:v>
                </c:pt>
                <c:pt idx="91">
                  <c:v>15.76828506840852</c:v>
                </c:pt>
                <c:pt idx="92">
                  <c:v>15.612222676888541</c:v>
                </c:pt>
                <c:pt idx="93">
                  <c:v>15.455907707745723</c:v>
                </c:pt>
                <c:pt idx="94">
                  <c:v>15.299440338685955</c:v>
                </c:pt>
                <c:pt idx="95">
                  <c:v>15.142916986091043</c:v>
                </c:pt>
                <c:pt idx="96">
                  <c:v>14.98643031183779</c:v>
                </c:pt>
                <c:pt idx="97">
                  <c:v>14.830069239733188</c:v>
                </c:pt>
                <c:pt idx="98">
                  <c:v>14.673918980869114</c:v>
                </c:pt>
                <c:pt idx="99">
                  <c:v>14.518061067209187</c:v>
                </c:pt>
                <c:pt idx="100">
                  <c:v>14.362573392732733</c:v>
                </c:pt>
                <c:pt idx="101">
                  <c:v>14.207530261476185</c:v>
                </c:pt>
                <c:pt idx="102">
                  <c:v>14.053002441830833</c:v>
                </c:pt>
                <c:pt idx="103">
                  <c:v>13.899057226475826</c:v>
                </c:pt>
                <c:pt idx="104">
                  <c:v>13.745758497348367</c:v>
                </c:pt>
                <c:pt idx="105">
                  <c:v>13.59316679507644</c:v>
                </c:pt>
                <c:pt idx="106">
                  <c:v>13.44133939232519</c:v>
                </c:pt>
                <c:pt idx="107">
                  <c:v>13.290330370533923</c:v>
                </c:pt>
                <c:pt idx="108">
                  <c:v>13.140190699547565</c:v>
                </c:pt>
                <c:pt idx="109">
                  <c:v>12.990968319673877</c:v>
                </c:pt>
                <c:pt idx="110">
                  <c:v>12.842708225724817</c:v>
                </c:pt>
                <c:pt idx="111">
                  <c:v>12.695452552628076</c:v>
                </c:pt>
                <c:pt idx="112">
                  <c:v>12.54924066222177</c:v>
                </c:pt>
                <c:pt idx="113">
                  <c:v>12.404109230872153</c:v>
                </c:pt>
                <c:pt idx="114">
                  <c:v>12.260092337580367</c:v>
                </c:pt>
                <c:pt idx="115">
                  <c:v>12.117221552269871</c:v>
                </c:pt>
                <c:pt idx="116">
                  <c:v>11.975526023971051</c:v>
                </c:pt>
                <c:pt idx="117">
                  <c:v>11.835032568643435</c:v>
                </c:pt>
                <c:pt idx="118">
                  <c:v>11.695765756399108</c:v>
                </c:pt>
                <c:pt idx="119">
                  <c:v>11.557747997913125</c:v>
                </c:pt>
                <c:pt idx="120">
                  <c:v>11.4209996298276</c:v>
                </c:pt>
                <c:pt idx="121">
                  <c:v>11.285538998976726</c:v>
                </c:pt>
                <c:pt idx="122">
                  <c:v>11.151382545278553</c:v>
                </c:pt>
                <c:pt idx="123">
                  <c:v>11.018544883157793</c:v>
                </c:pt>
                <c:pt idx="124">
                  <c:v>10.887038881380658</c:v>
                </c:pt>
                <c:pt idx="125">
                  <c:v>10.756875741198778</c:v>
                </c:pt>
                <c:pt idx="126">
                  <c:v>10.628065072714193</c:v>
                </c:pt>
                <c:pt idx="127">
                  <c:v>10.500614969391103</c:v>
                </c:pt>
                <c:pt idx="128">
                  <c:v>10.374532080653443</c:v>
                </c:pt>
                <c:pt idx="129">
                  <c:v>10.249821682518716</c:v>
                </c:pt>
                <c:pt idx="130">
                  <c:v>10.126487746230175</c:v>
                </c:pt>
                <c:pt idx="131">
                  <c:v>10.004533004859244</c:v>
                </c:pt>
                <c:pt idx="132">
                  <c:v>9.8839590178595014</c:v>
                </c:pt>
                <c:pt idx="133">
                  <c:v>9.7647662335621206</c:v>
                </c:pt>
                <c:pt idx="134">
                  <c:v>9.6469540496104109</c:v>
                </c:pt>
                <c:pt idx="135">
                  <c:v>9.5305208713380356</c:v>
                </c:pt>
                <c:pt idx="136">
                  <c:v>9.4154641681019662</c:v>
                </c:pt>
                <c:pt idx="137">
                  <c:v>9.301780527586784</c:v>
                </c:pt>
                <c:pt idx="138">
                  <c:v>9.1894657081021052</c:v>
                </c:pt>
                <c:pt idx="139">
                  <c:v>9.0785146888993857</c:v>
                </c:pt>
                <c:pt idx="140">
                  <c:v>8.9689217185383256</c:v>
                </c:pt>
                <c:pt idx="141">
                  <c:v>8.8606803613365379</c:v>
                </c:pt>
                <c:pt idx="142">
                  <c:v>8.7537835419392476</c:v>
                </c:pt>
                <c:pt idx="143">
                  <c:v>8.6482235880482747</c:v>
                </c:pt>
                <c:pt idx="144">
                  <c:v>8.5439922713517067</c:v>
                </c:pt>
                <c:pt idx="145">
                  <c:v>8.441080846697659</c:v>
                </c:pt>
                <c:pt idx="146">
                  <c:v>8.3394800895568473</c:v>
                </c:pt>
                <c:pt idx="147">
                  <c:v>8.2391803318198722</c:v>
                </c:pt>
                <c:pt idx="148">
                  <c:v>8.1401714959760731</c:v>
                </c:pt>
                <c:pt idx="149">
                  <c:v>8.0424431277215369</c:v>
                </c:pt>
                <c:pt idx="150">
                  <c:v>7.9459844270439284</c:v>
                </c:pt>
                <c:pt idx="151">
                  <c:v>7.8507842778324628</c:v>
                </c:pt>
                <c:pt idx="152">
                  <c:v>7.7568312760609546</c:v>
                </c:pt>
                <c:pt idx="153">
                  <c:v>7.6641137565919424</c:v>
                </c:pt>
                <c:pt idx="154">
                  <c:v>7.5726198186494846</c:v>
                </c:pt>
                <c:pt idx="155">
                  <c:v>7.4823373500078585</c:v>
                </c:pt>
                <c:pt idx="156">
                  <c:v>7.3932540499427013</c:v>
                </c:pt>
                <c:pt idx="157">
                  <c:v>7.3053574509906678</c:v>
                </c:pt>
                <c:pt idx="158">
                  <c:v>7.2186349395626204</c:v>
                </c:pt>
                <c:pt idx="159">
                  <c:v>7.1330737754549487</c:v>
                </c:pt>
                <c:pt idx="160">
                  <c:v>7.0486611103022616</c:v>
                </c:pt>
                <c:pt idx="161">
                  <c:v>6.9653840050141396</c:v>
                </c:pt>
                <c:pt idx="162">
                  <c:v>6.8832294462373209</c:v>
                </c:pt>
                <c:pt idx="163">
                  <c:v>6.8021843618839046</c:v>
                </c:pt>
                <c:pt idx="164">
                  <c:v>6.7222356357648634</c:v>
                </c:pt>
                <c:pt idx="165">
                  <c:v>6.6433701213672665</c:v>
                </c:pt>
                <c:pt idx="166">
                  <c:v>6.5655746548123117</c:v>
                </c:pt>
                <c:pt idx="167">
                  <c:v>6.4888360670303724</c:v>
                </c:pt>
                <c:pt idx="168">
                  <c:v>6.4131411951878583</c:v>
                </c:pt>
                <c:pt idx="169">
                  <c:v>6.338476893399859</c:v>
                </c:pt>
                <c:pt idx="170">
                  <c:v>6.2648300427611714</c:v>
                </c:pt>
                <c:pt idx="171">
                  <c:v>6.1921875607273416</c:v>
                </c:pt>
                <c:pt idx="172">
                  <c:v>6.1205364098762596</c:v>
                </c:pt>
                <c:pt idx="173">
                  <c:v>6.0498636060795716</c:v>
                </c:pt>
                <c:pt idx="174">
                  <c:v>5.980156226112368</c:v>
                </c:pt>
                <c:pt idx="175">
                  <c:v>5.9114014147283394</c:v>
                </c:pt>
                <c:pt idx="176">
                  <c:v>5.8435863912266015</c:v>
                </c:pt>
                <c:pt idx="177">
                  <c:v>5.7766984555354979</c:v>
                </c:pt>
                <c:pt idx="178">
                  <c:v>5.710724993837462</c:v>
                </c:pt>
                <c:pt idx="179">
                  <c:v>5.6456534837583403</c:v>
                </c:pt>
                <c:pt idx="180">
                  <c:v>5.5814714991433227</c:v>
                </c:pt>
                <c:pt idx="181">
                  <c:v>5.5181667144409978</c:v>
                </c:pt>
                <c:pt idx="182">
                  <c:v>5.4557269087159259</c:v>
                </c:pt>
                <c:pt idx="183">
                  <c:v>5.3941399693094016</c:v>
                </c:pt>
                <c:pt idx="184">
                  <c:v>5.333393895167184</c:v>
                </c:pt>
                <c:pt idx="185">
                  <c:v>5.2734767998521495</c:v>
                </c:pt>
                <c:pt idx="186">
                  <c:v>5.2143769142590362</c:v>
                </c:pt>
                <c:pt idx="187">
                  <c:v>5.1560825890477133</c:v>
                </c:pt>
                <c:pt idx="188">
                  <c:v>5.0985822968106547</c:v>
                </c:pt>
                <c:pt idx="189">
                  <c:v>5.0418646339895705</c:v>
                </c:pt>
                <c:pt idx="190">
                  <c:v>4.9859183225554791</c:v>
                </c:pt>
                <c:pt idx="191">
                  <c:v>4.930732211465898</c:v>
                </c:pt>
                <c:pt idx="192">
                  <c:v>4.8762952779120416</c:v>
                </c:pt>
                <c:pt idx="193">
                  <c:v>4.822596628368518</c:v>
                </c:pt>
                <c:pt idx="194">
                  <c:v>4.76962549945722</c:v>
                </c:pt>
                <c:pt idx="195">
                  <c:v>4.7173712586367023</c:v>
                </c:pt>
                <c:pt idx="196">
                  <c:v>4.6658234047277007</c:v>
                </c:pt>
                <c:pt idx="197">
                  <c:v>4.6149715682849575</c:v>
                </c:pt>
                <c:pt idx="198">
                  <c:v>4.5648055118250372</c:v>
                </c:pt>
                <c:pt idx="199">
                  <c:v>4.5153151299193217</c:v>
                </c:pt>
                <c:pt idx="200">
                  <c:v>4.4664904491608466</c:v>
                </c:pt>
                <c:pt idx="201">
                  <c:v>4.4183216280134028</c:v>
                </c:pt>
                <c:pt idx="202">
                  <c:v>4.3707989565506606</c:v>
                </c:pt>
                <c:pt idx="203">
                  <c:v>4.3239128560928179</c:v>
                </c:pt>
                <c:pt idx="204">
                  <c:v>4.2776538787478868</c:v>
                </c:pt>
                <c:pt idx="205">
                  <c:v>4.2320127068643405</c:v>
                </c:pt>
                <c:pt idx="206">
                  <c:v>4.1869801524013877</c:v>
                </c:pt>
                <c:pt idx="207">
                  <c:v>4.1425471562231095</c:v>
                </c:pt>
                <c:pt idx="208">
                  <c:v>4.0987047873219344</c:v>
                </c:pt>
                <c:pt idx="209">
                  <c:v>4.0554442419770602</c:v>
                </c:pt>
                <c:pt idx="210">
                  <c:v>4.0127568428528191</c:v>
                </c:pt>
                <c:pt idx="211">
                  <c:v>3.9706340380419016</c:v>
                </c:pt>
                <c:pt idx="212">
                  <c:v>3.9290674000579306</c:v>
                </c:pt>
                <c:pt idx="213">
                  <c:v>3.8880486247818093</c:v>
                </c:pt>
                <c:pt idx="214">
                  <c:v>3.8475695303658517</c:v>
                </c:pt>
                <c:pt idx="215">
                  <c:v>3.8076220560995817</c:v>
                </c:pt>
                <c:pt idx="216">
                  <c:v>3.7681982612408382</c:v>
                </c:pt>
                <c:pt idx="217">
                  <c:v>3.7292903238156048</c:v>
                </c:pt>
                <c:pt idx="218">
                  <c:v>3.6908905393897955</c:v>
                </c:pt>
                <c:pt idx="219">
                  <c:v>3.6529913198160702</c:v>
                </c:pt>
                <c:pt idx="220">
                  <c:v>3.61558519195852</c:v>
                </c:pt>
                <c:pt idx="221">
                  <c:v>3.5786647963978986</c:v>
                </c:pt>
                <c:pt idx="222">
                  <c:v>3.5422228861200074</c:v>
                </c:pt>
                <c:pt idx="223">
                  <c:v>3.5062523251895521</c:v>
                </c:pt>
                <c:pt idx="224">
                  <c:v>3.4707460874117237</c:v>
                </c:pt>
                <c:pt idx="225">
                  <c:v>3.4356972549836473</c:v>
                </c:pt>
                <c:pt idx="226">
                  <c:v>3.4010990171375872</c:v>
                </c:pt>
                <c:pt idx="227">
                  <c:v>3.3669446687778399</c:v>
                </c:pt>
                <c:pt idx="228">
                  <c:v>3.3332276091129884</c:v>
                </c:pt>
                <c:pt idx="229">
                  <c:v>3.2999413402851614</c:v>
                </c:pt>
                <c:pt idx="230">
                  <c:v>3.2670794659977802</c:v>
                </c:pt>
                <c:pt idx="231">
                  <c:v>3.2346356901432252</c:v>
                </c:pt>
                <c:pt idx="232">
                  <c:v>3.2026038154317495</c:v>
                </c:pt>
                <c:pt idx="233">
                  <c:v>3.1709777420228193</c:v>
                </c:pt>
                <c:pt idx="234">
                  <c:v>3.1397514661600838</c:v>
                </c:pt>
                <c:pt idx="235">
                  <c:v>3.1089190788109726</c:v>
                </c:pt>
              </c:numCache>
            </c:numRef>
          </c:yVal>
          <c:smooth val="0"/>
          <c:extLst>
            <c:ext xmlns:c16="http://schemas.microsoft.com/office/drawing/2014/chart" uri="{C3380CC4-5D6E-409C-BE32-E72D297353CC}">
              <c16:uniqueId val="{00000001-BCA4-4740-92C8-0BA0AF157C7D}"/>
            </c:ext>
          </c:extLst>
        </c:ser>
        <c:ser>
          <c:idx val="2"/>
          <c:order val="2"/>
          <c:tx>
            <c:v>CL^0.5/CD</c:v>
          </c:tx>
          <c:spPr>
            <a:ln w="19050" cap="rnd">
              <a:solidFill>
                <a:srgbClr val="4EA72E"/>
              </a:solidFill>
              <a:prstDash val="solid"/>
              <a:round/>
            </a:ln>
            <a:effectLst/>
          </c:spPr>
          <c:marker>
            <c:symbol val="none"/>
          </c:marker>
          <c:xVal>
            <c:numRef>
              <c:f>'FE-Performance Analysis'!$A$27:$A$262</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'FE-Performance Analysis'!$O$27:$O$262</c:f>
              <c:numCache>
                <c:formatCode>0.00</c:formatCode>
                <c:ptCount val="236"/>
                <c:pt idx="0">
                  <c:v>5.2832796809138411</c:v>
                </c:pt>
                <c:pt idx="1">
                  <c:v>5.5264846380372195</c:v>
                </c:pt>
                <c:pt idx="2">
                  <c:v>5.7762810644195133</c:v>
                </c:pt>
                <c:pt idx="3">
                  <c:v>6.0326585019054715</c:v>
                </c:pt>
                <c:pt idx="4">
                  <c:v>6.2955972407721132</c:v>
                </c:pt>
                <c:pt idx="5">
                  <c:v>6.5650680139863455</c:v>
                </c:pt>
                <c:pt idx="6">
                  <c:v>6.8410317059290042</c:v>
                </c:pt>
                <c:pt idx="7">
                  <c:v>7.1234390777885492</c:v>
                </c:pt>
                <c:pt idx="8">
                  <c:v>7.4122305118667384</c:v>
                </c:pt>
                <c:pt idx="9">
                  <c:v>7.7073357770623669</c:v>
                </c:pt>
                <c:pt idx="10">
                  <c:v>8.0086738178069865</c:v>
                </c:pt>
                <c:pt idx="11">
                  <c:v>8.3161525687165661</c:v>
                </c:pt>
                <c:pt idx="12">
                  <c:v>8.6296687971939736</c:v>
                </c:pt>
                <c:pt idx="13">
                  <c:v>8.9491079761680972</c:v>
                </c:pt>
                <c:pt idx="14">
                  <c:v>9.2743441890856264</c:v>
                </c:pt>
                <c:pt idx="15">
                  <c:v>9.6052400691794944</c:v>
                </c:pt>
                <c:pt idx="16">
                  <c:v>9.9416467749236865</c:v>
                </c:pt>
                <c:pt idx="17">
                  <c:v>10.283404003447719</c:v>
                </c:pt>
                <c:pt idx="18">
                  <c:v>10.63034004352393</c:v>
                </c:pt>
                <c:pt idx="19">
                  <c:v>10.982271869559181</c:v>
                </c:pt>
                <c:pt idx="20">
                  <c:v>11.339005277818366</c:v>
                </c:pt>
                <c:pt idx="21">
                  <c:v>11.700335065882246</c:v>
                </c:pt>
                <c:pt idx="22">
                  <c:v>12.066045256097119</c:v>
                </c:pt>
                <c:pt idx="23">
                  <c:v>12.435909363510911</c:v>
                </c:pt>
                <c:pt idx="24">
                  <c:v>12.809690708510567</c:v>
                </c:pt>
                <c:pt idx="25">
                  <c:v>13.187142774081636</c:v>
                </c:pt>
                <c:pt idx="26">
                  <c:v>13.568009607305694</c:v>
                </c:pt>
                <c:pt idx="27">
                  <c:v>13.952026264396368</c:v>
                </c:pt>
                <c:pt idx="28">
                  <c:v>14.338919298254522</c:v>
                </c:pt>
                <c:pt idx="29">
                  <c:v>14.728407287199891</c:v>
                </c:pt>
                <c:pt idx="30">
                  <c:v>15.120201403214356</c:v>
                </c:pt>
                <c:pt idx="31">
                  <c:v>15.514006017713893</c:v>
                </c:pt>
                <c:pt idx="32">
                  <c:v>15.90951934255671</c:v>
                </c:pt>
                <c:pt idx="33">
                  <c:v>16.306434103696787</c:v>
                </c:pt>
                <c:pt idx="34">
                  <c:v>16.704438244609239</c:v>
                </c:pt>
                <c:pt idx="35">
                  <c:v>17.103215656350656</c:v>
                </c:pt>
                <c:pt idx="36">
                  <c:v>17.502446930875593</c:v>
                </c:pt>
                <c:pt idx="37">
                  <c:v>17.901810134015026</c:v>
                </c:pt>
                <c:pt idx="38">
                  <c:v>18.300981594335273</c:v>
                </c:pt>
                <c:pt idx="39">
                  <c:v>18.699636703939149</c:v>
                </c:pt>
                <c:pt idx="40">
                  <c:v>19.097450727148768</c:v>
                </c:pt>
                <c:pt idx="41">
                  <c:v>19.494099612920913</c:v>
                </c:pt>
                <c:pt idx="42">
                  <c:v>19.889260806794649</c:v>
                </c:pt>
                <c:pt idx="43">
                  <c:v>20.282614058156497</c:v>
                </c:pt>
                <c:pt idx="44">
                  <c:v>20.673842218631584</c:v>
                </c:pt>
                <c:pt idx="45">
                  <c:v>21.062632027470112</c:v>
                </c:pt>
                <c:pt idx="46">
                  <c:v>21.448674879895723</c:v>
                </c:pt>
                <c:pt idx="47">
                  <c:v>21.831667574515368</c:v>
                </c:pt>
                <c:pt idx="48">
                  <c:v>22.211313036057472</c:v>
                </c:pt>
                <c:pt idx="49">
                  <c:v>22.587321009903523</c:v>
                </c:pt>
                <c:pt idx="50">
                  <c:v>22.959408725106496</c:v>
                </c:pt>
                <c:pt idx="51">
                  <c:v>23.327301522844401</c:v>
                </c:pt>
                <c:pt idx="52">
                  <c:v>23.690733447534218</c:v>
                </c:pt>
                <c:pt idx="53">
                  <c:v>24.049447798129847</c:v>
                </c:pt>
                <c:pt idx="54">
                  <c:v>24.403197637441142</c:v>
                </c:pt>
                <c:pt idx="55">
                  <c:v>24.751746257637244</c:v>
                </c:pt>
                <c:pt idx="56">
                  <c:v>25.09486760043222</c:v>
                </c:pt>
                <c:pt idx="57">
                  <c:v>25.432346630790583</c:v>
                </c:pt>
                <c:pt idx="58">
                  <c:v>25.763979663330424</c:v>
                </c:pt>
                <c:pt idx="59">
                  <c:v>26.089574640939585</c:v>
                </c:pt>
                <c:pt idx="60">
                  <c:v>26.408951365451781</c:v>
                </c:pt>
                <c:pt idx="61">
                  <c:v>26.721941680550827</c:v>
                </c:pt>
                <c:pt idx="62">
                  <c:v>27.028389607380845</c:v>
                </c:pt>
                <c:pt idx="63">
                  <c:v>27.328151433633519</c:v>
                </c:pt>
                <c:pt idx="64">
                  <c:v>27.62109575715953</c:v>
                </c:pt>
                <c:pt idx="65">
                  <c:v>27.907103485407305</c:v>
                </c:pt>
                <c:pt idx="66">
                  <c:v>28.186067792226517</c:v>
                </c:pt>
                <c:pt idx="67">
                  <c:v>28.457894033784832</c:v>
                </c:pt>
                <c:pt idx="68">
                  <c:v>28.722499625533882</c:v>
                </c:pt>
                <c:pt idx="69">
                  <c:v>28.979813882322876</c:v>
                </c:pt>
                <c:pt idx="70">
                  <c:v>29.229777823895837</c:v>
                </c:pt>
                <c:pt idx="71">
                  <c:v>29.47234394812066</c:v>
                </c:pt>
                <c:pt idx="72">
                  <c:v>29.707475974386568</c:v>
                </c:pt>
                <c:pt idx="73">
                  <c:v>29.935148559669795</c:v>
                </c:pt>
                <c:pt idx="74">
                  <c:v>30.155346989807967</c:v>
                </c:pt>
                <c:pt idx="75">
                  <c:v>30.368066848542156</c:v>
                </c:pt>
                <c:pt idx="76">
                  <c:v>30.573313666882708</c:v>
                </c:pt>
                <c:pt idx="77">
                  <c:v>30.771102555332885</c:v>
                </c:pt>
                <c:pt idx="78">
                  <c:v>30.961457821464506</c:v>
                </c:pt>
                <c:pt idx="79">
                  <c:v>31.14441257528302</c:v>
                </c:pt>
                <c:pt idx="80">
                  <c:v>31.320008324748308</c:v>
                </c:pt>
                <c:pt idx="81">
                  <c:v>31.488294563733913</c:v>
                </c:pt>
                <c:pt idx="82">
                  <c:v>31.649328354611583</c:v>
                </c:pt>
                <c:pt idx="83">
                  <c:v>31.803173907543499</c:v>
                </c:pt>
                <c:pt idx="84">
                  <c:v>31.949902158452275</c:v>
                </c:pt>
                <c:pt idx="85">
                  <c:v>32.089590347519476</c:v>
                </c:pt>
                <c:pt idx="86">
                  <c:v>32.222321599940614</c:v>
                </c:pt>
                <c:pt idx="87">
                  <c:v>32.348184510537727</c:v>
                </c:pt>
                <c:pt idx="88">
                  <c:v>32.467272733702217</c:v>
                </c:pt>
                <c:pt idx="89">
                  <c:v>32.579684580012021</c:v>
                </c:pt>
                <c:pt idx="90">
                  <c:v>32.685522620738716</c:v>
                </c:pt>
                <c:pt idx="91">
                  <c:v>32.784893301333504</c:v>
                </c:pt>
                <c:pt idx="92">
                  <c:v>32.877906564857021</c:v>
                </c:pt>
                <c:pt idx="93">
                  <c:v>32.964675486197464</c:v>
                </c:pt>
                <c:pt idx="94">
                  <c:v>33.045315917804707</c:v>
                </c:pt>
                <c:pt idx="95">
                  <c:v>33.119946147556227</c:v>
                </c:pt>
                <c:pt idx="96">
                  <c:v>33.188686569264327</c:v>
                </c:pt>
                <c:pt idx="97">
                  <c:v>33.251659366232438</c:v>
                </c:pt>
                <c:pt idx="98">
                  <c:v>33.308988208173538</c:v>
                </c:pt>
                <c:pt idx="99">
                  <c:v>33.360797961714084</c:v>
                </c:pt>
                <c:pt idx="100">
                  <c:v>33.407214414624207</c:v>
                </c:pt>
                <c:pt idx="101">
                  <c:v>33.448364013837661</c:v>
                </c:pt>
                <c:pt idx="102">
                  <c:v>33.484373617254995</c:v>
                </c:pt>
                <c:pt idx="103">
                  <c:v>33.515370259258532</c:v>
                </c:pt>
                <c:pt idx="104">
                  <c:v>33.541480929809858</c:v>
                </c:pt>
                <c:pt idx="105">
                  <c:v>33.562832366947838</c:v>
                </c:pt>
                <c:pt idx="106">
                  <c:v>33.579550862458525</c:v>
                </c:pt>
                <c:pt idx="107">
                  <c:v>33.59176208044736</c:v>
                </c:pt>
                <c:pt idx="108">
                  <c:v>33.599590888507606</c:v>
                </c:pt>
                <c:pt idx="109">
                  <c:v>33.603161201148581</c:v>
                </c:pt>
                <c:pt idx="110">
                  <c:v>33.602595835120482</c:v>
                </c:pt>
                <c:pt idx="111">
                  <c:v>33.598016376250953</c:v>
                </c:pt>
                <c:pt idx="112">
                  <c:v>33.589543057390721</c:v>
                </c:pt>
                <c:pt idx="113">
                  <c:v>33.577294647051737</c:v>
                </c:pt>
                <c:pt idx="114">
                  <c:v>33.561388348310764</c:v>
                </c:pt>
                <c:pt idx="115">
                  <c:v>33.541939707544238</c:v>
                </c:pt>
                <c:pt idx="116">
                  <c:v>33.519062532555985</c:v>
                </c:pt>
                <c:pt idx="117">
                  <c:v>33.492868819657794</c:v>
                </c:pt>
                <c:pt idx="118">
                  <c:v>33.463468689263749</c:v>
                </c:pt>
                <c:pt idx="119">
                  <c:v>33.43097032956225</c:v>
                </c:pt>
                <c:pt idx="120">
                  <c:v>33.395479947834552</c:v>
                </c:pt>
                <c:pt idx="121">
                  <c:v>33.357101728995147</c:v>
                </c:pt>
                <c:pt idx="122">
                  <c:v>33.315937800937796</c:v>
                </c:pt>
                <c:pt idx="123">
                  <c:v>33.272088206279783</c:v>
                </c:pt>
                <c:pt idx="124">
                  <c:v>33.225650880107928</c:v>
                </c:pt>
                <c:pt idx="125">
                  <c:v>33.176721633340946</c:v>
                </c:pt>
                <c:pt idx="126">
                  <c:v>33.125394141334844</c:v>
                </c:pt>
                <c:pt idx="127">
                  <c:v>33.071759937370764</c:v>
                </c:pt>
                <c:pt idx="128">
                  <c:v>33.015908410677874</c:v>
                </c:pt>
                <c:pt idx="129">
                  <c:v>32.95792680865712</c:v>
                </c:pt>
                <c:pt idx="130">
                  <c:v>32.897900242985727</c:v>
                </c:pt>
                <c:pt idx="131">
                  <c:v>32.835911699295735</c:v>
                </c:pt>
                <c:pt idx="132">
                  <c:v>32.772042050134083</c:v>
                </c:pt>
                <c:pt idx="133">
                  <c:v>32.706370070925232</c:v>
                </c:pt>
                <c:pt idx="134">
                  <c:v>32.63897245867124</c:v>
                </c:pt>
                <c:pt idx="135">
                  <c:v>32.56992385313761</c:v>
                </c:pt>
                <c:pt idx="136">
                  <c:v>32.499296860286577</c:v>
                </c:pt>
                <c:pt idx="137">
                  <c:v>32.427162077732405</c:v>
                </c:pt>
                <c:pt idx="138">
                  <c:v>32.353588122006137</c:v>
                </c:pt>
                <c:pt idx="139">
                  <c:v>32.278641657429468</c:v>
                </c:pt>
                <c:pt idx="140">
                  <c:v>32.20238742640943</c:v>
                </c:pt>
                <c:pt idx="141">
                  <c:v>32.124888280977252</c:v>
                </c:pt>
                <c:pt idx="142">
                  <c:v>32.04620521540587</c:v>
                </c:pt>
                <c:pt idx="143">
                  <c:v>31.966397399751372</c:v>
                </c:pt>
                <c:pt idx="144">
                  <c:v>31.885522214173974</c:v>
                </c:pt>
                <c:pt idx="145">
                  <c:v>31.803635283904114</c:v>
                </c:pt>
                <c:pt idx="146">
                  <c:v>31.720790514728812</c:v>
                </c:pt>
                <c:pt idx="147">
                  <c:v>31.637040128882123</c:v>
                </c:pt>
                <c:pt idx="148">
                  <c:v>31.552434701232631</c:v>
                </c:pt>
                <c:pt idx="149">
                  <c:v>31.467023195668915</c:v>
                </c:pt>
                <c:pt idx="150">
                  <c:v>31.380853001591472</c:v>
                </c:pt>
                <c:pt idx="151">
                  <c:v>31.29396997042744</c:v>
                </c:pt>
                <c:pt idx="152">
                  <c:v>31.206418452091132</c:v>
                </c:pt>
                <c:pt idx="153">
                  <c:v>31.118241331319918</c:v>
                </c:pt>
                <c:pt idx="154">
                  <c:v>31.029480063821545</c:v>
                </c:pt>
                <c:pt idx="155">
                  <c:v>30.94017471217451</c:v>
                </c:pt>
                <c:pt idx="156">
                  <c:v>30.850363981428782</c:v>
                </c:pt>
                <c:pt idx="157">
                  <c:v>30.760085254359428</c:v>
                </c:pt>
                <c:pt idx="158">
                  <c:v>30.669374626330093</c:v>
                </c:pt>
                <c:pt idx="159">
                  <c:v>30.578266939728604</c:v>
                </c:pt>
                <c:pt idx="160">
                  <c:v>30.486795817940315</c:v>
                </c:pt>
                <c:pt idx="161">
                  <c:v>30.394993698829545</c:v>
                </c:pt>
                <c:pt idx="162">
                  <c:v>30.302891867702524</c:v>
                </c:pt>
                <c:pt idx="163">
                  <c:v>30.21052048972928</c:v>
                </c:pt>
                <c:pt idx="164">
                  <c:v>30.117908641804402</c:v>
                </c:pt>
                <c:pt idx="165">
                  <c:v>30.025084343830294</c:v>
                </c:pt>
                <c:pt idx="166">
                  <c:v>29.932074589408707</c:v>
                </c:pt>
                <c:pt idx="167">
                  <c:v>29.838905375929123</c:v>
                </c:pt>
                <c:pt idx="168">
                  <c:v>29.74560173404485</c:v>
                </c:pt>
                <c:pt idx="169">
                  <c:v>29.65218775652982</c:v>
                </c:pt>
                <c:pt idx="170">
                  <c:v>29.558686626511051</c:v>
                </c:pt>
                <c:pt idx="171">
                  <c:v>29.46512064507354</c:v>
                </c:pt>
                <c:pt idx="172">
                  <c:v>29.371511258236048</c:v>
                </c:pt>
                <c:pt idx="173">
                  <c:v>29.277879083297634</c:v>
                </c:pt>
                <c:pt idx="174">
                  <c:v>29.18424393455636</c:v>
                </c:pt>
                <c:pt idx="175">
                  <c:v>29.090624848402619</c:v>
                </c:pt>
                <c:pt idx="176">
                  <c:v>28.997040107790788</c:v>
                </c:pt>
                <c:pt idx="177">
                  <c:v>28.903507266093975</c:v>
                </c:pt>
                <c:pt idx="178">
                  <c:v>28.810043170347416</c:v>
                </c:pt>
                <c:pt idx="179">
                  <c:v>28.716663983886924</c:v>
                </c:pt>
                <c:pt idx="180">
                  <c:v>28.623385208389656</c:v>
                </c:pt>
                <c:pt idx="181">
                  <c:v>28.530221705324905</c:v>
                </c:pt>
                <c:pt idx="182">
                  <c:v>28.437187716823367</c:v>
                </c:pt>
                <c:pt idx="183">
                  <c:v>28.344296885973716</c:v>
                </c:pt>
                <c:pt idx="184">
                  <c:v>28.251562276555823</c:v>
                </c:pt>
                <c:pt idx="185">
                  <c:v>28.158996392220299</c:v>
                </c:pt>
                <c:pt idx="186">
                  <c:v>28.066611195124345</c:v>
                </c:pt>
                <c:pt idx="187">
                  <c:v>27.97441812403418</c:v>
                </c:pt>
                <c:pt idx="188">
                  <c:v>27.882428111904481</c:v>
                </c:pt>
                <c:pt idx="189">
                  <c:v>27.790651602945623</c:v>
                </c:pt>
                <c:pt idx="190">
                  <c:v>27.699098569189232</c:v>
                </c:pt>
                <c:pt idx="191">
                  <c:v>27.607778526563276</c:v>
                </c:pt>
                <c:pt idx="192">
                  <c:v>27.516700550487254</c:v>
                </c:pt>
                <c:pt idx="193">
                  <c:v>27.425873290998801</c:v>
                </c:pt>
                <c:pt idx="194">
                  <c:v>27.335304987422397</c:v>
                </c:pt>
                <c:pt idx="195">
                  <c:v>27.245003482591283</c:v>
                </c:pt>
                <c:pt idx="196">
                  <c:v>27.154976236633502</c:v>
                </c:pt>
                <c:pt idx="197">
                  <c:v>27.065230340332743</c:v>
                </c:pt>
                <c:pt idx="198">
                  <c:v>26.97577252807497</c:v>
                </c:pt>
                <c:pt idx="199">
                  <c:v>26.886609190391312</c:v>
                </c:pt>
                <c:pt idx="200">
                  <c:v>26.797746386107786</c:v>
                </c:pt>
                <c:pt idx="201">
                  <c:v>26.709189854112388</c:v>
                </c:pt>
                <c:pt idx="202">
                  <c:v>26.620945024749666</c:v>
                </c:pt>
                <c:pt idx="203">
                  <c:v>26.533017030852996</c:v>
                </c:pt>
                <c:pt idx="204">
                  <c:v>26.445410718424473</c:v>
                </c:pt>
                <c:pt idx="205">
                  <c:v>26.358130656972357</c:v>
                </c:pt>
                <c:pt idx="206">
                  <c:v>26.271181149515396</c:v>
                </c:pt>
                <c:pt idx="207">
                  <c:v>26.184566242263919</c:v>
                </c:pt>
                <c:pt idx="208">
                  <c:v>26.098289733986526</c:v>
                </c:pt>
                <c:pt idx="209">
                  <c:v>26.012355185071812</c:v>
                </c:pt>
                <c:pt idx="210">
                  <c:v>25.926765926293754</c:v>
                </c:pt>
                <c:pt idx="211">
                  <c:v>25.841525067289737</c:v>
                </c:pt>
                <c:pt idx="212">
                  <c:v>25.756635504759419</c:v>
                </c:pt>
                <c:pt idx="213">
                  <c:v>25.672099930393042</c:v>
                </c:pt>
                <c:pt idx="214">
                  <c:v>25.587920838537169</c:v>
                </c:pt>
                <c:pt idx="215">
                  <c:v>25.504100533605804</c:v>
                </c:pt>
                <c:pt idx="216">
                  <c:v>25.420641137244665</c:v>
                </c:pt>
                <c:pt idx="217">
                  <c:v>25.337544595256105</c:v>
                </c:pt>
                <c:pt idx="218">
                  <c:v>25.254812684292133</c:v>
                </c:pt>
                <c:pt idx="219">
                  <c:v>25.172447018322615</c:v>
                </c:pt>
                <c:pt idx="220">
                  <c:v>25.090449054885731</c:v>
                </c:pt>
                <c:pt idx="221">
                  <c:v>25.008820101127341</c:v>
                </c:pt>
                <c:pt idx="222">
                  <c:v>24.927561319636098</c:v>
                </c:pt>
                <c:pt idx="223">
                  <c:v>24.846673734080543</c:v>
                </c:pt>
                <c:pt idx="224">
                  <c:v>24.766158234654547</c:v>
                </c:pt>
                <c:pt idx="225">
                  <c:v>24.686015583337173</c:v>
                </c:pt>
                <c:pt idx="226">
                  <c:v>24.606246418972862</c:v>
                </c:pt>
                <c:pt idx="227">
                  <c:v>24.526851262177701</c:v>
                </c:pt>
                <c:pt idx="228">
                  <c:v>24.447830520077328</c:v>
                </c:pt>
                <c:pt idx="229">
                  <c:v>24.369184490882013</c:v>
                </c:pt>
                <c:pt idx="230">
                  <c:v>24.290913368303951</c:v>
                </c:pt>
                <c:pt idx="231">
                  <c:v>24.213017245822119</c:v>
                </c:pt>
                <c:pt idx="232">
                  <c:v>24.135496120799516</c:v>
                </c:pt>
                <c:pt idx="233">
                  <c:v>24.058349898457628</c:v>
                </c:pt>
                <c:pt idx="234">
                  <c:v>23.981578395712805</c:v>
                </c:pt>
                <c:pt idx="235">
                  <c:v>23.905181344879043</c:v>
                </c:pt>
              </c:numCache>
            </c:numRef>
          </c:yVal>
          <c:smooth val="0"/>
          <c:extLst>
            <c:ext xmlns:c16="http://schemas.microsoft.com/office/drawing/2014/chart" uri="{C3380CC4-5D6E-409C-BE32-E72D297353CC}">
              <c16:uniqueId val="{00000002-BCA4-4740-92C8-0BA0AF157C7D}"/>
            </c:ext>
          </c:extLst>
        </c:ser>
        <c:dLbls>
          <c:showLegendKey val="0"/>
          <c:showVal val="0"/>
          <c:showCatName val="0"/>
          <c:showSerName val="0"/>
          <c:showPercent val="0"/>
          <c:showBubbleSize val="0"/>
        </c:dLbls>
        <c:axId val="158697479"/>
        <c:axId val="158699527"/>
      </c:scatterChart>
      <c:valAx>
        <c:axId val="1586974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Calibrated Airspeed, KCAS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99527"/>
        <c:crosses val="autoZero"/>
        <c:crossBetween val="midCat"/>
      </c:valAx>
      <c:valAx>
        <c:axId val="158699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Lift-to-Drag Ratio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97479"/>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r>
              <a:rPr lang="en-US"/>
              <a:t>Thrust Performance at Cruise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endParaRPr lang="en-US"/>
        </a:p>
      </c:txPr>
    </c:title>
    <c:autoTitleDeleted val="0"/>
    <c:plotArea>
      <c:layout/>
      <c:scatterChart>
        <c:scatterStyle val="lineMarker"/>
        <c:varyColors val="0"/>
        <c:ser>
          <c:idx val="0"/>
          <c:order val="0"/>
          <c:tx>
            <c:v>Propellor Thrust</c:v>
          </c:tx>
          <c:spPr>
            <a:ln w="25400" cap="rnd">
              <a:solidFill>
                <a:srgbClr val="0070C0"/>
              </a:solidFill>
              <a:prstDash val="solid"/>
              <a:round/>
            </a:ln>
            <a:effectLst/>
          </c:spPr>
          <c:marker>
            <c:symbol val="none"/>
          </c:marker>
          <c:xVal>
            <c:numRef>
              <c:f>'FE-Performance Analysis'!$A$27:$A$269</c:f>
              <c:numCache>
                <c:formatCode>General</c:formatCode>
                <c:ptCount val="243"/>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pt idx="236">
                  <c:v>301</c:v>
                </c:pt>
                <c:pt idx="237">
                  <c:v>302</c:v>
                </c:pt>
                <c:pt idx="238">
                  <c:v>303</c:v>
                </c:pt>
                <c:pt idx="239">
                  <c:v>304</c:v>
                </c:pt>
                <c:pt idx="240">
                  <c:v>305</c:v>
                </c:pt>
                <c:pt idx="241">
                  <c:v>306</c:v>
                </c:pt>
                <c:pt idx="242">
                  <c:v>307</c:v>
                </c:pt>
              </c:numCache>
            </c:numRef>
          </c:xVal>
          <c:yVal>
            <c:numRef>
              <c:f>'FE-Performance Analysis'!$R$27:$R$269</c:f>
              <c:numCache>
                <c:formatCode>0</c:formatCode>
                <c:ptCount val="243"/>
                <c:pt idx="0">
                  <c:v>2146.6676682082807</c:v>
                </c:pt>
                <c:pt idx="1">
                  <c:v>2129.7688618731722</c:v>
                </c:pt>
                <c:pt idx="2">
                  <c:v>2112.9961765267094</c:v>
                </c:pt>
                <c:pt idx="3">
                  <c:v>2096.3440480076274</c:v>
                </c:pt>
                <c:pt idx="4">
                  <c:v>2079.8072347147354</c:v>
                </c:pt>
                <c:pt idx="5">
                  <c:v>2063.3807945669128</c:v>
                </c:pt>
                <c:pt idx="6">
                  <c:v>2047.0600639101408</c:v>
                </c:pt>
                <c:pt idx="7">
                  <c:v>2030.8406381822938</c:v>
                </c:pt>
                <c:pt idx="8">
                  <c:v>2014.7183541671138</c:v>
                </c:pt>
                <c:pt idx="9">
                  <c:v>1998.68927368706</c:v>
                </c:pt>
                <c:pt idx="10">
                  <c:v>1982.7496686007275</c:v>
                </c:pt>
                <c:pt idx="11">
                  <c:v>1966.8960069846812</c:v>
                </c:pt>
                <c:pt idx="12">
                  <c:v>1951.1249403920247</c:v>
                </c:pt>
                <c:pt idx="13">
                  <c:v>1935.4332920910911</c:v>
                </c:pt>
                <c:pt idx="14">
                  <c:v>1919.8180461973827</c:v>
                </c:pt>
                <c:pt idx="15">
                  <c:v>1904.2763376206299</c:v>
                </c:pt>
                <c:pt idx="16">
                  <c:v>1888.8054427565007</c:v>
                </c:pt>
                <c:pt idx="17">
                  <c:v>1873.4027708594115</c:v>
                </c:pt>
                <c:pt idx="18">
                  <c:v>1858.065856038987</c:v>
                </c:pt>
                <c:pt idx="19">
                  <c:v>1842.7923498282034</c:v>
                </c:pt>
                <c:pt idx="20">
                  <c:v>1827.5800142761327</c:v>
                </c:pt>
                <c:pt idx="21">
                  <c:v>1812.4267155225866</c:v>
                </c:pt>
                <c:pt idx="22">
                  <c:v>1797.3304178158921</c:v>
                </c:pt>
                <c:pt idx="23">
                  <c:v>1782.2891779385443</c:v>
                </c:pt>
                <c:pt idx="24">
                  <c:v>1767.3011400086518</c:v>
                </c:pt>
                <c:pt idx="25">
                  <c:v>1752.3645306279689</c:v>
                </c:pt>
                <c:pt idx="26">
                  <c:v>1737.4776543498176</c:v>
                </c:pt>
                <c:pt idx="27">
                  <c:v>1722.6388894425936</c:v>
                </c:pt>
                <c:pt idx="28">
                  <c:v>1707.8466839265895</c:v>
                </c:pt>
                <c:pt idx="29">
                  <c:v>1693.0995518637874</c:v>
                </c:pt>
                <c:pt idx="30">
                  <c:v>1678.3960698819817</c:v>
                </c:pt>
                <c:pt idx="31">
                  <c:v>1663.73487391614</c:v>
                </c:pt>
                <c:pt idx="32">
                  <c:v>1649.1146561513369</c:v>
                </c:pt>
                <c:pt idx="33">
                  <c:v>1634.5341621528457</c:v>
                </c:pt>
                <c:pt idx="34">
                  <c:v>1619.9921881701728</c:v>
                </c:pt>
                <c:pt idx="35">
                  <c:v>1605.4875786028435</c:v>
                </c:pt>
                <c:pt idx="36">
                  <c:v>1591.0192236167384</c:v>
                </c:pt>
                <c:pt idx="37">
                  <c:v>1576.5860569006452</c:v>
                </c:pt>
                <c:pt idx="38">
                  <c:v>1562.1870535534956</c:v>
                </c:pt>
                <c:pt idx="39">
                  <c:v>1547.8212280934929</c:v>
                </c:pt>
                <c:pt idx="40">
                  <c:v>1533.4876325810048</c:v>
                </c:pt>
                <c:pt idx="41">
                  <c:v>1519.1853548477054</c:v>
                </c:pt>
                <c:pt idx="42">
                  <c:v>1504.9135168250186</c:v>
                </c:pt>
                <c:pt idx="43">
                  <c:v>1490.671272965428</c:v>
                </c:pt>
                <c:pt idx="44">
                  <c:v>1476.4578087506832</c:v>
                </c:pt>
                <c:pt idx="45">
                  <c:v>1462.2723392813798</c:v>
                </c:pt>
                <c:pt idx="46">
                  <c:v>1448.1141079427746</c:v>
                </c:pt>
                <c:pt idx="47">
                  <c:v>1433.9823851420826</c:v>
                </c:pt>
                <c:pt idx="48">
                  <c:v>1419.8764671128104</c:v>
                </c:pt>
                <c:pt idx="49">
                  <c:v>1405.7956747820244</c:v>
                </c:pt>
                <c:pt idx="50">
                  <c:v>1391.7393526967226</c:v>
                </c:pt>
                <c:pt idx="51">
                  <c:v>1377.7068680057273</c:v>
                </c:pt>
                <c:pt idx="52">
                  <c:v>1363.6976094938</c:v>
                </c:pt>
                <c:pt idx="53">
                  <c:v>1349.7109866648634</c:v>
                </c:pt>
                <c:pt idx="54">
                  <c:v>1335.7464288714468</c:v>
                </c:pt>
                <c:pt idx="55">
                  <c:v>1321.803384487662</c:v>
                </c:pt>
                <c:pt idx="56">
                  <c:v>1307.8813201231876</c:v>
                </c:pt>
                <c:pt idx="57">
                  <c:v>1293.9797198759104</c:v>
                </c:pt>
                <c:pt idx="58">
                  <c:v>1280.0980846210189</c:v>
                </c:pt>
                <c:pt idx="59">
                  <c:v>1266.235931334505</c:v>
                </c:pt>
                <c:pt idx="60">
                  <c:v>1252.3927924491275</c:v>
                </c:pt>
                <c:pt idx="61">
                  <c:v>1238.5682152410495</c:v>
                </c:pt>
                <c:pt idx="62">
                  <c:v>1224.761761245453</c:v>
                </c:pt>
                <c:pt idx="63">
                  <c:v>1210.9730056995461</c:v>
                </c:pt>
                <c:pt idx="64">
                  <c:v>1197.2015370114741</c:v>
                </c:pt>
                <c:pt idx="65">
                  <c:v>1183.4469562537499</c:v>
                </c:pt>
                <c:pt idx="66">
                  <c:v>1169.7088766798763</c:v>
                </c:pt>
                <c:pt idx="67">
                  <c:v>1155.9869232629478</c:v>
                </c:pt>
                <c:pt idx="68">
                  <c:v>1142.2807322550634</c:v>
                </c:pt>
                <c:pt idx="69">
                  <c:v>1128.589950766469</c:v>
                </c:pt>
                <c:pt idx="70">
                  <c:v>1114.9142363634005</c:v>
                </c:pt>
                <c:pt idx="71">
                  <c:v>1101.2532566836799</c:v>
                </c:pt>
                <c:pt idx="72">
                  <c:v>1087.6066890691297</c:v>
                </c:pt>
                <c:pt idx="73">
                  <c:v>1073.9742202139862</c:v>
                </c:pt>
                <c:pt idx="74">
                  <c:v>1060.3555458284779</c:v>
                </c:pt>
                <c:pt idx="75">
                  <c:v>1046.7503703168272</c:v>
                </c:pt>
                <c:pt idx="76">
                  <c:v>1033.1584064689509</c:v>
                </c:pt>
                <c:pt idx="77">
                  <c:v>1019.5793751651933</c:v>
                </c:pt>
                <c:pt idx="78">
                  <c:v>1006.0130050934399</c:v>
                </c:pt>
                <c:pt idx="79">
                  <c:v>992.45903247802232</c:v>
                </c:pt>
                <c:pt idx="80">
                  <c:v>978.91720081984533</c:v>
                </c:pt>
                <c:pt idx="81">
                  <c:v>965.38726064718423</c:v>
                </c:pt>
                <c:pt idx="82">
                  <c:v>951.86896927666157</c:v>
                </c:pt>
                <c:pt idx="83">
                  <c:v>938.36209058390943</c:v>
                </c:pt>
                <c:pt idx="84">
                  <c:v>924.86639478346967</c:v>
                </c:pt>
                <c:pt idx="85">
                  <c:v>911.38165821749567</c:v>
                </c:pt>
                <c:pt idx="86">
                  <c:v>897.90766315285271</c:v>
                </c:pt>
                <c:pt idx="87">
                  <c:v>884.44419758622485</c:v>
                </c:pt>
                <c:pt idx="88">
                  <c:v>870.99105505686589</c:v>
                </c:pt>
                <c:pt idx="89">
                  <c:v>857.54803446664857</c:v>
                </c:pt>
                <c:pt idx="90">
                  <c:v>844.11493990707277</c:v>
                </c:pt>
                <c:pt idx="91">
                  <c:v>830.69158049293389</c:v>
                </c:pt>
                <c:pt idx="92">
                  <c:v>817.27777020234419</c:v>
                </c:pt>
                <c:pt idx="93">
                  <c:v>803.87332772283196</c:v>
                </c:pt>
                <c:pt idx="94">
                  <c:v>790.47807630324451</c:v>
                </c:pt>
                <c:pt idx="95">
                  <c:v>777.09184361120822</c:v>
                </c:pt>
                <c:pt idx="96">
                  <c:v>763.7144615958988</c:v>
                </c:pt>
                <c:pt idx="97">
                  <c:v>750.34576635589542</c:v>
                </c:pt>
                <c:pt idx="98">
                  <c:v>736.98559801189913</c:v>
                </c:pt>
                <c:pt idx="99">
                  <c:v>723.63380058410337</c:v>
                </c:pt>
                <c:pt idx="100">
                  <c:v>710.29022187403211</c:v>
                </c:pt>
                <c:pt idx="101">
                  <c:v>696.95471335064326</c:v>
                </c:pt>
                <c:pt idx="102">
                  <c:v>683.62713004052227</c:v>
                </c:pt>
                <c:pt idx="103">
                  <c:v>670.30733042200347</c:v>
                </c:pt>
                <c:pt idx="104">
                  <c:v>656.99517632304787</c:v>
                </c:pt>
                <c:pt idx="105">
                  <c:v>643.69053282272091</c:v>
                </c:pt>
                <c:pt idx="106">
                  <c:v>630.39326815613356</c:v>
                </c:pt>
                <c:pt idx="107">
                  <c:v>617.10325362269953</c:v>
                </c:pt>
                <c:pt idx="108">
                  <c:v>603.82036349756527</c:v>
                </c:pt>
                <c:pt idx="109">
                  <c:v>590.54447494610451</c:v>
                </c:pt>
                <c:pt idx="110">
                  <c:v>577.27546794134093</c:v>
                </c:pt>
                <c:pt idx="111">
                  <c:v>564.01322518418328</c:v>
                </c:pt>
                <c:pt idx="112">
                  <c:v>550.75763202636483</c:v>
                </c:pt>
                <c:pt idx="113">
                  <c:v>537.5085763959886</c:v>
                </c:pt>
                <c:pt idx="114">
                  <c:v>524.26594872555609</c:v>
                </c:pt>
                <c:pt idx="115">
                  <c:v>511.02964188239957</c:v>
                </c:pt>
                <c:pt idx="116">
                  <c:v>497.79955110142777</c:v>
                </c:pt>
                <c:pt idx="117">
                  <c:v>484.57557392007641</c:v>
                </c:pt>
                <c:pt idx="118">
                  <c:v>471.35761011540097</c:v>
                </c:pt>
                <c:pt idx="119">
                  <c:v>458.14556164321669</c:v>
                </c:pt>
                <c:pt idx="120">
                  <c:v>444.93933257921316</c:v>
                </c:pt>
                <c:pt idx="121">
                  <c:v>431.73882906196684</c:v>
                </c:pt>
                <c:pt idx="122">
                  <c:v>418.54395923778731</c:v>
                </c:pt>
                <c:pt idx="123">
                  <c:v>405.35463320731765</c:v>
                </c:pt>
                <c:pt idx="124">
                  <c:v>392.17076297383215</c:v>
                </c:pt>
                <c:pt idx="125">
                  <c:v>378.99226239316721</c:v>
                </c:pt>
                <c:pt idx="126">
                  <c:v>365.81904712522692</c:v>
                </c:pt>
                <c:pt idx="127">
                  <c:v>352.65103458699855</c:v>
                </c:pt>
                <c:pt idx="128">
                  <c:v>339.48814390703734</c:v>
                </c:pt>
                <c:pt idx="129">
                  <c:v>326.33029588134934</c:v>
                </c:pt>
                <c:pt idx="130">
                  <c:v>313.17741293063676</c:v>
                </c:pt>
                <c:pt idx="131">
                  <c:v>300.02941905885575</c:v>
                </c:pt>
                <c:pt idx="132">
                  <c:v>286.88623981302692</c:v>
                </c:pt>
                <c:pt idx="133">
                  <c:v>273.74780224427167</c:v>
                </c:pt>
                <c:pt idx="134">
                  <c:v>260.61403487002184</c:v>
                </c:pt>
                <c:pt idx="135">
                  <c:v>247.48486763735917</c:v>
                </c:pt>
                <c:pt idx="136">
                  <c:v>234.36023188745509</c:v>
                </c:pt>
                <c:pt idx="137">
                  <c:v>221.24006032105916</c:v>
                </c:pt>
                <c:pt idx="138">
                  <c:v>208.12428696501689</c:v>
                </c:pt>
                <c:pt idx="139">
                  <c:v>195.01284713976469</c:v>
                </c:pt>
                <c:pt idx="140">
                  <c:v>181.90567742777836</c:v>
                </c:pt>
                <c:pt idx="141">
                  <c:v>168.80271564294233</c:v>
                </c:pt>
                <c:pt idx="142">
                  <c:v>155.70390080080483</c:v>
                </c:pt>
                <c:pt idx="143">
                  <c:v>142.60917308969309</c:v>
                </c:pt>
                <c:pt idx="144">
                  <c:v>129.5184738426542</c:v>
                </c:pt>
                <c:pt idx="145">
                  <c:v>116.43174551020138</c:v>
                </c:pt>
                <c:pt idx="146">
                  <c:v>103.348931633833</c:v>
                </c:pt>
                <c:pt idx="147">
                  <c:v>90.269976820303825</c:v>
                </c:pt>
                <c:pt idx="148">
                  <c:v>77.194826716614486</c:v>
                </c:pt>
                <c:pt idx="149">
                  <c:v>64.123427985712368</c:v>
                </c:pt>
                <c:pt idx="150">
                  <c:v>51.055728282860507</c:v>
                </c:pt>
                <c:pt idx="151">
                  <c:v>37.991676232669299</c:v>
                </c:pt>
                <c:pt idx="152">
                  <c:v>24.931221406761352</c:v>
                </c:pt>
                <c:pt idx="153">
                  <c:v>11.874314302049417</c:v>
                </c:pt>
                <c:pt idx="154">
                  <c:v>-1.1790936803866094</c:v>
                </c:pt>
                <c:pt idx="155">
                  <c:v>-14.229050255850114</c:v>
                </c:pt>
                <c:pt idx="156">
                  <c:v>-27.275602276020578</c:v>
                </c:pt>
                <c:pt idx="157">
                  <c:v>-40.318795748400468</c:v>
                </c:pt>
                <c:pt idx="158">
                  <c:v>-53.358675855247441</c:v>
                </c:pt>
                <c:pt idx="159">
                  <c:v>-66.395286971993841</c:v>
                </c:pt>
                <c:pt idx="160">
                  <c:v>-79.428672685173609</c:v>
                </c:pt>
                <c:pt idx="161">
                  <c:v>-92.458875809877611</c:v>
                </c:pt>
                <c:pt idx="162">
                  <c:v>-105.48593840674901</c:v>
                </c:pt>
                <c:pt idx="163">
                  <c:v>-118.50990179851924</c:v>
                </c:pt>
                <c:pt idx="164">
                  <c:v>-131.5308065861299</c:v>
                </c:pt>
                <c:pt idx="165">
                  <c:v>-144.54869266441747</c:v>
                </c:pt>
                <c:pt idx="166">
                  <c:v>-157.56359923740067</c:v>
                </c:pt>
                <c:pt idx="167">
                  <c:v>-170.5755648331627</c:v>
                </c:pt>
                <c:pt idx="168">
                  <c:v>-183.5846273183659</c:v>
                </c:pt>
                <c:pt idx="169">
                  <c:v>-196.59082391237445</c:v>
                </c:pt>
                <c:pt idx="170">
                  <c:v>-209.59419120103362</c:v>
                </c:pt>
                <c:pt idx="171">
                  <c:v>-222.59476515009078</c:v>
                </c:pt>
                <c:pt idx="172">
                  <c:v>-235.59258111827305</c:v>
                </c:pt>
                <c:pt idx="173">
                  <c:v>-248.5876738700465</c:v>
                </c:pt>
                <c:pt idx="174">
                  <c:v>-261.58007758804359</c:v>
                </c:pt>
                <c:pt idx="175">
                  <c:v>-274.56982588518696</c:v>
                </c:pt>
                <c:pt idx="176">
                  <c:v>-287.55695181650748</c:v>
                </c:pt>
                <c:pt idx="177">
                  <c:v>-300.54148789067222</c:v>
                </c:pt>
                <c:pt idx="178">
                  <c:v>-313.5234660812261</c:v>
                </c:pt>
                <c:pt idx="179">
                  <c:v>-326.50291783755773</c:v>
                </c:pt>
                <c:pt idx="180">
                  <c:v>-339.47987409559801</c:v>
                </c:pt>
                <c:pt idx="181">
                  <c:v>-352.45436528825115</c:v>
                </c:pt>
                <c:pt idx="182">
                  <c:v>-365.42642135558293</c:v>
                </c:pt>
                <c:pt idx="183">
                  <c:v>-378.39607175475606</c:v>
                </c:pt>
                <c:pt idx="184">
                  <c:v>-391.36334546972182</c:v>
                </c:pt>
                <c:pt idx="185">
                  <c:v>-404.32827102069297</c:v>
                </c:pt>
                <c:pt idx="186">
                  <c:v>-417.29087647337354</c:v>
                </c:pt>
                <c:pt idx="187">
                  <c:v>-430.25118944797936</c:v>
                </c:pt>
                <c:pt idx="188">
                  <c:v>-443.20923712804807</c:v>
                </c:pt>
                <c:pt idx="189">
                  <c:v>-456.16504626902537</c:v>
                </c:pt>
                <c:pt idx="190">
                  <c:v>-469.11864320666558</c:v>
                </c:pt>
                <c:pt idx="191">
                  <c:v>-482.07005386522667</c:v>
                </c:pt>
                <c:pt idx="192">
                  <c:v>-495.01930376547642</c:v>
                </c:pt>
                <c:pt idx="193">
                  <c:v>-507.96641803251123</c:v>
                </c:pt>
                <c:pt idx="194">
                  <c:v>-520.91142140339389</c:v>
                </c:pt>
                <c:pt idx="195">
                  <c:v>-533.8543382346204</c:v>
                </c:pt>
                <c:pt idx="196">
                  <c:v>-546.79519250940518</c:v>
                </c:pt>
                <c:pt idx="197">
                  <c:v>-559.73400784480486</c:v>
                </c:pt>
                <c:pt idx="198">
                  <c:v>-572.67080749868546</c:v>
                </c:pt>
                <c:pt idx="199">
                  <c:v>-585.60561437651734</c:v>
                </c:pt>
                <c:pt idx="200">
                  <c:v>-598.53845103802939</c:v>
                </c:pt>
                <c:pt idx="201">
                  <c:v>-611.46933970370731</c:v>
                </c:pt>
                <c:pt idx="202">
                  <c:v>-624.39830226114361</c:v>
                </c:pt>
                <c:pt idx="203">
                  <c:v>-637.32536027125184</c:v>
                </c:pt>
                <c:pt idx="204">
                  <c:v>-650.25053497433805</c:v>
                </c:pt>
                <c:pt idx="205">
                  <c:v>-663.17384729603418</c:v>
                </c:pt>
                <c:pt idx="206">
                  <c:v>-676.09531785310867</c:v>
                </c:pt>
                <c:pt idx="207">
                  <c:v>-689.01496695914193</c:v>
                </c:pt>
                <c:pt idx="208">
                  <c:v>-701.93281463007986</c:v>
                </c:pt>
                <c:pt idx="209">
                  <c:v>-714.84888058966408</c:v>
                </c:pt>
                <c:pt idx="210">
                  <c:v>-727.76318427474757</c:v>
                </c:pt>
                <c:pt idx="211">
                  <c:v>-740.67574484048453</c:v>
                </c:pt>
                <c:pt idx="212">
                  <c:v>-753.58658116542574</c:v>
                </c:pt>
                <c:pt idx="213">
                  <c:v>-766.49571185648597</c:v>
                </c:pt>
                <c:pt idx="214">
                  <c:v>-779.4031552538147</c:v>
                </c:pt>
                <c:pt idx="215">
                  <c:v>-792.30892943555909</c:v>
                </c:pt>
                <c:pt idx="216">
                  <c:v>-805.21305222252636</c:v>
                </c:pt>
                <c:pt idx="217">
                  <c:v>-818.11554118274489</c:v>
                </c:pt>
                <c:pt idx="218">
                  <c:v>-831.01641363593376</c:v>
                </c:pt>
                <c:pt idx="219">
                  <c:v>-843.91568665787145</c:v>
                </c:pt>
                <c:pt idx="220">
                  <c:v>-856.81337708467561</c:v>
                </c:pt>
                <c:pt idx="221">
                  <c:v>-869.70950151699549</c:v>
                </c:pt>
                <c:pt idx="222">
                  <c:v>-882.6040763241117</c:v>
                </c:pt>
                <c:pt idx="223">
                  <c:v>-895.497117647952</c:v>
                </c:pt>
                <c:pt idx="224">
                  <c:v>-908.38864140703015</c:v>
                </c:pt>
                <c:pt idx="225">
                  <c:v>-921.27866330028905</c:v>
                </c:pt>
                <c:pt idx="226">
                  <c:v>-934.16719881088329</c:v>
                </c:pt>
                <c:pt idx="227">
                  <c:v>-947.05426320986714</c:v>
                </c:pt>
                <c:pt idx="228">
                  <c:v>-959.93987155981745</c:v>
                </c:pt>
                <c:pt idx="229">
                  <c:v>-972.82403871837676</c:v>
                </c:pt>
                <c:pt idx="230">
                  <c:v>-985.70677934172875</c:v>
                </c:pt>
                <c:pt idx="231">
                  <c:v>-998.58810788800042</c:v>
                </c:pt>
                <c:pt idx="232">
                  <c:v>-1011.4680386205962</c:v>
                </c:pt>
                <c:pt idx="233">
                  <c:v>-1024.3465856114681</c:v>
                </c:pt>
                <c:pt idx="234">
                  <c:v>-1037.2237627443099</c:v>
                </c:pt>
                <c:pt idx="235">
                  <c:v>-1050.0995837177027</c:v>
                </c:pt>
                <c:pt idx="236">
                  <c:v>-1062.9740620481859</c:v>
                </c:pt>
                <c:pt idx="237">
                  <c:v>-1075.8472110732716</c:v>
                </c:pt>
                <c:pt idx="238">
                  <c:v>-1088.7190439543997</c:v>
                </c:pt>
                <c:pt idx="239">
                  <c:v>-1101.5895736798332</c:v>
                </c:pt>
                <c:pt idx="240">
                  <c:v>-1114.4588130674983</c:v>
                </c:pt>
                <c:pt idx="241">
                  <c:v>-1127.3267747677612</c:v>
                </c:pt>
                <c:pt idx="242">
                  <c:v>-1140.1934712661694</c:v>
                </c:pt>
              </c:numCache>
            </c:numRef>
          </c:yVal>
          <c:smooth val="0"/>
          <c:extLst>
            <c:ext xmlns:c16="http://schemas.microsoft.com/office/drawing/2014/chart" uri="{C3380CC4-5D6E-409C-BE32-E72D297353CC}">
              <c16:uniqueId val="{00000000-6C02-4FE5-A986-E3A58E9FBB38}"/>
            </c:ext>
          </c:extLst>
        </c:ser>
        <c:ser>
          <c:idx val="1"/>
          <c:order val="1"/>
          <c:tx>
            <c:v>Drag</c:v>
          </c:tx>
          <c:spPr>
            <a:ln w="19050" cap="rnd">
              <a:solidFill>
                <a:srgbClr val="E87331"/>
              </a:solidFill>
              <a:prstDash val="solid"/>
              <a:round/>
            </a:ln>
            <a:effectLst/>
          </c:spPr>
          <c:marker>
            <c:symbol val="none"/>
          </c:marker>
          <c:xVal>
            <c:numRef>
              <c:f>'FE-Performance Analysis'!$A$27:$A$269</c:f>
              <c:numCache>
                <c:formatCode>General</c:formatCode>
                <c:ptCount val="243"/>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pt idx="236">
                  <c:v>301</c:v>
                </c:pt>
                <c:pt idx="237">
                  <c:v>302</c:v>
                </c:pt>
                <c:pt idx="238">
                  <c:v>303</c:v>
                </c:pt>
                <c:pt idx="239">
                  <c:v>304</c:v>
                </c:pt>
                <c:pt idx="240">
                  <c:v>305</c:v>
                </c:pt>
                <c:pt idx="241">
                  <c:v>306</c:v>
                </c:pt>
                <c:pt idx="242">
                  <c:v>307</c:v>
                </c:pt>
              </c:numCache>
            </c:numRef>
          </c:xVal>
          <c:yVal>
            <c:numRef>
              <c:f>'FE-Performance Analysis'!$S$27:$S$269</c:f>
              <c:numCache>
                <c:formatCode>0</c:formatCode>
                <c:ptCount val="243"/>
                <c:pt idx="0">
                  <c:v>2146.430213762952</c:v>
                </c:pt>
                <c:pt idx="1">
                  <c:v>2083.5406896129434</c:v>
                </c:pt>
                <c:pt idx="2">
                  <c:v>2023.6411563958679</c:v>
                </c:pt>
                <c:pt idx="3">
                  <c:v>1966.5599450259429</c:v>
                </c:pt>
                <c:pt idx="4">
                  <c:v>1912.1377353849236</c:v>
                </c:pt>
                <c:pt idx="5">
                  <c:v>1860.2265054750144</c:v>
                </c:pt>
                <c:pt idx="6">
                  <c:v>1810.6885834378004</c:v>
                </c:pt>
                <c:pt idx="7">
                  <c:v>1763.3957910901909</c:v>
                </c:pt>
                <c:pt idx="8">
                  <c:v>1718.2286690177802</c:v>
                </c:pt>
                <c:pt idx="9">
                  <c:v>1675.0757744690575</c:v>
                </c:pt>
                <c:pt idx="10">
                  <c:v>1633.8330443375321</c:v>
                </c:pt>
                <c:pt idx="11">
                  <c:v>1594.4032164261066</c:v>
                </c:pt>
                <c:pt idx="12">
                  <c:v>1556.6953029782676</c:v>
                </c:pt>
                <c:pt idx="13">
                  <c:v>1520.6241111502277</c:v>
                </c:pt>
                <c:pt idx="14">
                  <c:v>1486.1098057009824</c:v>
                </c:pt>
                <c:pt idx="15">
                  <c:v>1453.0775097052194</c:v>
                </c:pt>
                <c:pt idx="16">
                  <c:v>1421.4569395572453</c:v>
                </c:pt>
                <c:pt idx="17">
                  <c:v>1391.1820709410838</c:v>
                </c:pt>
                <c:pt idx="18">
                  <c:v>1362.1908328003044</c:v>
                </c:pt>
                <c:pt idx="19">
                  <c:v>1334.42482665698</c:v>
                </c:pt>
                <c:pt idx="20">
                  <c:v>1307.8290689082025</c:v>
                </c:pt>
                <c:pt idx="21">
                  <c:v>1282.3517539752688</c:v>
                </c:pt>
                <c:pt idx="22">
                  <c:v>1257.9440363992219</c:v>
                </c:pt>
                <c:pt idx="23">
                  <c:v>1234.5598301702412</c:v>
                </c:pt>
                <c:pt idx="24">
                  <c:v>1212.1556237505768</c:v>
                </c:pt>
                <c:pt idx="25">
                  <c:v>1190.6903094038985</c:v>
                </c:pt>
                <c:pt idx="26">
                  <c:v>1170.125025580327</c:v>
                </c:pt>
                <c:pt idx="27">
                  <c:v>1150.4230112281243</c:v>
                </c:pt>
                <c:pt idx="28">
                  <c:v>1131.5494710116611</c:v>
                </c:pt>
                <c:pt idx="29">
                  <c:v>1113.4714505124668</c:v>
                </c:pt>
                <c:pt idx="30">
                  <c:v>1096.1577205771523</c:v>
                </c:pt>
                <c:pt idx="31">
                  <c:v>1079.578670053977</c:v>
                </c:pt>
                <c:pt idx="32">
                  <c:v>1063.7062062298244</c:v>
                </c:pt>
                <c:pt idx="33">
                  <c:v>1048.513662342212</c:v>
                </c:pt>
                <c:pt idx="34">
                  <c:v>1033.9757115975467</c:v>
                </c:pt>
                <c:pt idx="35">
                  <c:v>1020.0682871777424</c:v>
                </c:pt>
                <c:pt idx="36">
                  <c:v>1006.7685077632569</c:v>
                </c:pt>
                <c:pt idx="37">
                  <c:v>994.05460814202672</c:v>
                </c:pt>
                <c:pt idx="38">
                  <c:v>981.90587451120928</c:v>
                </c:pt>
                <c:pt idx="39">
                  <c:v>970.30258411251384</c:v>
                </c:pt>
                <c:pt idx="40">
                  <c:v>959.22594887251717</c:v>
                </c:pt>
                <c:pt idx="41">
                  <c:v>948.65806274714771</c:v>
                </c:pt>
                <c:pt idx="42">
                  <c:v>938.58185249469852</c:v>
                </c:pt>
                <c:pt idx="43">
                  <c:v>928.9810316245871</c:v>
                </c:pt>
                <c:pt idx="44">
                  <c:v>919.84005728986131</c:v>
                </c:pt>
                <c:pt idx="45">
                  <c:v>911.14408991034202</c:v>
                </c:pt>
                <c:pt idx="46">
                  <c:v>902.87895533049743</c:v>
                </c:pt>
                <c:pt idx="47">
                  <c:v>895.03110933180938</c:v>
                </c:pt>
                <c:pt idx="48">
                  <c:v>887.58760433368639</c:v>
                </c:pt>
                <c:pt idx="49">
                  <c:v>880.53605813002252</c:v>
                </c:pt>
                <c:pt idx="50">
                  <c:v>873.86462452041542</c:v>
                </c:pt>
                <c:pt idx="51">
                  <c:v>867.56196570593693</c:v>
                </c:pt>
                <c:pt idx="52">
                  <c:v>861.61722632933515</c:v>
                </c:pt>
                <c:pt idx="53">
                  <c:v>856.02000904864769</c:v>
                </c:pt>
                <c:pt idx="54">
                  <c:v>850.76035154158251</c:v>
                </c:pt>
                <c:pt idx="55">
                  <c:v>845.82870484567923</c:v>
                </c:pt>
                <c:pt idx="56">
                  <c:v>841.21591294630525</c:v>
                </c:pt>
                <c:pt idx="57">
                  <c:v>836.91319353099925</c:v>
                </c:pt>
                <c:pt idx="58">
                  <c:v>832.91211983461108</c:v>
                </c:pt>
                <c:pt idx="59">
                  <c:v>829.20460350515293</c:v>
                </c:pt>
                <c:pt idx="60">
                  <c:v>825.78287842529721</c:v>
                </c:pt>
                <c:pt idx="61">
                  <c:v>822.63948542909077</c:v>
                </c:pt>
                <c:pt idx="62">
                  <c:v>819.76725785771487</c:v>
                </c:pt>
                <c:pt idx="63">
                  <c:v>817.15930790205823</c:v>
                </c:pt>
                <c:pt idx="64">
                  <c:v>814.80901368349998</c:v>
                </c:pt>
                <c:pt idx="65">
                  <c:v>812.71000702764957</c:v>
                </c:pt>
                <c:pt idx="66">
                  <c:v>810.85616188888673</c:v>
                </c:pt>
                <c:pt idx="67">
                  <c:v>809.24158338641371</c:v>
                </c:pt>
                <c:pt idx="68">
                  <c:v>807.86059741517238</c:v>
                </c:pt>
                <c:pt idx="69">
                  <c:v>806.70774079743796</c:v>
                </c:pt>
                <c:pt idx="70">
                  <c:v>805.77775194316507</c:v>
                </c:pt>
                <c:pt idx="71">
                  <c:v>805.06556198927683</c:v>
                </c:pt>
                <c:pt idx="72">
                  <c:v>804.56628639002429</c:v>
                </c:pt>
                <c:pt idx="73">
                  <c:v>804.27521693236929</c:v>
                </c:pt>
                <c:pt idx="74">
                  <c:v>804.18781415201386</c:v>
                </c:pt>
                <c:pt idx="75">
                  <c:v>804.29970012726596</c:v>
                </c:pt>
                <c:pt idx="76">
                  <c:v>804.60665162938074</c:v>
                </c:pt>
                <c:pt idx="77">
                  <c:v>805.10459360936375</c:v>
                </c:pt>
                <c:pt idx="78">
                  <c:v>805.78959300248152</c:v>
                </c:pt>
                <c:pt idx="79">
                  <c:v>806.65785283288926</c:v>
                </c:pt>
                <c:pt idx="80">
                  <c:v>807.7057066018765</c:v>
                </c:pt>
                <c:pt idx="81">
                  <c:v>808.9296129442414</c:v>
                </c:pt>
                <c:pt idx="82">
                  <c:v>810.32615053825327</c:v>
                </c:pt>
                <c:pt idx="83">
                  <c:v>811.89201325554279</c:v>
                </c:pt>
                <c:pt idx="84">
                  <c:v>813.62400553808016</c:v>
                </c:pt>
                <c:pt idx="85">
                  <c:v>815.51903799017066</c:v>
                </c:pt>
                <c:pt idx="86">
                  <c:v>817.57412317411502</c:v>
                </c:pt>
                <c:pt idx="87">
                  <c:v>819.78637159884988</c:v>
                </c:pt>
                <c:pt idx="88">
                  <c:v>822.15298789151223</c:v>
                </c:pt>
                <c:pt idx="89">
                  <c:v>824.67126714245319</c:v>
                </c:pt>
                <c:pt idx="90">
                  <c:v>827.33859141478297</c:v>
                </c:pt>
                <c:pt idx="91">
                  <c:v>830.15242641003317</c:v>
                </c:pt>
                <c:pt idx="92">
                  <c:v>833.11031828200646</c:v>
                </c:pt>
                <c:pt idx="93">
                  <c:v>836.20989059133819</c:v>
                </c:pt>
                <c:pt idx="94">
                  <c:v>839.44884139370788</c:v>
                </c:pt>
                <c:pt idx="95">
                  <c:v>842.82494045504154</c:v>
                </c:pt>
                <c:pt idx="96">
                  <c:v>846.33602658741609</c:v>
                </c:pt>
                <c:pt idx="97">
                  <c:v>849.98000509971882</c:v>
                </c:pt>
                <c:pt idx="98">
                  <c:v>853.75484535745261</c:v>
                </c:pt>
                <c:pt idx="99">
                  <c:v>857.65857844637617</c:v>
                </c:pt>
                <c:pt idx="100">
                  <c:v>861.68929493495864</c:v>
                </c:pt>
                <c:pt idx="101">
                  <c:v>865.84514273090599</c:v>
                </c:pt>
                <c:pt idx="102">
                  <c:v>870.12432502726074</c:v>
                </c:pt>
                <c:pt idx="103">
                  <c:v>874.52509833382669</c:v>
                </c:pt>
                <c:pt idx="104">
                  <c:v>879.04577058988752</c:v>
                </c:pt>
                <c:pt idx="105">
                  <c:v>883.68469935441044</c:v>
                </c:pt>
                <c:pt idx="106">
                  <c:v>888.44029007011488</c:v>
                </c:pt>
                <c:pt idx="107">
                  <c:v>893.31099439798265</c:v>
                </c:pt>
                <c:pt idx="108">
                  <c:v>898.29530861896592</c:v>
                </c:pt>
                <c:pt idx="109">
                  <c:v>903.39177209980369</c:v>
                </c:pt>
                <c:pt idx="110">
                  <c:v>908.59896582003364</c:v>
                </c:pt>
                <c:pt idx="111">
                  <c:v>913.91551095741795</c:v>
                </c:pt>
                <c:pt idx="112">
                  <c:v>919.34006752915786</c:v>
                </c:pt>
                <c:pt idx="113">
                  <c:v>924.8713330863884</c:v>
                </c:pt>
                <c:pt idx="114">
                  <c:v>930.50804145958659</c:v>
                </c:pt>
                <c:pt idx="115">
                  <c:v>936.24896155263218</c:v>
                </c:pt>
                <c:pt idx="116">
                  <c:v>942.09289618337561</c:v>
                </c:pt>
                <c:pt idx="117">
                  <c:v>948.03868096867973</c:v>
                </c:pt>
                <c:pt idx="118">
                  <c:v>954.08518325199054</c:v>
                </c:pt>
                <c:pt idx="119">
                  <c:v>960.23130107159636</c:v>
                </c:pt>
                <c:pt idx="120">
                  <c:v>966.47596216782051</c:v>
                </c:pt>
                <c:pt idx="121">
                  <c:v>972.81812302747505</c:v>
                </c:pt>
                <c:pt idx="122">
                  <c:v>979.25676796398966</c:v>
                </c:pt>
                <c:pt idx="123">
                  <c:v>985.79090823169759</c:v>
                </c:pt>
                <c:pt idx="124">
                  <c:v>992.41958117284139</c:v>
                </c:pt>
                <c:pt idx="125">
                  <c:v>999.14184939591746</c:v>
                </c:pt>
                <c:pt idx="126">
                  <c:v>1005.9567999840579</c:v>
                </c:pt>
                <c:pt idx="127">
                  <c:v>1012.863543732199</c:v>
                </c:pt>
                <c:pt idx="128">
                  <c:v>1019.8612144118383</c:v>
                </c:pt>
                <c:pt idx="129">
                  <c:v>1026.9489680622628</c:v>
                </c:pt>
                <c:pt idx="130">
                  <c:v>1034.1259823071448</c:v>
                </c:pt>
                <c:pt idx="131">
                  <c:v>1041.3914556954892</c:v>
                </c:pt>
                <c:pt idx="132">
                  <c:v>1048.744607065935</c:v>
                </c:pt>
                <c:pt idx="133">
                  <c:v>1056.1846749334786</c:v>
                </c:pt>
                <c:pt idx="134">
                  <c:v>1063.7109168977097</c:v>
                </c:pt>
                <c:pt idx="135">
                  <c:v>1071.3226090717105</c:v>
                </c:pt>
                <c:pt idx="136">
                  <c:v>1079.0190455307948</c:v>
                </c:pt>
                <c:pt idx="137">
                  <c:v>1086.7995377802995</c:v>
                </c:pt>
                <c:pt idx="138">
                  <c:v>1094.6634142416854</c:v>
                </c:pt>
                <c:pt idx="139">
                  <c:v>1102.6100197562289</c:v>
                </c:pt>
                <c:pt idx="140">
                  <c:v>1110.6387151056151</c:v>
                </c:pt>
                <c:pt idx="141">
                  <c:v>1118.7488765487883</c:v>
                </c:pt>
                <c:pt idx="142">
                  <c:v>1126.9398953744201</c:v>
                </c:pt>
                <c:pt idx="143">
                  <c:v>1135.2111774684058</c:v>
                </c:pt>
                <c:pt idx="144">
                  <c:v>1143.5621428958116</c:v>
                </c:pt>
                <c:pt idx="145">
                  <c:v>1151.9922254967241</c:v>
                </c:pt>
                <c:pt idx="146">
                  <c:v>1160.5008724954725</c:v>
                </c:pt>
                <c:pt idx="147">
                  <c:v>1169.0875441227265</c:v>
                </c:pt>
                <c:pt idx="148">
                  <c:v>1177.7517132499847</c:v>
                </c:pt>
                <c:pt idx="149">
                  <c:v>1186.4928650359864</c:v>
                </c:pt>
                <c:pt idx="150">
                  <c:v>1195.3104965846148</c:v>
                </c:pt>
                <c:pt idx="151">
                  <c:v>1204.2041166138572</c:v>
                </c:pt>
                <c:pt idx="152">
                  <c:v>1213.1732451354187</c:v>
                </c:pt>
                <c:pt idx="153">
                  <c:v>1222.2174131446016</c:v>
                </c:pt>
                <c:pt idx="154">
                  <c:v>1231.3361623200753</c:v>
                </c:pt>
                <c:pt idx="155">
                  <c:v>1240.529044733174</c:v>
                </c:pt>
                <c:pt idx="156">
                  <c:v>1249.7956225663866</c:v>
                </c:pt>
                <c:pt idx="157">
                  <c:v>1259.1354678406931</c:v>
                </c:pt>
                <c:pt idx="158">
                  <c:v>1268.5481621514552</c:v>
                </c:pt>
                <c:pt idx="159">
                  <c:v>1278.0332964125278</c:v>
                </c:pt>
                <c:pt idx="160">
                  <c:v>1287.5904706083227</c:v>
                </c:pt>
                <c:pt idx="161">
                  <c:v>1297.2192935535302</c:v>
                </c:pt>
                <c:pt idx="162">
                  <c:v>1306.9193826602377</c:v>
                </c:pt>
                <c:pt idx="163">
                  <c:v>1316.6903637121754</c:v>
                </c:pt>
                <c:pt idx="164">
                  <c:v>1326.5318706458575</c:v>
                </c:pt>
                <c:pt idx="165">
                  <c:v>1336.4435453383612</c:v>
                </c:pt>
                <c:pt idx="166">
                  <c:v>1346.4250374015276</c:v>
                </c:pt>
                <c:pt idx="167">
                  <c:v>1356.4760039823559</c:v>
                </c:pt>
                <c:pt idx="168">
                  <c:v>1366.5961095693847</c:v>
                </c:pt>
                <c:pt idx="169">
                  <c:v>1376.7850258048475</c:v>
                </c:pt>
                <c:pt idx="170">
                  <c:v>1387.0424313024171</c:v>
                </c:pt>
                <c:pt idx="171">
                  <c:v>1397.3680114703438</c:v>
                </c:pt>
                <c:pt idx="172">
                  <c:v>1407.7614583398001</c:v>
                </c:pt>
                <c:pt idx="173">
                  <c:v>1418.2224703982727</c:v>
                </c:pt>
                <c:pt idx="174">
                  <c:v>1428.7507524278165</c:v>
                </c:pt>
                <c:pt idx="175">
                  <c:v>1439.3460153480196</c:v>
                </c:pt>
                <c:pt idx="176">
                  <c:v>1450.0079760635203</c:v>
                </c:pt>
                <c:pt idx="177">
                  <c:v>1460.7363573159255</c:v>
                </c:pt>
                <c:pt idx="178">
                  <c:v>1471.5308875399824</c:v>
                </c:pt>
                <c:pt idx="179">
                  <c:v>1482.391300723875</c:v>
                </c:pt>
                <c:pt idx="180">
                  <c:v>1493.3173362734967</c:v>
                </c:pt>
                <c:pt idx="181">
                  <c:v>1504.3087388805816</c:v>
                </c:pt>
                <c:pt idx="182">
                  <c:v>1515.3652583945636</c:v>
                </c:pt>
                <c:pt idx="183">
                  <c:v>1526.4866496980471</c:v>
                </c:pt>
                <c:pt idx="184">
                  <c:v>1537.6726725857679</c:v>
                </c:pt>
                <c:pt idx="185">
                  <c:v>1548.9230916469403</c:v>
                </c:pt>
                <c:pt idx="186">
                  <c:v>1560.237676150876</c:v>
                </c:pt>
                <c:pt idx="187">
                  <c:v>1571.616199935773</c:v>
                </c:pt>
                <c:pt idx="188">
                  <c:v>1583.0584413005829</c:v>
                </c:pt>
                <c:pt idx="189">
                  <c:v>1594.5641828998398</c:v>
                </c:pt>
                <c:pt idx="190">
                  <c:v>1606.1332116413839</c:v>
                </c:pt>
                <c:pt idx="191">
                  <c:v>1617.7653185868637</c:v>
                </c:pt>
                <c:pt idx="192">
                  <c:v>1629.4602988549552</c:v>
                </c:pt>
                <c:pt idx="193">
                  <c:v>1641.2179515271901</c:v>
                </c:pt>
                <c:pt idx="194">
                  <c:v>1653.0380795563331</c:v>
                </c:pt>
                <c:pt idx="195">
                  <c:v>1664.9204896772194</c:v>
                </c:pt>
                <c:pt idx="196">
                  <c:v>1676.8649923199728</c:v>
                </c:pt>
                <c:pt idx="197">
                  <c:v>1688.8714015255473</c:v>
                </c:pt>
                <c:pt idx="198">
                  <c:v>1700.939534863506</c:v>
                </c:pt>
                <c:pt idx="199">
                  <c:v>1713.0692133519751</c:v>
                </c:pt>
                <c:pt idx="200">
                  <c:v>1725.2602613797167</c:v>
                </c:pt>
                <c:pt idx="201">
                  <c:v>1737.512506630238</c:v>
                </c:pt>
                <c:pt idx="202">
                  <c:v>1749.8257800078916</c:v>
                </c:pt>
                <c:pt idx="203">
                  <c:v>1762.1999155659037</c:v>
                </c:pt>
                <c:pt idx="204">
                  <c:v>1774.6347504362705</c:v>
                </c:pt>
                <c:pt idx="205">
                  <c:v>1787.1301247614626</c:v>
                </c:pt>
                <c:pt idx="206">
                  <c:v>1799.6858816279046</c:v>
                </c:pt>
                <c:pt idx="207">
                  <c:v>1812.3018670011445</c:v>
                </c:pt>
                <c:pt idx="208">
                  <c:v>1824.9779296627023</c:v>
                </c:pt>
                <c:pt idx="209">
                  <c:v>1837.7139211485116</c:v>
                </c:pt>
                <c:pt idx="210">
                  <c:v>1850.509695688939</c:v>
                </c:pt>
                <c:pt idx="211">
                  <c:v>1863.3651101503065</c:v>
                </c:pt>
                <c:pt idx="212">
                  <c:v>1876.2800239779106</c:v>
                </c:pt>
                <c:pt idx="213">
                  <c:v>1889.2542991404521</c:v>
                </c:pt>
                <c:pt idx="214">
                  <c:v>1902.2878000758706</c:v>
                </c:pt>
                <c:pt idx="215">
                  <c:v>1915.3803936385268</c:v>
                </c:pt>
                <c:pt idx="216">
                  <c:v>1928.5319490476968</c:v>
                </c:pt>
                <c:pt idx="217">
                  <c:v>1941.7423378373446</c:v>
                </c:pt>
                <c:pt idx="218">
                  <c:v>1955.011433807136</c:v>
                </c:pt>
                <c:pt idx="219">
                  <c:v>1968.3391129746565</c:v>
                </c:pt>
                <c:pt idx="220">
                  <c:v>1981.7252535287942</c:v>
                </c:pt>
                <c:pt idx="221">
                  <c:v>1995.1697357842772</c:v>
                </c:pt>
                <c:pt idx="222">
                  <c:v>2008.6724421373033</c:v>
                </c:pt>
                <c:pt idx="223">
                  <c:v>2022.2332570222491</c:v>
                </c:pt>
                <c:pt idx="224">
                  <c:v>2035.8520668694348</c:v>
                </c:pt>
                <c:pt idx="225">
                  <c:v>2049.5287600638926</c:v>
                </c:pt>
                <c:pt idx="226">
                  <c:v>2063.263226905141</c:v>
                </c:pt>
                <c:pt idx="227">
                  <c:v>2077.0553595679066</c:v>
                </c:pt>
                <c:pt idx="228">
                  <c:v>2090.9050520637952</c:v>
                </c:pt>
                <c:pt idx="229">
                  <c:v>2104.8122002038613</c:v>
                </c:pt>
                <c:pt idx="230">
                  <c:v>2118.776701562078</c:v>
                </c:pt>
                <c:pt idx="231">
                  <c:v>2132.7984554396603</c:v>
                </c:pt>
                <c:pt idx="232">
                  <c:v>2146.8773628302306</c:v>
                </c:pt>
                <c:pt idx="233">
                  <c:v>2161.0133263857997</c:v>
                </c:pt>
                <c:pt idx="234">
                  <c:v>2175.2062503835432</c:v>
                </c:pt>
                <c:pt idx="235">
                  <c:v>2189.4560406933538</c:v>
                </c:pt>
                <c:pt idx="236">
                  <c:v>2203.7626047461472</c:v>
                </c:pt>
                <c:pt idx="237">
                  <c:v>2218.1258515028976</c:v>
                </c:pt>
                <c:pt idx="238">
                  <c:v>2232.5456914243905</c:v>
                </c:pt>
                <c:pt idx="239">
                  <c:v>2247.0220364416664</c:v>
                </c:pt>
                <c:pt idx="240">
                  <c:v>2261.5547999271548</c:v>
                </c:pt>
                <c:pt idx="241">
                  <c:v>2276.143896666445</c:v>
                </c:pt>
                <c:pt idx="242">
                  <c:v>2290.7892428307227</c:v>
                </c:pt>
              </c:numCache>
            </c:numRef>
          </c:yVal>
          <c:smooth val="0"/>
          <c:extLst>
            <c:ext xmlns:c16="http://schemas.microsoft.com/office/drawing/2014/chart" uri="{C3380CC4-5D6E-409C-BE32-E72D297353CC}">
              <c16:uniqueId val="{00000001-6C02-4FE5-A986-E3A58E9FBB38}"/>
            </c:ext>
          </c:extLst>
        </c:ser>
        <c:ser>
          <c:idx val="2"/>
          <c:order val="2"/>
          <c:tx>
            <c:v>Combined Thrust</c:v>
          </c:tx>
          <c:spPr>
            <a:ln w="19050" cap="rnd">
              <a:solidFill>
                <a:schemeClr val="accent3"/>
              </a:solidFill>
              <a:round/>
            </a:ln>
            <a:effectLst/>
          </c:spPr>
          <c:marker>
            <c:symbol val="none"/>
          </c:marker>
          <c:xVal>
            <c:numRef>
              <c:f>'FE-Performance Analysis'!$A$27:$A$269</c:f>
              <c:numCache>
                <c:formatCode>General</c:formatCode>
                <c:ptCount val="243"/>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pt idx="236">
                  <c:v>301</c:v>
                </c:pt>
                <c:pt idx="237">
                  <c:v>302</c:v>
                </c:pt>
                <c:pt idx="238">
                  <c:v>303</c:v>
                </c:pt>
                <c:pt idx="239">
                  <c:v>304</c:v>
                </c:pt>
                <c:pt idx="240">
                  <c:v>305</c:v>
                </c:pt>
                <c:pt idx="241">
                  <c:v>306</c:v>
                </c:pt>
                <c:pt idx="242">
                  <c:v>307</c:v>
                </c:pt>
              </c:numCache>
            </c:numRef>
          </c:xVal>
          <c:yVal>
            <c:numRef>
              <c:f>'FE-Performance Analysis'!$T$27:$T$269</c:f>
              <c:numCache>
                <c:formatCode>0</c:formatCode>
                <c:ptCount val="243"/>
                <c:pt idx="0">
                  <c:v>3958.4276682082809</c:v>
                </c:pt>
                <c:pt idx="1">
                  <c:v>3941.528861873172</c:v>
                </c:pt>
                <c:pt idx="2">
                  <c:v>3924.7561765267092</c:v>
                </c:pt>
                <c:pt idx="3">
                  <c:v>3908.1040480076272</c:v>
                </c:pt>
                <c:pt idx="4">
                  <c:v>3891.5672347147356</c:v>
                </c:pt>
                <c:pt idx="5">
                  <c:v>3875.1407945669125</c:v>
                </c:pt>
                <c:pt idx="6">
                  <c:v>3858.8200639101406</c:v>
                </c:pt>
                <c:pt idx="7">
                  <c:v>3842.6006381822936</c:v>
                </c:pt>
                <c:pt idx="8">
                  <c:v>3826.478354167114</c:v>
                </c:pt>
                <c:pt idx="9">
                  <c:v>3810.4492736870598</c:v>
                </c:pt>
                <c:pt idx="10">
                  <c:v>3794.5096686007273</c:v>
                </c:pt>
                <c:pt idx="11">
                  <c:v>3778.656006984681</c:v>
                </c:pt>
                <c:pt idx="12">
                  <c:v>3762.8849403920249</c:v>
                </c:pt>
                <c:pt idx="13">
                  <c:v>3747.1932920910913</c:v>
                </c:pt>
                <c:pt idx="14">
                  <c:v>3731.5780461973827</c:v>
                </c:pt>
                <c:pt idx="15">
                  <c:v>3716.0363376206296</c:v>
                </c:pt>
                <c:pt idx="16">
                  <c:v>3700.5654427565005</c:v>
                </c:pt>
                <c:pt idx="17">
                  <c:v>3685.1627708594115</c:v>
                </c:pt>
                <c:pt idx="18">
                  <c:v>3669.8258560389868</c:v>
                </c:pt>
                <c:pt idx="19">
                  <c:v>3654.5523498282037</c:v>
                </c:pt>
                <c:pt idx="20">
                  <c:v>3639.3400142761329</c:v>
                </c:pt>
                <c:pt idx="21">
                  <c:v>3624.1867155225864</c:v>
                </c:pt>
                <c:pt idx="22">
                  <c:v>3609.0904178158921</c:v>
                </c:pt>
                <c:pt idx="23">
                  <c:v>3594.0491779385443</c:v>
                </c:pt>
                <c:pt idx="24">
                  <c:v>3579.0611400086518</c:v>
                </c:pt>
                <c:pt idx="25">
                  <c:v>3564.1245306279689</c:v>
                </c:pt>
                <c:pt idx="26">
                  <c:v>3549.2376543498176</c:v>
                </c:pt>
                <c:pt idx="27">
                  <c:v>3534.3988894425938</c:v>
                </c:pt>
                <c:pt idx="28">
                  <c:v>3519.6066839265895</c:v>
                </c:pt>
                <c:pt idx="29">
                  <c:v>3504.8595518637876</c:v>
                </c:pt>
                <c:pt idx="30">
                  <c:v>3490.1560698819817</c:v>
                </c:pt>
                <c:pt idx="31">
                  <c:v>3475.49487391614</c:v>
                </c:pt>
                <c:pt idx="32">
                  <c:v>3460.8746561513371</c:v>
                </c:pt>
                <c:pt idx="33">
                  <c:v>3446.2941621528457</c:v>
                </c:pt>
                <c:pt idx="34">
                  <c:v>3431.7521881701728</c:v>
                </c:pt>
                <c:pt idx="35">
                  <c:v>3417.2475786028435</c:v>
                </c:pt>
                <c:pt idx="36">
                  <c:v>3402.7792236167384</c:v>
                </c:pt>
                <c:pt idx="37">
                  <c:v>3388.3460569006452</c:v>
                </c:pt>
                <c:pt idx="38">
                  <c:v>3373.9470535534956</c:v>
                </c:pt>
                <c:pt idx="39">
                  <c:v>3359.5812280934929</c:v>
                </c:pt>
                <c:pt idx="40">
                  <c:v>3345.2476325810048</c:v>
                </c:pt>
                <c:pt idx="41">
                  <c:v>3330.9453548477054</c:v>
                </c:pt>
                <c:pt idx="42">
                  <c:v>3316.6735168250189</c:v>
                </c:pt>
                <c:pt idx="43">
                  <c:v>3302.431272965428</c:v>
                </c:pt>
                <c:pt idx="44">
                  <c:v>3288.2178087506832</c:v>
                </c:pt>
                <c:pt idx="45">
                  <c:v>3274.0323392813798</c:v>
                </c:pt>
                <c:pt idx="46">
                  <c:v>3259.8741079427746</c:v>
                </c:pt>
                <c:pt idx="47">
                  <c:v>3245.7423851420826</c:v>
                </c:pt>
                <c:pt idx="48">
                  <c:v>3231.6364671128104</c:v>
                </c:pt>
                <c:pt idx="49">
                  <c:v>3217.5556747820247</c:v>
                </c:pt>
                <c:pt idx="50">
                  <c:v>3203.4993526967228</c:v>
                </c:pt>
                <c:pt idx="51">
                  <c:v>3189.4668680057275</c:v>
                </c:pt>
                <c:pt idx="52">
                  <c:v>3175.4576094938002</c:v>
                </c:pt>
                <c:pt idx="53">
                  <c:v>3161.4709866648636</c:v>
                </c:pt>
                <c:pt idx="54">
                  <c:v>3147.5064288714466</c:v>
                </c:pt>
                <c:pt idx="55">
                  <c:v>3133.563384487662</c:v>
                </c:pt>
                <c:pt idx="56">
                  <c:v>3119.6413201231876</c:v>
                </c:pt>
                <c:pt idx="57">
                  <c:v>3105.7397198759104</c:v>
                </c:pt>
                <c:pt idx="58">
                  <c:v>3091.8580846210189</c:v>
                </c:pt>
                <c:pt idx="59">
                  <c:v>3077.9959313345053</c:v>
                </c:pt>
                <c:pt idx="60">
                  <c:v>3064.1527924491274</c:v>
                </c:pt>
                <c:pt idx="61">
                  <c:v>3050.3282152410493</c:v>
                </c:pt>
                <c:pt idx="62">
                  <c:v>3036.521761245453</c:v>
                </c:pt>
                <c:pt idx="63">
                  <c:v>3022.7330056995461</c:v>
                </c:pt>
                <c:pt idx="64">
                  <c:v>3008.9615370114743</c:v>
                </c:pt>
                <c:pt idx="65">
                  <c:v>2995.2069562537499</c:v>
                </c:pt>
                <c:pt idx="66">
                  <c:v>2981.4688766798763</c:v>
                </c:pt>
                <c:pt idx="67">
                  <c:v>2967.7469232629478</c:v>
                </c:pt>
                <c:pt idx="68">
                  <c:v>2954.0407322550636</c:v>
                </c:pt>
                <c:pt idx="69">
                  <c:v>2940.3499507664692</c:v>
                </c:pt>
                <c:pt idx="70">
                  <c:v>2926.6742363634003</c:v>
                </c:pt>
                <c:pt idx="71">
                  <c:v>2913.0132566836801</c:v>
                </c:pt>
                <c:pt idx="72">
                  <c:v>2899.3666890691297</c:v>
                </c:pt>
                <c:pt idx="73">
                  <c:v>2885.7342202139862</c:v>
                </c:pt>
                <c:pt idx="74">
                  <c:v>2872.1155458284779</c:v>
                </c:pt>
                <c:pt idx="75">
                  <c:v>2858.510370316827</c:v>
                </c:pt>
                <c:pt idx="76">
                  <c:v>2844.9184064689507</c:v>
                </c:pt>
                <c:pt idx="77">
                  <c:v>2831.3393751651934</c:v>
                </c:pt>
                <c:pt idx="78">
                  <c:v>2817.7730050934397</c:v>
                </c:pt>
                <c:pt idx="79">
                  <c:v>2804.2190324780222</c:v>
                </c:pt>
                <c:pt idx="80">
                  <c:v>2790.6772008198454</c:v>
                </c:pt>
                <c:pt idx="81">
                  <c:v>2777.1472606471843</c:v>
                </c:pt>
                <c:pt idx="82">
                  <c:v>2763.6289692766613</c:v>
                </c:pt>
                <c:pt idx="83">
                  <c:v>2750.1220905839095</c:v>
                </c:pt>
                <c:pt idx="84">
                  <c:v>2736.6263947834696</c:v>
                </c:pt>
                <c:pt idx="85">
                  <c:v>2723.1416582174957</c:v>
                </c:pt>
                <c:pt idx="86">
                  <c:v>2709.6676631528526</c:v>
                </c:pt>
                <c:pt idx="87">
                  <c:v>2696.2041975862248</c:v>
                </c:pt>
                <c:pt idx="88">
                  <c:v>2682.7510550568659</c:v>
                </c:pt>
                <c:pt idx="89">
                  <c:v>2669.3080344666487</c:v>
                </c:pt>
                <c:pt idx="90">
                  <c:v>2655.874939907073</c:v>
                </c:pt>
                <c:pt idx="91">
                  <c:v>2642.4515804929338</c:v>
                </c:pt>
                <c:pt idx="92">
                  <c:v>2629.0377702023443</c:v>
                </c:pt>
                <c:pt idx="93">
                  <c:v>2615.6333277228318</c:v>
                </c:pt>
                <c:pt idx="94">
                  <c:v>2602.2380763032443</c:v>
                </c:pt>
                <c:pt idx="95">
                  <c:v>2588.8518436112081</c:v>
                </c:pt>
                <c:pt idx="96">
                  <c:v>2575.4744615958989</c:v>
                </c:pt>
                <c:pt idx="97">
                  <c:v>2562.1057663558954</c:v>
                </c:pt>
                <c:pt idx="98">
                  <c:v>2548.7455980118993</c:v>
                </c:pt>
                <c:pt idx="99">
                  <c:v>2535.3938005841032</c:v>
                </c:pt>
                <c:pt idx="100">
                  <c:v>2522.0502218740321</c:v>
                </c:pt>
                <c:pt idx="101">
                  <c:v>2508.7147133506433</c:v>
                </c:pt>
                <c:pt idx="102">
                  <c:v>2495.3871300405222</c:v>
                </c:pt>
                <c:pt idx="103">
                  <c:v>2482.0673304220036</c:v>
                </c:pt>
                <c:pt idx="104">
                  <c:v>2468.7551763230476</c:v>
                </c:pt>
                <c:pt idx="105">
                  <c:v>2455.450532822721</c:v>
                </c:pt>
                <c:pt idx="106">
                  <c:v>2442.1532681561334</c:v>
                </c:pt>
                <c:pt idx="107">
                  <c:v>2428.8632536226996</c:v>
                </c:pt>
                <c:pt idx="108">
                  <c:v>2415.5803634975655</c:v>
                </c:pt>
                <c:pt idx="109">
                  <c:v>2402.3044749461046</c:v>
                </c:pt>
                <c:pt idx="110">
                  <c:v>2389.0354679413408</c:v>
                </c:pt>
                <c:pt idx="111">
                  <c:v>2375.7732251841835</c:v>
                </c:pt>
                <c:pt idx="112">
                  <c:v>2362.5176320263649</c:v>
                </c:pt>
                <c:pt idx="113">
                  <c:v>2349.2685763959885</c:v>
                </c:pt>
                <c:pt idx="114">
                  <c:v>2336.0259487255562</c:v>
                </c:pt>
                <c:pt idx="115">
                  <c:v>2322.7896418823993</c:v>
                </c:pt>
                <c:pt idx="116">
                  <c:v>2309.5595511014276</c:v>
                </c:pt>
                <c:pt idx="117">
                  <c:v>2296.3355739200765</c:v>
                </c:pt>
                <c:pt idx="118">
                  <c:v>2283.117610115401</c:v>
                </c:pt>
                <c:pt idx="119">
                  <c:v>2269.9055616432165</c:v>
                </c:pt>
                <c:pt idx="120">
                  <c:v>2256.6993325792132</c:v>
                </c:pt>
                <c:pt idx="121">
                  <c:v>2243.4988290619667</c:v>
                </c:pt>
                <c:pt idx="122">
                  <c:v>2230.3039592377872</c:v>
                </c:pt>
                <c:pt idx="123">
                  <c:v>2217.1146332073176</c:v>
                </c:pt>
                <c:pt idx="124">
                  <c:v>2203.9307629738323</c:v>
                </c:pt>
                <c:pt idx="125">
                  <c:v>2190.7522623931673</c:v>
                </c:pt>
                <c:pt idx="126">
                  <c:v>2177.5790471252267</c:v>
                </c:pt>
                <c:pt idx="127">
                  <c:v>2164.4110345869985</c:v>
                </c:pt>
                <c:pt idx="128">
                  <c:v>2151.2481439070375</c:v>
                </c:pt>
                <c:pt idx="129">
                  <c:v>2138.0902958813494</c:v>
                </c:pt>
                <c:pt idx="130">
                  <c:v>2124.9374129306366</c:v>
                </c:pt>
                <c:pt idx="131">
                  <c:v>2111.7894190588559</c:v>
                </c:pt>
                <c:pt idx="132">
                  <c:v>2098.646239813027</c:v>
                </c:pt>
                <c:pt idx="133">
                  <c:v>2085.5078022442717</c:v>
                </c:pt>
                <c:pt idx="134">
                  <c:v>2072.3740348700217</c:v>
                </c:pt>
                <c:pt idx="135">
                  <c:v>2059.2448676373592</c:v>
                </c:pt>
                <c:pt idx="136">
                  <c:v>2046.120231887455</c:v>
                </c:pt>
                <c:pt idx="137">
                  <c:v>2033.0000603210592</c:v>
                </c:pt>
                <c:pt idx="138">
                  <c:v>2019.8842869650168</c:v>
                </c:pt>
                <c:pt idx="139">
                  <c:v>2006.7728471397647</c:v>
                </c:pt>
                <c:pt idx="140">
                  <c:v>1993.6656774277783</c:v>
                </c:pt>
                <c:pt idx="141">
                  <c:v>1980.5627156429423</c:v>
                </c:pt>
                <c:pt idx="142">
                  <c:v>1967.4639008008048</c:v>
                </c:pt>
                <c:pt idx="143">
                  <c:v>1954.369173089693</c:v>
                </c:pt>
                <c:pt idx="144">
                  <c:v>1941.2784738426542</c:v>
                </c:pt>
                <c:pt idx="145">
                  <c:v>1928.1917455102014</c:v>
                </c:pt>
                <c:pt idx="146">
                  <c:v>1915.108931633833</c:v>
                </c:pt>
                <c:pt idx="147">
                  <c:v>1902.0299768203038</c:v>
                </c:pt>
                <c:pt idx="148">
                  <c:v>1888.9548267166144</c:v>
                </c:pt>
                <c:pt idx="149">
                  <c:v>1875.8834279857124</c:v>
                </c:pt>
                <c:pt idx="150">
                  <c:v>1862.8157282828604</c:v>
                </c:pt>
                <c:pt idx="151">
                  <c:v>1849.7516762326693</c:v>
                </c:pt>
                <c:pt idx="152">
                  <c:v>1836.6912214067613</c:v>
                </c:pt>
                <c:pt idx="153">
                  <c:v>1823.6343143020495</c:v>
                </c:pt>
                <c:pt idx="154">
                  <c:v>1810.5809063196134</c:v>
                </c:pt>
                <c:pt idx="155">
                  <c:v>1797.5309497441499</c:v>
                </c:pt>
                <c:pt idx="156">
                  <c:v>1784.4843977239793</c:v>
                </c:pt>
                <c:pt idx="157">
                  <c:v>1771.4412042515996</c:v>
                </c:pt>
                <c:pt idx="158">
                  <c:v>1758.4013241447526</c:v>
                </c:pt>
                <c:pt idx="159">
                  <c:v>1745.3647130280062</c:v>
                </c:pt>
                <c:pt idx="160">
                  <c:v>1732.3313273148265</c:v>
                </c:pt>
                <c:pt idx="161">
                  <c:v>1719.3011241901224</c:v>
                </c:pt>
                <c:pt idx="162">
                  <c:v>1706.274061593251</c:v>
                </c:pt>
                <c:pt idx="163">
                  <c:v>1693.2500982014808</c:v>
                </c:pt>
                <c:pt idx="164">
                  <c:v>1680.22919341387</c:v>
                </c:pt>
                <c:pt idx="165">
                  <c:v>1667.2113073355824</c:v>
                </c:pt>
                <c:pt idx="166">
                  <c:v>1654.1964007625993</c:v>
                </c:pt>
                <c:pt idx="167">
                  <c:v>1641.1844351668374</c:v>
                </c:pt>
                <c:pt idx="168">
                  <c:v>1628.1753726816341</c:v>
                </c:pt>
                <c:pt idx="169">
                  <c:v>1615.1691760876256</c:v>
                </c:pt>
                <c:pt idx="170">
                  <c:v>1602.1658087989663</c:v>
                </c:pt>
                <c:pt idx="171">
                  <c:v>1589.1652348499092</c:v>
                </c:pt>
                <c:pt idx="172">
                  <c:v>1576.1674188817269</c:v>
                </c:pt>
                <c:pt idx="173">
                  <c:v>1563.1723261299535</c:v>
                </c:pt>
                <c:pt idx="174">
                  <c:v>1550.1799224119563</c:v>
                </c:pt>
                <c:pt idx="175">
                  <c:v>1537.1901741148131</c:v>
                </c:pt>
                <c:pt idx="176">
                  <c:v>1524.2030481834925</c:v>
                </c:pt>
                <c:pt idx="177">
                  <c:v>1511.2185121093278</c:v>
                </c:pt>
                <c:pt idx="178">
                  <c:v>1498.2365339187738</c:v>
                </c:pt>
                <c:pt idx="179">
                  <c:v>1485.2570821624422</c:v>
                </c:pt>
                <c:pt idx="180">
                  <c:v>1472.280125904402</c:v>
                </c:pt>
                <c:pt idx="181">
                  <c:v>1459.3056347117488</c:v>
                </c:pt>
                <c:pt idx="182">
                  <c:v>1446.333578644417</c:v>
                </c:pt>
                <c:pt idx="183">
                  <c:v>1433.3639282452439</c:v>
                </c:pt>
                <c:pt idx="184">
                  <c:v>1420.3966545302783</c:v>
                </c:pt>
                <c:pt idx="185">
                  <c:v>1407.4317289793071</c:v>
                </c:pt>
                <c:pt idx="186">
                  <c:v>1394.4691235266264</c:v>
                </c:pt>
                <c:pt idx="187">
                  <c:v>1381.5088105520206</c:v>
                </c:pt>
                <c:pt idx="188">
                  <c:v>1368.550762871952</c:v>
                </c:pt>
                <c:pt idx="189">
                  <c:v>1355.5949537309746</c:v>
                </c:pt>
                <c:pt idx="190">
                  <c:v>1342.6413567933344</c:v>
                </c:pt>
                <c:pt idx="191">
                  <c:v>1329.6899461347734</c:v>
                </c:pt>
                <c:pt idx="192">
                  <c:v>1316.7406962345235</c:v>
                </c:pt>
                <c:pt idx="193">
                  <c:v>1303.7935819674888</c:v>
                </c:pt>
                <c:pt idx="194">
                  <c:v>1290.8485785966061</c:v>
                </c:pt>
                <c:pt idx="195">
                  <c:v>1277.9056617653796</c:v>
                </c:pt>
                <c:pt idx="196">
                  <c:v>1264.9648074905949</c:v>
                </c:pt>
                <c:pt idx="197">
                  <c:v>1252.0259921551951</c:v>
                </c:pt>
                <c:pt idx="198">
                  <c:v>1239.0891925013145</c:v>
                </c:pt>
                <c:pt idx="199">
                  <c:v>1226.1543856234825</c:v>
                </c:pt>
                <c:pt idx="200">
                  <c:v>1213.2215489619707</c:v>
                </c:pt>
                <c:pt idx="201">
                  <c:v>1200.2906602962926</c:v>
                </c:pt>
                <c:pt idx="202">
                  <c:v>1187.3616977388565</c:v>
                </c:pt>
                <c:pt idx="203">
                  <c:v>1174.4346397287482</c:v>
                </c:pt>
                <c:pt idx="204">
                  <c:v>1161.5094650256619</c:v>
                </c:pt>
                <c:pt idx="205">
                  <c:v>1148.5861527039658</c:v>
                </c:pt>
                <c:pt idx="206">
                  <c:v>1135.6646821468912</c:v>
                </c:pt>
                <c:pt idx="207">
                  <c:v>1122.7450330408581</c:v>
                </c:pt>
                <c:pt idx="208">
                  <c:v>1109.8271853699202</c:v>
                </c:pt>
                <c:pt idx="209">
                  <c:v>1096.9111194103359</c:v>
                </c:pt>
                <c:pt idx="210">
                  <c:v>1083.9968157252524</c:v>
                </c:pt>
                <c:pt idx="211">
                  <c:v>1071.0842551595156</c:v>
                </c:pt>
                <c:pt idx="212">
                  <c:v>1058.1734188345742</c:v>
                </c:pt>
                <c:pt idx="213">
                  <c:v>1045.264288143514</c:v>
                </c:pt>
                <c:pt idx="214">
                  <c:v>1032.3568447461853</c:v>
                </c:pt>
                <c:pt idx="215">
                  <c:v>1019.4510705644409</c:v>
                </c:pt>
                <c:pt idx="216">
                  <c:v>1006.5469477774736</c:v>
                </c:pt>
                <c:pt idx="217">
                  <c:v>993.6444588172551</c:v>
                </c:pt>
                <c:pt idx="218">
                  <c:v>980.74358636406623</c:v>
                </c:pt>
                <c:pt idx="219">
                  <c:v>967.84431334212854</c:v>
                </c:pt>
                <c:pt idx="220">
                  <c:v>954.94662291532438</c:v>
                </c:pt>
                <c:pt idx="221">
                  <c:v>942.0504984830045</c:v>
                </c:pt>
                <c:pt idx="222">
                  <c:v>929.15592367588829</c:v>
                </c:pt>
                <c:pt idx="223">
                  <c:v>916.262882352048</c:v>
                </c:pt>
                <c:pt idx="224">
                  <c:v>903.37135859296984</c:v>
                </c:pt>
                <c:pt idx="225">
                  <c:v>890.48133669971094</c:v>
                </c:pt>
                <c:pt idx="226">
                  <c:v>877.5928011891167</c:v>
                </c:pt>
                <c:pt idx="227">
                  <c:v>864.70573679013285</c:v>
                </c:pt>
                <c:pt idx="228">
                  <c:v>851.82012844018254</c:v>
                </c:pt>
                <c:pt idx="229">
                  <c:v>838.93596128162324</c:v>
                </c:pt>
                <c:pt idx="230">
                  <c:v>826.05322065827124</c:v>
                </c:pt>
                <c:pt idx="231">
                  <c:v>813.17189211199957</c:v>
                </c:pt>
                <c:pt idx="232">
                  <c:v>800.2919613794038</c:v>
                </c:pt>
                <c:pt idx="233">
                  <c:v>787.41341438853192</c:v>
                </c:pt>
                <c:pt idx="234">
                  <c:v>774.53623725569014</c:v>
                </c:pt>
                <c:pt idx="235">
                  <c:v>761.66041628229732</c:v>
                </c:pt>
                <c:pt idx="236">
                  <c:v>748.78593795181405</c:v>
                </c:pt>
                <c:pt idx="237">
                  <c:v>735.91278892672835</c:v>
                </c:pt>
                <c:pt idx="238">
                  <c:v>723.0409560456003</c:v>
                </c:pt>
                <c:pt idx="239">
                  <c:v>710.17042632016683</c:v>
                </c:pt>
                <c:pt idx="240">
                  <c:v>697.30118693250165</c:v>
                </c:pt>
                <c:pt idx="241">
                  <c:v>684.43322523223878</c:v>
                </c:pt>
                <c:pt idx="242">
                  <c:v>671.56652873383064</c:v>
                </c:pt>
              </c:numCache>
            </c:numRef>
          </c:yVal>
          <c:smooth val="0"/>
          <c:extLst>
            <c:ext xmlns:c16="http://schemas.microsoft.com/office/drawing/2014/chart" uri="{C3380CC4-5D6E-409C-BE32-E72D297353CC}">
              <c16:uniqueId val="{00000002-6C02-4FE5-A986-E3A58E9FBB38}"/>
            </c:ext>
          </c:extLst>
        </c:ser>
        <c:dLbls>
          <c:showLegendKey val="0"/>
          <c:showVal val="0"/>
          <c:showCatName val="0"/>
          <c:showSerName val="0"/>
          <c:showPercent val="0"/>
          <c:showBubbleSize val="0"/>
        </c:dLbls>
        <c:axId val="158697479"/>
        <c:axId val="158699527"/>
      </c:scatterChart>
      <c:valAx>
        <c:axId val="1586974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r>
                  <a:rPr lang="en-US"/>
                  <a:t>Calibrated Airspeed, (KCAS)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crossAx val="158699527"/>
        <c:crosses val="autoZero"/>
        <c:crossBetween val="midCat"/>
      </c:valAx>
      <c:valAx>
        <c:axId val="158699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r>
                  <a:rPr lang="en-US"/>
                  <a:t>Thrust (lb)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crossAx val="15869747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Angle</a:t>
            </a:r>
            <a:r>
              <a:rPr lang="en-US" baseline="0"/>
              <a:t> of Climb vs Airspeed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Climb Performance at S-L</c:v>
          </c:tx>
          <c:spPr>
            <a:ln w="25400" cap="rnd">
              <a:solidFill>
                <a:schemeClr val="accent1"/>
              </a:solidFill>
              <a:round/>
            </a:ln>
            <a:effectLst/>
          </c:spPr>
          <c:marker>
            <c:symbol val="none"/>
          </c:marker>
          <c:xVal>
            <c:numRef>
              <c:f>'FE-Performance Analysis'!$A$27:$A$269</c:f>
              <c:numCache>
                <c:formatCode>General</c:formatCode>
                <c:ptCount val="243"/>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pt idx="236">
                  <c:v>301</c:v>
                </c:pt>
                <c:pt idx="237">
                  <c:v>302</c:v>
                </c:pt>
                <c:pt idx="238">
                  <c:v>303</c:v>
                </c:pt>
                <c:pt idx="239">
                  <c:v>304</c:v>
                </c:pt>
                <c:pt idx="240">
                  <c:v>305</c:v>
                </c:pt>
                <c:pt idx="241">
                  <c:v>306</c:v>
                </c:pt>
                <c:pt idx="242">
                  <c:v>307</c:v>
                </c:pt>
              </c:numCache>
            </c:numRef>
          </c:xVal>
          <c:yVal>
            <c:numRef>
              <c:f>'FE-Performance Analysis'!$AC$27:$AC$262</c:f>
              <c:numCache>
                <c:formatCode>General</c:formatCode>
                <c:ptCount val="236"/>
                <c:pt idx="0">
                  <c:v>5.5088709082205964</c:v>
                </c:pt>
                <c:pt idx="1">
                  <c:v>5.6491419657081101</c:v>
                </c:pt>
                <c:pt idx="2">
                  <c:v>5.7807091124621035</c:v>
                </c:pt>
                <c:pt idx="3">
                  <c:v>5.9040739509087725</c:v>
                </c:pt>
                <c:pt idx="4">
                  <c:v>6.0197019382099946</c:v>
                </c:pt>
                <c:pt idx="5">
                  <c:v>6.1280254758175552</c:v>
                </c:pt>
                <c:pt idx="6">
                  <c:v>6.2294466934594022</c:v>
                </c:pt>
                <c:pt idx="7">
                  <c:v>6.3243399619055145</c:v>
                </c:pt>
                <c:pt idx="8">
                  <c:v>6.4130541645322792</c:v>
                </c:pt>
                <c:pt idx="9">
                  <c:v>6.4959147539804327</c:v>
                </c:pt>
                <c:pt idx="10">
                  <c:v>6.573225616990177</c:v>
                </c:pt>
                <c:pt idx="11">
                  <c:v>6.6452707677201914</c:v>
                </c:pt>
                <c:pt idx="12">
                  <c:v>6.7123158874506199</c:v>
                </c:pt>
                <c:pt idx="13">
                  <c:v>6.7746097264791674</c:v>
                </c:pt>
                <c:pt idx="14">
                  <c:v>6.8323853821990852</c:v>
                </c:pt>
                <c:pt idx="15">
                  <c:v>6.8858614657595316</c:v>
                </c:pt>
                <c:pt idx="16">
                  <c:v>6.9352431683196745</c:v>
                </c:pt>
                <c:pt idx="17">
                  <c:v>6.9807232366915981</c:v>
                </c:pt>
                <c:pt idx="18">
                  <c:v>7.0224828670985104</c:v>
                </c:pt>
                <c:pt idx="19">
                  <c:v>7.0606925248359103</c:v>
                </c:pt>
                <c:pt idx="20">
                  <c:v>7.0955126967955229</c:v>
                </c:pt>
                <c:pt idx="21">
                  <c:v>7.1270945830816821</c:v>
                </c:pt>
                <c:pt idx="22">
                  <c:v>7.1555807333040429</c:v>
                </c:pt>
                <c:pt idx="23">
                  <c:v>7.1811056325588289</c:v>
                </c:pt>
                <c:pt idx="24">
                  <c:v>7.2037962416037944</c:v>
                </c:pt>
                <c:pt idx="25">
                  <c:v>7.2237724952816205</c:v>
                </c:pt>
                <c:pt idx="26">
                  <c:v>7.2411477628457064</c:v>
                </c:pt>
                <c:pt idx="27">
                  <c:v>7.2560292734854457</c:v>
                </c:pt>
                <c:pt idx="28">
                  <c:v>7.268518510029641</c:v>
                </c:pt>
                <c:pt idx="29">
                  <c:v>7.2787115735219832</c:v>
                </c:pt>
                <c:pt idx="30">
                  <c:v>7.2866995211082068</c:v>
                </c:pt>
                <c:pt idx="31">
                  <c:v>7.2925686794464424</c:v>
                </c:pt>
                <c:pt idx="32">
                  <c:v>7.2964009356478003</c:v>
                </c:pt>
                <c:pt idx="33">
                  <c:v>7.2982740075706474</c:v>
                </c:pt>
                <c:pt idx="34">
                  <c:v>7.2982616951269135</c:v>
                </c:pt>
                <c:pt idx="35">
                  <c:v>7.2964341141101823</c:v>
                </c:pt>
                <c:pt idx="36">
                  <c:v>7.2928579139213818</c:v>
                </c:pt>
                <c:pt idx="37">
                  <c:v>7.2875964804471121</c:v>
                </c:pt>
                <c:pt idx="38">
                  <c:v>7.2807101252365518</c:v>
                </c:pt>
                <c:pt idx="39">
                  <c:v>7.2722562620241158</c:v>
                </c:pt>
                <c:pt idx="40">
                  <c:v>7.2622895715559483</c:v>
                </c:pt>
                <c:pt idx="41">
                  <c:v>7.250862155597277</c:v>
                </c:pt>
                <c:pt idx="42">
                  <c:v>7.2380236809243419</c:v>
                </c:pt>
                <c:pt idx="43">
                  <c:v>7.2238215140380655</c:v>
                </c:pt>
                <c:pt idx="44">
                  <c:v>7.2083008472761172</c:v>
                </c:pt>
                <c:pt idx="45">
                  <c:v>7.1915048169448585</c:v>
                </c:pt>
                <c:pt idx="46">
                  <c:v>7.1734746140427692</c:v>
                </c:pt>
                <c:pt idx="47">
                  <c:v>7.1542495881011572</c:v>
                </c:pt>
                <c:pt idx="48">
                  <c:v>7.1338673446263465</c:v>
                </c:pt>
                <c:pt idx="49">
                  <c:v>7.112363836589628</c:v>
                </c:pt>
                <c:pt idx="50">
                  <c:v>7.0897734503764278</c:v>
                </c:pt>
                <c:pt idx="51">
                  <c:v>7.0661290865745272</c:v>
                </c:pt>
                <c:pt idx="52">
                  <c:v>7.0414622359520571</c:v>
                </c:pt>
                <c:pt idx="53">
                  <c:v>7.015803050949466</c:v>
                </c:pt>
                <c:pt idx="54">
                  <c:v>6.9891804129852035</c:v>
                </c:pt>
                <c:pt idx="55">
                  <c:v>6.9616219958526626</c:v>
                </c:pt>
                <c:pt idx="56">
                  <c:v>6.9331543254652104</c:v>
                </c:pt>
                <c:pt idx="57">
                  <c:v>6.9038028361875412</c:v>
                </c:pt>
                <c:pt idx="58">
                  <c:v>6.8735919239740157</c:v>
                </c:pt>
                <c:pt idx="59">
                  <c:v>6.8425449965189618</c:v>
                </c:pt>
                <c:pt idx="60">
                  <c:v>6.8106845206090396</c:v>
                </c:pt>
                <c:pt idx="61">
                  <c:v>6.7780320668544327</c:v>
                </c:pt>
                <c:pt idx="62">
                  <c:v>6.7446083519630955</c:v>
                </c:pt>
                <c:pt idx="63">
                  <c:v>6.7104332787108083</c:v>
                </c:pt>
                <c:pt idx="64">
                  <c:v>6.6755259737492381</c:v>
                </c:pt>
                <c:pt idx="65">
                  <c:v>6.6399048233843745</c:v>
                </c:pt>
                <c:pt idx="66">
                  <c:v>6.6035875074487116</c:v>
                </c:pt>
                <c:pt idx="67">
                  <c:v>6.5665910313820888</c:v>
                </c:pt>
                <c:pt idx="68">
                  <c:v>6.5289317566285385</c:v>
                </c:pt>
                <c:pt idx="69">
                  <c:v>6.4906254294491301</c:v>
                </c:pt>
                <c:pt idx="70">
                  <c:v>6.4516872082443015</c:v>
                </c:pt>
                <c:pt idx="71">
                  <c:v>6.4121316894729841</c:v>
                </c:pt>
                <c:pt idx="72">
                  <c:v>6.3719729322500607</c:v>
                </c:pt>
                <c:pt idx="73">
                  <c:v>6.3312244816985199</c:v>
                </c:pt>
                <c:pt idx="74">
                  <c:v>6.2898993911276317</c:v>
                </c:pt>
                <c:pt idx="75">
                  <c:v>6.2480102431040194</c:v>
                </c:pt>
                <c:pt idx="76">
                  <c:v>6.2055691694781405</c:v>
                </c:pt>
                <c:pt idx="77">
                  <c:v>6.1625878704248613</c:v>
                </c:pt>
                <c:pt idx="78">
                  <c:v>6.1190776325530534</c:v>
                </c:pt>
                <c:pt idx="79">
                  <c:v>6.0750493461357404</c:v>
                </c:pt>
                <c:pt idx="80">
                  <c:v>6.0305135215091887</c:v>
                </c:pt>
                <c:pt idx="81">
                  <c:v>5.9854803046862797</c:v>
                </c:pt>
                <c:pt idx="82">
                  <c:v>5.9399594922268308</c:v>
                </c:pt>
                <c:pt idx="83">
                  <c:v>5.8939605454048731</c:v>
                </c:pt>
                <c:pt idx="84">
                  <c:v>5.8474926037105259</c:v>
                </c:pt>
                <c:pt idx="85">
                  <c:v>5.8005644977218829</c:v>
                </c:pt>
                <c:pt idx="86">
                  <c:v>5.7531847613801395</c:v>
                </c:pt>
                <c:pt idx="87">
                  <c:v>5.7053616436993266</c:v>
                </c:pt>
                <c:pt idx="88">
                  <c:v>5.6571031199401354</c:v>
                </c:pt>
                <c:pt idx="89">
                  <c:v>5.6084169022755779</c:v>
                </c:pt>
                <c:pt idx="90">
                  <c:v>5.5593104499746664</c:v>
                </c:pt>
                <c:pt idx="91">
                  <c:v>5.5097909791287609</c:v>
                </c:pt>
                <c:pt idx="92">
                  <c:v>5.4598654719438784</c:v>
                </c:pt>
                <c:pt idx="93">
                  <c:v>5.4095406856208044</c:v>
                </c:pt>
                <c:pt idx="94">
                  <c:v>5.3588231608438095</c:v>
                </c:pt>
                <c:pt idx="95">
                  <c:v>5.3077192298974403</c:v>
                </c:pt>
                <c:pt idx="96">
                  <c:v>5.2562350244298246</c:v>
                </c:pt>
                <c:pt idx="97">
                  <c:v>5.2043764828799803</c:v>
                </c:pt>
                <c:pt idx="98">
                  <c:v>5.1521493575855315</c:v>
                </c:pt>
                <c:pt idx="99">
                  <c:v>5.0995592215863841</c:v>
                </c:pt>
                <c:pt idx="100">
                  <c:v>5.0466114751391924</c:v>
                </c:pt>
                <c:pt idx="101">
                  <c:v>4.993311351956387</c:v>
                </c:pt>
                <c:pt idx="102">
                  <c:v>4.9396639251830434</c:v>
                </c:pt>
                <c:pt idx="103">
                  <c:v>4.8856741131240433</c:v>
                </c:pt>
                <c:pt idx="104">
                  <c:v>4.831346684733302</c:v>
                </c:pt>
                <c:pt idx="105">
                  <c:v>4.7766862648762807</c:v>
                </c:pt>
                <c:pt idx="106">
                  <c:v>4.721697339376373</c:v>
                </c:pt>
                <c:pt idx="107">
                  <c:v>4.6663842598552225</c:v>
                </c:pt>
                <c:pt idx="108">
                  <c:v>4.6107512483764426</c:v>
                </c:pt>
                <c:pt idx="109">
                  <c:v>4.5548024019018385</c:v>
                </c:pt>
                <c:pt idx="110">
                  <c:v>4.4985416965686804</c:v>
                </c:pt>
                <c:pt idx="111">
                  <c:v>4.4419729917961215</c:v>
                </c:pt>
                <c:pt idx="112">
                  <c:v>4.3851000342284836</c:v>
                </c:pt>
                <c:pt idx="113">
                  <c:v>4.3279264615228481</c:v>
                </c:pt>
                <c:pt idx="114">
                  <c:v>4.2704558059877407</c:v>
                </c:pt>
                <c:pt idx="115">
                  <c:v>4.2126914980796242</c:v>
                </c:pt>
                <c:pt idx="116">
                  <c:v>4.154636869763519</c:v>
                </c:pt>
                <c:pt idx="117">
                  <c:v>4.096295157743616</c:v>
                </c:pt>
                <c:pt idx="118">
                  <c:v>4.0376695065696557</c:v>
                </c:pt>
                <c:pt idx="119">
                  <c:v>3.9787629716244415</c:v>
                </c:pt>
                <c:pt idx="120">
                  <c:v>3.9195785219976274</c:v>
                </c:pt>
                <c:pt idx="121">
                  <c:v>3.8601190432506751</c:v>
                </c:pt>
                <c:pt idx="122">
                  <c:v>3.8003873400776551</c:v>
                </c:pt>
                <c:pt idx="123">
                  <c:v>3.7403861388662953</c:v>
                </c:pt>
                <c:pt idx="124">
                  <c:v>3.68011809016352</c:v>
                </c:pt>
                <c:pt idx="125">
                  <c:v>3.6195857710495143</c:v>
                </c:pt>
                <c:pt idx="126">
                  <c:v>3.5587916874241254</c:v>
                </c:pt>
                <c:pt idx="127">
                  <c:v>3.4977382762092564</c:v>
                </c:pt>
                <c:pt idx="128">
                  <c:v>3.4364279074707715</c:v>
                </c:pt>
                <c:pt idx="129">
                  <c:v>3.3748628864631747</c:v>
                </c:pt>
                <c:pt idx="130">
                  <c:v>3.3130454556002964</c:v>
                </c:pt>
                <c:pt idx="131">
                  <c:v>3.25097779635498</c:v>
                </c:pt>
                <c:pt idx="132">
                  <c:v>3.1886620310906246</c:v>
                </c:pt>
                <c:pt idx="133">
                  <c:v>3.1261002248274075</c:v>
                </c:pt>
                <c:pt idx="134">
                  <c:v>3.0632943869457701</c:v>
                </c:pt>
                <c:pt idx="135">
                  <c:v>3.0002464728296805</c:v>
                </c:pt>
                <c:pt idx="136">
                  <c:v>2.9369583854520744</c:v>
                </c:pt>
                <c:pt idx="137">
                  <c:v>2.8734319769047949</c:v>
                </c:pt>
                <c:pt idx="138">
                  <c:v>2.809669049875184</c:v>
                </c:pt>
                <c:pt idx="139">
                  <c:v>2.7456713590714337</c:v>
                </c:pt>
                <c:pt idx="140">
                  <c:v>2.6814406125987094</c:v>
                </c:pt>
                <c:pt idx="141">
                  <c:v>2.6169784732879422</c:v>
                </c:pt>
                <c:pt idx="142">
                  <c:v>2.5522865599791369</c:v>
                </c:pt>
                <c:pt idx="143">
                  <c:v>2.487366448760941</c:v>
                </c:pt>
                <c:pt idx="144">
                  <c:v>2.4222196741681454</c:v>
                </c:pt>
                <c:pt idx="145">
                  <c:v>2.3568477303387252</c:v>
                </c:pt>
                <c:pt idx="146">
                  <c:v>2.2912520721319689</c:v>
                </c:pt>
                <c:pt idx="147">
                  <c:v>2.2254341162091555</c:v>
                </c:pt>
                <c:pt idx="148">
                  <c:v>2.159395242078161</c:v>
                </c:pt>
                <c:pt idx="149">
                  <c:v>2.0931367931034242</c:v>
                </c:pt>
                <c:pt idx="150">
                  <c:v>2.0266600774824495</c:v>
                </c:pt>
                <c:pt idx="151">
                  <c:v>1.9599663691901952</c:v>
                </c:pt>
                <c:pt idx="152">
                  <c:v>1.893056908892462</c:v>
                </c:pt>
                <c:pt idx="153">
                  <c:v>1.8259329048294473</c:v>
                </c:pt>
                <c:pt idx="154">
                  <c:v>1.758595533670557</c:v>
                </c:pt>
                <c:pt idx="155">
                  <c:v>1.691045941341524</c:v>
                </c:pt>
                <c:pt idx="156">
                  <c:v>1.6232852438247964</c:v>
                </c:pt>
                <c:pt idx="157">
                  <c:v>1.5553145279342615</c:v>
                </c:pt>
                <c:pt idx="158">
                  <c:v>1.4871348520650691</c:v>
                </c:pt>
                <c:pt idx="159">
                  <c:v>1.4187472469196112</c:v>
                </c:pt>
                <c:pt idx="160">
                  <c:v>1.3501527162103935</c:v>
                </c:pt>
                <c:pt idx="161">
                  <c:v>1.2813522373406572</c:v>
                </c:pt>
                <c:pt idx="162">
                  <c:v>1.21234676206352</c:v>
                </c:pt>
                <c:pt idx="163">
                  <c:v>1.1431372171204546</c:v>
                </c:pt>
                <c:pt idx="164">
                  <c:v>1.0737245048596853</c:v>
                </c:pt>
                <c:pt idx="165">
                  <c:v>1.0041095038353767</c:v>
                </c:pt>
                <c:pt idx="166">
                  <c:v>0.93429306938813195</c:v>
                </c:pt>
                <c:pt idx="167">
                  <c:v>0.86427603420756149</c:v>
                </c:pt>
                <c:pt idx="168">
                  <c:v>0.79405920887740822</c:v>
                </c:pt>
                <c:pt idx="169">
                  <c:v>0.72364338240399073</c:v>
                </c:pt>
                <c:pt idx="170">
                  <c:v>0.65302932272836689</c:v>
                </c:pt>
                <c:pt idx="171">
                  <c:v>0.58221777722286483</c:v>
                </c:pt>
                <c:pt idx="172">
                  <c:v>0.51120947317252463</c:v>
                </c:pt>
                <c:pt idx="173">
                  <c:v>0.44000511824185234</c:v>
                </c:pt>
                <c:pt idx="174">
                  <c:v>0.36860540092750488</c:v>
                </c:pt>
                <c:pt idx="175">
                  <c:v>0.29701099099728445</c:v>
                </c:pt>
                <c:pt idx="176">
                  <c:v>0.22522253991593014</c:v>
                </c:pt>
                <c:pt idx="177">
                  <c:v>0.15324068125813936</c:v>
                </c:pt>
                <c:pt idx="178">
                  <c:v>8.1066031109243014E-2</c:v>
                </c:pt>
                <c:pt idx="179">
                  <c:v>8.6991884539173291E-3</c:v>
                </c:pt>
                <c:pt idx="180">
                  <c:v>-6.3859264446655045E-2</c:v>
                </c:pt>
                <c:pt idx="181">
                  <c:v>-0.1366087616887883</c:v>
                </c:pt>
                <c:pt idx="182">
                  <c:v>-0.20954875337116283</c:v>
                </c:pt>
                <c:pt idx="183">
                  <c:v>-0.28267870525014499</c:v>
                </c:pt>
                <c:pt idx="184">
                  <c:v>-0.355998098405227</c:v>
                </c:pt>
                <c:pt idx="185">
                  <c:v>-0.42950642891434804</c:v>
                </c:pt>
                <c:pt idx="186">
                  <c:v>-0.50320320753864645</c:v>
                </c:pt>
                <c:pt idx="187">
                  <c:v>-0.57708795941646085</c:v>
                </c:pt>
                <c:pt idx="188">
                  <c:v>-0.65116022376627514</c:v>
                </c:pt>
                <c:pt idx="189">
                  <c:v>-0.72541955359822197</c:v>
                </c:pt>
                <c:pt idx="190">
                  <c:v>-0.79986551543403439</c:v>
                </c:pt>
                <c:pt idx="191">
                  <c:v>-0.87449768903505709</c:v>
                </c:pt>
                <c:pt idx="192">
                  <c:v>-0.94931566713815285</c:v>
                </c:pt>
                <c:pt idx="193">
                  <c:v>-1.0243190551991868</c:v>
                </c:pt>
                <c:pt idx="194">
                  <c:v>-1.099507471143929</c:v>
                </c:pt>
                <c:pt idx="195">
                  <c:v>-1.1748805451261248</c:v>
                </c:pt>
                <c:pt idx="196">
                  <c:v>-1.2504379192924493</c:v>
                </c:pt>
                <c:pt idx="197">
                  <c:v>-1.3261792475542655</c:v>
                </c:pt>
                <c:pt idx="198">
                  <c:v>-1.4021041953658797</c:v>
                </c:pt>
                <c:pt idx="199">
                  <c:v>-1.4782124395091139</c:v>
                </c:pt>
                <c:pt idx="200">
                  <c:v>-1.5545036678840729</c:v>
                </c:pt>
                <c:pt idx="201">
                  <c:v>-1.6309775793058447</c:v>
                </c:pt>
                <c:pt idx="202">
                  <c:v>-1.7076338833069804</c:v>
                </c:pt>
                <c:pt idx="203">
                  <c:v>-1.7844722999456315</c:v>
                </c:pt>
                <c:pt idx="204">
                  <c:v>-1.861492559619111</c:v>
                </c:pt>
                <c:pt idx="205">
                  <c:v>-1.9386944028827438</c:v>
                </c:pt>
                <c:pt idx="206">
                  <c:v>-2.0160775802739104</c:v>
                </c:pt>
                <c:pt idx="207">
                  <c:v>-2.0936418521410149</c:v>
                </c:pt>
                <c:pt idx="208">
                  <c:v>-2.171386988477376</c:v>
                </c:pt>
                <c:pt idx="209">
                  <c:v>-2.2493127687597751</c:v>
                </c:pt>
                <c:pt idx="210">
                  <c:v>-2.3274189817916251</c:v>
                </c:pt>
                <c:pt idx="211">
                  <c:v>-2.4057054255505266</c:v>
                </c:pt>
                <c:pt idx="212">
                  <c:v>-2.4841719070402712</c:v>
                </c:pt>
                <c:pt idx="213">
                  <c:v>-2.5628182421469075</c:v>
                </c:pt>
                <c:pt idx="214">
                  <c:v>-2.6416442554989916</c:v>
                </c:pt>
                <c:pt idx="215">
                  <c:v>-2.7206497803317782</c:v>
                </c:pt>
                <c:pt idx="216">
                  <c:v>-2.7998346583552722</c:v>
                </c:pt>
                <c:pt idx="217">
                  <c:v>-2.879198739626049</c:v>
                </c:pt>
                <c:pt idx="218">
                  <c:v>-2.9587418824227498</c:v>
                </c:pt>
                <c:pt idx="219">
                  <c:v>-3.0384639531250981</c:v>
                </c:pt>
                <c:pt idx="220">
                  <c:v>-3.1183648260963928</c:v>
                </c:pt>
                <c:pt idx="221">
                  <c:v>-3.1984443835694036</c:v>
                </c:pt>
                <c:pt idx="222">
                  <c:v>-3.278702515535497</c:v>
                </c:pt>
                <c:pt idx="223">
                  <c:v>-3.3591391196369718</c:v>
                </c:pt>
                <c:pt idx="224">
                  <c:v>-3.4397541010625381</c:v>
                </c:pt>
                <c:pt idx="225">
                  <c:v>-3.5205473724457548</c:v>
                </c:pt>
                <c:pt idx="226">
                  <c:v>-3.601518853766501</c:v>
                </c:pt>
                <c:pt idx="227">
                  <c:v>-3.6826684722552492</c:v>
                </c:pt>
                <c:pt idx="228">
                  <c:v>-3.763996162300181</c:v>
                </c:pt>
                <c:pt idx="229">
                  <c:v>-3.8455018653569879</c:v>
                </c:pt>
                <c:pt idx="230">
                  <c:v>-3.9271855298613896</c:v>
                </c:pt>
                <c:pt idx="231">
                  <c:v>-4.0090471111441941</c:v>
                </c:pt>
                <c:pt idx="232">
                  <c:v>-4.091086571348912</c:v>
                </c:pt>
                <c:pt idx="233">
                  <c:v>-4.1733038793518222</c:v>
                </c:pt>
                <c:pt idx="234">
                  <c:v>-4.2556990106844301</c:v>
                </c:pt>
                <c:pt idx="235">
                  <c:v>-4.3382719474582982</c:v>
                </c:pt>
              </c:numCache>
            </c:numRef>
          </c:yVal>
          <c:smooth val="1"/>
          <c:extLst>
            <c:ext xmlns:c16="http://schemas.microsoft.com/office/drawing/2014/chart" uri="{C3380CC4-5D6E-409C-BE32-E72D297353CC}">
              <c16:uniqueId val="{00000000-21C4-4940-8DEA-EC071EE79663}"/>
            </c:ext>
          </c:extLst>
        </c:ser>
        <c:ser>
          <c:idx val="1"/>
          <c:order val="1"/>
          <c:tx>
            <c:v>Climb Performance at Cruise</c:v>
          </c:tx>
          <c:spPr>
            <a:ln w="25400" cap="rnd">
              <a:solidFill>
                <a:schemeClr val="accent2"/>
              </a:solidFill>
              <a:round/>
            </a:ln>
            <a:effectLst/>
          </c:spPr>
          <c:marker>
            <c:symbol val="none"/>
          </c:marker>
          <c:xVal>
            <c:numRef>
              <c:f>'FE-Performance Analysis'!$A$27:$A$262</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'FE-Performance Analysis'!$AH$27:$AH$262</c:f>
              <c:numCache>
                <c:formatCode>General</c:formatCode>
                <c:ptCount val="236"/>
                <c:pt idx="0">
                  <c:v>6.5125969056745312</c:v>
                </c:pt>
                <c:pt idx="1">
                  <c:v>6.6378691250703943</c:v>
                </c:pt>
                <c:pt idx="2">
                  <c:v>6.7560776766415778</c:v>
                </c:pt>
                <c:pt idx="3">
                  <c:v>6.8676276948273509</c:v>
                </c:pt>
                <c:pt idx="4">
                  <c:v>6.9728950719574065</c:v>
                </c:pt>
                <c:pt idx="5">
                  <c:v>7.0722289553195417</c:v>
                </c:pt>
                <c:pt idx="6">
                  <c:v>7.1659539982652589</c:v>
                </c:pt>
                <c:pt idx="7">
                  <c:v>7.2543723927910309</c:v>
                </c:pt>
                <c:pt idx="8">
                  <c:v>7.3377657076145129</c:v>
                </c:pt>
                <c:pt idx="9">
                  <c:v>7.4163965528168925</c:v>
                </c:pt>
                <c:pt idx="10">
                  <c:v>7.4905100895743546</c:v>
                </c:pt>
                <c:pt idx="11">
                  <c:v>7.5603354012934396</c:v>
                </c:pt>
                <c:pt idx="12">
                  <c:v>7.6260867405477013</c:v>
                </c:pt>
                <c:pt idx="13">
                  <c:v>7.6879646645444151</c:v>
                </c:pt>
                <c:pt idx="14">
                  <c:v>7.7461570703946423</c:v>
                </c:pt>
                <c:pt idx="15">
                  <c:v>7.8008401401883631</c:v>
                </c:pt>
                <c:pt idx="16">
                  <c:v>7.8521792047629511</c:v>
                </c:pt>
                <c:pt idx="17">
                  <c:v>7.9003295340763504</c:v>
                </c:pt>
                <c:pt idx="18">
                  <c:v>7.9454370612382803</c:v>
                </c:pt>
                <c:pt idx="19">
                  <c:v>7.9876390464966862</c:v>
                </c:pt>
                <c:pt idx="20">
                  <c:v>8.0270646868106699</c:v>
                </c:pt>
                <c:pt idx="21">
                  <c:v>8.0638356760521113</c:v>
                </c:pt>
                <c:pt idx="22">
                  <c:v>8.0980667203576111</c:v>
                </c:pt>
                <c:pt idx="23">
                  <c:v>8.1298660126907158</c:v>
                </c:pt>
                <c:pt idx="24">
                  <c:v>8.1593356702647739</c:v>
                </c:pt>
                <c:pt idx="25">
                  <c:v>8.1865721381127408</c:v>
                </c:pt>
                <c:pt idx="26">
                  <c:v>8.2116665617661582</c:v>
                </c:pt>
                <c:pt idx="27">
                  <c:v>8.234705131716705</c:v>
                </c:pt>
                <c:pt idx="28">
                  <c:v>8.255769402075849</c:v>
                </c:pt>
                <c:pt idx="29">
                  <c:v>8.2749365856177519</c:v>
                </c:pt>
                <c:pt idx="30">
                  <c:v>8.292279827184375</c:v>
                </c:pt>
                <c:pt idx="31">
                  <c:v>8.3078684572469079</c:v>
                </c:pt>
                <c:pt idx="32">
                  <c:v>8.3217682272519138</c:v>
                </c:pt>
                <c:pt idx="33">
                  <c:v>8.3340415282317224</c:v>
                </c:pt>
                <c:pt idx="34">
                  <c:v>8.3447475940246072</c:v>
                </c:pt>
                <c:pt idx="35">
                  <c:v>8.3539426903298075</c:v>
                </c:pt>
                <c:pt idx="36">
                  <c:v>8.3616802907138652</c:v>
                </c:pt>
                <c:pt idx="37">
                  <c:v>8.3680112405864708</c:v>
                </c:pt>
                <c:pt idx="38">
                  <c:v>8.3729839100757975</c:v>
                </c:pt>
                <c:pt idx="39">
                  <c:v>8.3766443366528556</c:v>
                </c:pt>
                <c:pt idx="40">
                  <c:v>8.3790363582823151</c:v>
                </c:pt>
                <c:pt idx="41">
                  <c:v>8.380201737811193</c:v>
                </c:pt>
                <c:pt idx="42">
                  <c:v>8.380180279247524</c:v>
                </c:pt>
                <c:pt idx="43">
                  <c:v>8.3790099365269519</c:v>
                </c:pt>
                <c:pt idx="44">
                  <c:v>8.3767269153160484</c:v>
                </c:pt>
                <c:pt idx="45">
                  <c:v>8.373365768356491</c:v>
                </c:pt>
                <c:pt idx="46">
                  <c:v>8.36895948481361</c:v>
                </c:pt>
                <c:pt idx="47">
                  <c:v>8.3635395740556593</c:v>
                </c:pt>
                <c:pt idx="48">
                  <c:v>8.357136144256442</c:v>
                </c:pt>
                <c:pt idx="49">
                  <c:v>8.3497779761830824</c:v>
                </c:pt>
                <c:pt idx="50">
                  <c:v>8.341492592502453</c:v>
                </c:pt>
                <c:pt idx="51">
                  <c:v>8.3323063229141638</c:v>
                </c:pt>
                <c:pt idx="52">
                  <c:v>8.3222443653943596</c:v>
                </c:pt>
                <c:pt idx="53">
                  <c:v>8.3113308438129359</c:v>
                </c:pt>
                <c:pt idx="54">
                  <c:v>8.299588862167198</c:v>
                </c:pt>
                <c:pt idx="55">
                  <c:v>8.2870405556566116</c:v>
                </c:pt>
                <c:pt idx="56">
                  <c:v>8.2737071388068752</c:v>
                </c:pt>
                <c:pt idx="57">
                  <c:v>8.2596089508360695</c:v>
                </c:pt>
                <c:pt idx="58">
                  <c:v>8.2447654984417351</c:v>
                </c:pt>
                <c:pt idx="59">
                  <c:v>8.2291954961747251</c:v>
                </c:pt>
                <c:pt idx="60">
                  <c:v>8.2129169045538184</c:v>
                </c:pt>
                <c:pt idx="61">
                  <c:v>8.1959469660640902</c:v>
                </c:pt>
                <c:pt idx="62">
                  <c:v>8.1783022391720319</c:v>
                </c:pt>
                <c:pt idx="63">
                  <c:v>8.1599986304809491</c:v>
                </c:pt>
                <c:pt idx="64">
                  <c:v>8.1410514251418018</c:v>
                </c:pt>
                <c:pt idx="65">
                  <c:v>8.121475315626407</c:v>
                </c:pt>
                <c:pt idx="66">
                  <c:v>8.101284428962952</c:v>
                </c:pt>
                <c:pt idx="67">
                  <c:v>8.0804923525266528</c:v>
                </c:pt>
                <c:pt idx="68">
                  <c:v>8.0591121584724004</c:v>
                </c:pt>
                <c:pt idx="69">
                  <c:v>8.0371564268902276</c:v>
                </c:pt>
                <c:pt idx="70">
                  <c:v>8.0146372677591398</c:v>
                </c:pt>
                <c:pt idx="71">
                  <c:v>7.991566341769941</c:v>
                </c:pt>
                <c:pt idx="72">
                  <c:v>7.9679548800828846</c:v>
                </c:pt>
                <c:pt idx="73">
                  <c:v>7.9438137030818847</c:v>
                </c:pt>
                <c:pt idx="74">
                  <c:v>7.9191532381829175</c:v>
                </c:pt>
                <c:pt idx="75">
                  <c:v>7.8939835367505786</c:v>
                </c:pt>
                <c:pt idx="76">
                  <c:v>7.8683142901733598</c:v>
                </c:pt>
                <c:pt idx="77">
                  <c:v>7.8421548451449805</c:v>
                </c:pt>
                <c:pt idx="78">
                  <c:v>7.8155142181961326</c:v>
                </c:pt>
                <c:pt idx="79">
                  <c:v>7.7884011095182624</c:v>
                </c:pt>
                <c:pt idx="80">
                  <c:v>7.7608239161184045</c:v>
                </c:pt>
                <c:pt idx="81">
                  <c:v>7.7327907443417185</c:v>
                </c:pt>
                <c:pt idx="82">
                  <c:v>7.7043094217960757</c:v>
                </c:pt>
                <c:pt idx="83">
                  <c:v>7.675387508711081</c:v>
                </c:pt>
                <c:pt idx="84">
                  <c:v>7.6460323087617859</c:v>
                </c:pt>
                <c:pt idx="85">
                  <c:v>7.6162508793857269</c:v>
                </c:pt>
                <c:pt idx="86">
                  <c:v>7.5860500416200667</c:v>
                </c:pt>
                <c:pt idx="87">
                  <c:v>7.555436389484127</c:v>
                </c:pt>
                <c:pt idx="88">
                  <c:v>7.5244162989310857</c:v>
                </c:pt>
                <c:pt idx="89">
                  <c:v>7.492995936391198</c:v>
                </c:pt>
                <c:pt idx="90">
                  <c:v>7.4611812669276709</c:v>
                </c:pt>
                <c:pt idx="91">
                  <c:v>7.4289780620250037</c:v>
                </c:pt>
                <c:pt idx="92">
                  <c:v>7.3963919070286215</c:v>
                </c:pt>
                <c:pt idx="93">
                  <c:v>7.3634282082533717</c:v>
                </c:pt>
                <c:pt idx="94">
                  <c:v>7.3300921997776065</c:v>
                </c:pt>
                <c:pt idx="95">
                  <c:v>7.2963889499386338</c:v>
                </c:pt>
                <c:pt idx="96">
                  <c:v>7.2623233675442345</c:v>
                </c:pt>
                <c:pt idx="97">
                  <c:v>7.2279002078144767</c:v>
                </c:pt>
                <c:pt idx="98">
                  <c:v>7.1931240780669361</c:v>
                </c:pt>
                <c:pt idx="99">
                  <c:v>7.1579994431579292</c:v>
                </c:pt>
                <c:pt idx="100">
                  <c:v>7.1225306306915437</c:v>
                </c:pt>
                <c:pt idx="101">
                  <c:v>7.0867218360077473</c:v>
                </c:pt>
                <c:pt idx="102">
                  <c:v>7.0505771269601167</c:v>
                </c:pt>
                <c:pt idx="103">
                  <c:v>7.0141004484932354</c:v>
                </c:pt>
                <c:pt idx="104">
                  <c:v>6.9772956270292799</c:v>
                </c:pt>
                <c:pt idx="105">
                  <c:v>6.9401663746727573</c:v>
                </c:pt>
                <c:pt idx="106">
                  <c:v>6.9027162932419568</c:v>
                </c:pt>
                <c:pt idx="107">
                  <c:v>6.8649488781351362</c:v>
                </c:pt>
                <c:pt idx="108">
                  <c:v>6.826867522039179</c:v>
                </c:pt>
                <c:pt idx="109">
                  <c:v>6.7884755184879042</c:v>
                </c:pt>
                <c:pt idx="110">
                  <c:v>6.7497760652769623</c:v>
                </c:pt>
                <c:pt idx="111">
                  <c:v>6.7107722677418398</c:v>
                </c:pt>
                <c:pt idx="112">
                  <c:v>6.6714671419051834</c:v>
                </c:pt>
                <c:pt idx="113">
                  <c:v>6.6318636174993069</c:v>
                </c:pt>
                <c:pt idx="114">
                  <c:v>6.5919645408695082</c:v>
                </c:pt>
                <c:pt idx="115">
                  <c:v>6.5517726777634913</c:v>
                </c:pt>
                <c:pt idx="116">
                  <c:v>6.5112907160119207</c:v>
                </c:pt>
                <c:pt idx="117">
                  <c:v>6.4705212681049558</c:v>
                </c:pt>
                <c:pt idx="118">
                  <c:v>6.429466873669285</c:v>
                </c:pt>
                <c:pt idx="119">
                  <c:v>6.3881300018500289</c:v>
                </c:pt>
                <c:pt idx="120">
                  <c:v>6.3465130536015826</c:v>
                </c:pt>
                <c:pt idx="121">
                  <c:v>6.3046183638914375</c:v>
                </c:pt>
                <c:pt idx="122">
                  <c:v>6.2624482038205613</c:v>
                </c:pt>
                <c:pt idx="123">
                  <c:v>6.2200047826640912</c:v>
                </c:pt>
                <c:pt idx="124">
                  <c:v>6.1772902498355009</c:v>
                </c:pt>
                <c:pt idx="125">
                  <c:v>6.1343066967777009</c:v>
                </c:pt>
                <c:pt idx="126">
                  <c:v>6.0910561587839691</c:v>
                </c:pt>
                <c:pt idx="127">
                  <c:v>6.0475406167517329</c:v>
                </c:pt>
                <c:pt idx="128">
                  <c:v>6.0037619988719992</c:v>
                </c:pt>
                <c:pt idx="129">
                  <c:v>5.9597221822570443</c:v>
                </c:pt>
                <c:pt idx="130">
                  <c:v>5.9154229945089529</c:v>
                </c:pt>
                <c:pt idx="131">
                  <c:v>5.8708662152314073</c:v>
                </c:pt>
                <c:pt idx="132">
                  <c:v>5.826053577487067</c:v>
                </c:pt>
                <c:pt idx="133">
                  <c:v>5.7809867692026833</c:v>
                </c:pt>
                <c:pt idx="134">
                  <c:v>5.7356674345241778</c:v>
                </c:pt>
                <c:pt idx="135">
                  <c:v>5.6900971751235243</c:v>
                </c:pt>
                <c:pt idx="136">
                  <c:v>5.6442775514595489</c:v>
                </c:pt>
                <c:pt idx="137">
                  <c:v>5.5982100839943252</c:v>
                </c:pt>
                <c:pt idx="138">
                  <c:v>5.551896254367005</c:v>
                </c:pt>
                <c:pt idx="139">
                  <c:v>5.5053375065267529</c:v>
                </c:pt>
                <c:pt idx="140">
                  <c:v>5.458535247826358</c:v>
                </c:pt>
                <c:pt idx="141">
                  <c:v>5.4114908500781054</c:v>
                </c:pt>
                <c:pt idx="142">
                  <c:v>5.3642056505733038</c:v>
                </c:pt>
                <c:pt idx="143">
                  <c:v>5.3166809530669408</c:v>
                </c:pt>
                <c:pt idx="144">
                  <c:v>5.2689180287287725</c:v>
                </c:pt>
                <c:pt idx="145">
                  <c:v>5.2209181170621441</c:v>
                </c:pt>
                <c:pt idx="146">
                  <c:v>5.1726824267917531</c:v>
                </c:pt>
                <c:pt idx="147">
                  <c:v>5.1242121367215541</c:v>
                </c:pt>
                <c:pt idx="148">
                  <c:v>5.0755083965639329</c:v>
                </c:pt>
                <c:pt idx="149">
                  <c:v>5.0265723277411869</c:v>
                </c:pt>
                <c:pt idx="150">
                  <c:v>4.9774050241604373</c:v>
                </c:pt>
                <c:pt idx="151">
                  <c:v>4.9280075529628391</c:v>
                </c:pt>
                <c:pt idx="152">
                  <c:v>4.8783809552481534</c:v>
                </c:pt>
                <c:pt idx="153">
                  <c:v>4.8285262467755397</c:v>
                </c:pt>
                <c:pt idx="154">
                  <c:v>4.7784444186414214</c:v>
                </c:pt>
                <c:pt idx="155">
                  <c:v>4.7281364379353015</c:v>
                </c:pt>
                <c:pt idx="156">
                  <c:v>4.677603248374341</c:v>
                </c:pt>
                <c:pt idx="157">
                  <c:v>4.6268457709173889</c:v>
                </c:pt>
                <c:pt idx="158">
                  <c:v>4.5758649043593138</c:v>
                </c:pt>
                <c:pt idx="159">
                  <c:v>4.5246615259062573</c:v>
                </c:pt>
                <c:pt idx="160">
                  <c:v>4.4732364917325453</c:v>
                </c:pt>
                <c:pt idx="161">
                  <c:v>4.421590637519861</c:v>
                </c:pt>
                <c:pt idx="162">
                  <c:v>4.3697247789793687</c:v>
                </c:pt>
                <c:pt idx="163">
                  <c:v>4.3176397123573498</c:v>
                </c:pt>
                <c:pt idx="164">
                  <c:v>4.265336214924897</c:v>
                </c:pt>
                <c:pt idx="165">
                  <c:v>4.2128150454523121</c:v>
                </c:pt>
                <c:pt idx="166">
                  <c:v>4.1600769446686776</c:v>
                </c:pt>
                <c:pt idx="167">
                  <c:v>4.107122635707114</c:v>
                </c:pt>
                <c:pt idx="168">
                  <c:v>4.0539528245362337</c:v>
                </c:pt>
                <c:pt idx="169">
                  <c:v>4.0005682003782868</c:v>
                </c:pt>
                <c:pt idx="170">
                  <c:v>3.9469694361144088</c:v>
                </c:pt>
                <c:pt idx="171">
                  <c:v>3.893157188677431</c:v>
                </c:pt>
                <c:pt idx="172">
                  <c:v>3.8391320994326943</c:v>
                </c:pt>
                <c:pt idx="173">
                  <c:v>3.7848947945472258</c:v>
                </c:pt>
                <c:pt idx="174">
                  <c:v>3.7304458853477165</c:v>
                </c:pt>
                <c:pt idx="175">
                  <c:v>3.6757859686676575</c:v>
                </c:pt>
                <c:pt idx="176">
                  <c:v>3.6209156271839733</c:v>
                </c:pt>
                <c:pt idx="177">
                  <c:v>3.5658354297435282</c:v>
                </c:pt>
                <c:pt idx="178">
                  <c:v>3.5105459316798502</c:v>
                </c:pt>
                <c:pt idx="179">
                  <c:v>3.4550476751203529</c:v>
                </c:pt>
                <c:pt idx="180">
                  <c:v>3.3993411892844025</c:v>
                </c:pt>
                <c:pt idx="181">
                  <c:v>3.3434269907725227</c:v>
                </c:pt>
                <c:pt idx="182">
                  <c:v>3.2873055838470027</c:v>
                </c:pt>
                <c:pt idx="183">
                  <c:v>3.2309774607042203</c:v>
                </c:pt>
                <c:pt idx="184">
                  <c:v>3.1744431017389108</c:v>
                </c:pt>
                <c:pt idx="185">
                  <c:v>3.1177029758007024</c:v>
                </c:pt>
                <c:pt idx="186">
                  <c:v>3.0607575404430416</c:v>
                </c:pt>
                <c:pt idx="187">
                  <c:v>3.0036072421649291</c:v>
                </c:pt>
                <c:pt idx="188">
                  <c:v>2.9462525166455267</c:v>
                </c:pt>
                <c:pt idx="189">
                  <c:v>2.8886937889719353</c:v>
                </c:pt>
                <c:pt idx="190">
                  <c:v>2.8309314738603963</c:v>
                </c:pt>
                <c:pt idx="191">
                  <c:v>2.7729659758710365</c:v>
                </c:pt>
                <c:pt idx="192">
                  <c:v>2.7147976896164123</c:v>
                </c:pt>
                <c:pt idx="193">
                  <c:v>2.6564269999640295</c:v>
                </c:pt>
                <c:pt idx="194">
                  <c:v>2.5978542822330346</c:v>
                </c:pt>
                <c:pt idx="195">
                  <c:v>2.5390799023852622</c:v>
                </c:pt>
                <c:pt idx="196">
                  <c:v>2.4801042172107559</c:v>
                </c:pt>
                <c:pt idx="197">
                  <c:v>2.4209275745080245</c:v>
                </c:pt>
                <c:pt idx="198">
                  <c:v>2.361550313259114</c:v>
                </c:pt>
                <c:pt idx="199">
                  <c:v>2.3019727637996898</c:v>
                </c:pt>
                <c:pt idx="200">
                  <c:v>2.2421952479842751</c:v>
                </c:pt>
                <c:pt idx="201">
                  <c:v>2.1822180793467862</c:v>
                </c:pt>
                <c:pt idx="202">
                  <c:v>2.1220415632564853</c:v>
                </c:pt>
                <c:pt idx="203">
                  <c:v>2.0616659970695457</c:v>
                </c:pt>
                <c:pt idx="204">
                  <c:v>2.0010916702762835</c:v>
                </c:pt>
                <c:pt idx="205">
                  <c:v>1.940318864644264</c:v>
                </c:pt>
                <c:pt idx="206">
                  <c:v>1.879347854357295</c:v>
                </c:pt>
                <c:pt idx="207">
                  <c:v>1.8181789061505564</c:v>
                </c:pt>
                <c:pt idx="208">
                  <c:v>1.7568122794418985</c:v>
                </c:pt>
                <c:pt idx="209">
                  <c:v>1.6952482264594104</c:v>
                </c:pt>
                <c:pt idx="210">
                  <c:v>1.6334869923654187</c:v>
                </c:pt>
                <c:pt idx="211">
                  <c:v>1.5715288153769891</c:v>
                </c:pt>
                <c:pt idx="212">
                  <c:v>1.5093739268830275</c:v>
                </c:pt>
                <c:pt idx="213">
                  <c:v>1.4470225515580779</c:v>
                </c:pt>
                <c:pt idx="214">
                  <c:v>1.3844749074729317</c:v>
                </c:pt>
                <c:pt idx="215">
                  <c:v>1.3217312062021302</c:v>
                </c:pt>
                <c:pt idx="216">
                  <c:v>1.2587916529283991</c:v>
                </c:pt>
                <c:pt idx="217">
                  <c:v>1.1956564465441883</c:v>
                </c:pt>
                <c:pt idx="218">
                  <c:v>1.1323257797503321</c:v>
                </c:pt>
                <c:pt idx="219">
                  <c:v>1.068799839151932</c:v>
                </c:pt>
                <c:pt idx="220">
                  <c:v>1.00507880535153</c:v>
                </c:pt>
                <c:pt idx="221">
                  <c:v>0.94116285303964287</c:v>
                </c:pt>
                <c:pt idx="222">
                  <c:v>0.87705215108277557</c:v>
                </c:pt>
                <c:pt idx="223">
                  <c:v>0.81274686260891005</c:v>
                </c:pt>
                <c:pt idx="224">
                  <c:v>0.74824714509058532</c:v>
                </c:pt>
                <c:pt idx="225">
                  <c:v>0.68355315042560627</c:v>
                </c:pt>
                <c:pt idx="226">
                  <c:v>0.61866502501550147</c:v>
                </c:pt>
                <c:pt idx="227">
                  <c:v>0.55358290984169645</c:v>
                </c:pt>
                <c:pt idx="228">
                  <c:v>0.48830694053953566</c:v>
                </c:pt>
                <c:pt idx="229">
                  <c:v>0.42283724747021673</c:v>
                </c:pt>
                <c:pt idx="230">
                  <c:v>0.35717395579061106</c:v>
                </c:pt>
                <c:pt idx="231">
                  <c:v>0.29131718552111618</c:v>
                </c:pt>
                <c:pt idx="232">
                  <c:v>0.22526705161154192</c:v>
                </c:pt>
                <c:pt idx="233">
                  <c:v>0.15902366400508514</c:v>
                </c:pt>
                <c:pt idx="234">
                  <c:v>9.258712770047843E-2</c:v>
                </c:pt>
                <c:pt idx="235">
                  <c:v>2.5957542812278956E-2</c:v>
                </c:pt>
              </c:numCache>
            </c:numRef>
          </c:yVal>
          <c:smooth val="1"/>
          <c:extLst>
            <c:ext xmlns:c16="http://schemas.microsoft.com/office/drawing/2014/chart" uri="{C3380CC4-5D6E-409C-BE32-E72D297353CC}">
              <c16:uniqueId val="{00000001-21C4-4940-8DEA-EC071EE79663}"/>
            </c:ext>
          </c:extLst>
        </c:ser>
        <c:dLbls>
          <c:showLegendKey val="0"/>
          <c:showVal val="0"/>
          <c:showCatName val="0"/>
          <c:showSerName val="0"/>
          <c:showPercent val="0"/>
          <c:showBubbleSize val="0"/>
        </c:dLbls>
        <c:axId val="750323551"/>
        <c:axId val="74643488"/>
      </c:scatterChart>
      <c:valAx>
        <c:axId val="7503235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a:t>
                </a:r>
                <a:r>
                  <a:rPr lang="en-US" baseline="0"/>
                  <a:t> (KCAS)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43488"/>
        <c:crosses val="autoZero"/>
        <c:crossBetween val="midCat"/>
      </c:valAx>
      <c:valAx>
        <c:axId val="74643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Climb</a:t>
                </a:r>
                <a:r>
                  <a:rPr lang="en-US" baseline="0"/>
                  <a:t> Angle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3235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Vertical</a:t>
            </a:r>
            <a:r>
              <a:rPr lang="en-US" baseline="0"/>
              <a:t> Speed vs Airspeed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Vertical Speed vs Airspeed at S-L</c:v>
          </c:tx>
          <c:spPr>
            <a:ln w="25400" cap="rnd">
              <a:solidFill>
                <a:schemeClr val="accent1"/>
              </a:solidFill>
              <a:round/>
            </a:ln>
            <a:effectLst/>
          </c:spPr>
          <c:marker>
            <c:symbol val="none"/>
          </c:marker>
          <c:xVal>
            <c:numRef>
              <c:f>'FE-Performance Analysis'!$A$27:$A$262</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'FE-Performance Analysis'!$AB$27:$AB$262</c:f>
              <c:numCache>
                <c:formatCode>General</c:formatCode>
                <c:ptCount val="236"/>
                <c:pt idx="0">
                  <c:v>1471.2871822436803</c:v>
                </c:pt>
                <c:pt idx="1">
                  <c:v>1531.8399517057542</c:v>
                </c:pt>
                <c:pt idx="2">
                  <c:v>1591.1448129180667</c:v>
                </c:pt>
                <c:pt idx="3">
                  <c:v>1649.2355378904504</c:v>
                </c:pt>
                <c:pt idx="4">
                  <c:v>1706.143832451738</c:v>
                </c:pt>
                <c:pt idx="5">
                  <c:v>1761.899483834125</c:v>
                </c:pt>
                <c:pt idx="6">
                  <c:v>1816.5304957856122</c:v>
                </c:pt>
                <c:pt idx="7">
                  <c:v>1870.0632124230644</c:v>
                </c:pt>
                <c:pt idx="8">
                  <c:v>1922.5224319055865</c:v>
                </c:pt>
                <c:pt idx="9">
                  <c:v>1973.9315108911226</c:v>
                </c:pt>
                <c:pt idx="10">
                  <c:v>2024.3124606365382</c:v>
                </c:pt>
                <c:pt idx="11">
                  <c:v>2073.6860355108402</c:v>
                </c:pt>
                <c:pt idx="12">
                  <c:v>2122.0718146112822</c:v>
                </c:pt>
                <c:pt idx="13">
                  <c:v>2169.4882771012922</c:v>
                </c:pt>
                <c:pt idx="14">
                  <c:v>2215.9528718265342</c:v>
                </c:pt>
                <c:pt idx="15">
                  <c:v>2261.4820817097816</c:v>
                </c:pt>
                <c:pt idx="16">
                  <c:v>2306.091483375767</c:v>
                </c:pt>
                <c:pt idx="17">
                  <c:v>2349.7958024132745</c:v>
                </c:pt>
                <c:pt idx="18">
                  <c:v>2392.6089646423584</c:v>
                </c:pt>
                <c:pt idx="19">
                  <c:v>2434.5441437196255</c:v>
                </c:pt>
                <c:pt idx="20">
                  <c:v>2475.6138053831428</c:v>
                </c:pt>
                <c:pt idx="21">
                  <c:v>2515.8297486104966</c:v>
                </c:pt>
                <c:pt idx="22">
                  <c:v>2555.2031439383586</c:v>
                </c:pt>
                <c:pt idx="23">
                  <c:v>2593.7445691693483</c:v>
                </c:pt>
                <c:pt idx="24">
                  <c:v>2631.4640426717083</c:v>
                </c:pt>
                <c:pt idx="25">
                  <c:v>2668.3710544589903</c:v>
                </c:pt>
                <c:pt idx="26">
                  <c:v>2704.4745952205335</c:v>
                </c:pt>
                <c:pt idx="27">
                  <c:v>2739.7831834586409</c:v>
                </c:pt>
                <c:pt idx="28">
                  <c:v>2774.3048908749911</c:v>
                </c:pt>
                <c:pt idx="29">
                  <c:v>2808.0473661366218</c:v>
                </c:pt>
                <c:pt idx="30">
                  <c:v>2841.0178571409137</c:v>
                </c:pt>
                <c:pt idx="31">
                  <c:v>2873.2232318890105</c:v>
                </c:pt>
                <c:pt idx="32">
                  <c:v>2904.669998068096</c:v>
                </c:pt>
                <c:pt idx="33">
                  <c:v>2935.3643214347608</c:v>
                </c:pt>
                <c:pt idx="34">
                  <c:v>2965.3120430842264</c:v>
                </c:pt>
                <c:pt idx="35">
                  <c:v>2994.5186956834136</c:v>
                </c:pt>
                <c:pt idx="36">
                  <c:v>3022.9895187396664</c:v>
                </c:pt>
                <c:pt idx="37">
                  <c:v>3050.7294729713203</c:v>
                </c:pt>
                <c:pt idx="38">
                  <c:v>3077.7432538411549</c:v>
                </c:pt>
                <c:pt idx="39">
                  <c:v>3104.0353043090577</c:v>
                </c:pt>
                <c:pt idx="40">
                  <c:v>3129.609826855974</c:v>
                </c:pt>
                <c:pt idx="41">
                  <c:v>3154.4707948272571</c:v>
                </c:pt>
                <c:pt idx="42">
                  <c:v>3178.6219631399345</c:v>
                </c:pt>
                <c:pt idx="43">
                  <c:v>3202.0668783951264</c:v>
                </c:pt>
                <c:pt idx="44">
                  <c:v>3224.8088884338331</c:v>
                </c:pt>
                <c:pt idx="45">
                  <c:v>3246.8511513714752</c:v>
                </c:pt>
                <c:pt idx="46">
                  <c:v>3268.1966441440959</c:v>
                </c:pt>
                <c:pt idx="47">
                  <c:v>3288.8481705967233</c:v>
                </c:pt>
                <c:pt idx="48">
                  <c:v>3308.8083691422698</c:v>
                </c:pt>
                <c:pt idx="49">
                  <c:v>3328.0797200173206</c:v>
                </c:pt>
                <c:pt idx="50">
                  <c:v>3346.6645521593668</c:v>
                </c:pt>
                <c:pt idx="51">
                  <c:v>3364.5650497283241</c:v>
                </c:pt>
                <c:pt idx="52">
                  <c:v>3381.7832582935989</c:v>
                </c:pt>
                <c:pt idx="53">
                  <c:v>3398.3210907065759</c:v>
                </c:pt>
                <c:pt idx="54">
                  <c:v>3414.1803326769996</c:v>
                </c:pt>
                <c:pt idx="55">
                  <c:v>3429.3626480705493</c:v>
                </c:pt>
                <c:pt idx="56">
                  <c:v>3443.8695839437073</c:v>
                </c:pt>
                <c:pt idx="57">
                  <c:v>3457.702575331035</c:v>
                </c:pt>
                <c:pt idx="58">
                  <c:v>3470.8629497988945</c:v>
                </c:pt>
                <c:pt idx="59">
                  <c:v>3483.3519317788569</c:v>
                </c:pt>
                <c:pt idx="60">
                  <c:v>3495.1706466930855</c:v>
                </c:pt>
                <c:pt idx="61">
                  <c:v>3506.3201248832852</c:v>
                </c:pt>
                <c:pt idx="62">
                  <c:v>3516.8013053540235</c:v>
                </c:pt>
                <c:pt idx="63">
                  <c:v>3526.6150393405919</c:v>
                </c:pt>
                <c:pt idx="64">
                  <c:v>3535.7620937109136</c:v>
                </c:pt>
                <c:pt idx="65">
                  <c:v>3544.2431542104373</c:v>
                </c:pt>
                <c:pt idx="66">
                  <c:v>3552.0588285584286</c:v>
                </c:pt>
                <c:pt idx="67">
                  <c:v>3559.2096494034922</c:v>
                </c:pt>
                <c:pt idx="68">
                  <c:v>3565.6960771457852</c:v>
                </c:pt>
                <c:pt idx="69">
                  <c:v>3571.5185026328536</c:v>
                </c:pt>
                <c:pt idx="70">
                  <c:v>3576.6772497356515</c:v>
                </c:pt>
                <c:pt idx="71">
                  <c:v>3581.1725778109248</c:v>
                </c:pt>
                <c:pt idx="72">
                  <c:v>3585.0046840557288</c:v>
                </c:pt>
                <c:pt idx="73">
                  <c:v>3588.1737057596119</c:v>
                </c:pt>
                <c:pt idx="74">
                  <c:v>3590.6797224595393</c:v>
                </c:pt>
                <c:pt idx="75">
                  <c:v>3592.5227580025039</c:v>
                </c:pt>
                <c:pt idx="76">
                  <c:v>3593.7027825203363</c:v>
                </c:pt>
                <c:pt idx="77">
                  <c:v>3594.2197143210901</c:v>
                </c:pt>
                <c:pt idx="78">
                  <c:v>3594.0734217010572</c:v>
                </c:pt>
                <c:pt idx="79">
                  <c:v>3593.2637246812928</c:v>
                </c:pt>
                <c:pt idx="80">
                  <c:v>3591.7903966722733</c:v>
                </c:pt>
                <c:pt idx="81">
                  <c:v>3589.6531660701526</c:v>
                </c:pt>
                <c:pt idx="82">
                  <c:v>3586.8517177878616</c:v>
                </c:pt>
                <c:pt idx="83">
                  <c:v>3583.3856947241329</c:v>
                </c:pt>
                <c:pt idx="84">
                  <c:v>3579.2546991733752</c:v>
                </c:pt>
                <c:pt idx="85">
                  <c:v>3574.4582941791532</c:v>
                </c:pt>
                <c:pt idx="86">
                  <c:v>3568.9960048338789</c:v>
                </c:pt>
                <c:pt idx="87">
                  <c:v>3562.8673195272099</c:v>
                </c:pt>
                <c:pt idx="88">
                  <c:v>3556.0716911454811</c:v>
                </c:pt>
                <c:pt idx="89">
                  <c:v>3548.6085382244173</c:v>
                </c:pt>
                <c:pt idx="90">
                  <c:v>3540.4772460572071</c:v>
                </c:pt>
                <c:pt idx="91">
                  <c:v>3531.6771677599772</c:v>
                </c:pt>
                <c:pt idx="92">
                  <c:v>3522.2076252965398</c:v>
                </c:pt>
                <c:pt idx="93">
                  <c:v>3512.0679104642163</c:v>
                </c:pt>
                <c:pt idx="94">
                  <c:v>3501.2572858424792</c:v>
                </c:pt>
                <c:pt idx="95">
                  <c:v>3489.7749857060071</c:v>
                </c:pt>
                <c:pt idx="96">
                  <c:v>3477.6202169037074</c:v>
                </c:pt>
                <c:pt idx="97">
                  <c:v>3464.7921597052032</c:v>
                </c:pt>
                <c:pt idx="98">
                  <c:v>3451.2899686161463</c:v>
                </c:pt>
                <c:pt idx="99">
                  <c:v>3437.1127731636911</c:v>
                </c:pt>
                <c:pt idx="100">
                  <c:v>3422.2596786534377</c:v>
                </c:pt>
                <c:pt idx="101">
                  <c:v>3406.7297668989854</c:v>
                </c:pt>
                <c:pt idx="102">
                  <c:v>3390.5220969252837</c:v>
                </c:pt>
                <c:pt idx="103">
                  <c:v>3373.6357056468769</c:v>
                </c:pt>
                <c:pt idx="104">
                  <c:v>3356.0696085220497</c:v>
                </c:pt>
                <c:pt idx="105">
                  <c:v>3337.8228001838934</c:v>
                </c:pt>
                <c:pt idx="106">
                  <c:v>3318.8942550492329</c:v>
                </c:pt>
                <c:pt idx="107">
                  <c:v>3299.2829279063126</c:v>
                </c:pt>
                <c:pt idx="108">
                  <c:v>3278.9877544820865</c:v>
                </c:pt>
                <c:pt idx="109">
                  <c:v>3258.0076519899617</c:v>
                </c:pt>
                <c:pt idx="110">
                  <c:v>3236.3415196587594</c:v>
                </c:pt>
                <c:pt idx="111">
                  <c:v>3213.988239243643</c:v>
                </c:pt>
                <c:pt idx="112">
                  <c:v>3190.9466755197036</c:v>
                </c:pt>
                <c:pt idx="113">
                  <c:v>3167.2156767589595</c:v>
                </c:pt>
                <c:pt idx="114">
                  <c:v>3142.7940751913188</c:v>
                </c:pt>
                <c:pt idx="115">
                  <c:v>3117.6806874501863</c:v>
                </c:pt>
                <c:pt idx="116">
                  <c:v>3091.8743150033229</c:v>
                </c:pt>
                <c:pt idx="117">
                  <c:v>3065.373744569476</c:v>
                </c:pt>
                <c:pt idx="118">
                  <c:v>3038.1777485213534</c:v>
                </c:pt>
                <c:pt idx="119">
                  <c:v>3010.2850852754709</c:v>
                </c:pt>
                <c:pt idx="120">
                  <c:v>2981.6944996693423</c:v>
                </c:pt>
                <c:pt idx="121">
                  <c:v>2952.4047233265005</c:v>
                </c:pt>
                <c:pt idx="122">
                  <c:v>2922.4144750098253</c:v>
                </c:pt>
                <c:pt idx="123">
                  <c:v>2891.7224609635732</c:v>
                </c:pt>
                <c:pt idx="124">
                  <c:v>2860.3273752445566</c:v>
                </c:pt>
                <c:pt idx="125">
                  <c:v>2828.2279000428694</c:v>
                </c:pt>
                <c:pt idx="126">
                  <c:v>2795.422705992537</c:v>
                </c:pt>
                <c:pt idx="127">
                  <c:v>2761.9104524724485</c:v>
                </c:pt>
                <c:pt idx="128">
                  <c:v>2727.689787897948</c:v>
                </c:pt>
                <c:pt idx="129">
                  <c:v>2692.7593500033936</c:v>
                </c:pt>
                <c:pt idx="130">
                  <c:v>2657.1177661160305</c:v>
                </c:pt>
                <c:pt idx="131">
                  <c:v>2620.7636534214876</c:v>
                </c:pt>
                <c:pt idx="132">
                  <c:v>2583.6956192211633</c:v>
                </c:pt>
                <c:pt idx="133">
                  <c:v>2545.9122611818348</c:v>
                </c:pt>
                <c:pt idx="134">
                  <c:v>2507.4121675777392</c:v>
                </c:pt>
                <c:pt idx="135">
                  <c:v>2468.193917525381</c:v>
                </c:pt>
                <c:pt idx="136">
                  <c:v>2428.2560812113366</c:v>
                </c:pt>
                <c:pt idx="137">
                  <c:v>2387.597220113289</c:v>
                </c:pt>
                <c:pt idx="138">
                  <c:v>2346.2158872145446</c:v>
                </c:pt>
                <c:pt idx="139">
                  <c:v>2304.110627212217</c:v>
                </c:pt>
                <c:pt idx="140">
                  <c:v>2261.2799767193305</c:v>
                </c:pt>
                <c:pt idx="141">
                  <c:v>2217.7224644610428</c:v>
                </c:pt>
                <c:pt idx="142">
                  <c:v>2173.4366114651634</c:v>
                </c:pt>
                <c:pt idx="143">
                  <c:v>2128.4209312471985</c:v>
                </c:pt>
                <c:pt idx="144">
                  <c:v>2082.6739299900592</c:v>
                </c:pt>
                <c:pt idx="145">
                  <c:v>2036.1941067186517</c:v>
                </c:pt>
                <c:pt idx="146">
                  <c:v>1988.9799534694985</c:v>
                </c:pt>
                <c:pt idx="147">
                  <c:v>1941.0299554555638</c:v>
                </c:pt>
                <c:pt idx="148">
                  <c:v>1892.3425912264161</c:v>
                </c:pt>
                <c:pt idx="149">
                  <c:v>1842.9163328239363</c:v>
                </c:pt>
                <c:pt idx="150">
                  <c:v>1792.7496459336396</c:v>
                </c:pt>
                <c:pt idx="151">
                  <c:v>1741.840990031824</c:v>
                </c:pt>
                <c:pt idx="152">
                  <c:v>1690.1888185286396</c:v>
                </c:pt>
                <c:pt idx="153">
                  <c:v>1637.7915789072154</c:v>
                </c:pt>
                <c:pt idx="154">
                  <c:v>1584.6477128589822</c:v>
                </c:pt>
                <c:pt idx="155">
                  <c:v>1530.7556564153094</c:v>
                </c:pt>
                <c:pt idx="156">
                  <c:v>1476.1138400755383</c:v>
                </c:pt>
                <c:pt idx="157">
                  <c:v>1420.7206889316142</c:v>
                </c:pt>
                <c:pt idx="158">
                  <c:v>1364.5746227892882</c:v>
                </c:pt>
                <c:pt idx="159">
                  <c:v>1307.6740562861376</c:v>
                </c:pt>
                <c:pt idx="160">
                  <c:v>1250.0173990064118</c:v>
                </c:pt>
                <c:pt idx="161">
                  <c:v>1191.6030555928253</c:v>
                </c:pt>
                <c:pt idx="162">
                  <c:v>1132.4294258553953</c:v>
                </c:pt>
                <c:pt idx="163">
                  <c:v>1072.4949048774517</c:v>
                </c:pt>
                <c:pt idx="164">
                  <c:v>1011.7978831188007</c:v>
                </c:pt>
                <c:pt idx="165">
                  <c:v>950.33674651626393</c:v>
                </c:pt>
                <c:pt idx="166">
                  <c:v>888.10987658156137</c:v>
                </c:pt>
                <c:pt idx="167">
                  <c:v>825.11565049670321</c:v>
                </c:pt>
                <c:pt idx="168">
                  <c:v>761.35244120686457</c:v>
                </c:pt>
                <c:pt idx="169">
                  <c:v>696.81861751095812</c:v>
                </c:pt>
                <c:pt idx="170">
                  <c:v>631.51254414982748</c:v>
                </c:pt>
                <c:pt idx="171">
                  <c:v>565.43258189221751</c:v>
                </c:pt>
                <c:pt idx="172">
                  <c:v>498.5770876186038</c:v>
                </c:pt>
                <c:pt idx="173">
                  <c:v>430.94441440284351</c:v>
                </c:pt>
                <c:pt idx="174">
                  <c:v>362.53291159183527</c:v>
                </c:pt>
                <c:pt idx="175">
                  <c:v>293.34092488315741</c:v>
                </c:pt>
                <c:pt idx="176">
                  <c:v>223.36679640077944</c:v>
                </c:pt>
                <c:pt idx="177">
                  <c:v>152.60886476889547</c:v>
                </c:pt>
                <c:pt idx="178">
                  <c:v>81.065465183942678</c:v>
                </c:pt>
                <c:pt idx="179">
                  <c:v>8.7349294848325645</c:v>
                </c:pt>
                <c:pt idx="180">
                  <c:v>-64.384413778528767</c:v>
                </c:pt>
                <c:pt idx="181">
                  <c:v>-138.29423927837132</c:v>
                </c:pt>
                <c:pt idx="182">
                  <c:v>-212.99622484385844</c:v>
                </c:pt>
                <c:pt idx="183">
                  <c:v>-288.49205139743617</c:v>
                </c:pt>
                <c:pt idx="184">
                  <c:v>-364.78340289269556</c:v>
                </c:pt>
                <c:pt idx="185">
                  <c:v>-441.87196625378948</c:v>
                </c:pt>
                <c:pt idx="186">
                  <c:v>-519.75943131622228</c:v>
                </c:pt>
                <c:pt idx="187">
                  <c:v>-598.44749076909034</c:v>
                </c:pt>
                <c:pt idx="188">
                  <c:v>-677.93784009872184</c:v>
                </c:pt>
                <c:pt idx="189">
                  <c:v>-758.23217753356482</c:v>
                </c:pt>
                <c:pt idx="190">
                  <c:v>-839.33220399045251</c:v>
                </c:pt>
                <c:pt idx="191">
                  <c:v>-921.23962302207826</c:v>
                </c:pt>
                <c:pt idx="192">
                  <c:v>-1003.956140765732</c:v>
                </c:pt>
                <c:pt idx="193">
                  <c:v>-1087.4834658931875</c:v>
                </c:pt>
                <c:pt idx="194">
                  <c:v>-1171.8233095617875</c:v>
                </c:pt>
                <c:pt idx="195">
                  <c:v>-1256.9773853666618</c:v>
                </c:pt>
                <c:pt idx="196">
                  <c:v>-1342.9474092939877</c:v>
                </c:pt>
                <c:pt idx="197">
                  <c:v>-1429.7350996753883</c:v>
                </c:pt>
                <c:pt idx="198">
                  <c:v>-1517.342177143342</c:v>
                </c:pt>
                <c:pt idx="199">
                  <c:v>-1605.7703645875804</c:v>
                </c:pt>
                <c:pt idx="200">
                  <c:v>-1695.021387112527</c:v>
                </c:pt>
                <c:pt idx="201">
                  <c:v>-1785.0969719956613</c:v>
                </c:pt>
                <c:pt idx="202">
                  <c:v>-1875.9988486468051</c:v>
                </c:pt>
                <c:pt idx="203">
                  <c:v>-1967.7287485683678</c:v>
                </c:pt>
                <c:pt idx="204">
                  <c:v>-2060.2884053164403</c:v>
                </c:pt>
                <c:pt idx="205">
                  <c:v>-2153.6795544627435</c:v>
                </c:pt>
                <c:pt idx="206">
                  <c:v>-2247.9039335574785</c:v>
                </c:pt>
                <c:pt idx="207">
                  <c:v>-2342.9632820929169</c:v>
                </c:pt>
                <c:pt idx="208">
                  <c:v>-2438.8593414678703</c:v>
                </c:pt>
                <c:pt idx="209">
                  <c:v>-2535.5938549528687</c:v>
                </c:pt>
                <c:pt idx="210">
                  <c:v>-2633.1685676561592</c:v>
                </c:pt>
                <c:pt idx="211">
                  <c:v>-2731.5852264903524</c:v>
                </c:pt>
                <c:pt idx="212">
                  <c:v>-2830.8455801399446</c:v>
                </c:pt>
                <c:pt idx="213">
                  <c:v>-2930.951379029374</c:v>
                </c:pt>
                <c:pt idx="214">
                  <c:v>-3031.904375291876</c:v>
                </c:pt>
                <c:pt idx="215">
                  <c:v>-3133.7063227389604</c:v>
                </c:pt>
                <c:pt idx="216">
                  <c:v>-3236.3589768305392</c:v>
                </c:pt>
                <c:pt idx="217">
                  <c:v>-3339.864094645704</c:v>
                </c:pt>
                <c:pt idx="218">
                  <c:v>-3444.2234348541374</c:v>
                </c:pt>
                <c:pt idx="219">
                  <c:v>-3549.4387576880895</c:v>
                </c:pt>
                <c:pt idx="220">
                  <c:v>-3655.5118249149546</c:v>
                </c:pt>
                <c:pt idx="221">
                  <c:v>-3762.4443998104703</c:v>
                </c:pt>
                <c:pt idx="222">
                  <c:v>-3870.2382471324099</c:v>
                </c:pt>
                <c:pt idx="223">
                  <c:v>-3978.895133094848</c:v>
                </c:pt>
                <c:pt idx="224">
                  <c:v>-4088.4168253429989</c:v>
                </c:pt>
                <c:pt idx="225">
                  <c:v>-4198.8050929284891</c:v>
                </c:pt>
                <c:pt idx="226">
                  <c:v>-4310.0617062852516</c:v>
                </c:pt>
                <c:pt idx="227">
                  <c:v>-4422.1884372058139</c:v>
                </c:pt>
                <c:pt idx="228">
                  <c:v>-4535.1870588181418</c:v>
                </c:pt>
                <c:pt idx="229">
                  <c:v>-4649.0593455628914</c:v>
                </c:pt>
                <c:pt idx="230">
                  <c:v>-4763.8070731711914</c:v>
                </c:pt>
                <c:pt idx="231">
                  <c:v>-4879.4320186428386</c:v>
                </c:pt>
                <c:pt idx="232">
                  <c:v>-4995.9359602249397</c:v>
                </c:pt>
                <c:pt idx="233">
                  <c:v>-5113.3206773909824</c:v>
                </c:pt>
                <c:pt idx="234">
                  <c:v>-5231.5879508203079</c:v>
                </c:pt>
                <c:pt idx="235">
                  <c:v>-5350.7395623780403</c:v>
                </c:pt>
              </c:numCache>
            </c:numRef>
          </c:yVal>
          <c:smooth val="1"/>
          <c:extLst>
            <c:ext xmlns:c16="http://schemas.microsoft.com/office/drawing/2014/chart" uri="{C3380CC4-5D6E-409C-BE32-E72D297353CC}">
              <c16:uniqueId val="{00000000-2149-4211-825A-6173D51A7865}"/>
            </c:ext>
          </c:extLst>
        </c:ser>
        <c:ser>
          <c:idx val="1"/>
          <c:order val="1"/>
          <c:tx>
            <c:v>Vertical Speed vs Airspeed at Cruise</c:v>
          </c:tx>
          <c:spPr>
            <a:ln w="25400" cap="rnd">
              <a:solidFill>
                <a:schemeClr val="accent2"/>
              </a:solidFill>
              <a:round/>
            </a:ln>
            <a:effectLst/>
          </c:spPr>
          <c:marker>
            <c:symbol val="none"/>
          </c:marker>
          <c:xVal>
            <c:numRef>
              <c:f>'FE-Performance Analysis'!$A$27:$A$262</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'FE-Performance Analysis'!$AI$27:$AI$262</c:f>
              <c:numCache>
                <c:formatCode>General</c:formatCode>
                <c:ptCount val="236"/>
                <c:pt idx="0">
                  <c:v>993.81829981465944</c:v>
                </c:pt>
                <c:pt idx="1">
                  <c:v>1028.4322811299191</c:v>
                </c:pt>
                <c:pt idx="2">
                  <c:v>1062.5211276443006</c:v>
                </c:pt>
                <c:pt idx="3">
                  <c:v>1096.100191835902</c:v>
                </c:pt>
                <c:pt idx="4">
                  <c:v>1129.1838623841938</c:v>
                </c:pt>
                <c:pt idx="5">
                  <c:v>1161.7856330127786</c:v>
                </c:pt>
                <c:pt idx="6">
                  <c:v>1193.9181655144534</c:v>
                </c:pt>
                <c:pt idx="7">
                  <c:v>1225.5933475241818</c:v>
                </c:pt>
                <c:pt idx="8">
                  <c:v>1256.8223455436021</c:v>
                </c:pt>
                <c:pt idx="9">
                  <c:v>1287.6156536662534</c:v>
                </c:pt>
                <c:pt idx="10">
                  <c:v>1317.98313840478</c:v>
                </c:pt>
                <c:pt idx="11">
                  <c:v>1347.9340799791528</c:v>
                </c:pt>
                <c:pt idx="12">
                  <c:v>1377.4772103876153</c:v>
                </c:pt>
                <c:pt idx="13">
                  <c:v>1406.6207485491077</c:v>
                </c:pt>
                <c:pt idx="14">
                  <c:v>1435.3724327766383</c:v>
                </c:pt>
                <c:pt idx="15">
                  <c:v>1463.7395508151546</c:v>
                </c:pt>
                <c:pt idx="16">
                  <c:v>1491.7289676543876</c:v>
                </c:pt>
                <c:pt idx="17">
                  <c:v>1519.347151306604</c:v>
                </c:pt>
                <c:pt idx="18">
                  <c:v>1546.6001967209193</c:v>
                </c:pt>
                <c:pt idx="19">
                  <c:v>1573.4938479894297</c:v>
                </c:pt>
                <c:pt idx="20">
                  <c:v>1600.0335189858688</c:v>
                </c:pt>
                <c:pt idx="21">
                  <c:v>1626.2243125643406</c:v>
                </c:pt>
                <c:pt idx="22">
                  <c:v>1652.0710384340171</c:v>
                </c:pt>
                <c:pt idx="23">
                  <c:v>1677.5782298150971</c:v>
                </c:pt>
                <c:pt idx="24">
                  <c:v>1702.7501589718975</c:v>
                </c:pt>
                <c:pt idx="25">
                  <c:v>1727.5908517103996</c:v>
                </c:pt>
                <c:pt idx="26">
                  <c:v>1752.1041009199173</c:v>
                </c:pt>
                <c:pt idx="27">
                  <c:v>1776.2934792316114</c:v>
                </c:pt>
                <c:pt idx="28">
                  <c:v>1800.1623508603261</c:v>
                </c:pt>
                <c:pt idx="29">
                  <c:v>1823.7138826905621</c:v>
                </c:pt>
                <c:pt idx="30">
                  <c:v>1846.9510546622842</c:v>
                </c:pt>
                <c:pt idx="31">
                  <c:v>1869.8766695076185</c:v>
                </c:pt>
                <c:pt idx="32">
                  <c:v>1892.4933618852733</c:v>
                </c:pt>
                <c:pt idx="33">
                  <c:v>1914.8036069557174</c:v>
                </c:pt>
                <c:pt idx="34">
                  <c:v>1936.8097284366436</c:v>
                </c:pt>
                <c:pt idx="35">
                  <c:v>1958.5139061751072</c:v>
                </c:pt>
                <c:pt idx="36">
                  <c:v>1979.9181832698387</c:v>
                </c:pt>
                <c:pt idx="37">
                  <c:v>2001.024472774588</c:v>
                </c:pt>
                <c:pt idx="38">
                  <c:v>2021.8345640109937</c:v>
                </c:pt>
                <c:pt idx="39">
                  <c:v>2042.3501285172345</c:v>
                </c:pt>
                <c:pt idx="40">
                  <c:v>2062.572725656772</c:v>
                </c:pt>
                <c:pt idx="41">
                  <c:v>2082.5038079096084</c:v>
                </c:pt>
                <c:pt idx="42">
                  <c:v>2102.1447258668391</c:v>
                </c:pt>
                <c:pt idx="43">
                  <c:v>2121.4967329477358</c:v>
                </c:pt>
                <c:pt idx="44">
                  <c:v>2140.5609898571656</c:v>
                </c:pt>
                <c:pt idx="45">
                  <c:v>2159.3385687998843</c:v>
                </c:pt>
                <c:pt idx="46">
                  <c:v>2177.8304574670278</c:v>
                </c:pt>
                <c:pt idx="47">
                  <c:v>2196.0375628090387</c:v>
                </c:pt>
                <c:pt idx="48">
                  <c:v>2213.9607146082681</c:v>
                </c:pt>
                <c:pt idx="49">
                  <c:v>2231.6006688635393</c:v>
                </c:pt>
                <c:pt idx="50">
                  <c:v>2248.9581109981232</c:v>
                </c:pt>
                <c:pt idx="51">
                  <c:v>2266.0336589017948</c:v>
                </c:pt>
                <c:pt idx="52">
                  <c:v>2282.8278658168747</c:v>
                </c:pt>
                <c:pt idx="53">
                  <c:v>2299.3412230775302</c:v>
                </c:pt>
                <c:pt idx="54">
                  <c:v>2315.5741627109601</c:v>
                </c:pt>
                <c:pt idx="55">
                  <c:v>2331.527059908512</c:v>
                </c:pt>
                <c:pt idx="56">
                  <c:v>2347.2002353742796</c:v>
                </c:pt>
                <c:pt idx="57">
                  <c:v>2362.5939575581797</c:v>
                </c:pt>
                <c:pt idx="58">
                  <c:v>2377.7084447801099</c:v>
                </c:pt>
                <c:pt idx="59">
                  <c:v>2392.5438672513196</c:v>
                </c:pt>
                <c:pt idx="60">
                  <c:v>2407.1003489987552</c:v>
                </c:pt>
                <c:pt idx="61">
                  <c:v>2421.3779696977717</c:v>
                </c:pt>
                <c:pt idx="62">
                  <c:v>2435.3767664182551</c:v>
                </c:pt>
                <c:pt idx="63">
                  <c:v>2449.0967352889015</c:v>
                </c:pt>
                <c:pt idx="64">
                  <c:v>2462.5378330840872</c:v>
                </c:pt>
                <c:pt idx="65">
                  <c:v>2475.6999787374907</c:v>
                </c:pt>
                <c:pt idx="66">
                  <c:v>2488.5830547863984</c:v>
                </c:pt>
                <c:pt idx="67">
                  <c:v>2501.1869087503514</c:v>
                </c:pt>
                <c:pt idx="68">
                  <c:v>2513.5113544476098</c:v>
                </c:pt>
                <c:pt idx="69">
                  <c:v>2525.5561732526553</c:v>
                </c:pt>
                <c:pt idx="70">
                  <c:v>2537.321115297817</c:v>
                </c:pt>
                <c:pt idx="71">
                  <c:v>2548.8059006218773</c:v>
                </c:pt>
                <c:pt idx="72">
                  <c:v>2560.0102202683802</c:v>
                </c:pt>
                <c:pt idx="73">
                  <c:v>2570.9337373361786</c:v>
                </c:pt>
                <c:pt idx="74">
                  <c:v>2581.5760879846439</c:v>
                </c:pt>
                <c:pt idx="75">
                  <c:v>2591.9368823957871</c:v>
                </c:pt>
                <c:pt idx="76">
                  <c:v>2602.0157056954417</c:v>
                </c:pt>
                <c:pt idx="77">
                  <c:v>2611.8121188355258</c:v>
                </c:pt>
                <c:pt idx="78">
                  <c:v>2621.3256594392824</c:v>
                </c:pt>
                <c:pt idx="79">
                  <c:v>2630.5558426113034</c:v>
                </c:pt>
                <c:pt idx="80">
                  <c:v>2639.5021617140328</c:v>
                </c:pt>
                <c:pt idx="81">
                  <c:v>2648.1640891123652</c:v>
                </c:pt>
                <c:pt idx="82">
                  <c:v>2656.5410768878419</c:v>
                </c:pt>
                <c:pt idx="83">
                  <c:v>2664.6325575239061</c:v>
                </c:pt>
                <c:pt idx="84">
                  <c:v>2672.4379445635514</c:v>
                </c:pt>
                <c:pt idx="85">
                  <c:v>2679.9566332406744</c:v>
                </c:pt>
                <c:pt idx="86">
                  <c:v>2687.1880010863342</c:v>
                </c:pt>
                <c:pt idx="87">
                  <c:v>2694.1314085110816</c:v>
                </c:pt>
                <c:pt idx="88">
                  <c:v>2700.7861993644551</c:v>
                </c:pt>
                <c:pt idx="89">
                  <c:v>2707.1517014726751</c:v>
                </c:pt>
                <c:pt idx="90">
                  <c:v>2713.2272271555253</c:v>
                </c:pt>
                <c:pt idx="91">
                  <c:v>2719.0120737233519</c:v>
                </c:pt>
                <c:pt idx="92">
                  <c:v>2724.5055239550757</c:v>
                </c:pt>
                <c:pt idx="93">
                  <c:v>2729.7068465580414</c:v>
                </c:pt>
                <c:pt idx="94">
                  <c:v>2734.6152966105251</c:v>
                </c:pt>
                <c:pt idx="95">
                  <c:v>2739.2301159876424</c:v>
                </c:pt>
                <c:pt idx="96">
                  <c:v>2743.5505337713789</c:v>
                </c:pt>
                <c:pt idx="97">
                  <c:v>2747.5757666454474</c:v>
                </c:pt>
                <c:pt idx="98">
                  <c:v>2751.3050192755954</c:v>
                </c:pt>
                <c:pt idx="99">
                  <c:v>2754.7374846760154</c:v>
                </c:pt>
                <c:pt idx="100">
                  <c:v>2757.8723445624137</c:v>
                </c:pt>
                <c:pt idx="101">
                  <c:v>2760.7087696923304</c:v>
                </c:pt>
                <c:pt idx="102">
                  <c:v>2763.2459201932297</c:v>
                </c:pt>
                <c:pt idx="103">
                  <c:v>2765.4829458788672</c:v>
                </c:pt>
                <c:pt idx="104">
                  <c:v>2767.4189865544322</c:v>
                </c:pt>
                <c:pt idx="105">
                  <c:v>2769.0531723109161</c:v>
                </c:pt>
                <c:pt idx="106">
                  <c:v>2770.3846238091542</c:v>
                </c:pt>
                <c:pt idx="107">
                  <c:v>2771.4124525539569</c:v>
                </c:pt>
                <c:pt idx="108">
                  <c:v>2772.1357611587355</c:v>
                </c:pt>
                <c:pt idx="109">
                  <c:v>2772.5536436010011</c:v>
                </c:pt>
                <c:pt idx="110">
                  <c:v>2772.6651854691077</c:v>
                </c:pt>
                <c:pt idx="111">
                  <c:v>2772.4694642005747</c:v>
                </c:pt>
                <c:pt idx="112">
                  <c:v>2771.9655493123437</c:v>
                </c:pt>
                <c:pt idx="113">
                  <c:v>2771.1525026232612</c:v>
                </c:pt>
                <c:pt idx="114">
                  <c:v>2770.0293784691103</c:v>
                </c:pt>
                <c:pt idx="115">
                  <c:v>2768.5952239104768</c:v>
                </c:pt>
                <c:pt idx="116">
                  <c:v>2766.8490789337175</c:v>
                </c:pt>
                <c:pt idx="117">
                  <c:v>2764.7899766453065</c:v>
                </c:pt>
                <c:pt idx="118">
                  <c:v>2762.4169434598157</c:v>
                </c:pt>
                <c:pt idx="119">
                  <c:v>2759.7289992817546</c:v>
                </c:pt>
                <c:pt idx="120">
                  <c:v>2756.7251576815202</c:v>
                </c:pt>
                <c:pt idx="121">
                  <c:v>2753.404426065671</c:v>
                </c:pt>
                <c:pt idx="122">
                  <c:v>2749.7658058417251</c:v>
                </c:pt>
                <c:pt idx="123">
                  <c:v>2745.808292577728</c:v>
                </c:pt>
                <c:pt idx="124">
                  <c:v>2741.5308761567162</c:v>
                </c:pt>
                <c:pt idx="125">
                  <c:v>2736.9325409263379</c:v>
                </c:pt>
                <c:pt idx="126">
                  <c:v>2732.0122658437476</c:v>
                </c:pt>
                <c:pt idx="127">
                  <c:v>2726.7690246159896</c:v>
                </c:pt>
                <c:pt idx="128">
                  <c:v>2721.2017858360086</c:v>
                </c:pt>
                <c:pt idx="129">
                  <c:v>2715.3095131144605</c:v>
                </c:pt>
                <c:pt idx="130">
                  <c:v>2709.0911652074578</c:v>
                </c:pt>
                <c:pt idx="131">
                  <c:v>2702.5456961404129</c:v>
                </c:pt>
                <c:pt idx="132">
                  <c:v>2695.6720553281084</c:v>
                </c:pt>
                <c:pt idx="133">
                  <c:v>2688.4691876911193</c:v>
                </c:pt>
                <c:pt idx="134">
                  <c:v>2680.9360337687463</c:v>
                </c:pt>
                <c:pt idx="135">
                  <c:v>2673.0715298285322</c:v>
                </c:pt>
                <c:pt idx="136">
                  <c:v>2664.8746079725388</c:v>
                </c:pt>
                <c:pt idx="137">
                  <c:v>2656.344196240444</c:v>
                </c:pt>
                <c:pt idx="138">
                  <c:v>2647.4792187096004</c:v>
                </c:pt>
                <c:pt idx="139">
                  <c:v>2638.2785955921563</c:v>
                </c:pt>
                <c:pt idx="140">
                  <c:v>2628.741243329323</c:v>
                </c:pt>
                <c:pt idx="141">
                  <c:v>2618.8660746829105</c:v>
                </c:pt>
                <c:pt idx="142">
                  <c:v>2608.6519988241935</c:v>
                </c:pt>
                <c:pt idx="143">
                  <c:v>2598.0979214202262</c:v>
                </c:pt>
                <c:pt idx="144">
                  <c:v>2587.2027447176752</c:v>
                </c:pt>
                <c:pt idx="145">
                  <c:v>2575.9653676242565</c:v>
                </c:pt>
                <c:pt idx="146">
                  <c:v>2564.3846857878607</c:v>
                </c:pt>
                <c:pt idx="147">
                  <c:v>2552.4595916734306</c:v>
                </c:pt>
                <c:pt idx="148">
                  <c:v>2540.1889746376828</c:v>
                </c:pt>
                <c:pt idx="149">
                  <c:v>2527.5717210017228</c:v>
                </c:pt>
                <c:pt idx="150">
                  <c:v>2514.606714121654</c:v>
                </c:pt>
                <c:pt idx="151">
                  <c:v>2501.2928344571956</c:v>
                </c:pt>
                <c:pt idx="152">
                  <c:v>2487.6289596384304</c:v>
                </c:pt>
                <c:pt idx="153">
                  <c:v>2473.6139645307044</c:v>
                </c:pt>
                <c:pt idx="154">
                  <c:v>2459.2467212977435</c:v>
                </c:pt>
                <c:pt idx="155">
                  <c:v>2444.5260994630553</c:v>
                </c:pt>
                <c:pt idx="156">
                  <c:v>2429.4509659696687</c:v>
                </c:pt>
                <c:pt idx="157">
                  <c:v>2414.0201852382424</c:v>
                </c:pt>
                <c:pt idx="158">
                  <c:v>2398.2326192236296</c:v>
                </c:pt>
                <c:pt idx="159">
                  <c:v>2382.0871274699134</c:v>
                </c:pt>
                <c:pt idx="160">
                  <c:v>2365.5825671639818</c:v>
                </c:pt>
                <c:pt idx="161">
                  <c:v>2348.7177931876713</c:v>
                </c:pt>
                <c:pt idx="162">
                  <c:v>2331.4916581685502</c:v>
                </c:pt>
                <c:pt idx="163">
                  <c:v>2313.9030125293484</c:v>
                </c:pt>
                <c:pt idx="164">
                  <c:v>2295.9507045360965</c:v>
                </c:pt>
                <c:pt idx="165">
                  <c:v>2277.6335803450115</c:v>
                </c:pt>
                <c:pt idx="166">
                  <c:v>2258.950484048165</c:v>
                </c:pt>
                <c:pt idx="167">
                  <c:v>2239.9002577179713</c:v>
                </c:pt>
                <c:pt idx="168">
                  <c:v>2220.481741450521</c:v>
                </c:pt>
                <c:pt idx="169">
                  <c:v>2200.6937734078147</c:v>
                </c:pt>
                <c:pt idx="170">
                  <c:v>2180.535189858917</c:v>
                </c:pt>
                <c:pt idx="171">
                  <c:v>2160.0048252200518</c:v>
                </c:pt>
                <c:pt idx="172">
                  <c:v>2139.1015120937022</c:v>
                </c:pt>
                <c:pt idx="173">
                  <c:v>2117.8240813067068</c:v>
                </c:pt>
                <c:pt idx="174">
                  <c:v>2096.1713619474081</c:v>
                </c:pt>
                <c:pt idx="175">
                  <c:v>2074.1421814018781</c:v>
                </c:pt>
                <c:pt idx="176">
                  <c:v>2051.735365389226</c:v>
                </c:pt>
                <c:pt idx="177">
                  <c:v>2028.949737996043</c:v>
                </c:pt>
                <c:pt idx="178">
                  <c:v>2005.7841217099942</c:v>
                </c:pt>
                <c:pt idx="179">
                  <c:v>1982.2373374525837</c:v>
                </c:pt>
                <c:pt idx="180">
                  <c:v>1958.3082046111133</c:v>
                </c:pt>
                <c:pt idx="181">
                  <c:v>1933.9955410698731</c:v>
                </c:pt>
                <c:pt idx="182">
                  <c:v>1909.2981632405581</c:v>
                </c:pt>
                <c:pt idx="183">
                  <c:v>1884.2148860919649</c:v>
                </c:pt>
                <c:pt idx="184">
                  <c:v>1858.7445231789554</c:v>
                </c:pt>
                <c:pt idx="185">
                  <c:v>1832.8858866707556</c:v>
                </c:pt>
                <c:pt idx="186">
                  <c:v>1806.6377873785282</c:v>
                </c:pt>
                <c:pt idx="187">
                  <c:v>1779.9990347823471</c:v>
                </c:pt>
                <c:pt idx="188">
                  <c:v>1752.9684370574892</c:v>
                </c:pt>
                <c:pt idx="189">
                  <c:v>1725.5448011001151</c:v>
                </c:pt>
                <c:pt idx="190">
                  <c:v>1697.7269325523607</c:v>
                </c:pt>
                <c:pt idx="191">
                  <c:v>1669.5136358268267</c:v>
                </c:pt>
                <c:pt idx="192">
                  <c:v>1640.9037141304959</c:v>
                </c:pt>
                <c:pt idx="193">
                  <c:v>1611.8959694881003</c:v>
                </c:pt>
                <c:pt idx="194">
                  <c:v>1582.4892027649414</c:v>
                </c:pt>
                <c:pt idx="195">
                  <c:v>1552.6822136891972</c:v>
                </c:pt>
                <c:pt idx="196">
                  <c:v>1522.4738008736917</c:v>
                </c:pt>
                <c:pt idx="197">
                  <c:v>1491.8627618371906</c:v>
                </c:pt>
                <c:pt idx="198">
                  <c:v>1460.8478930251965</c:v>
                </c:pt>
                <c:pt idx="199">
                  <c:v>1429.4279898302766</c:v>
                </c:pt>
                <c:pt idx="200">
                  <c:v>1397.6018466119294</c:v>
                </c:pt>
                <c:pt idx="201">
                  <c:v>1365.3682567160088</c:v>
                </c:pt>
                <c:pt idx="202">
                  <c:v>1332.7260124936925</c:v>
                </c:pt>
                <c:pt idx="203">
                  <c:v>1299.673905320054</c:v>
                </c:pt>
                <c:pt idx="204">
                  <c:v>1266.210725612196</c:v>
                </c:pt>
                <c:pt idx="205">
                  <c:v>1232.335262847002</c:v>
                </c:pt>
                <c:pt idx="206">
                  <c:v>1198.046305578468</c:v>
                </c:pt>
                <c:pt idx="207">
                  <c:v>1163.3426414546743</c:v>
                </c:pt>
                <c:pt idx="208">
                  <c:v>1128.2230572343858</c:v>
                </c:pt>
                <c:pt idx="209">
                  <c:v>1092.6863388032668</c:v>
                </c:pt>
                <c:pt idx="210">
                  <c:v>1056.7312711897623</c:v>
                </c:pt>
                <c:pt idx="211">
                  <c:v>1020.3566385806287</c:v>
                </c:pt>
                <c:pt idx="212">
                  <c:v>983.56122433612632</c:v>
                </c:pt>
                <c:pt idx="213">
                  <c:v>946.34381100487701</c:v>
                </c:pt>
                <c:pt idx="214">
                  <c:v>908.7031803384175</c:v>
                </c:pt>
                <c:pt idx="215">
                  <c:v>870.63811330543797</c:v>
                </c:pt>
                <c:pt idx="216">
                  <c:v>832.14739010569542</c:v>
                </c:pt>
                <c:pt idx="217">
                  <c:v>793.22979018365902</c:v>
                </c:pt>
                <c:pt idx="218">
                  <c:v>753.88409224185284</c:v>
                </c:pt>
                <c:pt idx="219">
                  <c:v>714.10907425392008</c:v>
                </c:pt>
                <c:pt idx="220">
                  <c:v>673.90351347740705</c:v>
                </c:pt>
                <c:pt idx="221">
                  <c:v>633.26618646627571</c:v>
                </c:pt>
                <c:pt idx="222">
                  <c:v>592.19586908317524</c:v>
                </c:pt>
                <c:pt idx="223">
                  <c:v>550.6913365114375</c:v>
                </c:pt>
                <c:pt idx="224">
                  <c:v>508.75136326683122</c:v>
                </c:pt>
                <c:pt idx="225">
                  <c:v>466.37472320906181</c:v>
                </c:pt>
                <c:pt idx="226">
                  <c:v>423.56018955306291</c:v>
                </c:pt>
                <c:pt idx="227">
                  <c:v>380.30653488002207</c:v>
                </c:pt>
                <c:pt idx="228">
                  <c:v>336.61253114819328</c:v>
                </c:pt>
                <c:pt idx="229">
                  <c:v>292.47694970350921</c:v>
                </c:pt>
                <c:pt idx="230">
                  <c:v>247.89856128994128</c:v>
                </c:pt>
                <c:pt idx="231">
                  <c:v>202.87613605967564</c:v>
                </c:pt>
                <c:pt idx="232">
                  <c:v>157.40844358307575</c:v>
                </c:pt>
                <c:pt idx="233">
                  <c:v>111.49425285843915</c:v>
                </c:pt>
                <c:pt idx="234">
                  <c:v>65.132332321579639</c:v>
                </c:pt>
                <c:pt idx="235">
                  <c:v>18.321449855180738</c:v>
                </c:pt>
              </c:numCache>
            </c:numRef>
          </c:yVal>
          <c:smooth val="1"/>
          <c:extLst>
            <c:ext xmlns:c16="http://schemas.microsoft.com/office/drawing/2014/chart" uri="{C3380CC4-5D6E-409C-BE32-E72D297353CC}">
              <c16:uniqueId val="{00000001-2149-4211-825A-6173D51A7865}"/>
            </c:ext>
          </c:extLst>
        </c:ser>
        <c:dLbls>
          <c:showLegendKey val="0"/>
          <c:showVal val="0"/>
          <c:showCatName val="0"/>
          <c:showSerName val="0"/>
          <c:showPercent val="0"/>
          <c:showBubbleSize val="0"/>
        </c:dLbls>
        <c:axId val="1813605471"/>
        <c:axId val="837850848"/>
      </c:scatterChart>
      <c:valAx>
        <c:axId val="18136054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 (KCAS)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850848"/>
        <c:crosses val="autoZero"/>
        <c:crossBetween val="midCat"/>
      </c:valAx>
      <c:valAx>
        <c:axId val="837850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Vertical</a:t>
                </a:r>
                <a:r>
                  <a:rPr lang="en-US" baseline="0"/>
                  <a:t> Speed (ft/min)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6054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Range vs AIrspeed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solidFill>
                <a:schemeClr val="tx2"/>
              </a:solidFill>
              <a:round/>
            </a:ln>
            <a:effectLst/>
          </c:spPr>
          <c:marker>
            <c:symbol val="none"/>
          </c:marker>
          <c:xVal>
            <c:numRef>
              <c:f>'FE-Performance Analysis'!$A$27:$A$262</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'FE-Performance Analysis'!$AE$27:$AE$262</c:f>
              <c:numCache>
                <c:formatCode>General</c:formatCode>
                <c:ptCount val="236"/>
                <c:pt idx="0">
                  <c:v>1204.2396647674243</c:v>
                </c:pt>
                <c:pt idx="1">
                  <c:v>1249.7580742358355</c:v>
                </c:pt>
                <c:pt idx="2">
                  <c:v>1295.9598271671277</c:v>
                </c:pt>
                <c:pt idx="3">
                  <c:v>1342.8138501920548</c:v>
                </c:pt>
                <c:pt idx="4">
                  <c:v>1390.2872240924548</c:v>
                </c:pt>
                <c:pt idx="5">
                  <c:v>1438.3451874312307</c:v>
                </c:pt>
                <c:pt idx="6">
                  <c:v>1486.9511457987521</c:v>
                </c:pt>
                <c:pt idx="7">
                  <c:v>1536.066686976038</c:v>
                </c:pt>
                <c:pt idx="8">
                  <c:v>1585.6516022974918</c:v>
                </c:pt>
                <c:pt idx="9">
                  <c:v>1635.6639144747908</c:v>
                </c:pt>
                <c:pt idx="10">
                  <c:v>1686.0599121188786</c:v>
                </c:pt>
                <c:pt idx="11">
                  <c:v>1736.7941911687656</c:v>
                </c:pt>
                <c:pt idx="12">
                  <c:v>1787.8197034039617</c:v>
                </c:pt>
                <c:pt idx="13">
                  <c:v>1839.0878121820335</c:v>
                </c:pt>
                <c:pt idx="14">
                  <c:v>1890.5483555040173</c:v>
                </c:pt>
                <c:pt idx="15">
                  <c:v>1942.1497164683587</c:v>
                </c:pt>
                <c:pt idx="16">
                  <c:v>1993.8389011289819</c:v>
                </c:pt>
                <c:pt idx="17">
                  <c:v>2045.5616237252616</c:v>
                </c:pt>
                <c:pt idx="18">
                  <c:v>2097.2623992012664</c:v>
                </c:pt>
                <c:pt idx="19">
                  <c:v>2148.8846428792931</c:v>
                </c:pt>
                <c:pt idx="20">
                  <c:v>2200.3707770985729</c:v>
                </c:pt>
                <c:pt idx="21">
                  <c:v>2251.6623445747782</c:v>
                </c:pt>
                <c:pt idx="22">
                  <c:v>2302.7001281799639</c:v>
                </c:pt>
                <c:pt idx="23">
                  <c:v>2353.4242767865903</c:v>
                </c:pt>
                <c:pt idx="24">
                  <c:v>2403.774436763646</c:v>
                </c:pt>
                <c:pt idx="25">
                  <c:v>2453.6898886584718</c:v>
                </c:pt>
                <c:pt idx="26">
                  <c:v>2503.1096885451907</c:v>
                </c:pt>
                <c:pt idx="27">
                  <c:v>2551.9728134704001</c:v>
                </c:pt>
                <c:pt idx="28">
                  <c:v>2600.2183103795687</c:v>
                </c:pt>
                <c:pt idx="29">
                  <c:v>2647.7854478640943</c:v>
                </c:pt>
                <c:pt idx="30">
                  <c:v>2694.6138700298729</c:v>
                </c:pt>
                <c:pt idx="31">
                  <c:v>2740.6437517539775</c:v>
                </c:pt>
                <c:pt idx="32">
                  <c:v>2785.8159545673634</c:v>
                </c:pt>
                <c:pt idx="33">
                  <c:v>2830.0721823787144</c:v>
                </c:pt>
                <c:pt idx="34">
                  <c:v>2873.3551362382063</c:v>
                </c:pt>
                <c:pt idx="35">
                  <c:v>2915.6086673303967</c:v>
                </c:pt>
                <c:pt idx="36">
                  <c:v>2956.7779273828023</c:v>
                </c:pt>
                <c:pt idx="37">
                  <c:v>2996.8095156814607</c:v>
                </c:pt>
                <c:pt idx="38">
                  <c:v>3035.6516218966799</c:v>
                </c:pt>
                <c:pt idx="39">
                  <c:v>3073.2541639414358</c:v>
                </c:pt>
                <c:pt idx="40">
                  <c:v>3109.5689201113473</c:v>
                </c:pt>
                <c:pt idx="41">
                  <c:v>3144.5496547885964</c:v>
                </c:pt>
                <c:pt idx="42">
                  <c:v>3178.1522370322687</c:v>
                </c:pt>
                <c:pt idx="43">
                  <c:v>3210.3347514240336</c:v>
                </c:pt>
                <c:pt idx="44">
                  <c:v>3241.0576005902708</c:v>
                </c:pt>
                <c:pt idx="45">
                  <c:v>3270.2835988792108</c:v>
                </c:pt>
                <c:pt idx="46">
                  <c:v>3297.9780567337002</c:v>
                </c:pt>
                <c:pt idx="47">
                  <c:v>3324.108855366117</c:v>
                </c:pt>
                <c:pt idx="48">
                  <c:v>3348.6465114110797</c:v>
                </c:pt>
                <c:pt idx="49">
                  <c:v>3371.5642313029662</c:v>
                </c:pt>
                <c:pt idx="50">
                  <c:v>3392.8379551982825</c:v>
                </c:pt>
                <c:pt idx="51">
                  <c:v>3412.4463903365618</c:v>
                </c:pt>
                <c:pt idx="52">
                  <c:v>3430.3710338070919</c:v>
                </c:pt>
                <c:pt idx="53">
                  <c:v>3446.5961847614058</c:v>
                </c:pt>
                <c:pt idx="54">
                  <c:v>3461.1089461824727</c:v>
                </c:pt>
                <c:pt idx="55">
                  <c:v>3473.8992163900643</c:v>
                </c:pt>
                <c:pt idx="56">
                  <c:v>3484.9596705272406</c:v>
                </c:pt>
                <c:pt idx="57">
                  <c:v>3494.2857323345538</c:v>
                </c:pt>
                <c:pt idx="58">
                  <c:v>3501.8755365760162</c:v>
                </c:pt>
                <c:pt idx="59">
                  <c:v>3507.7298825334947</c:v>
                </c:pt>
                <c:pt idx="60">
                  <c:v>3511.8521790336008</c:v>
                </c:pt>
                <c:pt idx="61">
                  <c:v>3514.2483815131154</c:v>
                </c:pt>
                <c:pt idx="62">
                  <c:v>3514.9269216651496</c:v>
                </c:pt>
                <c:pt idx="63">
                  <c:v>3513.898630238546</c:v>
                </c:pt>
                <c:pt idx="64">
                  <c:v>3511.1766535873398</c:v>
                </c:pt>
                <c:pt idx="65">
                  <c:v>3506.7763645854457</c:v>
                </c:pt>
                <c:pt idx="66">
                  <c:v>3500.7152685342717</c:v>
                </c:pt>
                <c:pt idx="67">
                  <c:v>3493.0129046976481</c:v>
                </c:pt>
                <c:pt idx="68">
                  <c:v>3483.6907440997979</c:v>
                </c:pt>
                <c:pt idx="69">
                  <c:v>3472.772084218017</c:v>
                </c:pt>
                <c:pt idx="70">
                  <c:v>3460.2819411929299</c:v>
                </c:pt>
                <c:pt idx="71">
                  <c:v>3446.2469401656776</c:v>
                </c:pt>
                <c:pt idx="72">
                  <c:v>3430.6952043338219</c:v>
                </c:pt>
                <c:pt idx="73">
                  <c:v>3413.6562432965152</c:v>
                </c:pt>
                <c:pt idx="74">
                  <c:v>3395.1608412346945</c:v>
                </c:pt>
                <c:pt idx="75">
                  <c:v>3375.2409454448111</c:v>
                </c:pt>
                <c:pt idx="76">
                  <c:v>3353.929555714562</c:v>
                </c:pt>
                <c:pt idx="77">
                  <c:v>3331.2606149974217</c:v>
                </c:pt>
                <c:pt idx="78">
                  <c:v>3307.2689018093697</c:v>
                </c:pt>
                <c:pt idx="79">
                  <c:v>3281.9899247368235</c:v>
                </c:pt>
                <c:pt idx="80">
                  <c:v>3255.4598194096839</c:v>
                </c:pt>
                <c:pt idx="81">
                  <c:v>3227.7152482579627</c:v>
                </c:pt>
                <c:pt idx="82">
                  <c:v>3198.7933033350723</c:v>
                </c:pt>
                <c:pt idx="83">
                  <c:v>3168.7314124558416</c:v>
                </c:pt>
                <c:pt idx="84">
                  <c:v>3137.5672488629202</c:v>
                </c:pt>
                <c:pt idx="85">
                  <c:v>3105.3386446017539</c:v>
                </c:pt>
                <c:pt idx="86">
                  <c:v>3072.0835077519896</c:v>
                </c:pt>
                <c:pt idx="87">
                  <c:v>3037.839743632112</c:v>
                </c:pt>
                <c:pt idx="88">
                  <c:v>3002.6451800646432</c:v>
                </c:pt>
                <c:pt idx="89">
                  <c:v>2966.5374967612852</c:v>
                </c:pt>
                <c:pt idx="90">
                  <c:v>2929.5541588612114</c:v>
                </c:pt>
                <c:pt idx="91">
                  <c:v>2891.7323546314146</c:v>
                </c:pt>
                <c:pt idx="92">
                  <c:v>2853.1089373153977</c:v>
                </c:pt>
                <c:pt idx="93">
                  <c:v>2813.7203710959443</c:v>
                </c:pt>
                <c:pt idx="94">
                  <c:v>2773.6026811188963</c:v>
                </c:pt>
                <c:pt idx="95">
                  <c:v>2732.7914075080348</c:v>
                </c:pt>
                <c:pt idx="96">
                  <c:v>2691.3215632860706</c:v>
                </c:pt>
                <c:pt idx="97">
                  <c:v>2649.2275961035507</c:v>
                </c:pt>
                <c:pt idx="98">
                  <c:v>2606.5433536659261</c:v>
                </c:pt>
                <c:pt idx="99">
                  <c:v>2563.3020527391918</c:v>
                </c:pt>
                <c:pt idx="100">
                  <c:v>2519.5362516062819</c:v>
                </c:pt>
                <c:pt idx="101">
                  <c:v>2475.2778258395469</c:v>
                </c:pt>
                <c:pt idx="102">
                  <c:v>2430.5579472493437</c:v>
                </c:pt>
                <c:pt idx="103">
                  <c:v>2385.407065864732</c:v>
                </c:pt>
                <c:pt idx="104">
                  <c:v>2339.8548947993668</c:v>
                </c:pt>
                <c:pt idx="105">
                  <c:v>2293.9303978540374</c:v>
                </c:pt>
                <c:pt idx="106">
                  <c:v>2247.6617797065887</c:v>
                </c:pt>
                <c:pt idx="107">
                  <c:v>2201.0764785402148</c:v>
                </c:pt>
                <c:pt idx="108">
                  <c:v>2154.2011609621109</c:v>
                </c:pt>
                <c:pt idx="109">
                  <c:v>2107.0617190664589</c:v>
                </c:pt>
                <c:pt idx="110">
                  <c:v>2059.6832694980021</c:v>
                </c:pt>
                <c:pt idx="111">
                  <c:v>2012.0901543756415</c:v>
                </c:pt>
                <c:pt idx="112">
                  <c:v>1964.305943938974</c:v>
                </c:pt>
                <c:pt idx="113">
                  <c:v>1916.3534407847196</c:v>
                </c:pt>
                <c:pt idx="114">
                  <c:v>1868.2546855641697</c:v>
                </c:pt>
                <c:pt idx="115">
                  <c:v>1820.0309640175396</c:v>
                </c:pt>
                <c:pt idx="116">
                  <c:v>1771.7028152258849</c:v>
                </c:pt>
                <c:pt idx="117">
                  <c:v>1723.2900409661593</c:v>
                </c:pt>
                <c:pt idx="118">
                  <c:v>1674.8117160602601</c:v>
                </c:pt>
                <c:pt idx="119">
                  <c:v>1626.2861996140043</c:v>
                </c:pt>
                <c:pt idx="120">
                  <c:v>1577.7311470472512</c:v>
                </c:pt>
                <c:pt idx="121">
                  <c:v>1529.1635228216205</c:v>
                </c:pt>
                <c:pt idx="122">
                  <c:v>1480.5996137774923</c:v>
                </c:pt>
                <c:pt idx="123">
                  <c:v>1432.0550429970426</c:v>
                </c:pt>
                <c:pt idx="124">
                  <c:v>1383.5447841152106</c:v>
                </c:pt>
                <c:pt idx="125">
                  <c:v>1335.0831760054127</c:v>
                </c:pt>
                <c:pt idx="126">
                  <c:v>1286.6839377716444</c:v>
                </c:pt>
                <c:pt idx="127">
                  <c:v>1238.3601839832797</c:v>
                </c:pt>
                <c:pt idx="128">
                  <c:v>1190.1244400935</c:v>
                </c:pt>
                <c:pt idx="129">
                  <c:v>1141.9886579865145</c:v>
                </c:pt>
                <c:pt idx="130">
                  <c:v>1093.9642316031025</c:v>
                </c:pt>
                <c:pt idx="131">
                  <c:v>1046.0620125979287</c:v>
                </c:pt>
                <c:pt idx="132">
                  <c:v>998.29232598594683</c:v>
                </c:pt>
                <c:pt idx="133">
                  <c:v>950.66498573893568</c:v>
                </c:pt>
                <c:pt idx="134">
                  <c:v>903.18931029664611</c:v>
                </c:pt>
                <c:pt idx="135">
                  <c:v>855.87413796034798</c:v>
                </c:pt>
                <c:pt idx="136">
                  <c:v>808.72784213973671</c:v>
                </c:pt>
                <c:pt idx="137">
                  <c:v>761.7583464270482</c:v>
                </c:pt>
                <c:pt idx="138">
                  <c:v>714.97313947508462</c:v>
                </c:pt>
                <c:pt idx="139">
                  <c:v>668.37928965837523</c:v>
                </c:pt>
                <c:pt idx="140">
                  <c:v>621.98345949920861</c:v>
                </c:pt>
                <c:pt idx="141">
                  <c:v>575.79191984253544</c:v>
                </c:pt>
                <c:pt idx="142">
                  <c:v>529.81056376585377</c:v>
                </c:pt>
                <c:pt idx="143">
                  <c:v>484.0449202121996</c:v>
                </c:pt>
                <c:pt idx="144">
                  <c:v>438.50016733616627</c:v>
                </c:pt>
                <c:pt idx="145">
                  <c:v>393.18114555463353</c:v>
                </c:pt>
                <c:pt idx="146">
                  <c:v>348.09237029540674</c:v>
                </c:pt>
                <c:pt idx="147">
                  <c:v>303.23804443845489</c:v>
                </c:pt>
                <c:pt idx="148">
                  <c:v>258.62207044572597</c:v>
                </c:pt>
                <c:pt idx="149">
                  <c:v>214.24806217681981</c:v>
                </c:pt>
                <c:pt idx="150">
                  <c:v>170.11935638879277</c:v>
                </c:pt>
                <c:pt idx="151">
                  <c:v>126.23902391951215</c:v>
                </c:pt>
                <c:pt idx="152">
                  <c:v>82.60988055481225</c:v>
                </c:pt>
                <c:pt idx="153">
                  <c:v>39.234497580574121</c:v>
                </c:pt>
                <c:pt idx="154">
                  <c:v>-3.8847879783812815</c:v>
                </c:pt>
                <c:pt idx="155">
                  <c:v>-46.745863430061299</c:v>
                </c:pt>
                <c:pt idx="156">
                  <c:v>-89.346830794567239</c:v>
                </c:pt>
                <c:pt idx="157">
                  <c:v>-131.68599748714621</c:v>
                </c:pt>
                <c:pt idx="158">
                  <c:v>-173.76186730090828</c:v>
                </c:pt>
                <c:pt idx="159">
                  <c:v>-215.57313168457742</c:v>
                </c:pt>
                <c:pt idx="160">
                  <c:v>-257.11866131034094</c:v>
                </c:pt>
                <c:pt idx="161">
                  <c:v>-298.39749792655232</c:v>
                </c:pt>
                <c:pt idx="162">
                  <c:v>-339.40884648974543</c:v>
                </c:pt>
                <c:pt idx="163">
                  <c:v>-380.15206757015636</c:v>
                </c:pt>
                <c:pt idx="164">
                  <c:v>-420.62667002490798</c:v>
                </c:pt>
                <c:pt idx="165">
                  <c:v>-460.83230393264023</c:v>
                </c:pt>
                <c:pt idx="166">
                  <c:v>-500.76875378345329</c:v>
                </c:pt>
                <c:pt idx="167">
                  <c:v>-540.435931917792</c:v>
                </c:pt>
                <c:pt idx="168">
                  <c:v>-579.83387220797408</c:v>
                </c:pt>
                <c:pt idx="169">
                  <c:v>-618.96272397584255</c:v>
                </c:pt>
                <c:pt idx="170">
                  <c:v>-657.82274614023106</c:v>
                </c:pt>
                <c:pt idx="171">
                  <c:v>-696.41430158772948</c:v>
                </c:pt>
                <c:pt idx="172">
                  <c:v>-734.73785176037359</c:v>
                </c:pt>
                <c:pt idx="173">
                  <c:v>-772.79395145392618</c:v>
                </c:pt>
                <c:pt idx="174">
                  <c:v>-810.58324382037108</c:v>
                </c:pt>
                <c:pt idx="175">
                  <c:v>-848.10645556843156</c:v>
                </c:pt>
                <c:pt idx="176">
                  <c:v>-885.36439235589739</c:v>
                </c:pt>
                <c:pt idx="177">
                  <c:v>-922.35793436770462</c:v>
                </c:pt>
                <c:pt idx="178">
                  <c:v>-959.08803207375672</c:v>
                </c:pt>
                <c:pt idx="179">
                  <c:v>-995.555702160603</c:v>
                </c:pt>
                <c:pt idx="180">
                  <c:v>-1031.7620236312032</c:v>
                </c:pt>
                <c:pt idx="181">
                  <c:v>-1067.7081340670763</c:v>
                </c:pt>
                <c:pt idx="182">
                  <c:v>-1103.3952260473527</c:v>
                </c:pt>
                <c:pt idx="183">
                  <c:v>-1138.8245437192359</c:v>
                </c:pt>
                <c:pt idx="184">
                  <c:v>-1173.9973795145961</c:v>
                </c:pt>
                <c:pt idx="185">
                  <c:v>-1208.9150710075712</c:v>
                </c:pt>
                <c:pt idx="186">
                  <c:v>-1243.5789979080369</c:v>
                </c:pt>
                <c:pt idx="187">
                  <c:v>-1277.990579186124</c:v>
                </c:pt>
                <c:pt idx="188">
                  <c:v>-1312.1512703229794</c:v>
                </c:pt>
                <c:pt idx="189">
                  <c:v>-1346.0625606830581</c:v>
                </c:pt>
                <c:pt idx="190">
                  <c:v>-1379.725971003531</c:v>
                </c:pt>
                <c:pt idx="191">
                  <c:v>-1413.1430509963495</c:v>
                </c:pt>
                <c:pt idx="192">
                  <c:v>-1446.315377058726</c:v>
                </c:pt>
                <c:pt idx="193">
                  <c:v>-1479.2445500879148</c:v>
                </c:pt>
                <c:pt idx="194">
                  <c:v>-1511.932193396274</c:v>
                </c:pt>
                <c:pt idx="195">
                  <c:v>-1544.3799507227548</c:v>
                </c:pt>
                <c:pt idx="196">
                  <c:v>-1576.5894843370279</c:v>
                </c:pt>
                <c:pt idx="197">
                  <c:v>-1608.5624732326446</c:v>
                </c:pt>
                <c:pt idx="198">
                  <c:v>-1640.3006114057328</c:v>
                </c:pt>
                <c:pt idx="199">
                  <c:v>-1671.8056062157714</c:v>
                </c:pt>
                <c:pt idx="200">
                  <c:v>-1703.0791768252393</c:v>
                </c:pt>
                <c:pt idx="201">
                  <c:v>-1734.1230527149144</c:v>
                </c:pt>
                <c:pt idx="202">
                  <c:v>-1764.9389722717749</c:v>
                </c:pt>
                <c:pt idx="203">
                  <c:v>-1795.5286814465728</c:v>
                </c:pt>
                <c:pt idx="204">
                  <c:v>-1825.8939324781993</c:v>
                </c:pt>
                <c:pt idx="205">
                  <c:v>-1856.0364826821062</c:v>
                </c:pt>
                <c:pt idx="206">
                  <c:v>-1885.9580933001482</c:v>
                </c:pt>
                <c:pt idx="207">
                  <c:v>-1915.6605284092748</c:v>
                </c:pt>
                <c:pt idx="208">
                  <c:v>-1945.1455538866167</c:v>
                </c:pt>
                <c:pt idx="209">
                  <c:v>-1974.4149364286036</c:v>
                </c:pt>
                <c:pt idx="210">
                  <c:v>-2003.4704426218325</c:v>
                </c:pt>
                <c:pt idx="211">
                  <c:v>-2032.3138380634664</c:v>
                </c:pt>
                <c:pt idx="212">
                  <c:v>-2060.9468865291151</c:v>
                </c:pt>
                <c:pt idx="213">
                  <c:v>-2089.3713491860776</c:v>
                </c:pt>
                <c:pt idx="214">
                  <c:v>-2117.5889838500611</c:v>
                </c:pt>
                <c:pt idx="215">
                  <c:v>-2145.6015442834628</c:v>
                </c:pt>
                <c:pt idx="216">
                  <c:v>-2173.4107795334216</c:v>
                </c:pt>
                <c:pt idx="217">
                  <c:v>-2201.0184333078851</c:v>
                </c:pt>
                <c:pt idx="218">
                  <c:v>-2228.4262433880576</c:v>
                </c:pt>
                <c:pt idx="219">
                  <c:v>-2255.635941075569</c:v>
                </c:pt>
                <c:pt idx="220">
                  <c:v>-2282.6492506728928</c:v>
                </c:pt>
                <c:pt idx="221">
                  <c:v>-2309.4678889954753</c:v>
                </c:pt>
                <c:pt idx="222">
                  <c:v>-2336.0935649141848</c:v>
                </c:pt>
                <c:pt idx="223">
                  <c:v>-2362.5279789267142</c:v>
                </c:pt>
                <c:pt idx="224">
                  <c:v>-2388.7728227566331</c:v>
                </c:pt>
                <c:pt idx="225">
                  <c:v>-2414.8297789788048</c:v>
                </c:pt>
                <c:pt idx="226">
                  <c:v>-2440.7005206700155</c:v>
                </c:pt>
                <c:pt idx="227">
                  <c:v>-2466.3867110836063</c:v>
                </c:pt>
                <c:pt idx="228">
                  <c:v>-2491.8900033470295</c:v>
                </c:pt>
                <c:pt idx="229">
                  <c:v>-2517.212040181269</c:v>
                </c:pt>
                <c:pt idx="230">
                  <c:v>-2542.3544536410827</c:v>
                </c:pt>
                <c:pt idx="231">
                  <c:v>-2567.3188648751157</c:v>
                </c:pt>
                <c:pt idx="232">
                  <c:v>-2592.106883904924</c:v>
                </c:pt>
                <c:pt idx="233">
                  <c:v>-2616.7201094220477</c:v>
                </c:pt>
                <c:pt idx="234">
                  <c:v>-2641.1601286022069</c:v>
                </c:pt>
                <c:pt idx="235">
                  <c:v>-2665.4285169358859</c:v>
                </c:pt>
              </c:numCache>
            </c:numRef>
          </c:yVal>
          <c:smooth val="0"/>
          <c:extLst>
            <c:ext xmlns:c16="http://schemas.microsoft.com/office/drawing/2014/chart" uri="{C3380CC4-5D6E-409C-BE32-E72D297353CC}">
              <c16:uniqueId val="{00000000-B6BC-4922-8E01-6BF768B9465E}"/>
            </c:ext>
          </c:extLst>
        </c:ser>
        <c:dLbls>
          <c:showLegendKey val="0"/>
          <c:showVal val="0"/>
          <c:showCatName val="0"/>
          <c:showSerName val="0"/>
          <c:showPercent val="0"/>
          <c:showBubbleSize val="0"/>
        </c:dLbls>
        <c:axId val="1789832336"/>
        <c:axId val="1017314832"/>
      </c:scatterChart>
      <c:valAx>
        <c:axId val="17898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314832"/>
        <c:crosses val="autoZero"/>
        <c:crossBetween val="midCat"/>
      </c:valAx>
      <c:valAx>
        <c:axId val="1017314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83233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Aptos Narrow" panose="02110004020202020204"/>
              </a:rPr>
              <a:t>FuelChart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w="25400">
              <a:noFill/>
            </a:ln>
            <a:effectLst/>
          </c:spPr>
          <c:invertIfNegative val="0"/>
          <c:cat>
            <c:numRef>
              <c:f>'FE-Performance Analysis'!$AD$27:$AD$262</c:f>
              <c:numCache>
                <c:formatCode>General</c:formatCode>
                <c:ptCount val="236"/>
                <c:pt idx="0">
                  <c:v>7.9572109070276831</c:v>
                </c:pt>
                <c:pt idx="1">
                  <c:v>8.1328603279394613</c:v>
                </c:pt>
                <c:pt idx="2">
                  <c:v>8.3076470012653072</c:v>
                </c:pt>
                <c:pt idx="3">
                  <c:v>8.481412725360105</c:v>
                </c:pt>
                <c:pt idx="4">
                  <c:v>8.6539969799973555</c:v>
                </c:pt>
                <c:pt idx="5">
                  <c:v>8.8252371142545716</c:v>
                </c:pt>
                <c:pt idx="6">
                  <c:v>8.9949685524962515</c:v>
                </c:pt>
                <c:pt idx="7">
                  <c:v>9.1630250184867261</c:v>
                </c:pt>
                <c:pt idx="8">
                  <c:v>9.3292387775580572</c:v>
                </c:pt>
                <c:pt idx="9">
                  <c:v>9.4934408966433903</c:v>
                </c:pt>
                <c:pt idx="10">
                  <c:v>9.655461521865341</c:v>
                </c:pt>
                <c:pt idx="11">
                  <c:v>9.8151301732418457</c:v>
                </c:pt>
                <c:pt idx="12">
                  <c:v>9.9722760559397123</c:v>
                </c:pt>
                <c:pt idx="13">
                  <c:v>10.126728387369935</c:v>
                </c:pt>
                <c:pt idx="14">
                  <c:v>10.278316739279539</c:v>
                </c:pt>
                <c:pt idx="15">
                  <c:v>10.426871393853538</c:v>
                </c:pt>
                <c:pt idx="16">
                  <c:v>10.572223712699001</c:v>
                </c:pt>
                <c:pt idx="17">
                  <c:v>10.714206517442637</c:v>
                </c:pt>
                <c:pt idx="18">
                  <c:v>10.852654480534976</c:v>
                </c:pt>
                <c:pt idx="19">
                  <c:v>10.987404524720374</c:v>
                </c:pt>
                <c:pt idx="20">
                  <c:v>11.118296229503555</c:v>
                </c:pt>
                <c:pt idx="21">
                  <c:v>11.245172242822836</c:v>
                </c:pt>
                <c:pt idx="22">
                  <c:v>11.367878696028253</c:v>
                </c:pt>
                <c:pt idx="23">
                  <c:v>11.486265620162412</c:v>
                </c:pt>
                <c:pt idx="24">
                  <c:v>11.600187361453502</c:v>
                </c:pt>
                <c:pt idx="25">
                  <c:v>11.709502993856004</c:v>
                </c:pt>
                <c:pt idx="26">
                  <c:v>11.814076726416175</c:v>
                </c:pt>
                <c:pt idx="27">
                  <c:v>11.913778303198059</c:v>
                </c:pt>
                <c:pt idx="28">
                  <c:v>12.008483393482713</c:v>
                </c:pt>
                <c:pt idx="29">
                  <c:v>12.098073969948969</c:v>
                </c:pt>
                <c:pt idx="30">
                  <c:v>12.182438672560583</c:v>
                </c:pt>
                <c:pt idx="31">
                  <c:v>12.261473155920722</c:v>
                </c:pt>
                <c:pt idx="32">
                  <c:v>12.335080417912563</c:v>
                </c:pt>
                <c:pt idx="33">
                  <c:v>12.403171107522775</c:v>
                </c:pt>
                <c:pt idx="34">
                  <c:v>12.4656638098439</c:v>
                </c:pt>
                <c:pt idx="35">
                  <c:v>12.522485306370681</c:v>
                </c:pt>
                <c:pt idx="36">
                  <c:v>12.57357080884355</c:v>
                </c:pt>
                <c:pt idx="37">
                  <c:v>12.618864165049494</c:v>
                </c:pt>
                <c:pt idx="38">
                  <c:v>12.658318035163397</c:v>
                </c:pt>
                <c:pt idx="39">
                  <c:v>12.691894037401784</c:v>
                </c:pt>
                <c:pt idx="40">
                  <c:v>12.719562861962503</c:v>
                </c:pt>
                <c:pt idx="41">
                  <c:v>12.741304352436927</c:v>
                </c:pt>
                <c:pt idx="42">
                  <c:v>12.757107554103094</c:v>
                </c:pt>
                <c:pt idx="43">
                  <c:v>12.766970728736629</c:v>
                </c:pt>
                <c:pt idx="44">
                  <c:v>12.770901335808707</c:v>
                </c:pt>
                <c:pt idx="45">
                  <c:v>12.768915980174043</c:v>
                </c:pt>
                <c:pt idx="46">
                  <c:v>12.761040326584663</c:v>
                </c:pt>
                <c:pt idx="47">
                  <c:v>12.747308981593967</c:v>
                </c:pt>
                <c:pt idx="48">
                  <c:v>12.727765343638209</c:v>
                </c:pt>
                <c:pt idx="49">
                  <c:v>12.702461422296439</c:v>
                </c:pt>
                <c:pt idx="50">
                  <c:v>12.671457627932764</c:v>
                </c:pt>
                <c:pt idx="51">
                  <c:v>12.634822533114624</c:v>
                </c:pt>
                <c:pt idx="52">
                  <c:v>12.592632607375615</c:v>
                </c:pt>
                <c:pt idx="53">
                  <c:v>12.544971927049488</c:v>
                </c:pt>
                <c:pt idx="54">
                  <c:v>12.491931862042101</c:v>
                </c:pt>
                <c:pt idx="55">
                  <c:v>12.433610741529019</c:v>
                </c:pt>
                <c:pt idx="56">
                  <c:v>12.37011350066733</c:v>
                </c:pt>
                <c:pt idx="57">
                  <c:v>12.301551310490446</c:v>
                </c:pt>
                <c:pt idx="58">
                  <c:v>12.228041193214118</c:v>
                </c:pt>
                <c:pt idx="59">
                  <c:v>12.149705625220466</c:v>
                </c:pt>
                <c:pt idx="60">
                  <c:v>12.066672130004514</c:v>
                </c:pt>
                <c:pt idx="61">
                  <c:v>11.979072863365857</c:v>
                </c:pt>
                <c:pt idx="62">
                  <c:v>11.887044193106602</c:v>
                </c:pt>
                <c:pt idx="63">
                  <c:v>11.790726275456899</c:v>
                </c:pt>
                <c:pt idx="64">
                  <c:v>11.69026263039285</c:v>
                </c:pt>
                <c:pt idx="65">
                  <c:v>11.585799717938768</c:v>
                </c:pt>
                <c:pt idx="66">
                  <c:v>11.477486517459155</c:v>
                </c:pt>
                <c:pt idx="67">
                  <c:v>11.365474111846112</c:v>
                </c:pt>
                <c:pt idx="68">
                  <c:v>11.249915278397363</c:v>
                </c:pt>
                <c:pt idx="69">
                  <c:v>11.130964088060077</c:v>
                </c:pt>
                <c:pt idx="70">
                  <c:v>11.008775514588319</c:v>
                </c:pt>
                <c:pt idx="71">
                  <c:v>10.883505055028305</c:v>
                </c:pt>
                <c:pt idx="72">
                  <c:v>10.755308362807829</c:v>
                </c:pt>
                <c:pt idx="73">
                  <c:v>10.624340894566336</c:v>
                </c:pt>
                <c:pt idx="74">
                  <c:v>10.49075757171998</c:v>
                </c:pt>
                <c:pt idx="75">
                  <c:v>10.354712457615607</c:v>
                </c:pt>
                <c:pt idx="76">
                  <c:v>10.216358450987689</c:v>
                </c:pt>
                <c:pt idx="77">
                  <c:v>10.07584699629621</c:v>
                </c:pt>
                <c:pt idx="78">
                  <c:v>9.9333278113907149</c:v>
                </c:pt>
                <c:pt idx="79">
                  <c:v>9.7889486328187036</c:v>
                </c:pt>
                <c:pt idx="80">
                  <c:v>9.6428549789747677</c:v>
                </c:pt>
                <c:pt idx="81">
                  <c:v>9.4951899311719448</c:v>
                </c:pt>
                <c:pt idx="82">
                  <c:v>9.3460939326090209</c:v>
                </c:pt>
                <c:pt idx="83">
                  <c:v>9.1957046051071529</c:v>
                </c:pt>
                <c:pt idx="84">
                  <c:v>9.0441565833969797</c:v>
                </c:pt>
                <c:pt idx="85">
                  <c:v>8.8915813666530212</c:v>
                </c:pt>
                <c:pt idx="86">
                  <c:v>8.7381071868965012</c:v>
                </c:pt>
                <c:pt idx="87">
                  <c:v>8.583858893819702</c:v>
                </c:pt>
                <c:pt idx="88">
                  <c:v>8.4289578555257414</c:v>
                </c:pt>
                <c:pt idx="89">
                  <c:v>8.2735218746259473</c:v>
                </c:pt>
                <c:pt idx="90">
                  <c:v>8.1176651190932638</c:v>
                </c:pt>
                <c:pt idx="91">
                  <c:v>7.9614980672340865</c:v>
                </c:pt>
                <c:pt idx="92">
                  <c:v>7.8051274661115357</c:v>
                </c:pt>
                <c:pt idx="93">
                  <c:v>7.6486563027310579</c:v>
                </c:pt>
                <c:pt idx="94">
                  <c:v>7.4921837872831505</c:v>
                </c:pt>
                <c:pt idx="95">
                  <c:v>7.3358053477280691</c:v>
                </c:pt>
                <c:pt idx="96">
                  <c:v>7.1796126350026093</c:v>
                </c:pt>
                <c:pt idx="97">
                  <c:v>7.0236935381297076</c:v>
                </c:pt>
                <c:pt idx="98">
                  <c:v>6.8681322085163377</c:v>
                </c:pt>
                <c:pt idx="99">
                  <c:v>6.7130090927343726</c:v>
                </c:pt>
                <c:pt idx="100">
                  <c:v>6.5584009730917767</c:v>
                </c:pt>
                <c:pt idx="101">
                  <c:v>6.4043810153172123</c:v>
                </c:pt>
                <c:pt idx="102">
                  <c:v>6.2510188226998764</c:v>
                </c:pt>
                <c:pt idx="103">
                  <c:v>6.0983804960474881</c:v>
                </c:pt>
                <c:pt idx="104">
                  <c:v>5.9465286988480379</c:v>
                </c:pt>
                <c:pt idx="105">
                  <c:v>5.7955227270457339</c:v>
                </c:pt>
                <c:pt idx="106">
                  <c:v>5.6454185828673786</c:v>
                </c:pt>
                <c:pt idx="107">
                  <c:v>5.4962690521621962</c:v>
                </c:pt>
                <c:pt idx="108">
                  <c:v>5.3481237847455407</c:v>
                </c:pt>
                <c:pt idx="109">
                  <c:v>5.2010293772651153</c:v>
                </c:pt>
                <c:pt idx="110">
                  <c:v>5.0550294581361177</c:v>
                </c:pt>
                <c:pt idx="111">
                  <c:v>4.9101647741198944</c:v>
                </c:pt>
                <c:pt idx="112">
                  <c:v>4.7664732781485295</c:v>
                </c:pt>
                <c:pt idx="113">
                  <c:v>4.623990218025317</c:v>
                </c:pt>
                <c:pt idx="114">
                  <c:v>4.482748225657657</c:v>
                </c:pt>
                <c:pt idx="115">
                  <c:v>4.3427774065054985</c:v>
                </c:pt>
                <c:pt idx="116">
                  <c:v>4.2041054289538327</c:v>
                </c:pt>
                <c:pt idx="117">
                  <c:v>4.0667576133421051</c:v>
                </c:pt>
                <c:pt idx="118">
                  <c:v>3.9307570204075253</c:v>
                </c:pt>
                <c:pt idx="119">
                  <c:v>3.7961245389216369</c:v>
                </c:pt>
                <c:pt idx="120">
                  <c:v>3.6628789723213773</c:v>
                </c:pt>
                <c:pt idx="121">
                  <c:v>3.5310371241563971</c:v>
                </c:pt>
                <c:pt idx="122">
                  <c:v>3.4006138821941687</c:v>
                </c:pt>
                <c:pt idx="123">
                  <c:v>3.2716223010426364</c:v>
                </c:pt>
                <c:pt idx="124">
                  <c:v>3.1440736831678495</c:v>
                </c:pt>
                <c:pt idx="125">
                  <c:v>3.0179776582002518</c:v>
                </c:pt>
                <c:pt idx="126">
                  <c:v>2.8933422604386547</c:v>
                </c:pt>
                <c:pt idx="127">
                  <c:v>2.7701740044751144</c:v>
                </c:pt>
                <c:pt idx="128">
                  <c:v>2.6484779588774181</c:v>
                </c:pt>
                <c:pt idx="129">
                  <c:v>2.5282578178778747</c:v>
                </c:pt>
                <c:pt idx="130">
                  <c:v>2.4095159710287812</c:v>
                </c:pt>
                <c:pt idx="131">
                  <c:v>2.2922535707952369</c:v>
                </c:pt>
                <c:pt idx="132">
                  <c:v>2.1764705980654697</c:v>
                </c:pt>
                <c:pt idx="133">
                  <c:v>2.0621659255678542</c:v>
                </c:pt>
                <c:pt idx="134">
                  <c:v>1.9493373791915556</c:v>
                </c:pt>
                <c:pt idx="135">
                  <c:v>1.8379817972150037</c:v>
                </c:pt>
                <c:pt idx="136">
                  <c:v>1.7280950874530234</c:v>
                </c:pt>
                <c:pt idx="137">
                  <c:v>1.6196722823391192</c:v>
                </c:pt>
                <c:pt idx="138">
                  <c:v>1.5127075919648441</c:v>
                </c:pt>
                <c:pt idx="139">
                  <c:v>1.4071944551025979</c:v>
                </c:pt>
                <c:pt idx="140">
                  <c:v>1.3031255882424564</c:v>
                </c:pt>
                <c:pt idx="141">
                  <c:v>1.2004930326771523</c:v>
                </c:pt>
                <c:pt idx="142">
                  <c:v>1.0992881996723987</c:v>
                </c:pt>
                <c:pt idx="143">
                  <c:v>0.99950191376246167</c:v>
                </c:pt>
                <c:pt idx="144">
                  <c:v>0.9011244542130693</c:v>
                </c:pt>
                <c:pt idx="145">
                  <c:v>0.80414559469572888</c:v>
                </c:pt>
                <c:pt idx="146">
                  <c:v>0.70855464121895084</c:v>
                </c:pt>
                <c:pt idx="147">
                  <c:v>0.61434046836317102</c:v>
                </c:pt>
                <c:pt idx="148">
                  <c:v>0.52149155386701196</c:v>
                </c:pt>
                <c:pt idx="149">
                  <c:v>0.4299960116133521</c:v>
                </c:pt>
                <c:pt idx="150">
                  <c:v>0.3398416230638539</c:v>
                </c:pt>
                <c:pt idx="151">
                  <c:v>0.25101586719107477</c:v>
                </c:pt>
                <c:pt idx="152">
                  <c:v>0.16350594895712695</c:v>
                </c:pt>
                <c:pt idx="153">
                  <c:v>7.7298826387763517E-2</c:v>
                </c:pt>
                <c:pt idx="154">
                  <c:v>-7.6187637095046353E-3</c:v>
                </c:pt>
                <c:pt idx="155">
                  <c:v>-9.1260281335189097E-2</c:v>
                </c:pt>
                <c:pt idx="156">
                  <c:v>-0.17363936014792467</c:v>
                </c:pt>
                <c:pt idx="157">
                  <c:v>-0.25476978552797108</c:v>
                </c:pt>
                <c:pt idx="158">
                  <c:v>-0.33466547380809003</c:v>
                </c:pt>
                <c:pt idx="159">
                  <c:v>-0.41334045262643648</c:v>
                </c:pt>
                <c:pt idx="160">
                  <c:v>-0.4908088423571359</c:v>
                </c:pt>
                <c:pt idx="161">
                  <c:v>-0.56708483857520142</c:v>
                </c:pt>
                <c:pt idx="162">
                  <c:v>-0.64218269551340601</c:v>
                </c:pt>
                <c:pt idx="163">
                  <c:v>-0.7161167104697258</c:v>
                </c:pt>
                <c:pt idx="164">
                  <c:v>-0.78890120912533201</c:v>
                </c:pt>
                <c:pt idx="165">
                  <c:v>-0.86055053173381202</c:v>
                </c:pt>
                <c:pt idx="166">
                  <c:v>-0.93107902014381527</c:v>
                </c:pt>
                <c:pt idx="167">
                  <c:v>-1.0005010056181805</c:v>
                </c:pt>
                <c:pt idx="168">
                  <c:v>-1.0688307974140088</c:v>
                </c:pt>
                <c:pt idx="169">
                  <c:v>-1.1360826720889554</c:v>
                </c:pt>
                <c:pt idx="170">
                  <c:v>-1.2022708635005634</c:v>
                </c:pt>
                <c:pt idx="171">
                  <c:v>-1.267409553466246</c:v>
                </c:pt>
                <c:pt idx="172">
                  <c:v>-1.3315128630528323</c:v>
                </c:pt>
                <c:pt idx="173">
                  <c:v>-1.394594844465749</c:v>
                </c:pt>
                <c:pt idx="174">
                  <c:v>-1.4566694735087979</c:v>
                </c:pt>
                <c:pt idx="175">
                  <c:v>-1.5177506425868215</c:v>
                </c:pt>
                <c:pt idx="176">
                  <c:v>-1.5778521542244095</c:v>
                </c:pt>
                <c:pt idx="177">
                  <c:v>-1.6369877150749641</c:v>
                </c:pt>
                <c:pt idx="178">
                  <c:v>-1.6951709303953864</c:v>
                </c:pt>
                <c:pt idx="179">
                  <c:v>-1.7524152989626562</c:v>
                </c:pt>
                <c:pt idx="180">
                  <c:v>-1.8087342084095699</c:v>
                </c:pt>
                <c:pt idx="181">
                  <c:v>-1.8641409309577535</c:v>
                </c:pt>
                <c:pt idx="182">
                  <c:v>-1.9186486195271537</c:v>
                </c:pt>
                <c:pt idx="183">
                  <c:v>-1.9722703042018814</c:v>
                </c:pt>
                <c:pt idx="184">
                  <c:v>-2.0250188890332717</c:v>
                </c:pt>
                <c:pt idx="185">
                  <c:v>-2.0769071491619173</c:v>
                </c:pt>
                <c:pt idx="186">
                  <c:v>-2.127947728240998</c:v>
                </c:pt>
                <c:pt idx="187">
                  <c:v>-2.1781531361443101</c:v>
                </c:pt>
                <c:pt idx="188">
                  <c:v>-2.2275357469429484</c:v>
                </c:pt>
                <c:pt idx="189">
                  <c:v>-2.2761077971353139</c:v>
                </c:pt>
                <c:pt idx="190">
                  <c:v>-2.3238813841159995</c:v>
                </c:pt>
                <c:pt idx="191">
                  <c:v>-2.3708684648695835</c:v>
                </c:pt>
                <c:pt idx="192">
                  <c:v>-2.4170808548761</c:v>
                </c:pt>
                <c:pt idx="193">
                  <c:v>-2.4625302272155931</c:v>
                </c:pt>
                <c:pt idx="194">
                  <c:v>-2.5072281118597108</c:v>
                </c:pt>
                <c:pt idx="195">
                  <c:v>-2.551185895138937</c:v>
                </c:pt>
                <c:pt idx="196">
                  <c:v>-2.594414819374514</c:v>
                </c:pt>
                <c:pt idx="197">
                  <c:v>-2.6369259826647466</c:v>
                </c:pt>
                <c:pt idx="198">
                  <c:v>-2.6787303388158707</c:v>
                </c:pt>
                <c:pt idx="199">
                  <c:v>-2.7198386974080253</c:v>
                </c:pt>
                <c:pt idx="200">
                  <c:v>-2.7602617239875578</c:v>
                </c:pt>
                <c:pt idx="201">
                  <c:v>-2.8000099403771483</c:v>
                </c:pt>
                <c:pt idx="202">
                  <c:v>-2.8390937250957582</c:v>
                </c:pt>
                <c:pt idx="203">
                  <c:v>-2.8775233138808201</c:v>
                </c:pt>
                <c:pt idx="204">
                  <c:v>-2.915308800305433</c:v>
                </c:pt>
                <c:pt idx="205">
                  <c:v>-2.9524601364837406</c:v>
                </c:pt>
                <c:pt idx="206">
                  <c:v>-2.988987133858021</c:v>
                </c:pt>
                <c:pt idx="207">
                  <c:v>-3.0248994640613622</c:v>
                </c:pt>
                <c:pt idx="208">
                  <c:v>-3.060206659850083</c:v>
                </c:pt>
                <c:pt idx="209">
                  <c:v>-3.0949181161004335</c:v>
                </c:pt>
                <c:pt idx="210">
                  <c:v>-3.1290430908643843</c:v>
                </c:pt>
                <c:pt idx="211">
                  <c:v>-3.162590706479528</c:v>
                </c:pt>
                <c:pt idx="212">
                  <c:v>-3.1955699507285682</c:v>
                </c:pt>
                <c:pt idx="213">
                  <c:v>-3.2279896780438642</c:v>
                </c:pt>
                <c:pt idx="214">
                  <c:v>-3.259858610753005</c:v>
                </c:pt>
                <c:pt idx="215">
                  <c:v>-3.2911853403614337</c:v>
                </c:pt>
                <c:pt idx="216">
                  <c:v>-3.3219783288684877</c:v>
                </c:pt>
                <c:pt idx="217">
                  <c:v>-3.3522459101133282</c:v>
                </c:pt>
                <c:pt idx="218">
                  <c:v>-3.3819962911475421</c:v>
                </c:pt>
                <c:pt idx="219">
                  <c:v>-3.4112375536312749</c:v>
                </c:pt>
                <c:pt idx="220">
                  <c:v>-3.4399776552500514</c:v>
                </c:pt>
                <c:pt idx="221">
                  <c:v>-3.4682244311495132</c:v>
                </c:pt>
                <c:pt idx="222">
                  <c:v>-3.4959855953855352</c:v>
                </c:pt>
                <c:pt idx="223">
                  <c:v>-3.5232687423872995</c:v>
                </c:pt>
                <c:pt idx="224">
                  <c:v>-3.5500813484310956</c:v>
                </c:pt>
                <c:pt idx="225">
                  <c:v>-3.5764307731226666</c:v>
                </c:pt>
                <c:pt idx="226">
                  <c:v>-3.6023242608862147</c:v>
                </c:pt>
                <c:pt idx="227">
                  <c:v>-3.6277689424581006</c:v>
                </c:pt>
                <c:pt idx="228">
                  <c:v>-3.6527718363835771</c:v>
                </c:pt>
                <c:pt idx="229">
                  <c:v>-3.677339850514902</c:v>
                </c:pt>
                <c:pt idx="230">
                  <c:v>-3.7014797835093058</c:v>
                </c:pt>
                <c:pt idx="231">
                  <c:v>-3.7251983263254203</c:v>
                </c:pt>
                <c:pt idx="232">
                  <c:v>-3.748502063716836</c:v>
                </c:pt>
                <c:pt idx="233">
                  <c:v>-3.7713974757215851</c:v>
                </c:pt>
                <c:pt idx="234">
                  <c:v>-3.7938909391463471</c:v>
                </c:pt>
                <c:pt idx="235">
                  <c:v>-3.8159887290444168</c:v>
                </c:pt>
              </c:numCache>
            </c:numRef>
          </c:cat>
          <c:val>
            <c:numRef>
              <c:f>'FE-Performance Analysis'!$AJ$27:$AJ$262</c:f>
              <c:numCache>
                <c:formatCode>General</c:formatCode>
                <c:ptCount val="236"/>
                <c:pt idx="0">
                  <c:v>10709.334897490013</c:v>
                </c:pt>
                <c:pt idx="1">
                  <c:v>10899.007262133278</c:v>
                </c:pt>
                <c:pt idx="2">
                  <c:v>11085.866219410669</c:v>
                </c:pt>
                <c:pt idx="3">
                  <c:v>11269.722757633099</c:v>
                </c:pt>
                <c:pt idx="4">
                  <c:v>11450.387772870514</c:v>
                </c:pt>
                <c:pt idx="5">
                  <c:v>11627.672363479116</c:v>
                </c:pt>
                <c:pt idx="6">
                  <c:v>11801.38814236852</c:v>
                </c:pt>
                <c:pt idx="7">
                  <c:v>11971.347566463923</c:v>
                </c:pt>
                <c:pt idx="8">
                  <c:v>12137.364282682007</c:v>
                </c:pt>
                <c:pt idx="9">
                  <c:v>12299.253489597984</c:v>
                </c:pt>
                <c:pt idx="10">
                  <c:v>12456.832313836914</c:v>
                </c:pt>
                <c:pt idx="11">
                  <c:v>12609.920200075345</c:v>
                </c:pt>
                <c:pt idx="12">
                  <c:v>12758.339313391358</c:v>
                </c:pt>
                <c:pt idx="13">
                  <c:v>12901.914952553561</c:v>
                </c:pt>
                <c:pt idx="14">
                  <c:v>13040.475972693925</c:v>
                </c:pt>
                <c:pt idx="15">
                  <c:v>13173.855215667318</c:v>
                </c:pt>
                <c:pt idx="16">
                  <c:v>13301.889946263616</c:v>
                </c:pt>
                <c:pt idx="17">
                  <c:v>13424.422292308818</c:v>
                </c:pt>
                <c:pt idx="18">
                  <c:v>13541.29968657037</c:v>
                </c:pt>
                <c:pt idx="19">
                  <c:v>13652.375308272158</c:v>
                </c:pt>
                <c:pt idx="20">
                  <c:v>13757.508521926633</c:v>
                </c:pt>
                <c:pt idx="21">
                  <c:v>13856.565311108629</c:v>
                </c:pt>
                <c:pt idx="22">
                  <c:v>13949.418704727856</c:v>
                </c:pt>
                <c:pt idx="23">
                  <c:v>14035.949193307684</c:v>
                </c:pt>
                <c:pt idx="24">
                  <c:v>14116.045132747226</c:v>
                </c:pt>
                <c:pt idx="25">
                  <c:v>14189.603133033701</c:v>
                </c:pt>
                <c:pt idx="26">
                  <c:v>14256.528429383201</c:v>
                </c:pt>
                <c:pt idx="27">
                  <c:v>14316.735233322088</c:v>
                </c:pt>
                <c:pt idx="28">
                  <c:v>14370.147061277892</c:v>
                </c:pt>
                <c:pt idx="29">
                  <c:v>14416.697038328302</c:v>
                </c:pt>
                <c:pt idx="30">
                  <c:v>14456.328174860788</c:v>
                </c:pt>
                <c:pt idx="31">
                  <c:v>14488.993614021363</c:v>
                </c:pt>
                <c:pt idx="32">
                  <c:v>14514.656847980359</c:v>
                </c:pt>
                <c:pt idx="33">
                  <c:v>14533.291901213119</c:v>
                </c:pt>
                <c:pt idx="34">
                  <c:v>14544.883479184682</c:v>
                </c:pt>
                <c:pt idx="35">
                  <c:v>14549.427081036867</c:v>
                </c:pt>
                <c:pt idx="36">
                  <c:v>14546.929075102295</c:v>
                </c:pt>
                <c:pt idx="37">
                  <c:v>14537.406736311506</c:v>
                </c:pt>
                <c:pt idx="38">
                  <c:v>14520.888244812091</c:v>
                </c:pt>
                <c:pt idx="39">
                  <c:v>14497.412645382303</c:v>
                </c:pt>
                <c:pt idx="40">
                  <c:v>14467.029767491415</c:v>
                </c:pt>
                <c:pt idx="41">
                  <c:v>14429.800106133216</c:v>
                </c:pt>
                <c:pt idx="42">
                  <c:v>14385.794663833922</c:v>
                </c:pt>
                <c:pt idx="43">
                  <c:v>14335.094754508784</c:v>
                </c:pt>
                <c:pt idx="44">
                  <c:v>14277.791770109388</c:v>
                </c:pt>
                <c:pt idx="45">
                  <c:v>14213.98691126325</c:v>
                </c:pt>
                <c:pt idx="46">
                  <c:v>14143.790883355965</c:v>
                </c:pt>
                <c:pt idx="47">
                  <c:v>14067.323559741044</c:v>
                </c:pt>
                <c:pt idx="48">
                  <c:v>13984.713613980988</c:v>
                </c:pt>
                <c:pt idx="49">
                  <c:v>13896.098123223284</c:v>
                </c:pt>
                <c:pt idx="50">
                  <c:v>13801.62214499423</c:v>
                </c:pt>
                <c:pt idx="51">
                  <c:v>13701.438269850441</c:v>
                </c:pt>
                <c:pt idx="52">
                  <c:v>13595.70615246122</c:v>
                </c:pt>
                <c:pt idx="53">
                  <c:v>13484.592023803334</c:v>
                </c:pt>
                <c:pt idx="54">
                  <c:v>13368.268187232536</c:v>
                </c:pt>
                <c:pt idx="55">
                  <c:v>13246.912501253462</c:v>
                </c:pt>
                <c:pt idx="56">
                  <c:v>13120.707851840467</c:v>
                </c:pt>
                <c:pt idx="57">
                  <c:v>12989.841617167789</c:v>
                </c:pt>
                <c:pt idx="58">
                  <c:v>12854.505127588092</c:v>
                </c:pt>
                <c:pt idx="59">
                  <c:v>12714.893123655787</c:v>
                </c:pt>
                <c:pt idx="60">
                  <c:v>12571.203214925274</c:v>
                </c:pt>
                <c:pt idx="61">
                  <c:v>12423.635342168109</c:v>
                </c:pt>
                <c:pt idx="62">
                  <c:v>12272.391245546563</c:v>
                </c:pt>
                <c:pt idx="63">
                  <c:v>12117.673941157433</c:v>
                </c:pt>
                <c:pt idx="64">
                  <c:v>11959.687208220988</c:v>
                </c:pt>
                <c:pt idx="65">
                  <c:v>11798.635089037198</c:v>
                </c:pt>
                <c:pt idx="66">
                  <c:v>11634.721403667907</c:v>
                </c:pt>
                <c:pt idx="67">
                  <c:v>11468.149281131035</c:v>
                </c:pt>
                <c:pt idx="68">
                  <c:v>11299.120708713488</c:v>
                </c:pt>
                <c:pt idx="69">
                  <c:v>11127.836100825667</c:v>
                </c:pt>
                <c:pt idx="70">
                  <c:v>10954.493888634315</c:v>
                </c:pt>
                <c:pt idx="71">
                  <c:v>10779.290131523641</c:v>
                </c:pt>
                <c:pt idx="72">
                  <c:v>10602.418151249165</c:v>
                </c:pt>
                <c:pt idx="73">
                  <c:v>10424.068189467444</c:v>
                </c:pt>
                <c:pt idx="74">
                  <c:v>10244.427089146622</c:v>
                </c:pt>
                <c:pt idx="75">
                  <c:v>10063.678000192638</c:v>
                </c:pt>
                <c:pt idx="76">
                  <c:v>9882.0001094618292</c:v>
                </c:pt>
                <c:pt idx="77">
                  <c:v>9699.5683951761566</c:v>
                </c:pt>
                <c:pt idx="78">
                  <c:v>9516.5534056114229</c:v>
                </c:pt>
                <c:pt idx="79">
                  <c:v>9333.1210617939741</c:v>
                </c:pt>
                <c:pt idx="80">
                  <c:v>9149.4324838165849</c:v>
                </c:pt>
                <c:pt idx="81">
                  <c:v>8965.6438402708245</c:v>
                </c:pt>
                <c:pt idx="82">
                  <c:v>8781.9062201913039</c:v>
                </c:pt>
                <c:pt idx="83">
                  <c:v>8598.3655268163857</c:v>
                </c:pt>
                <c:pt idx="84">
                  <c:v>8415.1623923908119</c:v>
                </c:pt>
                <c:pt idx="85">
                  <c:v>8232.4321131675206</c:v>
                </c:pt>
                <c:pt idx="86">
                  <c:v>8050.3046037089762</c:v>
                </c:pt>
                <c:pt idx="87">
                  <c:v>7868.9043695415412</c:v>
                </c:pt>
                <c:pt idx="88">
                  <c:v>7688.350497180124</c:v>
                </c:pt>
                <c:pt idx="89">
                  <c:v>7508.7566605133679</c:v>
                </c:pt>
                <c:pt idx="90">
                  <c:v>7330.2311425215721</c:v>
                </c:pt>
                <c:pt idx="91">
                  <c:v>7152.8768712904111</c:v>
                </c:pt>
                <c:pt idx="92">
                  <c:v>6976.791469281322</c:v>
                </c:pt>
                <c:pt idx="93">
                  <c:v>6802.0673148250207</c:v>
                </c:pt>
                <c:pt idx="94">
                  <c:v>6628.7916148162212</c:v>
                </c:pt>
                <c:pt idx="95">
                  <c:v>6457.0464876051828</c:v>
                </c:pt>
                <c:pt idx="96">
                  <c:v>6286.9090551041563</c:v>
                </c:pt>
                <c:pt idx="97">
                  <c:v>6118.4515431539803</c:v>
                </c:pt>
                <c:pt idx="98">
                  <c:v>5951.7413892267186</c:v>
                </c:pt>
                <c:pt idx="99">
                  <c:v>5786.8413565743713</c:v>
                </c:pt>
                <c:pt idx="100">
                  <c:v>5623.8096539704948</c:v>
                </c:pt>
                <c:pt idx="101">
                  <c:v>5462.7000602301396</c:v>
                </c:pt>
                <c:pt idx="102">
                  <c:v>5303.5620527341516</c:v>
                </c:pt>
                <c:pt idx="103">
                  <c:v>5146.4409392255493</c:v>
                </c:pt>
                <c:pt idx="104">
                  <c:v>4991.3779921877813</c:v>
                </c:pt>
                <c:pt idx="105">
                  <c:v>4838.4105851576169</c:v>
                </c:pt>
                <c:pt idx="106">
                  <c:v>4687.5723303680388</c:v>
                </c:pt>
                <c:pt idx="107">
                  <c:v>4538.893217158944</c:v>
                </c:pt>
                <c:pt idx="108">
                  <c:v>4392.3997506351079</c:v>
                </c:pt>
                <c:pt idx="109">
                  <c:v>4248.1150900922476</c:v>
                </c:pt>
                <c:pt idx="110">
                  <c:v>4106.0591867716639</c:v>
                </c:pt>
                <c:pt idx="111">
                  <c:v>3966.248920542841</c:v>
                </c:pt>
                <c:pt idx="112">
                  <c:v>3828.6982351508591</c:v>
                </c:pt>
                <c:pt idx="113">
                  <c:v>3693.4182717015665</c:v>
                </c:pt>
                <c:pt idx="114">
                  <c:v>3560.4175000915088</c:v>
                </c:pt>
                <c:pt idx="115">
                  <c:v>3429.7018481228401</c:v>
                </c:pt>
                <c:pt idx="116">
                  <c:v>3301.274828074414</c:v>
                </c:pt>
                <c:pt idx="117">
                  <c:v>3175.1376605294463</c:v>
                </c:pt>
                <c:pt idx="118">
                  <c:v>3051.2893952882359</c:v>
                </c:pt>
                <c:pt idx="119">
                  <c:v>2929.7270292200951</c:v>
                </c:pt>
                <c:pt idx="120">
                  <c:v>2810.4456209330697</c:v>
                </c:pt>
                <c:pt idx="121">
                  <c:v>2693.4384021625319</c:v>
                </c:pt>
                <c:pt idx="122">
                  <c:v>2578.6968858008563</c:v>
                </c:pt>
                <c:pt idx="123">
                  <c:v>2466.210970509469</c:v>
                </c:pt>
                <c:pt idx="124">
                  <c:v>2355.9690418726227</c:v>
                </c:pt>
                <c:pt idx="125">
                  <c:v>2247.9580700684401</c:v>
                </c:pt>
                <c:pt idx="126">
                  <c:v>2142.163704047673</c:v>
                </c:pt>
                <c:pt idx="127">
                  <c:v>2038.5703622240771</c:v>
                </c:pt>
                <c:pt idx="128">
                  <c:v>1937.1613196926735</c:v>
                </c:pt>
                <c:pt idx="129">
                  <c:v>1837.9187920028858</c:v>
                </c:pt>
                <c:pt idx="130">
                  <c:v>1740.8240155236028</c:v>
                </c:pt>
                <c:pt idx="131">
                  <c:v>1645.8573244457889</c:v>
                </c:pt>
                <c:pt idx="132">
                  <c:v>1552.998224475861</c:v>
                </c:pt>
                <c:pt idx="133">
                  <c:v>1462.2254632799738</c:v>
                </c:pt>
                <c:pt idx="134">
                  <c:v>1373.5170977449736</c:v>
                </c:pt>
                <c:pt idx="135">
                  <c:v>1286.8505581268014</c:v>
                </c:pt>
                <c:pt idx="136">
                  <c:v>1202.2027091614038</c:v>
                </c:pt>
                <c:pt idx="137">
                  <c:v>1119.5499082165643</c:v>
                </c:pt>
                <c:pt idx="138">
                  <c:v>1038.8680605660422</c:v>
                </c:pt>
                <c:pt idx="139">
                  <c:v>960.1326718694803</c:v>
                </c:pt>
                <c:pt idx="140">
                  <c:v>883.31889794333551</c:v>
                </c:pt>
                <c:pt idx="141">
                  <c:v>808.40159190922748</c:v>
                </c:pt>
                <c:pt idx="142">
                  <c:v>735.35534880679563</c:v>
                </c:pt>
                <c:pt idx="143">
                  <c:v>664.15454775851276</c:v>
                </c:pt>
                <c:pt idx="144">
                  <c:v>594.77339177379429</c:v>
                </c:pt>
                <c:pt idx="145">
                  <c:v>527.18594527943685</c:v>
                </c:pt>
                <c:pt idx="146">
                  <c:v>461.36616946266639</c:v>
                </c:pt>
                <c:pt idx="147">
                  <c:v>397.28795551219616</c:v>
                </c:pt>
                <c:pt idx="148">
                  <c:v>334.9251558414735</c:v>
                </c:pt>
                <c:pt idx="149">
                  <c:v>274.25161337704935</c:v>
                </c:pt>
                <c:pt idx="150">
                  <c:v>215.24118899329761</c:v>
                </c:pt>
                <c:pt idx="151">
                  <c:v>157.86778717321383</c:v>
                </c:pt>
                <c:pt idx="152">
                  <c:v>102.1053799730946</c:v>
                </c:pt>
                <c:pt idx="153">
                  <c:v>47.928029367040779</c:v>
                </c:pt>
                <c:pt idx="154">
                  <c:v>-4.6900919547445605</c:v>
                </c:pt>
                <c:pt idx="155">
                  <c:v>-55.774681262002673</c:v>
                </c:pt>
                <c:pt idx="156">
                  <c:v>-105.35128786501382</c:v>
                </c:pt>
                <c:pt idx="157">
                  <c:v>-153.4452965320809</c:v>
                </c:pt>
                <c:pt idx="158">
                  <c:v>-200.08191217849003</c:v>
                </c:pt>
                <c:pt idx="159">
                  <c:v>-245.28614576361022</c:v>
                </c:pt>
                <c:pt idx="160">
                  <c:v>-289.08280133505281</c:v>
                </c:pt>
                <c:pt idx="161">
                  <c:v>-331.49646416099608</c:v>
                </c:pt>
                <c:pt idx="162">
                  <c:v>-372.55148989391085</c:v>
                </c:pt>
                <c:pt idx="163">
                  <c:v>-412.27199471103876</c:v>
                </c:pt>
                <c:pt idx="164">
                  <c:v>-450.68184637924037</c:v>
                </c:pt>
                <c:pt idx="165">
                  <c:v>-487.80465619368817</c:v>
                </c:pt>
                <c:pt idx="166">
                  <c:v>-523.66377174213881</c:v>
                </c:pt>
                <c:pt idx="167">
                  <c:v>-558.28227044837092</c:v>
                </c:pt>
                <c:pt idx="168">
                  <c:v>-591.68295385047509</c:v>
                </c:pt>
                <c:pt idx="169">
                  <c:v>-623.88834257141775</c:v>
                </c:pt>
                <c:pt idx="170">
                  <c:v>-654.9206719413761</c:v>
                </c:pt>
                <c:pt idx="171">
                  <c:v>-684.80188823296987</c:v>
                </c:pt>
                <c:pt idx="172">
                  <c:v>-713.55364547237241</c:v>
                </c:pt>
                <c:pt idx="173">
                  <c:v>-741.19730279100429</c:v>
                </c:pt>
                <c:pt idx="174">
                  <c:v>-767.75392228406952</c:v>
                </c:pt>
                <c:pt idx="175">
                  <c:v>-793.24426734390795</c:v>
                </c:pt>
                <c:pt idx="176">
                  <c:v>-817.68880143758997</c:v>
                </c:pt>
                <c:pt idx="177">
                  <c:v>-841.10768729972415</c:v>
                </c:pt>
                <c:pt idx="178">
                  <c:v>-863.52078651285194</c:v>
                </c:pt>
                <c:pt idx="179">
                  <c:v>-884.94765944919368</c:v>
                </c:pt>
                <c:pt idx="180">
                  <c:v>-905.40756554884581</c:v>
                </c:pt>
                <c:pt idx="181">
                  <c:v>-924.91946391077465</c:v>
                </c:pt>
                <c:pt idx="182">
                  <c:v>-943.50201417423875</c:v>
                </c:pt>
                <c:pt idx="183">
                  <c:v>-961.17357766936527</c:v>
                </c:pt>
                <c:pt idx="184">
                  <c:v>-977.95221881678322</c:v>
                </c:pt>
                <c:pt idx="185">
                  <c:v>-993.85570675731003</c:v>
                </c:pt>
                <c:pt idx="186">
                  <c:v>-1008.9015171936381</c:v>
                </c:pt>
                <c:pt idx="187">
                  <c:v>-1023.106834427059</c:v>
                </c:pt>
                <c:pt idx="188">
                  <c:v>-1036.4885535731273</c:v>
                </c:pt>
                <c:pt idx="189">
                  <c:v>-1049.0632829410813</c:v>
                </c:pt>
                <c:pt idx="190">
                  <c:v>-1060.8473465627344</c:v>
                </c:pt>
                <c:pt idx="191">
                  <c:v>-1071.8567868573236</c:v>
                </c:pt>
                <c:pt idx="192">
                  <c:v>-1082.1073674195959</c:v>
                </c:pt>
                <c:pt idx="193">
                  <c:v>-1091.614575919175</c:v>
                </c:pt>
                <c:pt idx="194">
                  <c:v>-1100.3936270999307</c:v>
                </c:pt>
                <c:pt idx="195">
                  <c:v>-1108.4594658687688</c:v>
                </c:pt>
                <c:pt idx="196">
                  <c:v>-1115.8267704638818</c:v>
                </c:pt>
                <c:pt idx="197">
                  <c:v>-1122.5099556931184</c:v>
                </c:pt>
                <c:pt idx="198">
                  <c:v>-1128.5231762337244</c:v>
                </c:pt>
                <c:pt idx="199">
                  <c:v>-1133.8803299852057</c:v>
                </c:pt>
                <c:pt idx="200">
                  <c:v>-1138.5950614676524</c:v>
                </c:pt>
                <c:pt idx="201">
                  <c:v>-1142.6807652583</c:v>
                </c:pt>
                <c:pt idx="202">
                  <c:v>-1146.1505894596075</c:v>
                </c:pt>
                <c:pt idx="203">
                  <c:v>-1149.0174391925561</c:v>
                </c:pt>
                <c:pt idx="204">
                  <c:v>-1151.293980109305</c:v>
                </c:pt>
                <c:pt idx="205">
                  <c:v>-1152.9926419197332</c:v>
                </c:pt>
                <c:pt idx="206">
                  <c:v>-1154.1256219267657</c:v>
                </c:pt>
                <c:pt idx="207">
                  <c:v>-1154.7048885657684</c:v>
                </c:pt>
                <c:pt idx="208">
                  <c:v>-1154.7421849435789</c:v>
                </c:pt>
                <c:pt idx="209">
                  <c:v>-1154.2490323731186</c:v>
                </c:pt>
                <c:pt idx="210">
                  <c:v>-1153.2367338997922</c:v>
                </c:pt>
                <c:pt idx="211">
                  <c:v>-1151.7163778161707</c:v>
                </c:pt>
                <c:pt idx="212">
                  <c:v>-1149.6988411617435</c:v>
                </c:pt>
                <c:pt idx="213">
                  <c:v>-1147.1947932047444</c:v>
                </c:pt>
                <c:pt idx="214">
                  <c:v>-1144.2146989033229</c:v>
                </c:pt>
                <c:pt idx="215">
                  <c:v>-1140.7688223435355</c:v>
                </c:pt>
                <c:pt idx="216">
                  <c:v>-1136.8672301518664</c:v>
                </c:pt>
                <c:pt idx="217">
                  <c:v>-1132.519794880151</c:v>
                </c:pt>
                <c:pt idx="218">
                  <c:v>-1127.736198361004</c:v>
                </c:pt>
                <c:pt idx="219">
                  <c:v>-1122.5259350319891</c:v>
                </c:pt>
                <c:pt idx="220">
                  <c:v>-1116.8983152269723</c:v>
                </c:pt>
                <c:pt idx="221">
                  <c:v>-1110.8624684332135</c:v>
                </c:pt>
                <c:pt idx="222">
                  <c:v>-1104.4273465129361</c:v>
                </c:pt>
                <c:pt idx="223">
                  <c:v>-1097.6017268882254</c:v>
                </c:pt>
                <c:pt idx="224">
                  <c:v>-1090.394215688239</c:v>
                </c:pt>
                <c:pt idx="225">
                  <c:v>-1082.813250857846</c:v>
                </c:pt>
                <c:pt idx="226">
                  <c:v>-1074.8671052269003</c:v>
                </c:pt>
                <c:pt idx="227">
                  <c:v>-1066.5638895394818</c:v>
                </c:pt>
                <c:pt idx="228">
                  <c:v>-1057.9115554425198</c:v>
                </c:pt>
                <c:pt idx="229">
                  <c:v>-1048.9178984333196</c:v>
                </c:pt>
                <c:pt idx="230">
                  <c:v>-1039.5905607655766</c:v>
                </c:pt>
                <c:pt idx="231">
                  <c:v>-1029.9370343135688</c:v>
                </c:pt>
                <c:pt idx="232">
                  <c:v>-1019.9646633942745</c:v>
                </c:pt>
                <c:pt idx="233">
                  <c:v>-1009.6806475472362</c:v>
                </c:pt>
                <c:pt idx="234">
                  <c:v>-999.0920442720552</c:v>
                </c:pt>
                <c:pt idx="235">
                  <c:v>-988.2057717234585</c:v>
                </c:pt>
              </c:numCache>
            </c:numRef>
          </c:val>
          <c:extLst>
            <c:ext xmlns:c16="http://schemas.microsoft.com/office/drawing/2014/chart" uri="{C3380CC4-5D6E-409C-BE32-E72D297353CC}">
              <c16:uniqueId val="{00000000-1E3E-41B2-ABF5-D4BB875D98BD}"/>
            </c:ext>
          </c:extLst>
        </c:ser>
        <c:dLbls>
          <c:showLegendKey val="0"/>
          <c:showVal val="0"/>
          <c:showCatName val="0"/>
          <c:showSerName val="0"/>
          <c:showPercent val="0"/>
          <c:showBubbleSize val="0"/>
        </c:dLbls>
        <c:gapWidth val="150"/>
        <c:axId val="249064543"/>
        <c:axId val="1860047296"/>
      </c:barChart>
      <c:catAx>
        <c:axId val="249064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047296"/>
        <c:crosses val="autoZero"/>
        <c:auto val="1"/>
        <c:lblAlgn val="ctr"/>
        <c:lblOffset val="100"/>
        <c:noMultiLvlLbl val="0"/>
      </c:catAx>
      <c:valAx>
        <c:axId val="1860047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064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Passenger Load vs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solidFill>
                <a:schemeClr val="accent2"/>
              </a:solidFill>
              <a:round/>
            </a:ln>
            <a:effectLst/>
          </c:spPr>
          <c:marker>
            <c:symbol val="none"/>
          </c:marker>
          <c:xVal>
            <c:numRef>
              <c:f>'FE-Performance Analysis'!$AM$27:$AM$39</c:f>
              <c:numCache>
                <c:formatCode>General</c:formatCode>
                <c:ptCount val="13"/>
                <c:pt idx="0">
                  <c:v>0</c:v>
                </c:pt>
                <c:pt idx="1">
                  <c:v>1</c:v>
                </c:pt>
                <c:pt idx="2">
                  <c:v>2</c:v>
                </c:pt>
                <c:pt idx="3">
                  <c:v>3</c:v>
                </c:pt>
                <c:pt idx="4">
                  <c:v>4</c:v>
                </c:pt>
                <c:pt idx="5">
                  <c:v>5</c:v>
                </c:pt>
                <c:pt idx="6">
                  <c:v>6</c:v>
                </c:pt>
                <c:pt idx="7">
                  <c:v>7</c:v>
                </c:pt>
                <c:pt idx="8">
                  <c:v>8</c:v>
                </c:pt>
                <c:pt idx="9">
                  <c:v>9</c:v>
                </c:pt>
                <c:pt idx="10">
                  <c:v>10</c:v>
                </c:pt>
                <c:pt idx="11">
                  <c:v>11</c:v>
                </c:pt>
                <c:pt idx="12">
                  <c:v>12</c:v>
                </c:pt>
              </c:numCache>
            </c:numRef>
          </c:xVal>
          <c:yVal>
            <c:numRef>
              <c:f>'FE-Performance Analysis'!$AQ$27:$AQ$39</c:f>
              <c:numCache>
                <c:formatCode>General</c:formatCode>
                <c:ptCount val="13"/>
                <c:pt idx="0">
                  <c:v>-1394.7597401309649</c:v>
                </c:pt>
                <c:pt idx="1">
                  <c:v>-1416.595944225603</c:v>
                </c:pt>
                <c:pt idx="2">
                  <c:v>-1437.6043403683484</c:v>
                </c:pt>
                <c:pt idx="3">
                  <c:v>-1457.8172051449533</c:v>
                </c:pt>
                <c:pt idx="4">
                  <c:v>-1477.2652723767442</c:v>
                </c:pt>
                <c:pt idx="5">
                  <c:v>-1495.9778240071253</c:v>
                </c:pt>
                <c:pt idx="6">
                  <c:v>-1513.982774545786</c:v>
                </c:pt>
                <c:pt idx="7">
                  <c:v>-1531.3067496043191</c:v>
                </c:pt>
                <c:pt idx="8">
                  <c:v>-1547.9751590066003</c:v>
                </c:pt>
                <c:pt idx="9">
                  <c:v>-1564.0122649121306</c:v>
                </c:pt>
                <c:pt idx="10">
                  <c:v>-1579.4412453502493</c:v>
                </c:pt>
                <c:pt idx="11">
                  <c:v>-1594.2842535268305</c:v>
                </c:pt>
                <c:pt idx="12">
                  <c:v>-1608.5624732326446</c:v>
                </c:pt>
              </c:numCache>
            </c:numRef>
          </c:yVal>
          <c:smooth val="0"/>
          <c:extLst>
            <c:ext xmlns:c16="http://schemas.microsoft.com/office/drawing/2014/chart" uri="{C3380CC4-5D6E-409C-BE32-E72D297353CC}">
              <c16:uniqueId val="{00000000-61B0-4559-A166-849F1C2484AC}"/>
            </c:ext>
          </c:extLst>
        </c:ser>
        <c:dLbls>
          <c:showLegendKey val="0"/>
          <c:showVal val="0"/>
          <c:showCatName val="0"/>
          <c:showSerName val="0"/>
          <c:showPercent val="0"/>
          <c:showBubbleSize val="0"/>
        </c:dLbls>
        <c:axId val="726871535"/>
        <c:axId val="1130532767"/>
      </c:scatterChart>
      <c:valAx>
        <c:axId val="726871535"/>
        <c:scaling>
          <c:orientation val="minMax"/>
          <c:max val="1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Passenger</a:t>
                </a:r>
                <a:r>
                  <a:rPr lang="en-US" baseline="0"/>
                  <a:t> Count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532767"/>
        <c:crosses val="autoZero"/>
        <c:crossBetween val="midCat"/>
      </c:valAx>
      <c:valAx>
        <c:axId val="1130532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Rnage (nm)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7153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 vs AOA for Cruise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890288713910762"/>
          <c:y val="0.18097222222222226"/>
          <c:w val="0.8450971128608924"/>
          <c:h val="0.65604148439778365"/>
        </c:manualLayout>
      </c:layout>
      <c:scatterChart>
        <c:scatterStyle val="smoothMarker"/>
        <c:varyColors val="0"/>
        <c:ser>
          <c:idx val="0"/>
          <c:order val="0"/>
          <c:spPr>
            <a:ln w="28575" cap="rnd">
              <a:solidFill>
                <a:schemeClr val="accent1"/>
              </a:solidFill>
              <a:round/>
            </a:ln>
            <a:effectLst/>
          </c:spPr>
          <c:marker>
            <c:symbol val="none"/>
          </c:marker>
          <c:xVal>
            <c:numRef>
              <c:f>Lift!$B$173:$B$191</c:f>
              <c:numCache>
                <c:formatCode>General</c:formatCode>
                <c:ptCount val="19"/>
                <c:pt idx="0">
                  <c:v>-14</c:v>
                </c:pt>
                <c:pt idx="1">
                  <c:v>-12</c:v>
                </c:pt>
                <c:pt idx="2">
                  <c:v>-10</c:v>
                </c:pt>
                <c:pt idx="3">
                  <c:v>-8</c:v>
                </c:pt>
                <c:pt idx="4">
                  <c:v>-6</c:v>
                </c:pt>
                <c:pt idx="5">
                  <c:v>-4</c:v>
                </c:pt>
                <c:pt idx="6">
                  <c:v>-2</c:v>
                </c:pt>
                <c:pt idx="7">
                  <c:v>0</c:v>
                </c:pt>
                <c:pt idx="8">
                  <c:v>2</c:v>
                </c:pt>
                <c:pt idx="9">
                  <c:v>4</c:v>
                </c:pt>
                <c:pt idx="10">
                  <c:v>6</c:v>
                </c:pt>
                <c:pt idx="11">
                  <c:v>8</c:v>
                </c:pt>
                <c:pt idx="12">
                  <c:v>10</c:v>
                </c:pt>
                <c:pt idx="13">
                  <c:v>12</c:v>
                </c:pt>
                <c:pt idx="14">
                  <c:v>14</c:v>
                </c:pt>
                <c:pt idx="15">
                  <c:v>16</c:v>
                </c:pt>
                <c:pt idx="16">
                  <c:v>18</c:v>
                </c:pt>
                <c:pt idx="17">
                  <c:v>20</c:v>
                </c:pt>
                <c:pt idx="18">
                  <c:v>21</c:v>
                </c:pt>
              </c:numCache>
            </c:numRef>
          </c:xVal>
          <c:yVal>
            <c:numRef>
              <c:f>Lift!$C$173:$C$191</c:f>
              <c:numCache>
                <c:formatCode>0.00</c:formatCode>
                <c:ptCount val="19"/>
                <c:pt idx="0">
                  <c:v>-0.9785717234684852</c:v>
                </c:pt>
                <c:pt idx="1">
                  <c:v>-0.78285737877478812</c:v>
                </c:pt>
                <c:pt idx="2">
                  <c:v>-0.58714303408109125</c:v>
                </c:pt>
                <c:pt idx="3">
                  <c:v>-0.39142868938739411</c:v>
                </c:pt>
                <c:pt idx="4">
                  <c:v>-0.19571434469369703</c:v>
                </c:pt>
                <c:pt idx="5">
                  <c:v>0</c:v>
                </c:pt>
                <c:pt idx="6">
                  <c:v>0.19571434469369706</c:v>
                </c:pt>
                <c:pt idx="7">
                  <c:v>0.39142868938739411</c:v>
                </c:pt>
                <c:pt idx="8">
                  <c:v>0.58714303408109114</c:v>
                </c:pt>
                <c:pt idx="9">
                  <c:v>0.78285737877478823</c:v>
                </c:pt>
                <c:pt idx="10">
                  <c:v>0.9785717234684852</c:v>
                </c:pt>
                <c:pt idx="11">
                  <c:v>1.1742860681621823</c:v>
                </c:pt>
                <c:pt idx="12">
                  <c:v>1.3700004128558794</c:v>
                </c:pt>
                <c:pt idx="13">
                  <c:v>1.5657147575495765</c:v>
                </c:pt>
                <c:pt idx="14">
                  <c:v>1.7614291022432735</c:v>
                </c:pt>
                <c:pt idx="15">
                  <c:v>1.9571434469369706</c:v>
                </c:pt>
                <c:pt idx="16">
                  <c:v>2.1528577916306677</c:v>
                </c:pt>
                <c:pt idx="17">
                  <c:v>2.3485721363243646</c:v>
                </c:pt>
                <c:pt idx="18">
                  <c:v>2.4464293086712132</c:v>
                </c:pt>
              </c:numCache>
            </c:numRef>
          </c:yVal>
          <c:smooth val="1"/>
          <c:extLst>
            <c:ext xmlns:c16="http://schemas.microsoft.com/office/drawing/2014/chart" uri="{C3380CC4-5D6E-409C-BE32-E72D297353CC}">
              <c16:uniqueId val="{00000003-A7EB-4DBB-A8F2-31DAE349FA26}"/>
            </c:ext>
          </c:extLst>
        </c:ser>
        <c:dLbls>
          <c:showLegendKey val="0"/>
          <c:showVal val="0"/>
          <c:showCatName val="0"/>
          <c:showSerName val="0"/>
          <c:showPercent val="0"/>
          <c:showBubbleSize val="0"/>
        </c:dLbls>
        <c:axId val="85005536"/>
        <c:axId val="85006976"/>
      </c:scatterChart>
      <c:valAx>
        <c:axId val="85005536"/>
        <c:scaling>
          <c:orientation val="minMax"/>
          <c:min val="-1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atin typeface="Aptos Narrow" panose="020B0004020202020204" pitchFamily="34" charset="0"/>
                  </a:rPr>
                  <a:t>Angle</a:t>
                </a:r>
                <a:r>
                  <a:rPr lang="en-US" baseline="0">
                    <a:latin typeface="Aptos Narrow" panose="020B0004020202020204" pitchFamily="34" charset="0"/>
                  </a:rPr>
                  <a:t> of Attack (</a:t>
                </a:r>
                <a:r>
                  <a:rPr lang="el-GR">
                    <a:latin typeface="Aptos Narrow" panose="020B0004020202020204" pitchFamily="34" charset="0"/>
                  </a:rPr>
                  <a:t>α</a:t>
                </a:r>
                <a:r>
                  <a:rPr lang="en-US">
                    <a:latin typeface="Aptos Narrow" panose="020B0004020202020204" pitchFamily="34" charset="0"/>
                  </a:rPr>
                  <a:t>)</a:t>
                </a:r>
                <a:endParaRPr lang="en-US"/>
              </a:p>
            </c:rich>
          </c:tx>
          <c:layout>
            <c:manualLayout>
              <c:xMode val="edge"/>
              <c:yMode val="edge"/>
              <c:x val="0.39770144356955378"/>
              <c:y val="0.883310002916302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solidFill>
            <a:prstDash val="solid"/>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06976"/>
        <c:crosses val="autoZero"/>
        <c:crossBetween val="midCat"/>
      </c:valAx>
      <c:valAx>
        <c:axId val="85006976"/>
        <c:scaling>
          <c:orientation val="minMax"/>
          <c:max val="4"/>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 of Lift (CL)</a:t>
                </a:r>
              </a:p>
            </c:rich>
          </c:tx>
          <c:layout>
            <c:manualLayout>
              <c:xMode val="edge"/>
              <c:yMode val="edge"/>
              <c:x val="3.3333333333333333E-2"/>
              <c:y val="0.2568055555555555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0553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1">
          <a:alpha val="97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 vs. AOA at Takeoff</a:t>
            </a:r>
          </a:p>
        </c:rich>
      </c:tx>
      <c:layout>
        <c:manualLayout>
          <c:xMode val="edge"/>
          <c:yMode val="edge"/>
          <c:x val="0.30233785360163318"/>
          <c:y val="2.97067293671623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Lift!$C$195</c:f>
              <c:strCache>
                <c:ptCount val="1"/>
                <c:pt idx="0">
                  <c:v>CL_takeoff</c:v>
                </c:pt>
              </c:strCache>
            </c:strRef>
          </c:tx>
          <c:spPr>
            <a:ln w="19050" cap="rnd">
              <a:solidFill>
                <a:schemeClr val="accent1"/>
              </a:solidFill>
              <a:round/>
            </a:ln>
            <a:effectLst/>
          </c:spPr>
          <c:marker>
            <c:symbol val="none"/>
          </c:marker>
          <c:xVal>
            <c:numRef>
              <c:f>Lift!$B$196:$B$213</c:f>
              <c:numCache>
                <c:formatCode>General</c:formatCode>
                <c:ptCount val="18"/>
                <c:pt idx="0">
                  <c:v>-16</c:v>
                </c:pt>
                <c:pt idx="1">
                  <c:v>-14</c:v>
                </c:pt>
                <c:pt idx="2">
                  <c:v>-12</c:v>
                </c:pt>
                <c:pt idx="3">
                  <c:v>-10</c:v>
                </c:pt>
                <c:pt idx="4">
                  <c:v>-8</c:v>
                </c:pt>
                <c:pt idx="5">
                  <c:v>-6</c:v>
                </c:pt>
                <c:pt idx="6">
                  <c:v>-4</c:v>
                </c:pt>
                <c:pt idx="7">
                  <c:v>-2</c:v>
                </c:pt>
                <c:pt idx="8">
                  <c:v>0</c:v>
                </c:pt>
                <c:pt idx="9">
                  <c:v>2</c:v>
                </c:pt>
                <c:pt idx="10">
                  <c:v>4</c:v>
                </c:pt>
                <c:pt idx="11">
                  <c:v>6</c:v>
                </c:pt>
                <c:pt idx="12">
                  <c:v>8</c:v>
                </c:pt>
                <c:pt idx="13">
                  <c:v>10</c:v>
                </c:pt>
                <c:pt idx="14">
                  <c:v>12</c:v>
                </c:pt>
                <c:pt idx="15">
                  <c:v>14</c:v>
                </c:pt>
                <c:pt idx="16">
                  <c:v>16</c:v>
                </c:pt>
                <c:pt idx="17">
                  <c:v>18</c:v>
                </c:pt>
              </c:numCache>
            </c:numRef>
          </c:xVal>
          <c:yVal>
            <c:numRef>
              <c:f>Lift!$C$196:$C$213</c:f>
              <c:numCache>
                <c:formatCode>0.00</c:formatCode>
                <c:ptCount val="18"/>
                <c:pt idx="0">
                  <c:v>-1.5162285536338025</c:v>
                </c:pt>
                <c:pt idx="1">
                  <c:v>-1.2777930511697686</c:v>
                </c:pt>
                <c:pt idx="2">
                  <c:v>-1.0393575487057354</c:v>
                </c:pt>
                <c:pt idx="3">
                  <c:v>-0.80092204624170149</c:v>
                </c:pt>
                <c:pt idx="4">
                  <c:v>-0.56248654377766805</c:v>
                </c:pt>
                <c:pt idx="5">
                  <c:v>-0.32405104131363449</c:v>
                </c:pt>
                <c:pt idx="6">
                  <c:v>-8.5615538849600839E-2</c:v>
                </c:pt>
                <c:pt idx="7">
                  <c:v>0.15281996361443276</c:v>
                </c:pt>
                <c:pt idx="8">
                  <c:v>0.39125546607846634</c:v>
                </c:pt>
                <c:pt idx="9">
                  <c:v>0.62969096854249995</c:v>
                </c:pt>
                <c:pt idx="10">
                  <c:v>0.86812647100653351</c:v>
                </c:pt>
                <c:pt idx="11">
                  <c:v>1.106561973470567</c:v>
                </c:pt>
                <c:pt idx="12">
                  <c:v>1.3449974759346008</c:v>
                </c:pt>
                <c:pt idx="13">
                  <c:v>1.5834329783986341</c:v>
                </c:pt>
                <c:pt idx="14">
                  <c:v>1.8218684808626677</c:v>
                </c:pt>
                <c:pt idx="15">
                  <c:v>2.0603039833267016</c:v>
                </c:pt>
                <c:pt idx="16">
                  <c:v>2.2987394857907351</c:v>
                </c:pt>
                <c:pt idx="17">
                  <c:v>2.5371749882547685</c:v>
                </c:pt>
              </c:numCache>
            </c:numRef>
          </c:yVal>
          <c:smooth val="1"/>
          <c:extLst>
            <c:ext xmlns:c16="http://schemas.microsoft.com/office/drawing/2014/chart" uri="{C3380CC4-5D6E-409C-BE32-E72D297353CC}">
              <c16:uniqueId val="{00000001-C3AE-46DF-A565-B4FFDF4B31A6}"/>
            </c:ext>
          </c:extLst>
        </c:ser>
        <c:dLbls>
          <c:showLegendKey val="0"/>
          <c:showVal val="0"/>
          <c:showCatName val="0"/>
          <c:showSerName val="0"/>
          <c:showPercent val="0"/>
          <c:showBubbleSize val="0"/>
        </c:dLbls>
        <c:axId val="1866589191"/>
        <c:axId val="1994843143"/>
      </c:scatterChart>
      <c:valAx>
        <c:axId val="18665891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Angle of Attack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843143"/>
        <c:crosses val="autoZero"/>
        <c:crossBetween val="midCat"/>
      </c:valAx>
      <c:valAx>
        <c:axId val="1994843143"/>
        <c:scaling>
          <c:orientation val="minMax"/>
          <c:max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 of Lift (CL)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58919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Lift-to-Drag at Takeoff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Lift</c:v>
          </c:tx>
          <c:spPr>
            <a:ln w="19050" cap="rnd">
              <a:solidFill>
                <a:schemeClr val="accent1"/>
              </a:solidFill>
              <a:round/>
            </a:ln>
            <a:effectLst/>
          </c:spPr>
          <c:marker>
            <c:symbol val="none"/>
          </c:marker>
          <c:xVal>
            <c:numRef>
              <c:f>Lift!$C$217:$C$295</c:f>
              <c:numCache>
                <c:formatCode>0</c:formatCode>
                <c:ptCount val="79"/>
                <c:pt idx="0">
                  <c:v>0</c:v>
                </c:pt>
                <c:pt idx="1">
                  <c:v>1.1849676005566172</c:v>
                </c:pt>
                <c:pt idx="2">
                  <c:v>2.3699352011132344</c:v>
                </c:pt>
                <c:pt idx="3">
                  <c:v>3.5549028016698516</c:v>
                </c:pt>
                <c:pt idx="4">
                  <c:v>4.7398704022264688</c:v>
                </c:pt>
                <c:pt idx="5">
                  <c:v>5.924838002783086</c:v>
                </c:pt>
                <c:pt idx="6">
                  <c:v>7.1098056033397032</c:v>
                </c:pt>
                <c:pt idx="7">
                  <c:v>8.2947732038963196</c:v>
                </c:pt>
                <c:pt idx="8">
                  <c:v>9.4797408044529377</c:v>
                </c:pt>
                <c:pt idx="9">
                  <c:v>10.664708405009554</c:v>
                </c:pt>
                <c:pt idx="10">
                  <c:v>11.849676005566172</c:v>
                </c:pt>
                <c:pt idx="11">
                  <c:v>13.034643606122788</c:v>
                </c:pt>
                <c:pt idx="12">
                  <c:v>14.219611206679406</c:v>
                </c:pt>
                <c:pt idx="13">
                  <c:v>15.404578807236023</c:v>
                </c:pt>
                <c:pt idx="14">
                  <c:v>16.589546407792639</c:v>
                </c:pt>
                <c:pt idx="15">
                  <c:v>17.774514008349257</c:v>
                </c:pt>
                <c:pt idx="16">
                  <c:v>18.959481608905875</c:v>
                </c:pt>
                <c:pt idx="17">
                  <c:v>20.144449209462493</c:v>
                </c:pt>
                <c:pt idx="18">
                  <c:v>21.329416810019108</c:v>
                </c:pt>
                <c:pt idx="19">
                  <c:v>22.514384410575726</c:v>
                </c:pt>
                <c:pt idx="20">
                  <c:v>23.699352011132344</c:v>
                </c:pt>
                <c:pt idx="21">
                  <c:v>24.884319611688962</c:v>
                </c:pt>
                <c:pt idx="22">
                  <c:v>26.069287212245577</c:v>
                </c:pt>
                <c:pt idx="23">
                  <c:v>27.254254812802195</c:v>
                </c:pt>
                <c:pt idx="24">
                  <c:v>28.439222413358813</c:v>
                </c:pt>
                <c:pt idx="25">
                  <c:v>29.624190013915431</c:v>
                </c:pt>
                <c:pt idx="26">
                  <c:v>30.809157614472046</c:v>
                </c:pt>
                <c:pt idx="27">
                  <c:v>31.994125215028664</c:v>
                </c:pt>
                <c:pt idx="28">
                  <c:v>33.179092815585278</c:v>
                </c:pt>
                <c:pt idx="29">
                  <c:v>34.364060416141896</c:v>
                </c:pt>
                <c:pt idx="30">
                  <c:v>35.549028016698514</c:v>
                </c:pt>
                <c:pt idx="31">
                  <c:v>36.733995617255133</c:v>
                </c:pt>
                <c:pt idx="32">
                  <c:v>37.918963217811751</c:v>
                </c:pt>
                <c:pt idx="33">
                  <c:v>39.103930818368369</c:v>
                </c:pt>
                <c:pt idx="34">
                  <c:v>40.288898418924987</c:v>
                </c:pt>
                <c:pt idx="35">
                  <c:v>41.473866019481605</c:v>
                </c:pt>
                <c:pt idx="36">
                  <c:v>42.658833620038216</c:v>
                </c:pt>
                <c:pt idx="37">
                  <c:v>43.843801220594834</c:v>
                </c:pt>
                <c:pt idx="38">
                  <c:v>45.028768821151452</c:v>
                </c:pt>
                <c:pt idx="39">
                  <c:v>46.21373642170807</c:v>
                </c:pt>
                <c:pt idx="40">
                  <c:v>47.398704022264688</c:v>
                </c:pt>
                <c:pt idx="41">
                  <c:v>48.583671622821306</c:v>
                </c:pt>
                <c:pt idx="42">
                  <c:v>49.768639223377924</c:v>
                </c:pt>
                <c:pt idx="43">
                  <c:v>50.953606823934543</c:v>
                </c:pt>
                <c:pt idx="44">
                  <c:v>52.138574424491154</c:v>
                </c:pt>
                <c:pt idx="45">
                  <c:v>53.323542025047772</c:v>
                </c:pt>
                <c:pt idx="46">
                  <c:v>54.50850962560439</c:v>
                </c:pt>
                <c:pt idx="47">
                  <c:v>55.693477226161008</c:v>
                </c:pt>
                <c:pt idx="48">
                  <c:v>56.878444826717626</c:v>
                </c:pt>
                <c:pt idx="49">
                  <c:v>58.063412427274244</c:v>
                </c:pt>
                <c:pt idx="50">
                  <c:v>59.248380027830862</c:v>
                </c:pt>
                <c:pt idx="51">
                  <c:v>60.43334762838748</c:v>
                </c:pt>
                <c:pt idx="52">
                  <c:v>61.618315228944091</c:v>
                </c:pt>
                <c:pt idx="53">
                  <c:v>62.803282829500709</c:v>
                </c:pt>
                <c:pt idx="54">
                  <c:v>63.988250430057327</c:v>
                </c:pt>
                <c:pt idx="55">
                  <c:v>65.173218030613953</c:v>
                </c:pt>
                <c:pt idx="56">
                  <c:v>66.358185631170556</c:v>
                </c:pt>
                <c:pt idx="57">
                  <c:v>67.543153231727175</c:v>
                </c:pt>
                <c:pt idx="58">
                  <c:v>68.728120832283793</c:v>
                </c:pt>
                <c:pt idx="59">
                  <c:v>69.913088432840411</c:v>
                </c:pt>
                <c:pt idx="60">
                  <c:v>71.098056033397029</c:v>
                </c:pt>
                <c:pt idx="61">
                  <c:v>72.283023633953647</c:v>
                </c:pt>
                <c:pt idx="62">
                  <c:v>73.467991234510265</c:v>
                </c:pt>
                <c:pt idx="63">
                  <c:v>74.652958835066883</c:v>
                </c:pt>
                <c:pt idx="64">
                  <c:v>75.837926435623501</c:v>
                </c:pt>
                <c:pt idx="65">
                  <c:v>77.022894036180119</c:v>
                </c:pt>
                <c:pt idx="66">
                  <c:v>78.207861636736737</c:v>
                </c:pt>
                <c:pt idx="67">
                  <c:v>79.392829237293356</c:v>
                </c:pt>
                <c:pt idx="68">
                  <c:v>80.577796837849974</c:v>
                </c:pt>
                <c:pt idx="69">
                  <c:v>81.762764438406592</c:v>
                </c:pt>
                <c:pt idx="70">
                  <c:v>82.94773203896321</c:v>
                </c:pt>
                <c:pt idx="71">
                  <c:v>84.132699639519828</c:v>
                </c:pt>
                <c:pt idx="72">
                  <c:v>85.317667240076432</c:v>
                </c:pt>
                <c:pt idx="73">
                  <c:v>86.50263484063305</c:v>
                </c:pt>
                <c:pt idx="74">
                  <c:v>87.687602441189668</c:v>
                </c:pt>
                <c:pt idx="75">
                  <c:v>88.872570041746286</c:v>
                </c:pt>
                <c:pt idx="76">
                  <c:v>90.057537642302904</c:v>
                </c:pt>
                <c:pt idx="77">
                  <c:v>91.242505242859522</c:v>
                </c:pt>
                <c:pt idx="78">
                  <c:v>92.42747284341614</c:v>
                </c:pt>
              </c:numCache>
            </c:numRef>
          </c:xVal>
          <c:yVal>
            <c:numRef>
              <c:f>Lift!$D$217:$D$295</c:f>
              <c:numCache>
                <c:formatCode>0.00</c:formatCode>
                <c:ptCount val="79"/>
                <c:pt idx="0">
                  <c:v>0</c:v>
                </c:pt>
                <c:pt idx="1">
                  <c:v>1.9962349716190677</c:v>
                </c:pt>
                <c:pt idx="2">
                  <c:v>7.9849398864762708</c:v>
                </c:pt>
                <c:pt idx="3">
                  <c:v>17.966114744571609</c:v>
                </c:pt>
                <c:pt idx="4">
                  <c:v>31.939759545905083</c:v>
                </c:pt>
                <c:pt idx="5">
                  <c:v>49.905874290476696</c:v>
                </c:pt>
                <c:pt idx="6">
                  <c:v>71.864458978286436</c:v>
                </c:pt>
                <c:pt idx="7">
                  <c:v>97.815513609334332</c:v>
                </c:pt>
                <c:pt idx="8">
                  <c:v>127.75903818362033</c:v>
                </c:pt>
                <c:pt idx="9">
                  <c:v>161.6950327011445</c:v>
                </c:pt>
                <c:pt idx="10">
                  <c:v>199.62349716190678</c:v>
                </c:pt>
                <c:pt idx="11">
                  <c:v>241.54443156590722</c:v>
                </c:pt>
                <c:pt idx="12">
                  <c:v>287.45783591314574</c:v>
                </c:pt>
                <c:pt idx="13">
                  <c:v>337.36371020362247</c:v>
                </c:pt>
                <c:pt idx="14">
                  <c:v>391.26205443733733</c:v>
                </c:pt>
                <c:pt idx="15">
                  <c:v>449.1528686142903</c:v>
                </c:pt>
                <c:pt idx="16">
                  <c:v>511.03615273448133</c:v>
                </c:pt>
                <c:pt idx="17">
                  <c:v>576.91190679791066</c:v>
                </c:pt>
                <c:pt idx="18">
                  <c:v>646.78013080457799</c:v>
                </c:pt>
                <c:pt idx="19">
                  <c:v>720.64082475448356</c:v>
                </c:pt>
                <c:pt idx="20">
                  <c:v>798.49398864762713</c:v>
                </c:pt>
                <c:pt idx="21">
                  <c:v>880.33962248400883</c:v>
                </c:pt>
                <c:pt idx="22">
                  <c:v>966.17772626362887</c:v>
                </c:pt>
                <c:pt idx="23">
                  <c:v>1056.0082999864869</c:v>
                </c:pt>
                <c:pt idx="24">
                  <c:v>1149.831343652583</c:v>
                </c:pt>
                <c:pt idx="25">
                  <c:v>1247.6468572619171</c:v>
                </c:pt>
                <c:pt idx="26">
                  <c:v>1349.4548408144899</c:v>
                </c:pt>
                <c:pt idx="27">
                  <c:v>1455.2552943103003</c:v>
                </c:pt>
                <c:pt idx="28">
                  <c:v>1565.0482177493493</c:v>
                </c:pt>
                <c:pt idx="29">
                  <c:v>1678.8336111316362</c:v>
                </c:pt>
                <c:pt idx="30">
                  <c:v>1796.6114744571612</c:v>
                </c:pt>
                <c:pt idx="31">
                  <c:v>1918.3818077259243</c:v>
                </c:pt>
                <c:pt idx="32">
                  <c:v>2044.1446109379253</c:v>
                </c:pt>
                <c:pt idx="33">
                  <c:v>2173.8998840931649</c:v>
                </c:pt>
                <c:pt idx="34">
                  <c:v>2307.6476271916426</c:v>
                </c:pt>
                <c:pt idx="35">
                  <c:v>2445.387840233358</c:v>
                </c:pt>
                <c:pt idx="36">
                  <c:v>2587.120523218312</c:v>
                </c:pt>
                <c:pt idx="37">
                  <c:v>2732.8456761465036</c:v>
                </c:pt>
                <c:pt idx="38">
                  <c:v>2882.5632990179342</c:v>
                </c:pt>
                <c:pt idx="39">
                  <c:v>3036.2733918326026</c:v>
                </c:pt>
                <c:pt idx="40">
                  <c:v>3193.9759545905085</c:v>
                </c:pt>
                <c:pt idx="41">
                  <c:v>3355.6709872916531</c:v>
                </c:pt>
                <c:pt idx="42">
                  <c:v>3521.3584899360353</c:v>
                </c:pt>
                <c:pt idx="43">
                  <c:v>3691.0384625236566</c:v>
                </c:pt>
                <c:pt idx="44">
                  <c:v>3864.7109050545155</c:v>
                </c:pt>
                <c:pt idx="45">
                  <c:v>4042.375817528613</c:v>
                </c:pt>
                <c:pt idx="46">
                  <c:v>4224.0331999459477</c:v>
                </c:pt>
                <c:pt idx="47">
                  <c:v>4409.6830523065209</c:v>
                </c:pt>
                <c:pt idx="48">
                  <c:v>4599.3253746103319</c:v>
                </c:pt>
                <c:pt idx="49">
                  <c:v>4792.9601668573823</c:v>
                </c:pt>
                <c:pt idx="50">
                  <c:v>4990.5874290476686</c:v>
                </c:pt>
                <c:pt idx="51">
                  <c:v>5192.2071611811953</c:v>
                </c:pt>
                <c:pt idx="52">
                  <c:v>5397.8193632579596</c:v>
                </c:pt>
                <c:pt idx="53">
                  <c:v>5607.4240352779616</c:v>
                </c:pt>
                <c:pt idx="54">
                  <c:v>5821.0211772412013</c:v>
                </c:pt>
                <c:pt idx="55">
                  <c:v>6038.6107891476795</c:v>
                </c:pt>
                <c:pt idx="56">
                  <c:v>6260.1928709973972</c:v>
                </c:pt>
                <c:pt idx="57">
                  <c:v>6485.7674227903508</c:v>
                </c:pt>
                <c:pt idx="58">
                  <c:v>6715.3344445265448</c:v>
                </c:pt>
                <c:pt idx="59">
                  <c:v>6948.8939362059755</c:v>
                </c:pt>
                <c:pt idx="60">
                  <c:v>7186.4458978286448</c:v>
                </c:pt>
                <c:pt idx="61">
                  <c:v>7427.9903293945508</c:v>
                </c:pt>
                <c:pt idx="62">
                  <c:v>7673.5272309036973</c:v>
                </c:pt>
                <c:pt idx="63">
                  <c:v>7923.0566023560805</c:v>
                </c:pt>
                <c:pt idx="64">
                  <c:v>8176.5784437517013</c:v>
                </c:pt>
                <c:pt idx="65">
                  <c:v>8434.0927550905617</c:v>
                </c:pt>
                <c:pt idx="66">
                  <c:v>8695.5995363726597</c:v>
                </c:pt>
                <c:pt idx="67">
                  <c:v>8961.0987875979954</c:v>
                </c:pt>
                <c:pt idx="68">
                  <c:v>9230.5905087665706</c:v>
                </c:pt>
                <c:pt idx="69">
                  <c:v>9504.0746998783816</c:v>
                </c:pt>
                <c:pt idx="70">
                  <c:v>9781.5513609334321</c:v>
                </c:pt>
                <c:pt idx="71">
                  <c:v>10063.02049193172</c:v>
                </c:pt>
                <c:pt idx="72">
                  <c:v>10348.482092873248</c:v>
                </c:pt>
                <c:pt idx="73">
                  <c:v>10637.936163758013</c:v>
                </c:pt>
                <c:pt idx="74">
                  <c:v>10931.382704586014</c:v>
                </c:pt>
                <c:pt idx="75">
                  <c:v>11228.821715357257</c:v>
                </c:pt>
                <c:pt idx="76">
                  <c:v>11530.253196071737</c:v>
                </c:pt>
                <c:pt idx="77">
                  <c:v>11835.677146729453</c:v>
                </c:pt>
                <c:pt idx="78">
                  <c:v>12145.09356733041</c:v>
                </c:pt>
              </c:numCache>
            </c:numRef>
          </c:yVal>
          <c:smooth val="1"/>
          <c:extLst>
            <c:ext xmlns:c16="http://schemas.microsoft.com/office/drawing/2014/chart" uri="{C3380CC4-5D6E-409C-BE32-E72D297353CC}">
              <c16:uniqueId val="{00000001-309B-46E9-879B-E148D989183A}"/>
            </c:ext>
          </c:extLst>
        </c:ser>
        <c:ser>
          <c:idx val="1"/>
          <c:order val="1"/>
          <c:tx>
            <c:v>Drag</c:v>
          </c:tx>
          <c:spPr>
            <a:ln w="19050" cap="rnd">
              <a:solidFill>
                <a:schemeClr val="accent2"/>
              </a:solidFill>
              <a:round/>
            </a:ln>
            <a:effectLst/>
          </c:spPr>
          <c:marker>
            <c:symbol val="none"/>
          </c:marker>
          <c:xVal>
            <c:numRef>
              <c:f>Lift!$C$217:$C$295</c:f>
              <c:numCache>
                <c:formatCode>0</c:formatCode>
                <c:ptCount val="79"/>
                <c:pt idx="0">
                  <c:v>0</c:v>
                </c:pt>
                <c:pt idx="1">
                  <c:v>1.1849676005566172</c:v>
                </c:pt>
                <c:pt idx="2">
                  <c:v>2.3699352011132344</c:v>
                </c:pt>
                <c:pt idx="3">
                  <c:v>3.5549028016698516</c:v>
                </c:pt>
                <c:pt idx="4">
                  <c:v>4.7398704022264688</c:v>
                </c:pt>
                <c:pt idx="5">
                  <c:v>5.924838002783086</c:v>
                </c:pt>
                <c:pt idx="6">
                  <c:v>7.1098056033397032</c:v>
                </c:pt>
                <c:pt idx="7">
                  <c:v>8.2947732038963196</c:v>
                </c:pt>
                <c:pt idx="8">
                  <c:v>9.4797408044529377</c:v>
                </c:pt>
                <c:pt idx="9">
                  <c:v>10.664708405009554</c:v>
                </c:pt>
                <c:pt idx="10">
                  <c:v>11.849676005566172</c:v>
                </c:pt>
                <c:pt idx="11">
                  <c:v>13.034643606122788</c:v>
                </c:pt>
                <c:pt idx="12">
                  <c:v>14.219611206679406</c:v>
                </c:pt>
                <c:pt idx="13">
                  <c:v>15.404578807236023</c:v>
                </c:pt>
                <c:pt idx="14">
                  <c:v>16.589546407792639</c:v>
                </c:pt>
                <c:pt idx="15">
                  <c:v>17.774514008349257</c:v>
                </c:pt>
                <c:pt idx="16">
                  <c:v>18.959481608905875</c:v>
                </c:pt>
                <c:pt idx="17">
                  <c:v>20.144449209462493</c:v>
                </c:pt>
                <c:pt idx="18">
                  <c:v>21.329416810019108</c:v>
                </c:pt>
                <c:pt idx="19">
                  <c:v>22.514384410575726</c:v>
                </c:pt>
                <c:pt idx="20">
                  <c:v>23.699352011132344</c:v>
                </c:pt>
                <c:pt idx="21">
                  <c:v>24.884319611688962</c:v>
                </c:pt>
                <c:pt idx="22">
                  <c:v>26.069287212245577</c:v>
                </c:pt>
                <c:pt idx="23">
                  <c:v>27.254254812802195</c:v>
                </c:pt>
                <c:pt idx="24">
                  <c:v>28.439222413358813</c:v>
                </c:pt>
                <c:pt idx="25">
                  <c:v>29.624190013915431</c:v>
                </c:pt>
                <c:pt idx="26">
                  <c:v>30.809157614472046</c:v>
                </c:pt>
                <c:pt idx="27">
                  <c:v>31.994125215028664</c:v>
                </c:pt>
                <c:pt idx="28">
                  <c:v>33.179092815585278</c:v>
                </c:pt>
                <c:pt idx="29">
                  <c:v>34.364060416141896</c:v>
                </c:pt>
                <c:pt idx="30">
                  <c:v>35.549028016698514</c:v>
                </c:pt>
                <c:pt idx="31">
                  <c:v>36.733995617255133</c:v>
                </c:pt>
                <c:pt idx="32">
                  <c:v>37.918963217811751</c:v>
                </c:pt>
                <c:pt idx="33">
                  <c:v>39.103930818368369</c:v>
                </c:pt>
                <c:pt idx="34">
                  <c:v>40.288898418924987</c:v>
                </c:pt>
                <c:pt idx="35">
                  <c:v>41.473866019481605</c:v>
                </c:pt>
                <c:pt idx="36">
                  <c:v>42.658833620038216</c:v>
                </c:pt>
                <c:pt idx="37">
                  <c:v>43.843801220594834</c:v>
                </c:pt>
                <c:pt idx="38">
                  <c:v>45.028768821151452</c:v>
                </c:pt>
                <c:pt idx="39">
                  <c:v>46.21373642170807</c:v>
                </c:pt>
                <c:pt idx="40">
                  <c:v>47.398704022264688</c:v>
                </c:pt>
                <c:pt idx="41">
                  <c:v>48.583671622821306</c:v>
                </c:pt>
                <c:pt idx="42">
                  <c:v>49.768639223377924</c:v>
                </c:pt>
                <c:pt idx="43">
                  <c:v>50.953606823934543</c:v>
                </c:pt>
                <c:pt idx="44">
                  <c:v>52.138574424491154</c:v>
                </c:pt>
                <c:pt idx="45">
                  <c:v>53.323542025047772</c:v>
                </c:pt>
                <c:pt idx="46">
                  <c:v>54.50850962560439</c:v>
                </c:pt>
                <c:pt idx="47">
                  <c:v>55.693477226161008</c:v>
                </c:pt>
                <c:pt idx="48">
                  <c:v>56.878444826717626</c:v>
                </c:pt>
                <c:pt idx="49">
                  <c:v>58.063412427274244</c:v>
                </c:pt>
                <c:pt idx="50">
                  <c:v>59.248380027830862</c:v>
                </c:pt>
                <c:pt idx="51">
                  <c:v>60.43334762838748</c:v>
                </c:pt>
                <c:pt idx="52">
                  <c:v>61.618315228944091</c:v>
                </c:pt>
                <c:pt idx="53">
                  <c:v>62.803282829500709</c:v>
                </c:pt>
                <c:pt idx="54">
                  <c:v>63.988250430057327</c:v>
                </c:pt>
                <c:pt idx="55">
                  <c:v>65.173218030613953</c:v>
                </c:pt>
                <c:pt idx="56">
                  <c:v>66.358185631170556</c:v>
                </c:pt>
                <c:pt idx="57">
                  <c:v>67.543153231727175</c:v>
                </c:pt>
                <c:pt idx="58">
                  <c:v>68.728120832283793</c:v>
                </c:pt>
                <c:pt idx="59">
                  <c:v>69.913088432840411</c:v>
                </c:pt>
                <c:pt idx="60">
                  <c:v>71.098056033397029</c:v>
                </c:pt>
                <c:pt idx="61">
                  <c:v>72.283023633953647</c:v>
                </c:pt>
                <c:pt idx="62">
                  <c:v>73.467991234510265</c:v>
                </c:pt>
                <c:pt idx="63">
                  <c:v>74.652958835066883</c:v>
                </c:pt>
                <c:pt idx="64">
                  <c:v>75.837926435623501</c:v>
                </c:pt>
                <c:pt idx="65">
                  <c:v>77.022894036180119</c:v>
                </c:pt>
                <c:pt idx="66">
                  <c:v>78.207861636736737</c:v>
                </c:pt>
                <c:pt idx="67">
                  <c:v>79.392829237293356</c:v>
                </c:pt>
                <c:pt idx="68">
                  <c:v>80.577796837849974</c:v>
                </c:pt>
                <c:pt idx="69">
                  <c:v>81.762764438406592</c:v>
                </c:pt>
                <c:pt idx="70">
                  <c:v>82.94773203896321</c:v>
                </c:pt>
                <c:pt idx="71">
                  <c:v>84.132699639519828</c:v>
                </c:pt>
                <c:pt idx="72">
                  <c:v>85.317667240076432</c:v>
                </c:pt>
                <c:pt idx="73">
                  <c:v>86.50263484063305</c:v>
                </c:pt>
                <c:pt idx="74">
                  <c:v>87.687602441189668</c:v>
                </c:pt>
                <c:pt idx="75">
                  <c:v>88.872570041746286</c:v>
                </c:pt>
                <c:pt idx="76">
                  <c:v>90.057537642302904</c:v>
                </c:pt>
                <c:pt idx="77">
                  <c:v>91.242505242859522</c:v>
                </c:pt>
                <c:pt idx="78">
                  <c:v>92.42747284341614</c:v>
                </c:pt>
              </c:numCache>
            </c:numRef>
          </c:xVal>
          <c:yVal>
            <c:numRef>
              <c:f>Lift!$L$217:$L$295</c:f>
              <c:numCache>
                <c:formatCode>0</c:formatCode>
                <c:ptCount val="79"/>
                <c:pt idx="0">
                  <c:v>0</c:v>
                </c:pt>
                <c:pt idx="1">
                  <c:v>0.30249725202481381</c:v>
                </c:pt>
                <c:pt idx="2">
                  <c:v>1.2099890080992552</c:v>
                </c:pt>
                <c:pt idx="3">
                  <c:v>2.7224752682233242</c:v>
                </c:pt>
                <c:pt idx="4">
                  <c:v>4.839956032397021</c:v>
                </c:pt>
                <c:pt idx="5">
                  <c:v>7.5624313006203456</c:v>
                </c:pt>
                <c:pt idx="6">
                  <c:v>10.889901072893297</c:v>
                </c:pt>
                <c:pt idx="7">
                  <c:v>14.822365349215877</c:v>
                </c:pt>
                <c:pt idx="8">
                  <c:v>19.359824129588084</c:v>
                </c:pt>
                <c:pt idx="9">
                  <c:v>24.502277414009917</c:v>
                </c:pt>
                <c:pt idx="10">
                  <c:v>30.249725202481383</c:v>
                </c:pt>
                <c:pt idx="11">
                  <c:v>36.602167495002476</c:v>
                </c:pt>
                <c:pt idx="12">
                  <c:v>43.559604291573187</c:v>
                </c:pt>
                <c:pt idx="13">
                  <c:v>51.122035592193527</c:v>
                </c:pt>
                <c:pt idx="14">
                  <c:v>59.289461396863508</c:v>
                </c:pt>
                <c:pt idx="15">
                  <c:v>68.061881705583119</c:v>
                </c:pt>
                <c:pt idx="16">
                  <c:v>77.439296518352336</c:v>
                </c:pt>
                <c:pt idx="17">
                  <c:v>87.421705835171196</c:v>
                </c:pt>
                <c:pt idx="18">
                  <c:v>98.009109656039669</c:v>
                </c:pt>
                <c:pt idx="19">
                  <c:v>109.20150798095779</c:v>
                </c:pt>
                <c:pt idx="20">
                  <c:v>120.99890080992553</c:v>
                </c:pt>
                <c:pt idx="21">
                  <c:v>133.40128814294286</c:v>
                </c:pt>
                <c:pt idx="22">
                  <c:v>146.4086699800099</c:v>
                </c:pt>
                <c:pt idx="23">
                  <c:v>160.02104632112653</c:v>
                </c:pt>
                <c:pt idx="24">
                  <c:v>174.23841716629275</c:v>
                </c:pt>
                <c:pt idx="25">
                  <c:v>189.06078251550861</c:v>
                </c:pt>
                <c:pt idx="26">
                  <c:v>204.48814236877411</c:v>
                </c:pt>
                <c:pt idx="27">
                  <c:v>220.52049672608925</c:v>
                </c:pt>
                <c:pt idx="28">
                  <c:v>237.15784558745403</c:v>
                </c:pt>
                <c:pt idx="29">
                  <c:v>254.40018895286843</c:v>
                </c:pt>
                <c:pt idx="30">
                  <c:v>272.24752682233247</c:v>
                </c:pt>
                <c:pt idx="31">
                  <c:v>290.69985919584605</c:v>
                </c:pt>
                <c:pt idx="32">
                  <c:v>309.75718607340934</c:v>
                </c:pt>
                <c:pt idx="33">
                  <c:v>329.41950745502226</c:v>
                </c:pt>
                <c:pt idx="34">
                  <c:v>349.68682334068478</c:v>
                </c:pt>
                <c:pt idx="35">
                  <c:v>370.55913373039687</c:v>
                </c:pt>
                <c:pt idx="36">
                  <c:v>392.03643862415868</c:v>
                </c:pt>
                <c:pt idx="37">
                  <c:v>414.1187380219701</c:v>
                </c:pt>
                <c:pt idx="38">
                  <c:v>436.80603192383114</c:v>
                </c:pt>
                <c:pt idx="39">
                  <c:v>460.0983203297418</c:v>
                </c:pt>
                <c:pt idx="40">
                  <c:v>483.99560323970212</c:v>
                </c:pt>
                <c:pt idx="41">
                  <c:v>508.497880653712</c:v>
                </c:pt>
                <c:pt idx="42">
                  <c:v>533.60515257177144</c:v>
                </c:pt>
                <c:pt idx="43">
                  <c:v>559.31741899388078</c:v>
                </c:pt>
                <c:pt idx="44">
                  <c:v>585.63467992003962</c:v>
                </c:pt>
                <c:pt idx="45">
                  <c:v>612.55693535024795</c:v>
                </c:pt>
                <c:pt idx="46">
                  <c:v>640.08418528450613</c:v>
                </c:pt>
                <c:pt idx="47">
                  <c:v>668.21642972281359</c:v>
                </c:pt>
                <c:pt idx="48">
                  <c:v>696.95366866517099</c:v>
                </c:pt>
                <c:pt idx="49">
                  <c:v>726.2959021115779</c:v>
                </c:pt>
                <c:pt idx="50">
                  <c:v>756.24313006203442</c:v>
                </c:pt>
                <c:pt idx="51">
                  <c:v>786.79535251654067</c:v>
                </c:pt>
                <c:pt idx="52">
                  <c:v>817.95256947509642</c:v>
                </c:pt>
                <c:pt idx="53">
                  <c:v>849.7147809377019</c:v>
                </c:pt>
                <c:pt idx="54">
                  <c:v>882.081986904357</c:v>
                </c:pt>
                <c:pt idx="55">
                  <c:v>915.0541873750617</c:v>
                </c:pt>
                <c:pt idx="56">
                  <c:v>948.63138234981614</c:v>
                </c:pt>
                <c:pt idx="57">
                  <c:v>982.81357182862007</c:v>
                </c:pt>
                <c:pt idx="58">
                  <c:v>1017.6007558114737</c:v>
                </c:pt>
                <c:pt idx="59">
                  <c:v>1052.9929342983769</c:v>
                </c:pt>
                <c:pt idx="60">
                  <c:v>1088.9901072893299</c:v>
                </c:pt>
                <c:pt idx="61">
                  <c:v>1125.5922747843322</c:v>
                </c:pt>
                <c:pt idx="62">
                  <c:v>1162.7994367833842</c:v>
                </c:pt>
                <c:pt idx="63">
                  <c:v>1200.6115932864859</c:v>
                </c:pt>
                <c:pt idx="64">
                  <c:v>1239.0287442936374</c:v>
                </c:pt>
                <c:pt idx="65">
                  <c:v>1278.0508898048383</c:v>
                </c:pt>
                <c:pt idx="66">
                  <c:v>1317.678029820089</c:v>
                </c:pt>
                <c:pt idx="67">
                  <c:v>1357.9101643393892</c:v>
                </c:pt>
                <c:pt idx="68">
                  <c:v>1398.7472933627391</c:v>
                </c:pt>
                <c:pt idx="69">
                  <c:v>1440.1894168901385</c:v>
                </c:pt>
                <c:pt idx="70">
                  <c:v>1482.2365349215875</c:v>
                </c:pt>
                <c:pt idx="71">
                  <c:v>1524.8886474570863</c:v>
                </c:pt>
                <c:pt idx="72">
                  <c:v>1568.1457544966347</c:v>
                </c:pt>
                <c:pt idx="73">
                  <c:v>1612.0078560402328</c:v>
                </c:pt>
                <c:pt idx="74">
                  <c:v>1656.4749520878804</c:v>
                </c:pt>
                <c:pt idx="75">
                  <c:v>1701.5470426395775</c:v>
                </c:pt>
                <c:pt idx="76">
                  <c:v>1747.2241276953246</c:v>
                </c:pt>
                <c:pt idx="77">
                  <c:v>1793.5062072551209</c:v>
                </c:pt>
                <c:pt idx="78">
                  <c:v>1840.3932813189672</c:v>
                </c:pt>
              </c:numCache>
            </c:numRef>
          </c:yVal>
          <c:smooth val="1"/>
          <c:extLst>
            <c:ext xmlns:c16="http://schemas.microsoft.com/office/drawing/2014/chart" uri="{C3380CC4-5D6E-409C-BE32-E72D297353CC}">
              <c16:uniqueId val="{00000003-309B-46E9-879B-E148D989183A}"/>
            </c:ext>
          </c:extLst>
        </c:ser>
        <c:dLbls>
          <c:showLegendKey val="0"/>
          <c:showVal val="0"/>
          <c:showCatName val="0"/>
          <c:showSerName val="0"/>
          <c:showPercent val="0"/>
          <c:showBubbleSize val="0"/>
        </c:dLbls>
        <c:axId val="119738559"/>
        <c:axId val="119739039"/>
      </c:scatterChart>
      <c:valAx>
        <c:axId val="119738559"/>
        <c:scaling>
          <c:orientation val="minMax"/>
          <c:max val="80"/>
        </c:scaling>
        <c:delete val="0"/>
        <c:axPos val="b"/>
        <c:majorGridlines>
          <c:spPr>
            <a:ln w="9525" cap="flat" cmpd="sng" algn="ctr">
              <a:solidFill>
                <a:sysClr val="windowText" lastClr="000000">
                  <a:lumMod val="25000"/>
                  <a:lumOff val="75000"/>
                </a:sys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Velocity (KCAS)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39039"/>
        <c:crosses val="autoZero"/>
        <c:crossBetween val="midCat"/>
      </c:valAx>
      <c:valAx>
        <c:axId val="119739039"/>
        <c:scaling>
          <c:orientation val="minMax"/>
        </c:scaling>
        <c:delete val="0"/>
        <c:axPos val="l"/>
        <c:majorGridlines>
          <c:spPr>
            <a:ln w="9525" cap="flat" cmpd="sng" algn="ctr">
              <a:solidFill>
                <a:sysClr val="windowText" lastClr="000000">
                  <a:lumMod val="25000"/>
                  <a:lumOff val="75000"/>
                </a:sys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Force (lb)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3855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Lift at Take-Off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Lift</c:v>
          </c:tx>
          <c:spPr>
            <a:ln w="19050" cap="rnd">
              <a:solidFill>
                <a:schemeClr val="accent1"/>
              </a:solidFill>
              <a:round/>
            </a:ln>
            <a:effectLst/>
          </c:spPr>
          <c:marker>
            <c:symbol val="none"/>
          </c:marker>
          <c:xVal>
            <c:numRef>
              <c:f>Lift!$C$217:$C$325</c:f>
              <c:numCache>
                <c:formatCode>0</c:formatCode>
                <c:ptCount val="109"/>
                <c:pt idx="0">
                  <c:v>0</c:v>
                </c:pt>
                <c:pt idx="1">
                  <c:v>1.1849676005566172</c:v>
                </c:pt>
                <c:pt idx="2">
                  <c:v>2.3699352011132344</c:v>
                </c:pt>
                <c:pt idx="3">
                  <c:v>3.5549028016698516</c:v>
                </c:pt>
                <c:pt idx="4">
                  <c:v>4.7398704022264688</c:v>
                </c:pt>
                <c:pt idx="5">
                  <c:v>5.924838002783086</c:v>
                </c:pt>
                <c:pt idx="6">
                  <c:v>7.1098056033397032</c:v>
                </c:pt>
                <c:pt idx="7">
                  <c:v>8.2947732038963196</c:v>
                </c:pt>
                <c:pt idx="8">
                  <c:v>9.4797408044529377</c:v>
                </c:pt>
                <c:pt idx="9">
                  <c:v>10.664708405009554</c:v>
                </c:pt>
                <c:pt idx="10">
                  <c:v>11.849676005566172</c:v>
                </c:pt>
                <c:pt idx="11">
                  <c:v>13.034643606122788</c:v>
                </c:pt>
                <c:pt idx="12">
                  <c:v>14.219611206679406</c:v>
                </c:pt>
                <c:pt idx="13">
                  <c:v>15.404578807236023</c:v>
                </c:pt>
                <c:pt idx="14">
                  <c:v>16.589546407792639</c:v>
                </c:pt>
                <c:pt idx="15">
                  <c:v>17.774514008349257</c:v>
                </c:pt>
                <c:pt idx="16">
                  <c:v>18.959481608905875</c:v>
                </c:pt>
                <c:pt idx="17">
                  <c:v>20.144449209462493</c:v>
                </c:pt>
                <c:pt idx="18">
                  <c:v>21.329416810019108</c:v>
                </c:pt>
                <c:pt idx="19">
                  <c:v>22.514384410575726</c:v>
                </c:pt>
                <c:pt idx="20">
                  <c:v>23.699352011132344</c:v>
                </c:pt>
                <c:pt idx="21">
                  <c:v>24.884319611688962</c:v>
                </c:pt>
                <c:pt idx="22">
                  <c:v>26.069287212245577</c:v>
                </c:pt>
                <c:pt idx="23">
                  <c:v>27.254254812802195</c:v>
                </c:pt>
                <c:pt idx="24">
                  <c:v>28.439222413358813</c:v>
                </c:pt>
                <c:pt idx="25">
                  <c:v>29.624190013915431</c:v>
                </c:pt>
                <c:pt idx="26">
                  <c:v>30.809157614472046</c:v>
                </c:pt>
                <c:pt idx="27">
                  <c:v>31.994125215028664</c:v>
                </c:pt>
                <c:pt idx="28">
                  <c:v>33.179092815585278</c:v>
                </c:pt>
                <c:pt idx="29">
                  <c:v>34.364060416141896</c:v>
                </c:pt>
                <c:pt idx="30">
                  <c:v>35.549028016698514</c:v>
                </c:pt>
                <c:pt idx="31">
                  <c:v>36.733995617255133</c:v>
                </c:pt>
                <c:pt idx="32">
                  <c:v>37.918963217811751</c:v>
                </c:pt>
                <c:pt idx="33">
                  <c:v>39.103930818368369</c:v>
                </c:pt>
                <c:pt idx="34">
                  <c:v>40.288898418924987</c:v>
                </c:pt>
                <c:pt idx="35">
                  <c:v>41.473866019481605</c:v>
                </c:pt>
                <c:pt idx="36">
                  <c:v>42.658833620038216</c:v>
                </c:pt>
                <c:pt idx="37">
                  <c:v>43.843801220594834</c:v>
                </c:pt>
                <c:pt idx="38">
                  <c:v>45.028768821151452</c:v>
                </c:pt>
                <c:pt idx="39">
                  <c:v>46.21373642170807</c:v>
                </c:pt>
                <c:pt idx="40">
                  <c:v>47.398704022264688</c:v>
                </c:pt>
                <c:pt idx="41">
                  <c:v>48.583671622821306</c:v>
                </c:pt>
                <c:pt idx="42">
                  <c:v>49.768639223377924</c:v>
                </c:pt>
                <c:pt idx="43">
                  <c:v>50.953606823934543</c:v>
                </c:pt>
                <c:pt idx="44">
                  <c:v>52.138574424491154</c:v>
                </c:pt>
                <c:pt idx="45">
                  <c:v>53.323542025047772</c:v>
                </c:pt>
                <c:pt idx="46">
                  <c:v>54.50850962560439</c:v>
                </c:pt>
                <c:pt idx="47">
                  <c:v>55.693477226161008</c:v>
                </c:pt>
                <c:pt idx="48">
                  <c:v>56.878444826717626</c:v>
                </c:pt>
                <c:pt idx="49">
                  <c:v>58.063412427274244</c:v>
                </c:pt>
                <c:pt idx="50">
                  <c:v>59.248380027830862</c:v>
                </c:pt>
                <c:pt idx="51">
                  <c:v>60.43334762838748</c:v>
                </c:pt>
                <c:pt idx="52">
                  <c:v>61.618315228944091</c:v>
                </c:pt>
                <c:pt idx="53">
                  <c:v>62.803282829500709</c:v>
                </c:pt>
                <c:pt idx="54">
                  <c:v>63.988250430057327</c:v>
                </c:pt>
                <c:pt idx="55">
                  <c:v>65.173218030613953</c:v>
                </c:pt>
                <c:pt idx="56">
                  <c:v>66.358185631170556</c:v>
                </c:pt>
                <c:pt idx="57">
                  <c:v>67.543153231727175</c:v>
                </c:pt>
                <c:pt idx="58">
                  <c:v>68.728120832283793</c:v>
                </c:pt>
                <c:pt idx="59">
                  <c:v>69.913088432840411</c:v>
                </c:pt>
                <c:pt idx="60">
                  <c:v>71.098056033397029</c:v>
                </c:pt>
                <c:pt idx="61">
                  <c:v>72.283023633953647</c:v>
                </c:pt>
                <c:pt idx="62">
                  <c:v>73.467991234510265</c:v>
                </c:pt>
                <c:pt idx="63">
                  <c:v>74.652958835066883</c:v>
                </c:pt>
                <c:pt idx="64">
                  <c:v>75.837926435623501</c:v>
                </c:pt>
                <c:pt idx="65">
                  <c:v>77.022894036180119</c:v>
                </c:pt>
                <c:pt idx="66">
                  <c:v>78.207861636736737</c:v>
                </c:pt>
                <c:pt idx="67">
                  <c:v>79.392829237293356</c:v>
                </c:pt>
                <c:pt idx="68">
                  <c:v>80.577796837849974</c:v>
                </c:pt>
                <c:pt idx="69">
                  <c:v>81.762764438406592</c:v>
                </c:pt>
                <c:pt idx="70">
                  <c:v>82.94773203896321</c:v>
                </c:pt>
                <c:pt idx="71">
                  <c:v>84.132699639519828</c:v>
                </c:pt>
                <c:pt idx="72">
                  <c:v>85.317667240076432</c:v>
                </c:pt>
                <c:pt idx="73">
                  <c:v>86.50263484063305</c:v>
                </c:pt>
                <c:pt idx="74">
                  <c:v>87.687602441189668</c:v>
                </c:pt>
                <c:pt idx="75">
                  <c:v>88.872570041746286</c:v>
                </c:pt>
                <c:pt idx="76">
                  <c:v>90.057537642302904</c:v>
                </c:pt>
                <c:pt idx="77">
                  <c:v>91.242505242859522</c:v>
                </c:pt>
                <c:pt idx="78">
                  <c:v>92.42747284341614</c:v>
                </c:pt>
                <c:pt idx="79">
                  <c:v>93.612440443972758</c:v>
                </c:pt>
                <c:pt idx="80">
                  <c:v>94.797408044529377</c:v>
                </c:pt>
                <c:pt idx="81">
                  <c:v>95.982375645085995</c:v>
                </c:pt>
                <c:pt idx="82">
                  <c:v>97.167343245642613</c:v>
                </c:pt>
                <c:pt idx="83">
                  <c:v>98.352310846199231</c:v>
                </c:pt>
                <c:pt idx="84">
                  <c:v>99.537278446755849</c:v>
                </c:pt>
                <c:pt idx="85">
                  <c:v>100.72224604731247</c:v>
                </c:pt>
                <c:pt idx="86">
                  <c:v>101.90721364786909</c:v>
                </c:pt>
                <c:pt idx="87">
                  <c:v>103.0921812484257</c:v>
                </c:pt>
                <c:pt idx="88">
                  <c:v>104.27714884898231</c:v>
                </c:pt>
                <c:pt idx="89">
                  <c:v>105.46211644953893</c:v>
                </c:pt>
                <c:pt idx="90">
                  <c:v>106.64708405009554</c:v>
                </c:pt>
                <c:pt idx="91">
                  <c:v>107.83205165065216</c:v>
                </c:pt>
                <c:pt idx="92">
                  <c:v>109.01701925120878</c:v>
                </c:pt>
                <c:pt idx="93">
                  <c:v>110.2019868517654</c:v>
                </c:pt>
                <c:pt idx="94">
                  <c:v>111.38695445232202</c:v>
                </c:pt>
                <c:pt idx="95">
                  <c:v>112.57192205287863</c:v>
                </c:pt>
                <c:pt idx="96" formatCode="0.00">
                  <c:v>113.75688965343525</c:v>
                </c:pt>
                <c:pt idx="97" formatCode="0.00">
                  <c:v>114.94185725399187</c:v>
                </c:pt>
                <c:pt idx="98" formatCode="0.00">
                  <c:v>116.12682485454849</c:v>
                </c:pt>
                <c:pt idx="99" formatCode="0.00">
                  <c:v>117.31179245510511</c:v>
                </c:pt>
                <c:pt idx="100" formatCode="0.00">
                  <c:v>118.49676005566172</c:v>
                </c:pt>
                <c:pt idx="101" formatCode="0.00">
                  <c:v>119.68172765621834</c:v>
                </c:pt>
                <c:pt idx="102" formatCode="0.00">
                  <c:v>120.86669525677496</c:v>
                </c:pt>
                <c:pt idx="103" formatCode="0.00">
                  <c:v>122.05166285733158</c:v>
                </c:pt>
                <c:pt idx="104" formatCode="0.00">
                  <c:v>123.23663045788818</c:v>
                </c:pt>
                <c:pt idx="105" formatCode="0.00">
                  <c:v>124.4215980584448</c:v>
                </c:pt>
                <c:pt idx="106" formatCode="0.00">
                  <c:v>125.60656565900142</c:v>
                </c:pt>
                <c:pt idx="107" formatCode="0.00">
                  <c:v>126.79153325955804</c:v>
                </c:pt>
                <c:pt idx="108" formatCode="0.00">
                  <c:v>127.97650086011465</c:v>
                </c:pt>
              </c:numCache>
            </c:numRef>
          </c:xVal>
          <c:yVal>
            <c:numRef>
              <c:f>Lift!$D$217:$D$325</c:f>
              <c:numCache>
                <c:formatCode>0.00</c:formatCode>
                <c:ptCount val="109"/>
                <c:pt idx="0">
                  <c:v>0</c:v>
                </c:pt>
                <c:pt idx="1">
                  <c:v>1.9962349716190677</c:v>
                </c:pt>
                <c:pt idx="2">
                  <c:v>7.9849398864762708</c:v>
                </c:pt>
                <c:pt idx="3">
                  <c:v>17.966114744571609</c:v>
                </c:pt>
                <c:pt idx="4">
                  <c:v>31.939759545905083</c:v>
                </c:pt>
                <c:pt idx="5">
                  <c:v>49.905874290476696</c:v>
                </c:pt>
                <c:pt idx="6">
                  <c:v>71.864458978286436</c:v>
                </c:pt>
                <c:pt idx="7">
                  <c:v>97.815513609334332</c:v>
                </c:pt>
                <c:pt idx="8">
                  <c:v>127.75903818362033</c:v>
                </c:pt>
                <c:pt idx="9">
                  <c:v>161.6950327011445</c:v>
                </c:pt>
                <c:pt idx="10">
                  <c:v>199.62349716190678</c:v>
                </c:pt>
                <c:pt idx="11">
                  <c:v>241.54443156590722</c:v>
                </c:pt>
                <c:pt idx="12">
                  <c:v>287.45783591314574</c:v>
                </c:pt>
                <c:pt idx="13">
                  <c:v>337.36371020362247</c:v>
                </c:pt>
                <c:pt idx="14">
                  <c:v>391.26205443733733</c:v>
                </c:pt>
                <c:pt idx="15">
                  <c:v>449.1528686142903</c:v>
                </c:pt>
                <c:pt idx="16">
                  <c:v>511.03615273448133</c:v>
                </c:pt>
                <c:pt idx="17">
                  <c:v>576.91190679791066</c:v>
                </c:pt>
                <c:pt idx="18">
                  <c:v>646.78013080457799</c:v>
                </c:pt>
                <c:pt idx="19">
                  <c:v>720.64082475448356</c:v>
                </c:pt>
                <c:pt idx="20">
                  <c:v>798.49398864762713</c:v>
                </c:pt>
                <c:pt idx="21">
                  <c:v>880.33962248400883</c:v>
                </c:pt>
                <c:pt idx="22">
                  <c:v>966.17772626362887</c:v>
                </c:pt>
                <c:pt idx="23">
                  <c:v>1056.0082999864869</c:v>
                </c:pt>
                <c:pt idx="24">
                  <c:v>1149.831343652583</c:v>
                </c:pt>
                <c:pt idx="25">
                  <c:v>1247.6468572619171</c:v>
                </c:pt>
                <c:pt idx="26">
                  <c:v>1349.4548408144899</c:v>
                </c:pt>
                <c:pt idx="27">
                  <c:v>1455.2552943103003</c:v>
                </c:pt>
                <c:pt idx="28">
                  <c:v>1565.0482177493493</c:v>
                </c:pt>
                <c:pt idx="29">
                  <c:v>1678.8336111316362</c:v>
                </c:pt>
                <c:pt idx="30">
                  <c:v>1796.6114744571612</c:v>
                </c:pt>
                <c:pt idx="31">
                  <c:v>1918.3818077259243</c:v>
                </c:pt>
                <c:pt idx="32">
                  <c:v>2044.1446109379253</c:v>
                </c:pt>
                <c:pt idx="33">
                  <c:v>2173.8998840931649</c:v>
                </c:pt>
                <c:pt idx="34">
                  <c:v>2307.6476271916426</c:v>
                </c:pt>
                <c:pt idx="35">
                  <c:v>2445.387840233358</c:v>
                </c:pt>
                <c:pt idx="36">
                  <c:v>2587.120523218312</c:v>
                </c:pt>
                <c:pt idx="37">
                  <c:v>2732.8456761465036</c:v>
                </c:pt>
                <c:pt idx="38">
                  <c:v>2882.5632990179342</c:v>
                </c:pt>
                <c:pt idx="39">
                  <c:v>3036.2733918326026</c:v>
                </c:pt>
                <c:pt idx="40">
                  <c:v>3193.9759545905085</c:v>
                </c:pt>
                <c:pt idx="41">
                  <c:v>3355.6709872916531</c:v>
                </c:pt>
                <c:pt idx="42">
                  <c:v>3521.3584899360353</c:v>
                </c:pt>
                <c:pt idx="43">
                  <c:v>3691.0384625236566</c:v>
                </c:pt>
                <c:pt idx="44">
                  <c:v>3864.7109050545155</c:v>
                </c:pt>
                <c:pt idx="45">
                  <c:v>4042.375817528613</c:v>
                </c:pt>
                <c:pt idx="46">
                  <c:v>4224.0331999459477</c:v>
                </c:pt>
                <c:pt idx="47">
                  <c:v>4409.6830523065209</c:v>
                </c:pt>
                <c:pt idx="48">
                  <c:v>4599.3253746103319</c:v>
                </c:pt>
                <c:pt idx="49">
                  <c:v>4792.9601668573823</c:v>
                </c:pt>
                <c:pt idx="50">
                  <c:v>4990.5874290476686</c:v>
                </c:pt>
                <c:pt idx="51">
                  <c:v>5192.2071611811953</c:v>
                </c:pt>
                <c:pt idx="52">
                  <c:v>5397.8193632579596</c:v>
                </c:pt>
                <c:pt idx="53">
                  <c:v>5607.4240352779616</c:v>
                </c:pt>
                <c:pt idx="54">
                  <c:v>5821.0211772412013</c:v>
                </c:pt>
                <c:pt idx="55">
                  <c:v>6038.6107891476795</c:v>
                </c:pt>
                <c:pt idx="56">
                  <c:v>6260.1928709973972</c:v>
                </c:pt>
                <c:pt idx="57">
                  <c:v>6485.7674227903508</c:v>
                </c:pt>
                <c:pt idx="58">
                  <c:v>6715.3344445265448</c:v>
                </c:pt>
                <c:pt idx="59">
                  <c:v>6948.8939362059755</c:v>
                </c:pt>
                <c:pt idx="60">
                  <c:v>7186.4458978286448</c:v>
                </c:pt>
                <c:pt idx="61">
                  <c:v>7427.9903293945508</c:v>
                </c:pt>
                <c:pt idx="62">
                  <c:v>7673.5272309036973</c:v>
                </c:pt>
                <c:pt idx="63">
                  <c:v>7923.0566023560805</c:v>
                </c:pt>
                <c:pt idx="64">
                  <c:v>8176.5784437517013</c:v>
                </c:pt>
                <c:pt idx="65">
                  <c:v>8434.0927550905617</c:v>
                </c:pt>
                <c:pt idx="66">
                  <c:v>8695.5995363726597</c:v>
                </c:pt>
                <c:pt idx="67">
                  <c:v>8961.0987875979954</c:v>
                </c:pt>
                <c:pt idx="68">
                  <c:v>9230.5905087665706</c:v>
                </c:pt>
                <c:pt idx="69">
                  <c:v>9504.0746998783816</c:v>
                </c:pt>
                <c:pt idx="70">
                  <c:v>9781.5513609334321</c:v>
                </c:pt>
                <c:pt idx="71">
                  <c:v>10063.02049193172</c:v>
                </c:pt>
                <c:pt idx="72">
                  <c:v>10348.482092873248</c:v>
                </c:pt>
                <c:pt idx="73">
                  <c:v>10637.936163758013</c:v>
                </c:pt>
                <c:pt idx="74">
                  <c:v>10931.382704586014</c:v>
                </c:pt>
                <c:pt idx="75">
                  <c:v>11228.821715357257</c:v>
                </c:pt>
                <c:pt idx="76">
                  <c:v>11530.253196071737</c:v>
                </c:pt>
                <c:pt idx="77">
                  <c:v>11835.677146729453</c:v>
                </c:pt>
                <c:pt idx="78">
                  <c:v>12145.09356733041</c:v>
                </c:pt>
                <c:pt idx="79">
                  <c:v>12458.502457874602</c:v>
                </c:pt>
                <c:pt idx="80">
                  <c:v>12775.903818362034</c:v>
                </c:pt>
                <c:pt idx="81">
                  <c:v>13097.297648792704</c:v>
                </c:pt>
                <c:pt idx="82">
                  <c:v>13422.683949166612</c:v>
                </c:pt>
                <c:pt idx="83">
                  <c:v>13752.062719483758</c:v>
                </c:pt>
                <c:pt idx="84">
                  <c:v>23674.033070009198</c:v>
                </c:pt>
                <c:pt idx="85">
                  <c:v>24241.055687473992</c:v>
                </c:pt>
                <c:pt idx="86">
                  <c:v>24814.788631772684</c:v>
                </c:pt>
                <c:pt idx="87">
                  <c:v>25395.231902905274</c:v>
                </c:pt>
                <c:pt idx="88">
                  <c:v>25982.385500871776</c:v>
                </c:pt>
                <c:pt idx="89">
                  <c:v>26576.249425672173</c:v>
                </c:pt>
                <c:pt idx="90">
                  <c:v>27176.823677306485</c:v>
                </c:pt>
                <c:pt idx="91">
                  <c:v>27784.108255774689</c:v>
                </c:pt>
                <c:pt idx="92">
                  <c:v>28398.103161076797</c:v>
                </c:pt>
                <c:pt idx="93">
                  <c:v>29018.80839321281</c:v>
                </c:pt>
                <c:pt idx="94">
                  <c:v>29646.223952182721</c:v>
                </c:pt>
                <c:pt idx="95">
                  <c:v>30280.349837986541</c:v>
                </c:pt>
                <c:pt idx="96">
                  <c:v>30921.186050624259</c:v>
                </c:pt>
                <c:pt idx="97">
                  <c:v>31568.732590095889</c:v>
                </c:pt>
                <c:pt idx="98">
                  <c:v>32222.989456401407</c:v>
                </c:pt>
                <c:pt idx="99">
                  <c:v>32883.956649540836</c:v>
                </c:pt>
                <c:pt idx="100">
                  <c:v>33551.634169514175</c:v>
                </c:pt>
                <c:pt idx="101">
                  <c:v>34226.022016321411</c:v>
                </c:pt>
                <c:pt idx="102">
                  <c:v>34907.120189962545</c:v>
                </c:pt>
                <c:pt idx="103">
                  <c:v>35594.928690437584</c:v>
                </c:pt>
                <c:pt idx="104">
                  <c:v>36289.447517746528</c:v>
                </c:pt>
                <c:pt idx="105">
                  <c:v>36990.676671889378</c:v>
                </c:pt>
                <c:pt idx="106">
                  <c:v>37698.616152866125</c:v>
                </c:pt>
                <c:pt idx="107">
                  <c:v>38413.26596067677</c:v>
                </c:pt>
                <c:pt idx="108">
                  <c:v>39134.626095321328</c:v>
                </c:pt>
              </c:numCache>
            </c:numRef>
          </c:yVal>
          <c:smooth val="1"/>
          <c:extLst>
            <c:ext xmlns:c16="http://schemas.microsoft.com/office/drawing/2014/chart" uri="{C3380CC4-5D6E-409C-BE32-E72D297353CC}">
              <c16:uniqueId val="{00000002-BC87-4964-B776-0575E5042077}"/>
            </c:ext>
          </c:extLst>
        </c:ser>
        <c:ser>
          <c:idx val="1"/>
          <c:order val="1"/>
          <c:tx>
            <c:v>MTOW</c:v>
          </c:tx>
          <c:spPr>
            <a:ln w="19050" cap="rnd">
              <a:solidFill>
                <a:schemeClr val="accent2"/>
              </a:solidFill>
              <a:round/>
            </a:ln>
            <a:effectLst/>
          </c:spPr>
          <c:marker>
            <c:symbol val="none"/>
          </c:marker>
          <c:xVal>
            <c:numRef>
              <c:f>Lift!$C$217:$C$325</c:f>
              <c:numCache>
                <c:formatCode>0</c:formatCode>
                <c:ptCount val="109"/>
                <c:pt idx="0">
                  <c:v>0</c:v>
                </c:pt>
                <c:pt idx="1">
                  <c:v>1.1849676005566172</c:v>
                </c:pt>
                <c:pt idx="2">
                  <c:v>2.3699352011132344</c:v>
                </c:pt>
                <c:pt idx="3">
                  <c:v>3.5549028016698516</c:v>
                </c:pt>
                <c:pt idx="4">
                  <c:v>4.7398704022264688</c:v>
                </c:pt>
                <c:pt idx="5">
                  <c:v>5.924838002783086</c:v>
                </c:pt>
                <c:pt idx="6">
                  <c:v>7.1098056033397032</c:v>
                </c:pt>
                <c:pt idx="7">
                  <c:v>8.2947732038963196</c:v>
                </c:pt>
                <c:pt idx="8">
                  <c:v>9.4797408044529377</c:v>
                </c:pt>
                <c:pt idx="9">
                  <c:v>10.664708405009554</c:v>
                </c:pt>
                <c:pt idx="10">
                  <c:v>11.849676005566172</c:v>
                </c:pt>
                <c:pt idx="11">
                  <c:v>13.034643606122788</c:v>
                </c:pt>
                <c:pt idx="12">
                  <c:v>14.219611206679406</c:v>
                </c:pt>
                <c:pt idx="13">
                  <c:v>15.404578807236023</c:v>
                </c:pt>
                <c:pt idx="14">
                  <c:v>16.589546407792639</c:v>
                </c:pt>
                <c:pt idx="15">
                  <c:v>17.774514008349257</c:v>
                </c:pt>
                <c:pt idx="16">
                  <c:v>18.959481608905875</c:v>
                </c:pt>
                <c:pt idx="17">
                  <c:v>20.144449209462493</c:v>
                </c:pt>
                <c:pt idx="18">
                  <c:v>21.329416810019108</c:v>
                </c:pt>
                <c:pt idx="19">
                  <c:v>22.514384410575726</c:v>
                </c:pt>
                <c:pt idx="20">
                  <c:v>23.699352011132344</c:v>
                </c:pt>
                <c:pt idx="21">
                  <c:v>24.884319611688962</c:v>
                </c:pt>
                <c:pt idx="22">
                  <c:v>26.069287212245577</c:v>
                </c:pt>
                <c:pt idx="23">
                  <c:v>27.254254812802195</c:v>
                </c:pt>
                <c:pt idx="24">
                  <c:v>28.439222413358813</c:v>
                </c:pt>
                <c:pt idx="25">
                  <c:v>29.624190013915431</c:v>
                </c:pt>
                <c:pt idx="26">
                  <c:v>30.809157614472046</c:v>
                </c:pt>
                <c:pt idx="27">
                  <c:v>31.994125215028664</c:v>
                </c:pt>
                <c:pt idx="28">
                  <c:v>33.179092815585278</c:v>
                </c:pt>
                <c:pt idx="29">
                  <c:v>34.364060416141896</c:v>
                </c:pt>
                <c:pt idx="30">
                  <c:v>35.549028016698514</c:v>
                </c:pt>
                <c:pt idx="31">
                  <c:v>36.733995617255133</c:v>
                </c:pt>
                <c:pt idx="32">
                  <c:v>37.918963217811751</c:v>
                </c:pt>
                <c:pt idx="33">
                  <c:v>39.103930818368369</c:v>
                </c:pt>
                <c:pt idx="34">
                  <c:v>40.288898418924987</c:v>
                </c:pt>
                <c:pt idx="35">
                  <c:v>41.473866019481605</c:v>
                </c:pt>
                <c:pt idx="36">
                  <c:v>42.658833620038216</c:v>
                </c:pt>
                <c:pt idx="37">
                  <c:v>43.843801220594834</c:v>
                </c:pt>
                <c:pt idx="38">
                  <c:v>45.028768821151452</c:v>
                </c:pt>
                <c:pt idx="39">
                  <c:v>46.21373642170807</c:v>
                </c:pt>
                <c:pt idx="40">
                  <c:v>47.398704022264688</c:v>
                </c:pt>
                <c:pt idx="41">
                  <c:v>48.583671622821306</c:v>
                </c:pt>
                <c:pt idx="42">
                  <c:v>49.768639223377924</c:v>
                </c:pt>
                <c:pt idx="43">
                  <c:v>50.953606823934543</c:v>
                </c:pt>
                <c:pt idx="44">
                  <c:v>52.138574424491154</c:v>
                </c:pt>
                <c:pt idx="45">
                  <c:v>53.323542025047772</c:v>
                </c:pt>
                <c:pt idx="46">
                  <c:v>54.50850962560439</c:v>
                </c:pt>
                <c:pt idx="47">
                  <c:v>55.693477226161008</c:v>
                </c:pt>
                <c:pt idx="48">
                  <c:v>56.878444826717626</c:v>
                </c:pt>
                <c:pt idx="49">
                  <c:v>58.063412427274244</c:v>
                </c:pt>
                <c:pt idx="50">
                  <c:v>59.248380027830862</c:v>
                </c:pt>
                <c:pt idx="51">
                  <c:v>60.43334762838748</c:v>
                </c:pt>
                <c:pt idx="52">
                  <c:v>61.618315228944091</c:v>
                </c:pt>
                <c:pt idx="53">
                  <c:v>62.803282829500709</c:v>
                </c:pt>
                <c:pt idx="54">
                  <c:v>63.988250430057327</c:v>
                </c:pt>
                <c:pt idx="55">
                  <c:v>65.173218030613953</c:v>
                </c:pt>
                <c:pt idx="56">
                  <c:v>66.358185631170556</c:v>
                </c:pt>
                <c:pt idx="57">
                  <c:v>67.543153231727175</c:v>
                </c:pt>
                <c:pt idx="58">
                  <c:v>68.728120832283793</c:v>
                </c:pt>
                <c:pt idx="59">
                  <c:v>69.913088432840411</c:v>
                </c:pt>
                <c:pt idx="60">
                  <c:v>71.098056033397029</c:v>
                </c:pt>
                <c:pt idx="61">
                  <c:v>72.283023633953647</c:v>
                </c:pt>
                <c:pt idx="62">
                  <c:v>73.467991234510265</c:v>
                </c:pt>
                <c:pt idx="63">
                  <c:v>74.652958835066883</c:v>
                </c:pt>
                <c:pt idx="64">
                  <c:v>75.837926435623501</c:v>
                </c:pt>
                <c:pt idx="65">
                  <c:v>77.022894036180119</c:v>
                </c:pt>
                <c:pt idx="66">
                  <c:v>78.207861636736737</c:v>
                </c:pt>
                <c:pt idx="67">
                  <c:v>79.392829237293356</c:v>
                </c:pt>
                <c:pt idx="68">
                  <c:v>80.577796837849974</c:v>
                </c:pt>
                <c:pt idx="69">
                  <c:v>81.762764438406592</c:v>
                </c:pt>
                <c:pt idx="70">
                  <c:v>82.94773203896321</c:v>
                </c:pt>
                <c:pt idx="71">
                  <c:v>84.132699639519828</c:v>
                </c:pt>
                <c:pt idx="72">
                  <c:v>85.317667240076432</c:v>
                </c:pt>
                <c:pt idx="73">
                  <c:v>86.50263484063305</c:v>
                </c:pt>
                <c:pt idx="74">
                  <c:v>87.687602441189668</c:v>
                </c:pt>
                <c:pt idx="75">
                  <c:v>88.872570041746286</c:v>
                </c:pt>
                <c:pt idx="76">
                  <c:v>90.057537642302904</c:v>
                </c:pt>
                <c:pt idx="77">
                  <c:v>91.242505242859522</c:v>
                </c:pt>
                <c:pt idx="78">
                  <c:v>92.42747284341614</c:v>
                </c:pt>
                <c:pt idx="79">
                  <c:v>93.612440443972758</c:v>
                </c:pt>
                <c:pt idx="80">
                  <c:v>94.797408044529377</c:v>
                </c:pt>
                <c:pt idx="81">
                  <c:v>95.982375645085995</c:v>
                </c:pt>
                <c:pt idx="82">
                  <c:v>97.167343245642613</c:v>
                </c:pt>
                <c:pt idx="83">
                  <c:v>98.352310846199231</c:v>
                </c:pt>
                <c:pt idx="84">
                  <c:v>99.537278446755849</c:v>
                </c:pt>
                <c:pt idx="85">
                  <c:v>100.72224604731247</c:v>
                </c:pt>
                <c:pt idx="86">
                  <c:v>101.90721364786909</c:v>
                </c:pt>
                <c:pt idx="87">
                  <c:v>103.0921812484257</c:v>
                </c:pt>
                <c:pt idx="88">
                  <c:v>104.27714884898231</c:v>
                </c:pt>
                <c:pt idx="89">
                  <c:v>105.46211644953893</c:v>
                </c:pt>
                <c:pt idx="90">
                  <c:v>106.64708405009554</c:v>
                </c:pt>
                <c:pt idx="91">
                  <c:v>107.83205165065216</c:v>
                </c:pt>
                <c:pt idx="92">
                  <c:v>109.01701925120878</c:v>
                </c:pt>
                <c:pt idx="93">
                  <c:v>110.2019868517654</c:v>
                </c:pt>
                <c:pt idx="94">
                  <c:v>111.38695445232202</c:v>
                </c:pt>
                <c:pt idx="95">
                  <c:v>112.57192205287863</c:v>
                </c:pt>
                <c:pt idx="96" formatCode="0.00">
                  <c:v>113.75688965343525</c:v>
                </c:pt>
                <c:pt idx="97" formatCode="0.00">
                  <c:v>114.94185725399187</c:v>
                </c:pt>
                <c:pt idx="98" formatCode="0.00">
                  <c:v>116.12682485454849</c:v>
                </c:pt>
                <c:pt idx="99" formatCode="0.00">
                  <c:v>117.31179245510511</c:v>
                </c:pt>
                <c:pt idx="100" formatCode="0.00">
                  <c:v>118.49676005566172</c:v>
                </c:pt>
                <c:pt idx="101" formatCode="0.00">
                  <c:v>119.68172765621834</c:v>
                </c:pt>
                <c:pt idx="102" formatCode="0.00">
                  <c:v>120.86669525677496</c:v>
                </c:pt>
                <c:pt idx="103" formatCode="0.00">
                  <c:v>122.05166285733158</c:v>
                </c:pt>
                <c:pt idx="104" formatCode="0.00">
                  <c:v>123.23663045788818</c:v>
                </c:pt>
                <c:pt idx="105" formatCode="0.00">
                  <c:v>124.4215980584448</c:v>
                </c:pt>
                <c:pt idx="106" formatCode="0.00">
                  <c:v>125.60656565900142</c:v>
                </c:pt>
                <c:pt idx="107" formatCode="0.00">
                  <c:v>126.79153325955804</c:v>
                </c:pt>
                <c:pt idx="108" formatCode="0.00">
                  <c:v>127.97650086011465</c:v>
                </c:pt>
              </c:numCache>
            </c:numRef>
          </c:xVal>
          <c:yVal>
            <c:numRef>
              <c:f>Lift!$E$217:$E$325</c:f>
              <c:numCache>
                <c:formatCode>0</c:formatCode>
                <c:ptCount val="109"/>
                <c:pt idx="0">
                  <c:v>18875</c:v>
                </c:pt>
                <c:pt idx="1">
                  <c:v>18875</c:v>
                </c:pt>
                <c:pt idx="2">
                  <c:v>18875</c:v>
                </c:pt>
                <c:pt idx="3">
                  <c:v>18875</c:v>
                </c:pt>
                <c:pt idx="4">
                  <c:v>18875</c:v>
                </c:pt>
                <c:pt idx="5">
                  <c:v>18875</c:v>
                </c:pt>
                <c:pt idx="6">
                  <c:v>18875</c:v>
                </c:pt>
                <c:pt idx="7">
                  <c:v>18875</c:v>
                </c:pt>
                <c:pt idx="8">
                  <c:v>18875</c:v>
                </c:pt>
                <c:pt idx="9">
                  <c:v>18875</c:v>
                </c:pt>
                <c:pt idx="10">
                  <c:v>18875</c:v>
                </c:pt>
                <c:pt idx="11">
                  <c:v>18875</c:v>
                </c:pt>
                <c:pt idx="12">
                  <c:v>18875</c:v>
                </c:pt>
                <c:pt idx="13">
                  <c:v>18875</c:v>
                </c:pt>
                <c:pt idx="14">
                  <c:v>18875</c:v>
                </c:pt>
                <c:pt idx="15">
                  <c:v>18875</c:v>
                </c:pt>
                <c:pt idx="16">
                  <c:v>18875</c:v>
                </c:pt>
                <c:pt idx="17">
                  <c:v>18875</c:v>
                </c:pt>
                <c:pt idx="18">
                  <c:v>18875</c:v>
                </c:pt>
                <c:pt idx="19">
                  <c:v>18875</c:v>
                </c:pt>
                <c:pt idx="20">
                  <c:v>18875</c:v>
                </c:pt>
                <c:pt idx="21">
                  <c:v>18875</c:v>
                </c:pt>
                <c:pt idx="22">
                  <c:v>18875</c:v>
                </c:pt>
                <c:pt idx="23">
                  <c:v>18875</c:v>
                </c:pt>
                <c:pt idx="24">
                  <c:v>18875</c:v>
                </c:pt>
                <c:pt idx="25">
                  <c:v>18875</c:v>
                </c:pt>
                <c:pt idx="26">
                  <c:v>18875</c:v>
                </c:pt>
                <c:pt idx="27">
                  <c:v>18875</c:v>
                </c:pt>
                <c:pt idx="28">
                  <c:v>18875</c:v>
                </c:pt>
                <c:pt idx="29">
                  <c:v>18875</c:v>
                </c:pt>
                <c:pt idx="30">
                  <c:v>18875</c:v>
                </c:pt>
                <c:pt idx="31">
                  <c:v>18875</c:v>
                </c:pt>
                <c:pt idx="32">
                  <c:v>18875</c:v>
                </c:pt>
                <c:pt idx="33">
                  <c:v>18875</c:v>
                </c:pt>
                <c:pt idx="34">
                  <c:v>18875</c:v>
                </c:pt>
                <c:pt idx="35">
                  <c:v>18875</c:v>
                </c:pt>
                <c:pt idx="36">
                  <c:v>18875</c:v>
                </c:pt>
                <c:pt idx="37">
                  <c:v>18875</c:v>
                </c:pt>
                <c:pt idx="38">
                  <c:v>18875</c:v>
                </c:pt>
                <c:pt idx="39">
                  <c:v>18875</c:v>
                </c:pt>
                <c:pt idx="40">
                  <c:v>18875</c:v>
                </c:pt>
                <c:pt idx="41">
                  <c:v>18875</c:v>
                </c:pt>
                <c:pt idx="42">
                  <c:v>18875</c:v>
                </c:pt>
                <c:pt idx="43">
                  <c:v>18875</c:v>
                </c:pt>
                <c:pt idx="44">
                  <c:v>18875</c:v>
                </c:pt>
                <c:pt idx="45">
                  <c:v>18875</c:v>
                </c:pt>
                <c:pt idx="46">
                  <c:v>18875</c:v>
                </c:pt>
                <c:pt idx="47">
                  <c:v>18875</c:v>
                </c:pt>
                <c:pt idx="48">
                  <c:v>18875</c:v>
                </c:pt>
                <c:pt idx="49">
                  <c:v>18875</c:v>
                </c:pt>
                <c:pt idx="50">
                  <c:v>18875</c:v>
                </c:pt>
                <c:pt idx="51">
                  <c:v>18875</c:v>
                </c:pt>
                <c:pt idx="52">
                  <c:v>18875</c:v>
                </c:pt>
                <c:pt idx="53">
                  <c:v>18875</c:v>
                </c:pt>
                <c:pt idx="54">
                  <c:v>18875</c:v>
                </c:pt>
                <c:pt idx="55">
                  <c:v>18875</c:v>
                </c:pt>
                <c:pt idx="56">
                  <c:v>18875</c:v>
                </c:pt>
                <c:pt idx="57">
                  <c:v>18875</c:v>
                </c:pt>
                <c:pt idx="58">
                  <c:v>18875</c:v>
                </c:pt>
                <c:pt idx="59">
                  <c:v>18875</c:v>
                </c:pt>
                <c:pt idx="60">
                  <c:v>18875</c:v>
                </c:pt>
                <c:pt idx="61">
                  <c:v>18875</c:v>
                </c:pt>
                <c:pt idx="62">
                  <c:v>18875</c:v>
                </c:pt>
                <c:pt idx="63">
                  <c:v>18875</c:v>
                </c:pt>
                <c:pt idx="64">
                  <c:v>18875</c:v>
                </c:pt>
                <c:pt idx="65">
                  <c:v>18875</c:v>
                </c:pt>
                <c:pt idx="66">
                  <c:v>18875</c:v>
                </c:pt>
                <c:pt idx="67">
                  <c:v>18875</c:v>
                </c:pt>
                <c:pt idx="68">
                  <c:v>18875</c:v>
                </c:pt>
                <c:pt idx="69">
                  <c:v>18875</c:v>
                </c:pt>
                <c:pt idx="70">
                  <c:v>18875</c:v>
                </c:pt>
                <c:pt idx="71">
                  <c:v>18875</c:v>
                </c:pt>
                <c:pt idx="72">
                  <c:v>18875</c:v>
                </c:pt>
                <c:pt idx="73">
                  <c:v>18875</c:v>
                </c:pt>
                <c:pt idx="74">
                  <c:v>18875</c:v>
                </c:pt>
                <c:pt idx="75">
                  <c:v>18875</c:v>
                </c:pt>
                <c:pt idx="76">
                  <c:v>18875</c:v>
                </c:pt>
                <c:pt idx="77">
                  <c:v>18875</c:v>
                </c:pt>
                <c:pt idx="78">
                  <c:v>18875</c:v>
                </c:pt>
                <c:pt idx="79">
                  <c:v>18875</c:v>
                </c:pt>
                <c:pt idx="80">
                  <c:v>18875</c:v>
                </c:pt>
                <c:pt idx="81">
                  <c:v>18875</c:v>
                </c:pt>
                <c:pt idx="82">
                  <c:v>18875</c:v>
                </c:pt>
                <c:pt idx="83">
                  <c:v>18875</c:v>
                </c:pt>
                <c:pt idx="84">
                  <c:v>18875</c:v>
                </c:pt>
                <c:pt idx="85">
                  <c:v>18875</c:v>
                </c:pt>
                <c:pt idx="86">
                  <c:v>18875</c:v>
                </c:pt>
                <c:pt idx="87">
                  <c:v>18875</c:v>
                </c:pt>
                <c:pt idx="88">
                  <c:v>18875</c:v>
                </c:pt>
                <c:pt idx="89">
                  <c:v>18875</c:v>
                </c:pt>
                <c:pt idx="90">
                  <c:v>18875</c:v>
                </c:pt>
                <c:pt idx="91">
                  <c:v>18875</c:v>
                </c:pt>
                <c:pt idx="92">
                  <c:v>18875</c:v>
                </c:pt>
                <c:pt idx="93">
                  <c:v>18875</c:v>
                </c:pt>
                <c:pt idx="94">
                  <c:v>18875</c:v>
                </c:pt>
                <c:pt idx="95">
                  <c:v>18875</c:v>
                </c:pt>
                <c:pt idx="96">
                  <c:v>18875</c:v>
                </c:pt>
                <c:pt idx="97">
                  <c:v>18875</c:v>
                </c:pt>
                <c:pt idx="98">
                  <c:v>18875</c:v>
                </c:pt>
                <c:pt idx="99">
                  <c:v>18875</c:v>
                </c:pt>
                <c:pt idx="100">
                  <c:v>18875</c:v>
                </c:pt>
                <c:pt idx="101">
                  <c:v>18875</c:v>
                </c:pt>
                <c:pt idx="102">
                  <c:v>18875</c:v>
                </c:pt>
                <c:pt idx="103">
                  <c:v>18875</c:v>
                </c:pt>
                <c:pt idx="104">
                  <c:v>18875</c:v>
                </c:pt>
                <c:pt idx="105">
                  <c:v>18875</c:v>
                </c:pt>
                <c:pt idx="106">
                  <c:v>18875</c:v>
                </c:pt>
                <c:pt idx="107">
                  <c:v>18875</c:v>
                </c:pt>
                <c:pt idx="108">
                  <c:v>18875</c:v>
                </c:pt>
              </c:numCache>
            </c:numRef>
          </c:yVal>
          <c:smooth val="1"/>
          <c:extLst>
            <c:ext xmlns:c16="http://schemas.microsoft.com/office/drawing/2014/chart" uri="{C3380CC4-5D6E-409C-BE32-E72D297353CC}">
              <c16:uniqueId val="{00000004-BC87-4964-B776-0575E5042077}"/>
            </c:ext>
          </c:extLst>
        </c:ser>
        <c:dLbls>
          <c:showLegendKey val="0"/>
          <c:showVal val="0"/>
          <c:showCatName val="0"/>
          <c:showSerName val="0"/>
          <c:showPercent val="0"/>
          <c:showBubbleSize val="0"/>
        </c:dLbls>
        <c:axId val="2023648288"/>
        <c:axId val="2023647808"/>
      </c:scatterChart>
      <c:valAx>
        <c:axId val="20236482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Velocity, in KCAS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647808"/>
        <c:crosses val="autoZero"/>
        <c:crossBetween val="midCat"/>
      </c:valAx>
      <c:valAx>
        <c:axId val="2023647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Force, in lb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6482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rgbClr val="0E2841"/>
              </a:solidFill>
              <a:prstDash val="solid"/>
              <a:round/>
            </a:ln>
            <a:effectLst/>
          </c:spPr>
          <c:marker>
            <c:symbol val="none"/>
          </c:marker>
          <c:xVal>
            <c:numRef>
              <c:f>Lift!$A$217:$A$325</c:f>
              <c:numCache>
                <c:formatCode>0.0</c:formatCode>
                <c:ptCount val="109"/>
                <c:pt idx="0" formatCode="General">
                  <c:v>0</c:v>
                </c:pt>
                <c:pt idx="1">
                  <c:v>0.25321186299999698</c:v>
                </c:pt>
                <c:pt idx="2">
                  <c:v>1.0128474519999879</c:v>
                </c:pt>
                <c:pt idx="3">
                  <c:v>2.278906766999973</c:v>
                </c:pt>
                <c:pt idx="4">
                  <c:v>4.0513898079999517</c:v>
                </c:pt>
                <c:pt idx="5">
                  <c:v>6.3302965749999247</c:v>
                </c:pt>
                <c:pt idx="6" formatCode="0">
                  <c:v>9.1156270679998919</c:v>
                </c:pt>
                <c:pt idx="7" formatCode="0">
                  <c:v>12.407381286999852</c:v>
                </c:pt>
                <c:pt idx="8" formatCode="0">
                  <c:v>16.205559231999807</c:v>
                </c:pt>
                <c:pt idx="9" formatCode="0">
                  <c:v>20.510160902999758</c:v>
                </c:pt>
                <c:pt idx="10" formatCode="0">
                  <c:v>25.321186299999699</c:v>
                </c:pt>
                <c:pt idx="11" formatCode="0">
                  <c:v>30.638635422999638</c:v>
                </c:pt>
                <c:pt idx="12" formatCode="0">
                  <c:v>36.462508271999567</c:v>
                </c:pt>
                <c:pt idx="13" formatCode="0">
                  <c:v>42.792804846999495</c:v>
                </c:pt>
                <c:pt idx="14" formatCode="0">
                  <c:v>49.629525147999409</c:v>
                </c:pt>
                <c:pt idx="15" formatCode="0">
                  <c:v>56.972669174999325</c:v>
                </c:pt>
                <c:pt idx="16" formatCode="0">
                  <c:v>64.822236927999228</c:v>
                </c:pt>
                <c:pt idx="17" formatCode="0">
                  <c:v>73.178228406999139</c:v>
                </c:pt>
                <c:pt idx="18" formatCode="0">
                  <c:v>82.04064361199903</c:v>
                </c:pt>
                <c:pt idx="19" formatCode="0">
                  <c:v>91.409482542998916</c:v>
                </c:pt>
                <c:pt idx="20" formatCode="0">
                  <c:v>101.2847451999988</c:v>
                </c:pt>
                <c:pt idx="21" formatCode="0">
                  <c:v>111.66643158299868</c:v>
                </c:pt>
                <c:pt idx="22" formatCode="0">
                  <c:v>122.55454169199855</c:v>
                </c:pt>
                <c:pt idx="23" formatCode="0">
                  <c:v>133.9490755269984</c:v>
                </c:pt>
                <c:pt idx="24" formatCode="0">
                  <c:v>145.85003308799827</c:v>
                </c:pt>
                <c:pt idx="25" formatCode="0">
                  <c:v>158.25741437499812</c:v>
                </c:pt>
                <c:pt idx="26" formatCode="0">
                  <c:v>171.17121938799798</c:v>
                </c:pt>
                <c:pt idx="27" formatCode="0">
                  <c:v>184.59144812699782</c:v>
                </c:pt>
                <c:pt idx="28" formatCode="0">
                  <c:v>198.51810059199764</c:v>
                </c:pt>
                <c:pt idx="29" formatCode="0">
                  <c:v>212.95117678299746</c:v>
                </c:pt>
                <c:pt idx="30" formatCode="0">
                  <c:v>227.8906766999973</c:v>
                </c:pt>
                <c:pt idx="31" formatCode="0">
                  <c:v>243.33660034299712</c:v>
                </c:pt>
                <c:pt idx="32" formatCode="0">
                  <c:v>259.28894771199691</c:v>
                </c:pt>
                <c:pt idx="33" formatCode="0">
                  <c:v>275.74771880699672</c:v>
                </c:pt>
                <c:pt idx="34" formatCode="0">
                  <c:v>292.71291362799656</c:v>
                </c:pt>
                <c:pt idx="35" formatCode="0">
                  <c:v>310.18453217499632</c:v>
                </c:pt>
                <c:pt idx="36" formatCode="0">
                  <c:v>328.16257444799612</c:v>
                </c:pt>
                <c:pt idx="37" formatCode="0">
                  <c:v>346.6470404469959</c:v>
                </c:pt>
                <c:pt idx="38" formatCode="0">
                  <c:v>365.63793017199566</c:v>
                </c:pt>
                <c:pt idx="39" formatCode="0">
                  <c:v>385.13524362299546</c:v>
                </c:pt>
                <c:pt idx="40" formatCode="0">
                  <c:v>405.13898079999518</c:v>
                </c:pt>
                <c:pt idx="41" formatCode="0">
                  <c:v>425.64914170299494</c:v>
                </c:pt>
                <c:pt idx="42" formatCode="0">
                  <c:v>446.66572633199473</c:v>
                </c:pt>
                <c:pt idx="43" formatCode="0">
                  <c:v>468.18873468699445</c:v>
                </c:pt>
                <c:pt idx="44" formatCode="0">
                  <c:v>490.21816676799421</c:v>
                </c:pt>
                <c:pt idx="45" formatCode="0">
                  <c:v>512.75402257499388</c:v>
                </c:pt>
                <c:pt idx="46" formatCode="0">
                  <c:v>535.7963021079936</c:v>
                </c:pt>
                <c:pt idx="47" formatCode="0">
                  <c:v>559.34500536699341</c:v>
                </c:pt>
                <c:pt idx="48" formatCode="0">
                  <c:v>583.40013235199308</c:v>
                </c:pt>
                <c:pt idx="49" formatCode="0">
                  <c:v>607.96168306299285</c:v>
                </c:pt>
                <c:pt idx="50" formatCode="0">
                  <c:v>633.02965749999248</c:v>
                </c:pt>
                <c:pt idx="51" formatCode="0">
                  <c:v>658.60405566299221</c:v>
                </c:pt>
                <c:pt idx="52" formatCode="0">
                  <c:v>684.68487755199192</c:v>
                </c:pt>
                <c:pt idx="53" formatCode="0">
                  <c:v>711.27212316699161</c:v>
                </c:pt>
                <c:pt idx="54" formatCode="0">
                  <c:v>738.36579250799127</c:v>
                </c:pt>
                <c:pt idx="55" formatCode="0">
                  <c:v>765.96588557499092</c:v>
                </c:pt>
                <c:pt idx="56" formatCode="0">
                  <c:v>794.07240236799055</c:v>
                </c:pt>
                <c:pt idx="57" formatCode="0">
                  <c:v>822.68534288699027</c:v>
                </c:pt>
                <c:pt idx="58" formatCode="0">
                  <c:v>851.80470713198986</c:v>
                </c:pt>
                <c:pt idx="59" formatCode="0">
                  <c:v>881.43049510298954</c:v>
                </c:pt>
                <c:pt idx="60" formatCode="0">
                  <c:v>911.5627067999892</c:v>
                </c:pt>
                <c:pt idx="61" formatCode="0">
                  <c:v>942.20134222298884</c:v>
                </c:pt>
                <c:pt idx="62" formatCode="0">
                  <c:v>973.34640137198846</c:v>
                </c:pt>
                <c:pt idx="63" formatCode="0">
                  <c:v>1004.9978842469881</c:v>
                </c:pt>
                <c:pt idx="64" formatCode="0">
                  <c:v>1037.1557908479876</c:v>
                </c:pt>
                <c:pt idx="65" formatCode="0">
                  <c:v>1069.8201211749874</c:v>
                </c:pt>
                <c:pt idx="66" formatCode="0">
                  <c:v>1102.9908752279869</c:v>
                </c:pt>
                <c:pt idx="67" formatCode="0">
                  <c:v>1136.6680530069866</c:v>
                </c:pt>
                <c:pt idx="68" formatCode="0">
                  <c:v>1170.8516545119862</c:v>
                </c:pt>
                <c:pt idx="69" formatCode="0">
                  <c:v>1205.5416797429857</c:v>
                </c:pt>
                <c:pt idx="70" formatCode="0">
                  <c:v>1240.7381286999853</c:v>
                </c:pt>
                <c:pt idx="71" formatCode="0">
                  <c:v>1276.441001382985</c:v>
                </c:pt>
                <c:pt idx="72" formatCode="0">
                  <c:v>1312.6502977919845</c:v>
                </c:pt>
                <c:pt idx="73" formatCode="0">
                  <c:v>1349.3660179269841</c:v>
                </c:pt>
                <c:pt idx="74" formatCode="0">
                  <c:v>1386.5881617879836</c:v>
                </c:pt>
                <c:pt idx="75" formatCode="0">
                  <c:v>1424.3167293749832</c:v>
                </c:pt>
                <c:pt idx="76" formatCode="0">
                  <c:v>1462.5517206879827</c:v>
                </c:pt>
                <c:pt idx="77" formatCode="0">
                  <c:v>1501.2931357269822</c:v>
                </c:pt>
                <c:pt idx="78" formatCode="0">
                  <c:v>1540.5409744919818</c:v>
                </c:pt>
                <c:pt idx="79" formatCode="0">
                  <c:v>1580.2952369829814</c:v>
                </c:pt>
                <c:pt idx="80" formatCode="0">
                  <c:v>1620.5559231999807</c:v>
                </c:pt>
                <c:pt idx="81" formatCode="0">
                  <c:v>1661.3230331429804</c:v>
                </c:pt>
                <c:pt idx="82" formatCode="0">
                  <c:v>1702.5965668119798</c:v>
                </c:pt>
                <c:pt idx="83" formatCode="0">
                  <c:v>1744.3765242069794</c:v>
                </c:pt>
                <c:pt idx="84" formatCode="0">
                  <c:v>1786.6629053279789</c:v>
                </c:pt>
                <c:pt idx="85" formatCode="0">
                  <c:v>1829.4557101749783</c:v>
                </c:pt>
                <c:pt idx="86" formatCode="0">
                  <c:v>1872.7549387479778</c:v>
                </c:pt>
                <c:pt idx="87" formatCode="0">
                  <c:v>1916.5605910469774</c:v>
                </c:pt>
                <c:pt idx="88" formatCode="0">
                  <c:v>1960.8726670719768</c:v>
                </c:pt>
                <c:pt idx="89" formatCode="0">
                  <c:v>2005.6911668229761</c:v>
                </c:pt>
                <c:pt idx="90" formatCode="0">
                  <c:v>2051.0160902999755</c:v>
                </c:pt>
                <c:pt idx="91" formatCode="0">
                  <c:v>2096.847437502975</c:v>
                </c:pt>
                <c:pt idx="92" formatCode="0">
                  <c:v>2143.1852084319744</c:v>
                </c:pt>
                <c:pt idx="93" formatCode="0">
                  <c:v>2190.0294030869741</c:v>
                </c:pt>
                <c:pt idx="94" formatCode="0">
                  <c:v>2237.3800214679736</c:v>
                </c:pt>
                <c:pt idx="95" formatCode="0">
                  <c:v>2285.237063574973</c:v>
                </c:pt>
                <c:pt idx="96" formatCode="0">
                  <c:v>2333.6005294079723</c:v>
                </c:pt>
                <c:pt idx="97" formatCode="0">
                  <c:v>2382.4704189669719</c:v>
                </c:pt>
                <c:pt idx="98" formatCode="0">
                  <c:v>2431.8467322519714</c:v>
                </c:pt>
                <c:pt idx="99" formatCode="0">
                  <c:v>2481.7294692629707</c:v>
                </c:pt>
                <c:pt idx="100" formatCode="0">
                  <c:v>2532.1186299999699</c:v>
                </c:pt>
                <c:pt idx="101" formatCode="0">
                  <c:v>2583.0142144629694</c:v>
                </c:pt>
                <c:pt idx="102" formatCode="0">
                  <c:v>2634.4162226519688</c:v>
                </c:pt>
                <c:pt idx="103" formatCode="0">
                  <c:v>2686.3246545669681</c:v>
                </c:pt>
                <c:pt idx="104" formatCode="0">
                  <c:v>2738.7395102079677</c:v>
                </c:pt>
                <c:pt idx="105" formatCode="0">
                  <c:v>2791.6607895749671</c:v>
                </c:pt>
                <c:pt idx="106" formatCode="0">
                  <c:v>2845.0884926679664</c:v>
                </c:pt>
                <c:pt idx="107" formatCode="0">
                  <c:v>2899.0226194869656</c:v>
                </c:pt>
                <c:pt idx="108" formatCode="0">
                  <c:v>2953.4631700319651</c:v>
                </c:pt>
              </c:numCache>
            </c:numRef>
          </c:xVal>
          <c:yVal>
            <c:numRef>
              <c:f>Lift!$D$217:$D$325</c:f>
              <c:numCache>
                <c:formatCode>0.00</c:formatCode>
                <c:ptCount val="109"/>
                <c:pt idx="0">
                  <c:v>0</c:v>
                </c:pt>
                <c:pt idx="1">
                  <c:v>1.9962349716190677</c:v>
                </c:pt>
                <c:pt idx="2">
                  <c:v>7.9849398864762708</c:v>
                </c:pt>
                <c:pt idx="3">
                  <c:v>17.966114744571609</c:v>
                </c:pt>
                <c:pt idx="4">
                  <c:v>31.939759545905083</c:v>
                </c:pt>
                <c:pt idx="5">
                  <c:v>49.905874290476696</c:v>
                </c:pt>
                <c:pt idx="6">
                  <c:v>71.864458978286436</c:v>
                </c:pt>
                <c:pt idx="7">
                  <c:v>97.815513609334332</c:v>
                </c:pt>
                <c:pt idx="8">
                  <c:v>127.75903818362033</c:v>
                </c:pt>
                <c:pt idx="9">
                  <c:v>161.6950327011445</c:v>
                </c:pt>
                <c:pt idx="10">
                  <c:v>199.62349716190678</c:v>
                </c:pt>
                <c:pt idx="11">
                  <c:v>241.54443156590722</c:v>
                </c:pt>
                <c:pt idx="12">
                  <c:v>287.45783591314574</c:v>
                </c:pt>
                <c:pt idx="13">
                  <c:v>337.36371020362247</c:v>
                </c:pt>
                <c:pt idx="14">
                  <c:v>391.26205443733733</c:v>
                </c:pt>
                <c:pt idx="15">
                  <c:v>449.1528686142903</c:v>
                </c:pt>
                <c:pt idx="16">
                  <c:v>511.03615273448133</c:v>
                </c:pt>
                <c:pt idx="17">
                  <c:v>576.91190679791066</c:v>
                </c:pt>
                <c:pt idx="18">
                  <c:v>646.78013080457799</c:v>
                </c:pt>
                <c:pt idx="19">
                  <c:v>720.64082475448356</c:v>
                </c:pt>
                <c:pt idx="20">
                  <c:v>798.49398864762713</c:v>
                </c:pt>
                <c:pt idx="21">
                  <c:v>880.33962248400883</c:v>
                </c:pt>
                <c:pt idx="22">
                  <c:v>966.17772626362887</c:v>
                </c:pt>
                <c:pt idx="23">
                  <c:v>1056.0082999864869</c:v>
                </c:pt>
                <c:pt idx="24">
                  <c:v>1149.831343652583</c:v>
                </c:pt>
                <c:pt idx="25">
                  <c:v>1247.6468572619171</c:v>
                </c:pt>
                <c:pt idx="26">
                  <c:v>1349.4548408144899</c:v>
                </c:pt>
                <c:pt idx="27">
                  <c:v>1455.2552943103003</c:v>
                </c:pt>
                <c:pt idx="28">
                  <c:v>1565.0482177493493</c:v>
                </c:pt>
                <c:pt idx="29">
                  <c:v>1678.8336111316362</c:v>
                </c:pt>
                <c:pt idx="30">
                  <c:v>1796.6114744571612</c:v>
                </c:pt>
                <c:pt idx="31">
                  <c:v>1918.3818077259243</c:v>
                </c:pt>
                <c:pt idx="32">
                  <c:v>2044.1446109379253</c:v>
                </c:pt>
                <c:pt idx="33">
                  <c:v>2173.8998840931649</c:v>
                </c:pt>
                <c:pt idx="34">
                  <c:v>2307.6476271916426</c:v>
                </c:pt>
                <c:pt idx="35">
                  <c:v>2445.387840233358</c:v>
                </c:pt>
                <c:pt idx="36">
                  <c:v>2587.120523218312</c:v>
                </c:pt>
                <c:pt idx="37">
                  <c:v>2732.8456761465036</c:v>
                </c:pt>
                <c:pt idx="38">
                  <c:v>2882.5632990179342</c:v>
                </c:pt>
                <c:pt idx="39">
                  <c:v>3036.2733918326026</c:v>
                </c:pt>
                <c:pt idx="40">
                  <c:v>3193.9759545905085</c:v>
                </c:pt>
                <c:pt idx="41">
                  <c:v>3355.6709872916531</c:v>
                </c:pt>
                <c:pt idx="42">
                  <c:v>3521.3584899360353</c:v>
                </c:pt>
                <c:pt idx="43">
                  <c:v>3691.0384625236566</c:v>
                </c:pt>
                <c:pt idx="44">
                  <c:v>3864.7109050545155</c:v>
                </c:pt>
                <c:pt idx="45">
                  <c:v>4042.375817528613</c:v>
                </c:pt>
                <c:pt idx="46">
                  <c:v>4224.0331999459477</c:v>
                </c:pt>
                <c:pt idx="47">
                  <c:v>4409.6830523065209</c:v>
                </c:pt>
                <c:pt idx="48">
                  <c:v>4599.3253746103319</c:v>
                </c:pt>
                <c:pt idx="49">
                  <c:v>4792.9601668573823</c:v>
                </c:pt>
                <c:pt idx="50">
                  <c:v>4990.5874290476686</c:v>
                </c:pt>
                <c:pt idx="51">
                  <c:v>5192.2071611811953</c:v>
                </c:pt>
                <c:pt idx="52">
                  <c:v>5397.8193632579596</c:v>
                </c:pt>
                <c:pt idx="53">
                  <c:v>5607.4240352779616</c:v>
                </c:pt>
                <c:pt idx="54">
                  <c:v>5821.0211772412013</c:v>
                </c:pt>
                <c:pt idx="55">
                  <c:v>6038.6107891476795</c:v>
                </c:pt>
                <c:pt idx="56">
                  <c:v>6260.1928709973972</c:v>
                </c:pt>
                <c:pt idx="57">
                  <c:v>6485.7674227903508</c:v>
                </c:pt>
                <c:pt idx="58">
                  <c:v>6715.3344445265448</c:v>
                </c:pt>
                <c:pt idx="59">
                  <c:v>6948.8939362059755</c:v>
                </c:pt>
                <c:pt idx="60">
                  <c:v>7186.4458978286448</c:v>
                </c:pt>
                <c:pt idx="61">
                  <c:v>7427.9903293945508</c:v>
                </c:pt>
                <c:pt idx="62">
                  <c:v>7673.5272309036973</c:v>
                </c:pt>
                <c:pt idx="63">
                  <c:v>7923.0566023560805</c:v>
                </c:pt>
                <c:pt idx="64">
                  <c:v>8176.5784437517013</c:v>
                </c:pt>
                <c:pt idx="65">
                  <c:v>8434.0927550905617</c:v>
                </c:pt>
                <c:pt idx="66">
                  <c:v>8695.5995363726597</c:v>
                </c:pt>
                <c:pt idx="67">
                  <c:v>8961.0987875979954</c:v>
                </c:pt>
                <c:pt idx="68">
                  <c:v>9230.5905087665706</c:v>
                </c:pt>
                <c:pt idx="69">
                  <c:v>9504.0746998783816</c:v>
                </c:pt>
                <c:pt idx="70">
                  <c:v>9781.5513609334321</c:v>
                </c:pt>
                <c:pt idx="71">
                  <c:v>10063.02049193172</c:v>
                </c:pt>
                <c:pt idx="72">
                  <c:v>10348.482092873248</c:v>
                </c:pt>
                <c:pt idx="73">
                  <c:v>10637.936163758013</c:v>
                </c:pt>
                <c:pt idx="74">
                  <c:v>10931.382704586014</c:v>
                </c:pt>
                <c:pt idx="75">
                  <c:v>11228.821715357257</c:v>
                </c:pt>
                <c:pt idx="76">
                  <c:v>11530.253196071737</c:v>
                </c:pt>
                <c:pt idx="77">
                  <c:v>11835.677146729453</c:v>
                </c:pt>
                <c:pt idx="78">
                  <c:v>12145.09356733041</c:v>
                </c:pt>
                <c:pt idx="79">
                  <c:v>12458.502457874602</c:v>
                </c:pt>
                <c:pt idx="80">
                  <c:v>12775.903818362034</c:v>
                </c:pt>
                <c:pt idx="81">
                  <c:v>13097.297648792704</c:v>
                </c:pt>
                <c:pt idx="82">
                  <c:v>13422.683949166612</c:v>
                </c:pt>
                <c:pt idx="83">
                  <c:v>13752.062719483758</c:v>
                </c:pt>
                <c:pt idx="84">
                  <c:v>23674.033070009198</c:v>
                </c:pt>
                <c:pt idx="85">
                  <c:v>24241.055687473992</c:v>
                </c:pt>
                <c:pt idx="86">
                  <c:v>24814.788631772684</c:v>
                </c:pt>
                <c:pt idx="87">
                  <c:v>25395.231902905274</c:v>
                </c:pt>
                <c:pt idx="88">
                  <c:v>25982.385500871776</c:v>
                </c:pt>
                <c:pt idx="89">
                  <c:v>26576.249425672173</c:v>
                </c:pt>
                <c:pt idx="90">
                  <c:v>27176.823677306485</c:v>
                </c:pt>
                <c:pt idx="91">
                  <c:v>27784.108255774689</c:v>
                </c:pt>
                <c:pt idx="92">
                  <c:v>28398.103161076797</c:v>
                </c:pt>
                <c:pt idx="93">
                  <c:v>29018.80839321281</c:v>
                </c:pt>
                <c:pt idx="94">
                  <c:v>29646.223952182721</c:v>
                </c:pt>
                <c:pt idx="95">
                  <c:v>30280.349837986541</c:v>
                </c:pt>
                <c:pt idx="96">
                  <c:v>30921.186050624259</c:v>
                </c:pt>
                <c:pt idx="97">
                  <c:v>31568.732590095889</c:v>
                </c:pt>
                <c:pt idx="98">
                  <c:v>32222.989456401407</c:v>
                </c:pt>
                <c:pt idx="99">
                  <c:v>32883.956649540836</c:v>
                </c:pt>
                <c:pt idx="100">
                  <c:v>33551.634169514175</c:v>
                </c:pt>
                <c:pt idx="101">
                  <c:v>34226.022016321411</c:v>
                </c:pt>
                <c:pt idx="102">
                  <c:v>34907.120189962545</c:v>
                </c:pt>
                <c:pt idx="103">
                  <c:v>35594.928690437584</c:v>
                </c:pt>
                <c:pt idx="104">
                  <c:v>36289.447517746528</c:v>
                </c:pt>
                <c:pt idx="105">
                  <c:v>36990.676671889378</c:v>
                </c:pt>
                <c:pt idx="106">
                  <c:v>37698.616152866125</c:v>
                </c:pt>
                <c:pt idx="107">
                  <c:v>38413.26596067677</c:v>
                </c:pt>
                <c:pt idx="108">
                  <c:v>39134.626095321328</c:v>
                </c:pt>
              </c:numCache>
            </c:numRef>
          </c:yVal>
          <c:smooth val="0"/>
          <c:extLst>
            <c:ext xmlns:c16="http://schemas.microsoft.com/office/drawing/2014/chart" uri="{C3380CC4-5D6E-409C-BE32-E72D297353CC}">
              <c16:uniqueId val="{00000001-B3C9-46F3-8AE5-C9B7B7E4B9BD}"/>
            </c:ext>
          </c:extLst>
        </c:ser>
        <c:ser>
          <c:idx val="1"/>
          <c:order val="1"/>
          <c:spPr>
            <a:ln w="19050" cap="rnd">
              <a:solidFill>
                <a:schemeClr val="accent2"/>
              </a:solidFill>
              <a:round/>
            </a:ln>
            <a:effectLst/>
          </c:spPr>
          <c:marker>
            <c:symbol val="none"/>
          </c:marker>
          <c:xVal>
            <c:numRef>
              <c:f>Lift!$A$217:$A$325</c:f>
              <c:numCache>
                <c:formatCode>0.0</c:formatCode>
                <c:ptCount val="109"/>
                <c:pt idx="0" formatCode="General">
                  <c:v>0</c:v>
                </c:pt>
                <c:pt idx="1">
                  <c:v>0.25321186299999698</c:v>
                </c:pt>
                <c:pt idx="2">
                  <c:v>1.0128474519999879</c:v>
                </c:pt>
                <c:pt idx="3">
                  <c:v>2.278906766999973</c:v>
                </c:pt>
                <c:pt idx="4">
                  <c:v>4.0513898079999517</c:v>
                </c:pt>
                <c:pt idx="5">
                  <c:v>6.3302965749999247</c:v>
                </c:pt>
                <c:pt idx="6" formatCode="0">
                  <c:v>9.1156270679998919</c:v>
                </c:pt>
                <c:pt idx="7" formatCode="0">
                  <c:v>12.407381286999852</c:v>
                </c:pt>
                <c:pt idx="8" formatCode="0">
                  <c:v>16.205559231999807</c:v>
                </c:pt>
                <c:pt idx="9" formatCode="0">
                  <c:v>20.510160902999758</c:v>
                </c:pt>
                <c:pt idx="10" formatCode="0">
                  <c:v>25.321186299999699</c:v>
                </c:pt>
                <c:pt idx="11" formatCode="0">
                  <c:v>30.638635422999638</c:v>
                </c:pt>
                <c:pt idx="12" formatCode="0">
                  <c:v>36.462508271999567</c:v>
                </c:pt>
                <c:pt idx="13" formatCode="0">
                  <c:v>42.792804846999495</c:v>
                </c:pt>
                <c:pt idx="14" formatCode="0">
                  <c:v>49.629525147999409</c:v>
                </c:pt>
                <c:pt idx="15" formatCode="0">
                  <c:v>56.972669174999325</c:v>
                </c:pt>
                <c:pt idx="16" formatCode="0">
                  <c:v>64.822236927999228</c:v>
                </c:pt>
                <c:pt idx="17" formatCode="0">
                  <c:v>73.178228406999139</c:v>
                </c:pt>
                <c:pt idx="18" formatCode="0">
                  <c:v>82.04064361199903</c:v>
                </c:pt>
                <c:pt idx="19" formatCode="0">
                  <c:v>91.409482542998916</c:v>
                </c:pt>
                <c:pt idx="20" formatCode="0">
                  <c:v>101.2847451999988</c:v>
                </c:pt>
                <c:pt idx="21" formatCode="0">
                  <c:v>111.66643158299868</c:v>
                </c:pt>
                <c:pt idx="22" formatCode="0">
                  <c:v>122.55454169199855</c:v>
                </c:pt>
                <c:pt idx="23" formatCode="0">
                  <c:v>133.9490755269984</c:v>
                </c:pt>
                <c:pt idx="24" formatCode="0">
                  <c:v>145.85003308799827</c:v>
                </c:pt>
                <c:pt idx="25" formatCode="0">
                  <c:v>158.25741437499812</c:v>
                </c:pt>
                <c:pt idx="26" formatCode="0">
                  <c:v>171.17121938799798</c:v>
                </c:pt>
                <c:pt idx="27" formatCode="0">
                  <c:v>184.59144812699782</c:v>
                </c:pt>
                <c:pt idx="28" formatCode="0">
                  <c:v>198.51810059199764</c:v>
                </c:pt>
                <c:pt idx="29" formatCode="0">
                  <c:v>212.95117678299746</c:v>
                </c:pt>
                <c:pt idx="30" formatCode="0">
                  <c:v>227.8906766999973</c:v>
                </c:pt>
                <c:pt idx="31" formatCode="0">
                  <c:v>243.33660034299712</c:v>
                </c:pt>
                <c:pt idx="32" formatCode="0">
                  <c:v>259.28894771199691</c:v>
                </c:pt>
                <c:pt idx="33" formatCode="0">
                  <c:v>275.74771880699672</c:v>
                </c:pt>
                <c:pt idx="34" formatCode="0">
                  <c:v>292.71291362799656</c:v>
                </c:pt>
                <c:pt idx="35" formatCode="0">
                  <c:v>310.18453217499632</c:v>
                </c:pt>
                <c:pt idx="36" formatCode="0">
                  <c:v>328.16257444799612</c:v>
                </c:pt>
                <c:pt idx="37" formatCode="0">
                  <c:v>346.6470404469959</c:v>
                </c:pt>
                <c:pt idx="38" formatCode="0">
                  <c:v>365.63793017199566</c:v>
                </c:pt>
                <c:pt idx="39" formatCode="0">
                  <c:v>385.13524362299546</c:v>
                </c:pt>
                <c:pt idx="40" formatCode="0">
                  <c:v>405.13898079999518</c:v>
                </c:pt>
                <c:pt idx="41" formatCode="0">
                  <c:v>425.64914170299494</c:v>
                </c:pt>
                <c:pt idx="42" formatCode="0">
                  <c:v>446.66572633199473</c:v>
                </c:pt>
                <c:pt idx="43" formatCode="0">
                  <c:v>468.18873468699445</c:v>
                </c:pt>
                <c:pt idx="44" formatCode="0">
                  <c:v>490.21816676799421</c:v>
                </c:pt>
                <c:pt idx="45" formatCode="0">
                  <c:v>512.75402257499388</c:v>
                </c:pt>
                <c:pt idx="46" formatCode="0">
                  <c:v>535.7963021079936</c:v>
                </c:pt>
                <c:pt idx="47" formatCode="0">
                  <c:v>559.34500536699341</c:v>
                </c:pt>
                <c:pt idx="48" formatCode="0">
                  <c:v>583.40013235199308</c:v>
                </c:pt>
                <c:pt idx="49" formatCode="0">
                  <c:v>607.96168306299285</c:v>
                </c:pt>
                <c:pt idx="50" formatCode="0">
                  <c:v>633.02965749999248</c:v>
                </c:pt>
                <c:pt idx="51" formatCode="0">
                  <c:v>658.60405566299221</c:v>
                </c:pt>
                <c:pt idx="52" formatCode="0">
                  <c:v>684.68487755199192</c:v>
                </c:pt>
                <c:pt idx="53" formatCode="0">
                  <c:v>711.27212316699161</c:v>
                </c:pt>
                <c:pt idx="54" formatCode="0">
                  <c:v>738.36579250799127</c:v>
                </c:pt>
                <c:pt idx="55" formatCode="0">
                  <c:v>765.96588557499092</c:v>
                </c:pt>
                <c:pt idx="56" formatCode="0">
                  <c:v>794.07240236799055</c:v>
                </c:pt>
                <c:pt idx="57" formatCode="0">
                  <c:v>822.68534288699027</c:v>
                </c:pt>
                <c:pt idx="58" formatCode="0">
                  <c:v>851.80470713198986</c:v>
                </c:pt>
                <c:pt idx="59" formatCode="0">
                  <c:v>881.43049510298954</c:v>
                </c:pt>
                <c:pt idx="60" formatCode="0">
                  <c:v>911.5627067999892</c:v>
                </c:pt>
                <c:pt idx="61" formatCode="0">
                  <c:v>942.20134222298884</c:v>
                </c:pt>
                <c:pt idx="62" formatCode="0">
                  <c:v>973.34640137198846</c:v>
                </c:pt>
                <c:pt idx="63" formatCode="0">
                  <c:v>1004.9978842469881</c:v>
                </c:pt>
                <c:pt idx="64" formatCode="0">
                  <c:v>1037.1557908479876</c:v>
                </c:pt>
                <c:pt idx="65" formatCode="0">
                  <c:v>1069.8201211749874</c:v>
                </c:pt>
                <c:pt idx="66" formatCode="0">
                  <c:v>1102.9908752279869</c:v>
                </c:pt>
                <c:pt idx="67" formatCode="0">
                  <c:v>1136.6680530069866</c:v>
                </c:pt>
                <c:pt idx="68" formatCode="0">
                  <c:v>1170.8516545119862</c:v>
                </c:pt>
                <c:pt idx="69" formatCode="0">
                  <c:v>1205.5416797429857</c:v>
                </c:pt>
                <c:pt idx="70" formatCode="0">
                  <c:v>1240.7381286999853</c:v>
                </c:pt>
                <c:pt idx="71" formatCode="0">
                  <c:v>1276.441001382985</c:v>
                </c:pt>
                <c:pt idx="72" formatCode="0">
                  <c:v>1312.6502977919845</c:v>
                </c:pt>
                <c:pt idx="73" formatCode="0">
                  <c:v>1349.3660179269841</c:v>
                </c:pt>
                <c:pt idx="74" formatCode="0">
                  <c:v>1386.5881617879836</c:v>
                </c:pt>
                <c:pt idx="75" formatCode="0">
                  <c:v>1424.3167293749832</c:v>
                </c:pt>
                <c:pt idx="76" formatCode="0">
                  <c:v>1462.5517206879827</c:v>
                </c:pt>
                <c:pt idx="77" formatCode="0">
                  <c:v>1501.2931357269822</c:v>
                </c:pt>
                <c:pt idx="78" formatCode="0">
                  <c:v>1540.5409744919818</c:v>
                </c:pt>
                <c:pt idx="79" formatCode="0">
                  <c:v>1580.2952369829814</c:v>
                </c:pt>
                <c:pt idx="80" formatCode="0">
                  <c:v>1620.5559231999807</c:v>
                </c:pt>
                <c:pt idx="81" formatCode="0">
                  <c:v>1661.3230331429804</c:v>
                </c:pt>
                <c:pt idx="82" formatCode="0">
                  <c:v>1702.5965668119798</c:v>
                </c:pt>
                <c:pt idx="83" formatCode="0">
                  <c:v>1744.3765242069794</c:v>
                </c:pt>
                <c:pt idx="84" formatCode="0">
                  <c:v>1786.6629053279789</c:v>
                </c:pt>
                <c:pt idx="85" formatCode="0">
                  <c:v>1829.4557101749783</c:v>
                </c:pt>
                <c:pt idx="86" formatCode="0">
                  <c:v>1872.7549387479778</c:v>
                </c:pt>
                <c:pt idx="87" formatCode="0">
                  <c:v>1916.5605910469774</c:v>
                </c:pt>
                <c:pt idx="88" formatCode="0">
                  <c:v>1960.8726670719768</c:v>
                </c:pt>
                <c:pt idx="89" formatCode="0">
                  <c:v>2005.6911668229761</c:v>
                </c:pt>
                <c:pt idx="90" formatCode="0">
                  <c:v>2051.0160902999755</c:v>
                </c:pt>
                <c:pt idx="91" formatCode="0">
                  <c:v>2096.847437502975</c:v>
                </c:pt>
                <c:pt idx="92" formatCode="0">
                  <c:v>2143.1852084319744</c:v>
                </c:pt>
                <c:pt idx="93" formatCode="0">
                  <c:v>2190.0294030869741</c:v>
                </c:pt>
                <c:pt idx="94" formatCode="0">
                  <c:v>2237.3800214679736</c:v>
                </c:pt>
                <c:pt idx="95" formatCode="0">
                  <c:v>2285.237063574973</c:v>
                </c:pt>
                <c:pt idx="96" formatCode="0">
                  <c:v>2333.6005294079723</c:v>
                </c:pt>
                <c:pt idx="97" formatCode="0">
                  <c:v>2382.4704189669719</c:v>
                </c:pt>
                <c:pt idx="98" formatCode="0">
                  <c:v>2431.8467322519714</c:v>
                </c:pt>
                <c:pt idx="99" formatCode="0">
                  <c:v>2481.7294692629707</c:v>
                </c:pt>
                <c:pt idx="100" formatCode="0">
                  <c:v>2532.1186299999699</c:v>
                </c:pt>
                <c:pt idx="101" formatCode="0">
                  <c:v>2583.0142144629694</c:v>
                </c:pt>
                <c:pt idx="102" formatCode="0">
                  <c:v>2634.4162226519688</c:v>
                </c:pt>
                <c:pt idx="103" formatCode="0">
                  <c:v>2686.3246545669681</c:v>
                </c:pt>
                <c:pt idx="104" formatCode="0">
                  <c:v>2738.7395102079677</c:v>
                </c:pt>
                <c:pt idx="105" formatCode="0">
                  <c:v>2791.6607895749671</c:v>
                </c:pt>
                <c:pt idx="106" formatCode="0">
                  <c:v>2845.0884926679664</c:v>
                </c:pt>
                <c:pt idx="107" formatCode="0">
                  <c:v>2899.0226194869656</c:v>
                </c:pt>
                <c:pt idx="108" formatCode="0">
                  <c:v>2953.4631700319651</c:v>
                </c:pt>
              </c:numCache>
            </c:numRef>
          </c:xVal>
          <c:yVal>
            <c:numRef>
              <c:f>Lift!$E$217:$E$325</c:f>
              <c:numCache>
                <c:formatCode>0</c:formatCode>
                <c:ptCount val="109"/>
                <c:pt idx="0">
                  <c:v>18875</c:v>
                </c:pt>
                <c:pt idx="1">
                  <c:v>18875</c:v>
                </c:pt>
                <c:pt idx="2">
                  <c:v>18875</c:v>
                </c:pt>
                <c:pt idx="3">
                  <c:v>18875</c:v>
                </c:pt>
                <c:pt idx="4">
                  <c:v>18875</c:v>
                </c:pt>
                <c:pt idx="5">
                  <c:v>18875</c:v>
                </c:pt>
                <c:pt idx="6">
                  <c:v>18875</c:v>
                </c:pt>
                <c:pt idx="7">
                  <c:v>18875</c:v>
                </c:pt>
                <c:pt idx="8">
                  <c:v>18875</c:v>
                </c:pt>
                <c:pt idx="9">
                  <c:v>18875</c:v>
                </c:pt>
                <c:pt idx="10">
                  <c:v>18875</c:v>
                </c:pt>
                <c:pt idx="11">
                  <c:v>18875</c:v>
                </c:pt>
                <c:pt idx="12">
                  <c:v>18875</c:v>
                </c:pt>
                <c:pt idx="13">
                  <c:v>18875</c:v>
                </c:pt>
                <c:pt idx="14">
                  <c:v>18875</c:v>
                </c:pt>
                <c:pt idx="15">
                  <c:v>18875</c:v>
                </c:pt>
                <c:pt idx="16">
                  <c:v>18875</c:v>
                </c:pt>
                <c:pt idx="17">
                  <c:v>18875</c:v>
                </c:pt>
                <c:pt idx="18">
                  <c:v>18875</c:v>
                </c:pt>
                <c:pt idx="19">
                  <c:v>18875</c:v>
                </c:pt>
                <c:pt idx="20">
                  <c:v>18875</c:v>
                </c:pt>
                <c:pt idx="21">
                  <c:v>18875</c:v>
                </c:pt>
                <c:pt idx="22">
                  <c:v>18875</c:v>
                </c:pt>
                <c:pt idx="23">
                  <c:v>18875</c:v>
                </c:pt>
                <c:pt idx="24">
                  <c:v>18875</c:v>
                </c:pt>
                <c:pt idx="25">
                  <c:v>18875</c:v>
                </c:pt>
                <c:pt idx="26">
                  <c:v>18875</c:v>
                </c:pt>
                <c:pt idx="27">
                  <c:v>18875</c:v>
                </c:pt>
                <c:pt idx="28">
                  <c:v>18875</c:v>
                </c:pt>
                <c:pt idx="29">
                  <c:v>18875</c:v>
                </c:pt>
                <c:pt idx="30">
                  <c:v>18875</c:v>
                </c:pt>
                <c:pt idx="31">
                  <c:v>18875</c:v>
                </c:pt>
                <c:pt idx="32">
                  <c:v>18875</c:v>
                </c:pt>
                <c:pt idx="33">
                  <c:v>18875</c:v>
                </c:pt>
                <c:pt idx="34">
                  <c:v>18875</c:v>
                </c:pt>
                <c:pt idx="35">
                  <c:v>18875</c:v>
                </c:pt>
                <c:pt idx="36">
                  <c:v>18875</c:v>
                </c:pt>
                <c:pt idx="37">
                  <c:v>18875</c:v>
                </c:pt>
                <c:pt idx="38">
                  <c:v>18875</c:v>
                </c:pt>
                <c:pt idx="39">
                  <c:v>18875</c:v>
                </c:pt>
                <c:pt idx="40">
                  <c:v>18875</c:v>
                </c:pt>
                <c:pt idx="41">
                  <c:v>18875</c:v>
                </c:pt>
                <c:pt idx="42">
                  <c:v>18875</c:v>
                </c:pt>
                <c:pt idx="43">
                  <c:v>18875</c:v>
                </c:pt>
                <c:pt idx="44">
                  <c:v>18875</c:v>
                </c:pt>
                <c:pt idx="45">
                  <c:v>18875</c:v>
                </c:pt>
                <c:pt idx="46">
                  <c:v>18875</c:v>
                </c:pt>
                <c:pt idx="47">
                  <c:v>18875</c:v>
                </c:pt>
                <c:pt idx="48">
                  <c:v>18875</c:v>
                </c:pt>
                <c:pt idx="49">
                  <c:v>18875</c:v>
                </c:pt>
                <c:pt idx="50">
                  <c:v>18875</c:v>
                </c:pt>
                <c:pt idx="51">
                  <c:v>18875</c:v>
                </c:pt>
                <c:pt idx="52">
                  <c:v>18875</c:v>
                </c:pt>
                <c:pt idx="53">
                  <c:v>18875</c:v>
                </c:pt>
                <c:pt idx="54">
                  <c:v>18875</c:v>
                </c:pt>
                <c:pt idx="55">
                  <c:v>18875</c:v>
                </c:pt>
                <c:pt idx="56">
                  <c:v>18875</c:v>
                </c:pt>
                <c:pt idx="57">
                  <c:v>18875</c:v>
                </c:pt>
                <c:pt idx="58">
                  <c:v>18875</c:v>
                </c:pt>
                <c:pt idx="59">
                  <c:v>18875</c:v>
                </c:pt>
                <c:pt idx="60">
                  <c:v>18875</c:v>
                </c:pt>
                <c:pt idx="61">
                  <c:v>18875</c:v>
                </c:pt>
                <c:pt idx="62">
                  <c:v>18875</c:v>
                </c:pt>
                <c:pt idx="63">
                  <c:v>18875</c:v>
                </c:pt>
                <c:pt idx="64">
                  <c:v>18875</c:v>
                </c:pt>
                <c:pt idx="65">
                  <c:v>18875</c:v>
                </c:pt>
                <c:pt idx="66">
                  <c:v>18875</c:v>
                </c:pt>
                <c:pt idx="67">
                  <c:v>18875</c:v>
                </c:pt>
                <c:pt idx="68">
                  <c:v>18875</c:v>
                </c:pt>
                <c:pt idx="69">
                  <c:v>18875</c:v>
                </c:pt>
                <c:pt idx="70">
                  <c:v>18875</c:v>
                </c:pt>
                <c:pt idx="71">
                  <c:v>18875</c:v>
                </c:pt>
                <c:pt idx="72">
                  <c:v>18875</c:v>
                </c:pt>
                <c:pt idx="73">
                  <c:v>18875</c:v>
                </c:pt>
                <c:pt idx="74">
                  <c:v>18875</c:v>
                </c:pt>
                <c:pt idx="75">
                  <c:v>18875</c:v>
                </c:pt>
                <c:pt idx="76">
                  <c:v>18875</c:v>
                </c:pt>
                <c:pt idx="77">
                  <c:v>18875</c:v>
                </c:pt>
                <c:pt idx="78">
                  <c:v>18875</c:v>
                </c:pt>
                <c:pt idx="79">
                  <c:v>18875</c:v>
                </c:pt>
                <c:pt idx="80">
                  <c:v>18875</c:v>
                </c:pt>
                <c:pt idx="81">
                  <c:v>18875</c:v>
                </c:pt>
                <c:pt idx="82">
                  <c:v>18875</c:v>
                </c:pt>
                <c:pt idx="83">
                  <c:v>18875</c:v>
                </c:pt>
                <c:pt idx="84">
                  <c:v>18875</c:v>
                </c:pt>
                <c:pt idx="85">
                  <c:v>18875</c:v>
                </c:pt>
                <c:pt idx="86">
                  <c:v>18875</c:v>
                </c:pt>
                <c:pt idx="87">
                  <c:v>18875</c:v>
                </c:pt>
                <c:pt idx="88">
                  <c:v>18875</c:v>
                </c:pt>
                <c:pt idx="89">
                  <c:v>18875</c:v>
                </c:pt>
                <c:pt idx="90">
                  <c:v>18875</c:v>
                </c:pt>
                <c:pt idx="91">
                  <c:v>18875</c:v>
                </c:pt>
                <c:pt idx="92">
                  <c:v>18875</c:v>
                </c:pt>
                <c:pt idx="93">
                  <c:v>18875</c:v>
                </c:pt>
                <c:pt idx="94">
                  <c:v>18875</c:v>
                </c:pt>
                <c:pt idx="95">
                  <c:v>18875</c:v>
                </c:pt>
                <c:pt idx="96">
                  <c:v>18875</c:v>
                </c:pt>
                <c:pt idx="97">
                  <c:v>18875</c:v>
                </c:pt>
                <c:pt idx="98">
                  <c:v>18875</c:v>
                </c:pt>
                <c:pt idx="99">
                  <c:v>18875</c:v>
                </c:pt>
                <c:pt idx="100">
                  <c:v>18875</c:v>
                </c:pt>
                <c:pt idx="101">
                  <c:v>18875</c:v>
                </c:pt>
                <c:pt idx="102">
                  <c:v>18875</c:v>
                </c:pt>
                <c:pt idx="103">
                  <c:v>18875</c:v>
                </c:pt>
                <c:pt idx="104">
                  <c:v>18875</c:v>
                </c:pt>
                <c:pt idx="105">
                  <c:v>18875</c:v>
                </c:pt>
                <c:pt idx="106">
                  <c:v>18875</c:v>
                </c:pt>
                <c:pt idx="107">
                  <c:v>18875</c:v>
                </c:pt>
                <c:pt idx="108">
                  <c:v>18875</c:v>
                </c:pt>
              </c:numCache>
            </c:numRef>
          </c:yVal>
          <c:smooth val="0"/>
          <c:extLst>
            <c:ext xmlns:c16="http://schemas.microsoft.com/office/drawing/2014/chart" uri="{C3380CC4-5D6E-409C-BE32-E72D297353CC}">
              <c16:uniqueId val="{00000003-B3C9-46F3-8AE5-C9B7B7E4B9BD}"/>
            </c:ext>
          </c:extLst>
        </c:ser>
        <c:dLbls>
          <c:showLegendKey val="0"/>
          <c:showVal val="0"/>
          <c:showCatName val="0"/>
          <c:showSerName val="0"/>
          <c:showPercent val="0"/>
          <c:showBubbleSize val="0"/>
        </c:dLbls>
        <c:axId val="1889982471"/>
        <c:axId val="274251783"/>
      </c:scatterChart>
      <c:valAx>
        <c:axId val="18899824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in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251783"/>
        <c:crosses val="autoZero"/>
        <c:crossBetween val="midCat"/>
      </c:valAx>
      <c:valAx>
        <c:axId val="2742517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Force, in lb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98247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 vs AoA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Calculated CL</c:v>
          </c:tx>
          <c:spPr>
            <a:ln w="19050" cap="rnd">
              <a:solidFill>
                <a:schemeClr val="accent1"/>
              </a:solidFill>
              <a:round/>
            </a:ln>
            <a:effectLst/>
          </c:spPr>
          <c:marker>
            <c:symbol val="none"/>
          </c:marker>
          <c:dPt>
            <c:idx val="0"/>
            <c:marker>
              <c:symbol val="none"/>
            </c:marker>
            <c:bubble3D val="0"/>
            <c:spPr>
              <a:ln w="19050" cap="rnd">
                <a:solidFill>
                  <a:schemeClr val="accent1"/>
                </a:solidFill>
                <a:round/>
              </a:ln>
              <a:effectLst/>
            </c:spPr>
            <c:extLst>
              <c:ext xmlns:c16="http://schemas.microsoft.com/office/drawing/2014/chart" uri="{C3380CC4-5D6E-409C-BE32-E72D297353CC}">
                <c16:uniqueId val="{00000001-DE2A-44A8-BF05-CF0BD19D71CB}"/>
              </c:ext>
            </c:extLst>
          </c:dPt>
          <c:xVal>
            <c:numRef>
              <c:f>Lift!$B$355:$B$385</c:f>
              <c:numCache>
                <c:formatCode>General</c:formatCode>
                <c:ptCount val="31"/>
                <c:pt idx="0">
                  <c:v>20.81</c:v>
                </c:pt>
                <c:pt idx="1">
                  <c:v>20</c:v>
                </c:pt>
                <c:pt idx="2">
                  <c:v>19</c:v>
                </c:pt>
                <c:pt idx="3">
                  <c:v>18</c:v>
                </c:pt>
                <c:pt idx="4">
                  <c:v>17</c:v>
                </c:pt>
                <c:pt idx="5">
                  <c:v>16</c:v>
                </c:pt>
                <c:pt idx="6">
                  <c:v>15</c:v>
                </c:pt>
                <c:pt idx="7">
                  <c:v>14</c:v>
                </c:pt>
                <c:pt idx="8">
                  <c:v>13</c:v>
                </c:pt>
                <c:pt idx="9">
                  <c:v>12</c:v>
                </c:pt>
                <c:pt idx="10">
                  <c:v>11</c:v>
                </c:pt>
                <c:pt idx="11">
                  <c:v>10</c:v>
                </c:pt>
                <c:pt idx="12">
                  <c:v>9</c:v>
                </c:pt>
                <c:pt idx="13">
                  <c:v>8</c:v>
                </c:pt>
                <c:pt idx="14">
                  <c:v>7</c:v>
                </c:pt>
                <c:pt idx="15">
                  <c:v>6</c:v>
                </c:pt>
                <c:pt idx="16">
                  <c:v>5</c:v>
                </c:pt>
                <c:pt idx="17">
                  <c:v>4</c:v>
                </c:pt>
                <c:pt idx="18">
                  <c:v>3</c:v>
                </c:pt>
                <c:pt idx="19">
                  <c:v>2</c:v>
                </c:pt>
                <c:pt idx="20">
                  <c:v>1</c:v>
                </c:pt>
                <c:pt idx="21">
                  <c:v>0</c:v>
                </c:pt>
                <c:pt idx="22">
                  <c:v>-1</c:v>
                </c:pt>
                <c:pt idx="23">
                  <c:v>-2</c:v>
                </c:pt>
                <c:pt idx="24">
                  <c:v>-3</c:v>
                </c:pt>
                <c:pt idx="25">
                  <c:v>-4</c:v>
                </c:pt>
                <c:pt idx="26">
                  <c:v>-5</c:v>
                </c:pt>
                <c:pt idx="27">
                  <c:v>-6</c:v>
                </c:pt>
                <c:pt idx="28">
                  <c:v>-7</c:v>
                </c:pt>
                <c:pt idx="29">
                  <c:v>-8</c:v>
                </c:pt>
                <c:pt idx="30">
                  <c:v>-9</c:v>
                </c:pt>
              </c:numCache>
            </c:numRef>
          </c:xVal>
          <c:yVal>
            <c:numRef>
              <c:f>Lift!$D$355:$D$385</c:f>
              <c:numCache>
                <c:formatCode>0.000</c:formatCode>
                <c:ptCount val="31"/>
                <c:pt idx="0">
                  <c:v>2.4278364459253119</c:v>
                </c:pt>
                <c:pt idx="1">
                  <c:v>2.3485721363243646</c:v>
                </c:pt>
                <c:pt idx="2">
                  <c:v>2.2507149639775159</c:v>
                </c:pt>
                <c:pt idx="3">
                  <c:v>2.1528577916306677</c:v>
                </c:pt>
                <c:pt idx="4">
                  <c:v>2.0550006192838191</c:v>
                </c:pt>
                <c:pt idx="5">
                  <c:v>1.9571434469369706</c:v>
                </c:pt>
                <c:pt idx="6">
                  <c:v>1.8592862745901222</c:v>
                </c:pt>
                <c:pt idx="7">
                  <c:v>1.7614291022432735</c:v>
                </c:pt>
                <c:pt idx="8">
                  <c:v>1.6635719298964251</c:v>
                </c:pt>
                <c:pt idx="9">
                  <c:v>1.5657147575495765</c:v>
                </c:pt>
                <c:pt idx="10">
                  <c:v>1.467857585202728</c:v>
                </c:pt>
                <c:pt idx="11">
                  <c:v>1.3700004128558794</c:v>
                </c:pt>
                <c:pt idx="12">
                  <c:v>1.2721432405090309</c:v>
                </c:pt>
                <c:pt idx="13">
                  <c:v>1.1742860681621823</c:v>
                </c:pt>
                <c:pt idx="14">
                  <c:v>1.0764288958153339</c:v>
                </c:pt>
                <c:pt idx="15">
                  <c:v>0.9785717234684852</c:v>
                </c:pt>
                <c:pt idx="16">
                  <c:v>0.88071455112163677</c:v>
                </c:pt>
                <c:pt idx="17">
                  <c:v>0.78285737877478823</c:v>
                </c:pt>
                <c:pt idx="18">
                  <c:v>0.68500020642793968</c:v>
                </c:pt>
                <c:pt idx="19">
                  <c:v>0.58714303408109114</c:v>
                </c:pt>
                <c:pt idx="20">
                  <c:v>0.48928586173424266</c:v>
                </c:pt>
                <c:pt idx="21">
                  <c:v>0.39142868938739411</c:v>
                </c:pt>
                <c:pt idx="22">
                  <c:v>0.29357151704054557</c:v>
                </c:pt>
                <c:pt idx="23">
                  <c:v>0.19571434469369706</c:v>
                </c:pt>
                <c:pt idx="24">
                  <c:v>9.7857172346848542E-2</c:v>
                </c:pt>
                <c:pt idx="25">
                  <c:v>0</c:v>
                </c:pt>
                <c:pt idx="26">
                  <c:v>-9.7857172346848542E-2</c:v>
                </c:pt>
                <c:pt idx="27">
                  <c:v>-0.19571434469369703</c:v>
                </c:pt>
                <c:pt idx="28">
                  <c:v>-0.29357151704054557</c:v>
                </c:pt>
                <c:pt idx="29">
                  <c:v>-0.39142868938739411</c:v>
                </c:pt>
                <c:pt idx="30">
                  <c:v>-0.48928586173424266</c:v>
                </c:pt>
              </c:numCache>
            </c:numRef>
          </c:yVal>
          <c:smooth val="1"/>
          <c:extLst>
            <c:ext xmlns:c16="http://schemas.microsoft.com/office/drawing/2014/chart" uri="{C3380CC4-5D6E-409C-BE32-E72D297353CC}">
              <c16:uniqueId val="{00000004-6A69-4B3A-9A02-E231A3159C4C}"/>
            </c:ext>
          </c:extLst>
        </c:ser>
        <c:ser>
          <c:idx val="1"/>
          <c:order val="1"/>
          <c:tx>
            <c:v>XFLR5</c:v>
          </c:tx>
          <c:spPr>
            <a:ln w="19050" cap="rnd">
              <a:noFill/>
              <a:round/>
            </a:ln>
            <a:effectLst/>
          </c:spPr>
          <c:marker>
            <c:symbol val="none"/>
          </c:marker>
          <c:xVal>
            <c:numRef>
              <c:f>Lift!$B$355:$B$385</c:f>
              <c:numCache>
                <c:formatCode>General</c:formatCode>
                <c:ptCount val="31"/>
                <c:pt idx="0">
                  <c:v>20.81</c:v>
                </c:pt>
                <c:pt idx="1">
                  <c:v>20</c:v>
                </c:pt>
                <c:pt idx="2">
                  <c:v>19</c:v>
                </c:pt>
                <c:pt idx="3">
                  <c:v>18</c:v>
                </c:pt>
                <c:pt idx="4">
                  <c:v>17</c:v>
                </c:pt>
                <c:pt idx="5">
                  <c:v>16</c:v>
                </c:pt>
                <c:pt idx="6">
                  <c:v>15</c:v>
                </c:pt>
                <c:pt idx="7">
                  <c:v>14</c:v>
                </c:pt>
                <c:pt idx="8">
                  <c:v>13</c:v>
                </c:pt>
                <c:pt idx="9">
                  <c:v>12</c:v>
                </c:pt>
                <c:pt idx="10">
                  <c:v>11</c:v>
                </c:pt>
                <c:pt idx="11">
                  <c:v>10</c:v>
                </c:pt>
                <c:pt idx="12">
                  <c:v>9</c:v>
                </c:pt>
                <c:pt idx="13">
                  <c:v>8</c:v>
                </c:pt>
                <c:pt idx="14">
                  <c:v>7</c:v>
                </c:pt>
                <c:pt idx="15">
                  <c:v>6</c:v>
                </c:pt>
                <c:pt idx="16">
                  <c:v>5</c:v>
                </c:pt>
                <c:pt idx="17">
                  <c:v>4</c:v>
                </c:pt>
                <c:pt idx="18">
                  <c:v>3</c:v>
                </c:pt>
                <c:pt idx="19">
                  <c:v>2</c:v>
                </c:pt>
                <c:pt idx="20">
                  <c:v>1</c:v>
                </c:pt>
                <c:pt idx="21">
                  <c:v>0</c:v>
                </c:pt>
                <c:pt idx="22">
                  <c:v>-1</c:v>
                </c:pt>
                <c:pt idx="23">
                  <c:v>-2</c:v>
                </c:pt>
                <c:pt idx="24">
                  <c:v>-3</c:v>
                </c:pt>
                <c:pt idx="25">
                  <c:v>-4</c:v>
                </c:pt>
                <c:pt idx="26">
                  <c:v>-5</c:v>
                </c:pt>
                <c:pt idx="27">
                  <c:v>-6</c:v>
                </c:pt>
                <c:pt idx="28">
                  <c:v>-7</c:v>
                </c:pt>
                <c:pt idx="29">
                  <c:v>-8</c:v>
                </c:pt>
                <c:pt idx="30">
                  <c:v>-9</c:v>
                </c:pt>
              </c:numCache>
            </c:numRef>
          </c:xVal>
          <c:yVal>
            <c:numRef>
              <c:f>Lift!$E$355:$E$385</c:f>
              <c:numCache>
                <c:formatCode>General</c:formatCode>
                <c:ptCount val="31"/>
                <c:pt idx="0">
                  <c:v>1.567544</c:v>
                </c:pt>
                <c:pt idx="1">
                  <c:v>1.5024759999999999</c:v>
                </c:pt>
                <c:pt idx="2">
                  <c:v>1.437408</c:v>
                </c:pt>
                <c:pt idx="3">
                  <c:v>1.3723399999999999</c:v>
                </c:pt>
                <c:pt idx="4">
                  <c:v>1.307272</c:v>
                </c:pt>
                <c:pt idx="5">
                  <c:v>1.2422040000000001</c:v>
                </c:pt>
                <c:pt idx="6">
                  <c:v>1.176296</c:v>
                </c:pt>
                <c:pt idx="7">
                  <c:v>1.109586</c:v>
                </c:pt>
                <c:pt idx="8">
                  <c:v>1.0421130000000001</c:v>
                </c:pt>
                <c:pt idx="9">
                  <c:v>0.97392080000000003</c:v>
                </c:pt>
                <c:pt idx="10">
                  <c:v>0.90505060000000004</c:v>
                </c:pt>
                <c:pt idx="11">
                  <c:v>0.83554669999999998</c:v>
                </c:pt>
                <c:pt idx="12">
                  <c:v>0.76545450000000004</c:v>
                </c:pt>
                <c:pt idx="13">
                  <c:v>0.69482010000000005</c:v>
                </c:pt>
                <c:pt idx="14">
                  <c:v>0.623691</c:v>
                </c:pt>
                <c:pt idx="15">
                  <c:v>0.55211540000000003</c:v>
                </c:pt>
                <c:pt idx="16">
                  <c:v>0.48014240000000002</c:v>
                </c:pt>
                <c:pt idx="17">
                  <c:v>0.40782170000000001</c:v>
                </c:pt>
                <c:pt idx="18">
                  <c:v>0.335204</c:v>
                </c:pt>
                <c:pt idx="19">
                  <c:v>0.26234020000000002</c:v>
                </c:pt>
                <c:pt idx="20">
                  <c:v>0.1892819</c:v>
                </c:pt>
                <c:pt idx="21">
                  <c:v>0.116081</c:v>
                </c:pt>
                <c:pt idx="22">
                  <c:v>4.27897E-2</c:v>
                </c:pt>
                <c:pt idx="23">
                  <c:v>-3.0539719999999999E-2</c:v>
                </c:pt>
                <c:pt idx="24">
                  <c:v>-0.1038548</c:v>
                </c:pt>
                <c:pt idx="25">
                  <c:v>-0.17710310000000001</c:v>
                </c:pt>
                <c:pt idx="26">
                  <c:v>-0.25023230000000002</c:v>
                </c:pt>
                <c:pt idx="27">
                  <c:v>-0.32319039999999999</c:v>
                </c:pt>
                <c:pt idx="28">
                  <c:v>-0.39592549999999999</c:v>
                </c:pt>
                <c:pt idx="29">
                  <c:v>-0.46838629999999998</c:v>
                </c:pt>
                <c:pt idx="30">
                  <c:v>-0.54052199999999995</c:v>
                </c:pt>
              </c:numCache>
            </c:numRef>
          </c:yVal>
          <c:smooth val="1"/>
          <c:extLst>
            <c:ext xmlns:c16="http://schemas.microsoft.com/office/drawing/2014/chart" uri="{C3380CC4-5D6E-409C-BE32-E72D297353CC}">
              <c16:uniqueId val="{00000005-6A69-4B3A-9A02-E231A3159C4C}"/>
            </c:ext>
          </c:extLst>
        </c:ser>
        <c:ser>
          <c:idx val="2"/>
          <c:order val="2"/>
          <c:tx>
            <c:v>CLmax</c:v>
          </c:tx>
          <c:spPr>
            <a:ln w="19050" cap="rnd">
              <a:solidFill>
                <a:srgbClr val="C00000"/>
              </a:solidFill>
              <a:prstDash val="dash"/>
              <a:round/>
            </a:ln>
            <a:effectLst/>
          </c:spPr>
          <c:marker>
            <c:symbol val="none"/>
          </c:marker>
          <c:xVal>
            <c:numRef>
              <c:f>Lift!$B$355:$B$381</c:f>
              <c:numCache>
                <c:formatCode>General</c:formatCode>
                <c:ptCount val="27"/>
                <c:pt idx="0">
                  <c:v>20.81</c:v>
                </c:pt>
                <c:pt idx="1">
                  <c:v>20</c:v>
                </c:pt>
                <c:pt idx="2">
                  <c:v>19</c:v>
                </c:pt>
                <c:pt idx="3">
                  <c:v>18</c:v>
                </c:pt>
                <c:pt idx="4">
                  <c:v>17</c:v>
                </c:pt>
                <c:pt idx="5">
                  <c:v>16</c:v>
                </c:pt>
                <c:pt idx="6">
                  <c:v>15</c:v>
                </c:pt>
                <c:pt idx="7">
                  <c:v>14</c:v>
                </c:pt>
                <c:pt idx="8">
                  <c:v>13</c:v>
                </c:pt>
                <c:pt idx="9">
                  <c:v>12</c:v>
                </c:pt>
                <c:pt idx="10">
                  <c:v>11</c:v>
                </c:pt>
                <c:pt idx="11">
                  <c:v>10</c:v>
                </c:pt>
                <c:pt idx="12">
                  <c:v>9</c:v>
                </c:pt>
                <c:pt idx="13">
                  <c:v>8</c:v>
                </c:pt>
                <c:pt idx="14">
                  <c:v>7</c:v>
                </c:pt>
                <c:pt idx="15">
                  <c:v>6</c:v>
                </c:pt>
                <c:pt idx="16">
                  <c:v>5</c:v>
                </c:pt>
                <c:pt idx="17">
                  <c:v>4</c:v>
                </c:pt>
                <c:pt idx="18">
                  <c:v>3</c:v>
                </c:pt>
                <c:pt idx="19">
                  <c:v>2</c:v>
                </c:pt>
                <c:pt idx="20">
                  <c:v>1</c:v>
                </c:pt>
                <c:pt idx="21">
                  <c:v>0</c:v>
                </c:pt>
                <c:pt idx="22">
                  <c:v>-1</c:v>
                </c:pt>
                <c:pt idx="23">
                  <c:v>-2</c:v>
                </c:pt>
                <c:pt idx="24">
                  <c:v>-3</c:v>
                </c:pt>
                <c:pt idx="25">
                  <c:v>-4</c:v>
                </c:pt>
                <c:pt idx="26">
                  <c:v>-5</c:v>
                </c:pt>
              </c:numCache>
            </c:numRef>
          </c:xVal>
          <c:yVal>
            <c:numRef>
              <c:f>Lift!$I$354:$I$382</c:f>
              <c:numCache>
                <c:formatCode>General</c:formatCode>
                <c:ptCount val="29"/>
                <c:pt idx="0">
                  <c:v>2.4278364459253119</c:v>
                </c:pt>
                <c:pt idx="1">
                  <c:v>2.4278364459253119</c:v>
                </c:pt>
                <c:pt idx="2">
                  <c:v>2.4278364459253119</c:v>
                </c:pt>
                <c:pt idx="3">
                  <c:v>2.4278364459253119</c:v>
                </c:pt>
                <c:pt idx="4">
                  <c:v>2.4278364459253119</c:v>
                </c:pt>
                <c:pt idx="5">
                  <c:v>2.4278364459253119</c:v>
                </c:pt>
                <c:pt idx="6">
                  <c:v>2.4278364459253119</c:v>
                </c:pt>
                <c:pt idx="7">
                  <c:v>2.4278364459253119</c:v>
                </c:pt>
                <c:pt idx="8">
                  <c:v>2.4278364459253119</c:v>
                </c:pt>
                <c:pt idx="9">
                  <c:v>2.4278364459253119</c:v>
                </c:pt>
                <c:pt idx="10">
                  <c:v>2.4278364459253119</c:v>
                </c:pt>
                <c:pt idx="11">
                  <c:v>2.4278364459253119</c:v>
                </c:pt>
                <c:pt idx="12">
                  <c:v>2.4278364459253119</c:v>
                </c:pt>
                <c:pt idx="13">
                  <c:v>2.4278364459253119</c:v>
                </c:pt>
                <c:pt idx="14">
                  <c:v>2.4278364459253119</c:v>
                </c:pt>
                <c:pt idx="15">
                  <c:v>2.4278364459253119</c:v>
                </c:pt>
                <c:pt idx="16">
                  <c:v>2.4278364459253119</c:v>
                </c:pt>
                <c:pt idx="17">
                  <c:v>2.4278364459253119</c:v>
                </c:pt>
                <c:pt idx="18">
                  <c:v>2.4278364459253119</c:v>
                </c:pt>
                <c:pt idx="19">
                  <c:v>2.4278364459253119</c:v>
                </c:pt>
                <c:pt idx="20">
                  <c:v>2.4278364459253119</c:v>
                </c:pt>
                <c:pt idx="21">
                  <c:v>2.4278364459253119</c:v>
                </c:pt>
                <c:pt idx="22">
                  <c:v>2.4278364459253119</c:v>
                </c:pt>
                <c:pt idx="23">
                  <c:v>2.4278364459253119</c:v>
                </c:pt>
                <c:pt idx="24">
                  <c:v>2.4278364459253119</c:v>
                </c:pt>
                <c:pt idx="25">
                  <c:v>2.4278364459253119</c:v>
                </c:pt>
                <c:pt idx="26">
                  <c:v>2.4278364459253119</c:v>
                </c:pt>
                <c:pt idx="27">
                  <c:v>2.4278364459253119</c:v>
                </c:pt>
                <c:pt idx="28">
                  <c:v>2.4278364459253119</c:v>
                </c:pt>
              </c:numCache>
            </c:numRef>
          </c:yVal>
          <c:smooth val="1"/>
          <c:extLst>
            <c:ext xmlns:c16="http://schemas.microsoft.com/office/drawing/2014/chart" uri="{C3380CC4-5D6E-409C-BE32-E72D297353CC}">
              <c16:uniqueId val="{00000006-6A69-4B3A-9A02-E231A3159C4C}"/>
            </c:ext>
          </c:extLst>
        </c:ser>
        <c:ser>
          <c:idx val="3"/>
          <c:order val="3"/>
          <c:tx>
            <c:v>Stall AoA</c:v>
          </c:tx>
          <c:spPr>
            <a:ln w="19050" cap="rnd">
              <a:solidFill>
                <a:srgbClr val="C00000"/>
              </a:solidFill>
              <a:prstDash val="dash"/>
              <a:round/>
            </a:ln>
            <a:effectLst/>
          </c:spPr>
          <c:marker>
            <c:symbol val="none"/>
          </c:marker>
          <c:xVal>
            <c:numRef>
              <c:f>Lift!$J$354:$J$385</c:f>
              <c:numCache>
                <c:formatCode>General</c:formatCode>
                <c:ptCount val="32"/>
                <c:pt idx="0">
                  <c:v>20.81</c:v>
                </c:pt>
                <c:pt idx="1">
                  <c:v>20.81</c:v>
                </c:pt>
                <c:pt idx="2">
                  <c:v>20.81</c:v>
                </c:pt>
                <c:pt idx="3">
                  <c:v>20.81</c:v>
                </c:pt>
                <c:pt idx="4">
                  <c:v>20.81</c:v>
                </c:pt>
                <c:pt idx="5">
                  <c:v>20.81</c:v>
                </c:pt>
                <c:pt idx="6">
                  <c:v>20.81</c:v>
                </c:pt>
                <c:pt idx="7">
                  <c:v>20.81</c:v>
                </c:pt>
                <c:pt idx="8">
                  <c:v>20.81</c:v>
                </c:pt>
                <c:pt idx="9">
                  <c:v>20.81</c:v>
                </c:pt>
                <c:pt idx="10">
                  <c:v>20.81</c:v>
                </c:pt>
                <c:pt idx="11">
                  <c:v>20.81</c:v>
                </c:pt>
                <c:pt idx="12">
                  <c:v>20.81</c:v>
                </c:pt>
                <c:pt idx="13">
                  <c:v>20.81</c:v>
                </c:pt>
                <c:pt idx="14">
                  <c:v>20.81</c:v>
                </c:pt>
                <c:pt idx="15">
                  <c:v>20.81</c:v>
                </c:pt>
                <c:pt idx="16">
                  <c:v>20.81</c:v>
                </c:pt>
                <c:pt idx="17">
                  <c:v>20.81</c:v>
                </c:pt>
                <c:pt idx="18">
                  <c:v>20.81</c:v>
                </c:pt>
                <c:pt idx="19">
                  <c:v>20.81</c:v>
                </c:pt>
                <c:pt idx="20">
                  <c:v>20.81</c:v>
                </c:pt>
                <c:pt idx="21">
                  <c:v>20.81</c:v>
                </c:pt>
                <c:pt idx="22">
                  <c:v>20.81</c:v>
                </c:pt>
                <c:pt idx="23">
                  <c:v>20.81</c:v>
                </c:pt>
                <c:pt idx="24">
                  <c:v>20.81</c:v>
                </c:pt>
                <c:pt idx="25">
                  <c:v>20.81</c:v>
                </c:pt>
                <c:pt idx="26">
                  <c:v>20.81</c:v>
                </c:pt>
                <c:pt idx="27">
                  <c:v>20.81</c:v>
                </c:pt>
                <c:pt idx="28">
                  <c:v>20.81</c:v>
                </c:pt>
                <c:pt idx="29">
                  <c:v>20.81</c:v>
                </c:pt>
                <c:pt idx="30">
                  <c:v>20.81</c:v>
                </c:pt>
                <c:pt idx="31">
                  <c:v>20.81</c:v>
                </c:pt>
              </c:numCache>
            </c:numRef>
          </c:xVal>
          <c:yVal>
            <c:numRef>
              <c:f>Lift!$K$354:$K$385</c:f>
              <c:numCache>
                <c:formatCode>General</c:formatCode>
                <c:ptCount val="32"/>
                <c:pt idx="0">
                  <c:v>-0.5</c:v>
                </c:pt>
                <c:pt idx="1">
                  <c:v>-0.5</c:v>
                </c:pt>
                <c:pt idx="2">
                  <c:v>-0.5</c:v>
                </c:pt>
                <c:pt idx="3">
                  <c:v>-0.5</c:v>
                </c:pt>
                <c:pt idx="4">
                  <c:v>-0.5</c:v>
                </c:pt>
                <c:pt idx="5">
                  <c:v>-0.5</c:v>
                </c:pt>
                <c:pt idx="6">
                  <c:v>-0.24</c:v>
                </c:pt>
                <c:pt idx="7">
                  <c:v>-0.22</c:v>
                </c:pt>
                <c:pt idx="8">
                  <c:v>-0.2</c:v>
                </c:pt>
                <c:pt idx="9">
                  <c:v>-0.18</c:v>
                </c:pt>
                <c:pt idx="10">
                  <c:v>-0.16</c:v>
                </c:pt>
                <c:pt idx="11">
                  <c:v>-0.14000000000000001</c:v>
                </c:pt>
                <c:pt idx="12">
                  <c:v>-0.12</c:v>
                </c:pt>
                <c:pt idx="13">
                  <c:v>-0.1</c:v>
                </c:pt>
                <c:pt idx="14">
                  <c:v>-0.08</c:v>
                </c:pt>
                <c:pt idx="15">
                  <c:v>-0.06</c:v>
                </c:pt>
                <c:pt idx="16">
                  <c:v>-0.04</c:v>
                </c:pt>
                <c:pt idx="17">
                  <c:v>-0.02</c:v>
                </c:pt>
                <c:pt idx="18">
                  <c:v>0</c:v>
                </c:pt>
                <c:pt idx="19">
                  <c:v>0.95</c:v>
                </c:pt>
                <c:pt idx="20">
                  <c:v>1</c:v>
                </c:pt>
                <c:pt idx="21">
                  <c:v>1.05</c:v>
                </c:pt>
                <c:pt idx="22">
                  <c:v>1.1000000000000001</c:v>
                </c:pt>
                <c:pt idx="23">
                  <c:v>1.1499999999999999</c:v>
                </c:pt>
                <c:pt idx="24">
                  <c:v>1.2</c:v>
                </c:pt>
                <c:pt idx="25">
                  <c:v>1.25</c:v>
                </c:pt>
                <c:pt idx="26">
                  <c:v>1.3</c:v>
                </c:pt>
                <c:pt idx="27">
                  <c:v>1.35</c:v>
                </c:pt>
                <c:pt idx="28">
                  <c:v>1.4</c:v>
                </c:pt>
                <c:pt idx="29">
                  <c:v>1.45</c:v>
                </c:pt>
                <c:pt idx="30">
                  <c:v>1.5</c:v>
                </c:pt>
                <c:pt idx="31">
                  <c:v>2.4278364459253119</c:v>
                </c:pt>
              </c:numCache>
            </c:numRef>
          </c:yVal>
          <c:smooth val="1"/>
          <c:extLst>
            <c:ext xmlns:c16="http://schemas.microsoft.com/office/drawing/2014/chart" uri="{C3380CC4-5D6E-409C-BE32-E72D297353CC}">
              <c16:uniqueId val="{00000007-6A69-4B3A-9A02-E231A3159C4C}"/>
            </c:ext>
          </c:extLst>
        </c:ser>
        <c:ser>
          <c:idx val="4"/>
          <c:order val="4"/>
          <c:tx>
            <c:v>CL0</c:v>
          </c:tx>
          <c:spPr>
            <a:ln w="19050" cap="rnd">
              <a:solidFill>
                <a:srgbClr val="C00000"/>
              </a:solidFill>
              <a:prstDash val="dash"/>
              <a:round/>
            </a:ln>
            <a:effectLst/>
          </c:spPr>
          <c:marker>
            <c:symbol val="none"/>
          </c:marker>
          <c:xVal>
            <c:numRef>
              <c:f>Lift!$B$376:$B$381</c:f>
              <c:numCache>
                <c:formatCode>General</c:formatCode>
                <c:ptCount val="6"/>
                <c:pt idx="0">
                  <c:v>0</c:v>
                </c:pt>
                <c:pt idx="1">
                  <c:v>-1</c:v>
                </c:pt>
                <c:pt idx="2">
                  <c:v>-2</c:v>
                </c:pt>
                <c:pt idx="3">
                  <c:v>-3</c:v>
                </c:pt>
                <c:pt idx="4">
                  <c:v>-4</c:v>
                </c:pt>
                <c:pt idx="5">
                  <c:v>-5</c:v>
                </c:pt>
              </c:numCache>
            </c:numRef>
          </c:xVal>
          <c:yVal>
            <c:numRef>
              <c:f>Lift!$H$354:$H$359</c:f>
              <c:numCache>
                <c:formatCode>0.000</c:formatCode>
                <c:ptCount val="6"/>
                <c:pt idx="0">
                  <c:v>0.38974047295225855</c:v>
                </c:pt>
                <c:pt idx="1">
                  <c:v>0.38974047295225855</c:v>
                </c:pt>
                <c:pt idx="2">
                  <c:v>0.38974047295225855</c:v>
                </c:pt>
                <c:pt idx="3">
                  <c:v>0.38974047295225855</c:v>
                </c:pt>
                <c:pt idx="4">
                  <c:v>0.38974047295225855</c:v>
                </c:pt>
                <c:pt idx="5">
                  <c:v>0.38974047295225855</c:v>
                </c:pt>
              </c:numCache>
            </c:numRef>
          </c:yVal>
          <c:smooth val="1"/>
          <c:extLst>
            <c:ext xmlns:c16="http://schemas.microsoft.com/office/drawing/2014/chart" uri="{C3380CC4-5D6E-409C-BE32-E72D297353CC}">
              <c16:uniqueId val="{0000000B-6A69-4B3A-9A02-E231A3159C4C}"/>
            </c:ext>
          </c:extLst>
        </c:ser>
        <c:ser>
          <c:idx val="5"/>
          <c:order val="5"/>
          <c:tx>
            <c:v>Zero Lift AoA</c:v>
          </c:tx>
          <c:spPr>
            <a:ln w="19050" cap="rnd">
              <a:solidFill>
                <a:srgbClr val="C00000"/>
              </a:solidFill>
              <a:prstDash val="dash"/>
              <a:round/>
            </a:ln>
            <a:effectLst/>
          </c:spPr>
          <c:marker>
            <c:symbol val="none"/>
          </c:marker>
          <c:xVal>
            <c:numRef>
              <c:f>Lift!$L$354:$L$375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xVal>
          <c:yVal>
            <c:numRef>
              <c:f>Lift!$M$354:$M$375</c:f>
              <c:numCache>
                <c:formatCode>General</c:formatCode>
                <c:ptCount val="22"/>
                <c:pt idx="0">
                  <c:v>-0.5</c:v>
                </c:pt>
                <c:pt idx="1">
                  <c:v>-0.5</c:v>
                </c:pt>
                <c:pt idx="2">
                  <c:v>-0.5</c:v>
                </c:pt>
                <c:pt idx="3">
                  <c:v>-0.5</c:v>
                </c:pt>
                <c:pt idx="4">
                  <c:v>-0.5</c:v>
                </c:pt>
                <c:pt idx="5">
                  <c:v>-0.5</c:v>
                </c:pt>
                <c:pt idx="6">
                  <c:v>-0.24</c:v>
                </c:pt>
                <c:pt idx="7">
                  <c:v>-0.22</c:v>
                </c:pt>
                <c:pt idx="8">
                  <c:v>-0.2</c:v>
                </c:pt>
                <c:pt idx="9">
                  <c:v>-0.18</c:v>
                </c:pt>
                <c:pt idx="10">
                  <c:v>-0.16</c:v>
                </c:pt>
                <c:pt idx="11">
                  <c:v>-0.14000000000000001</c:v>
                </c:pt>
                <c:pt idx="12">
                  <c:v>-0.12</c:v>
                </c:pt>
                <c:pt idx="13">
                  <c:v>-0.1</c:v>
                </c:pt>
                <c:pt idx="14">
                  <c:v>-0.08</c:v>
                </c:pt>
                <c:pt idx="15">
                  <c:v>-0.06</c:v>
                </c:pt>
                <c:pt idx="16">
                  <c:v>-0.04</c:v>
                </c:pt>
                <c:pt idx="17">
                  <c:v>-0.02</c:v>
                </c:pt>
                <c:pt idx="18">
                  <c:v>0</c:v>
                </c:pt>
                <c:pt idx="19">
                  <c:v>0.1</c:v>
                </c:pt>
                <c:pt idx="20">
                  <c:v>0.2</c:v>
                </c:pt>
                <c:pt idx="21">
                  <c:v>0.39</c:v>
                </c:pt>
              </c:numCache>
            </c:numRef>
          </c:yVal>
          <c:smooth val="1"/>
          <c:extLst>
            <c:ext xmlns:c16="http://schemas.microsoft.com/office/drawing/2014/chart" uri="{C3380CC4-5D6E-409C-BE32-E72D297353CC}">
              <c16:uniqueId val="{0000000C-6A69-4B3A-9A02-E231A3159C4C}"/>
            </c:ext>
          </c:extLst>
        </c:ser>
        <c:dLbls>
          <c:showLegendKey val="0"/>
          <c:showVal val="0"/>
          <c:showCatName val="0"/>
          <c:showSerName val="0"/>
          <c:showPercent val="0"/>
          <c:showBubbleSize val="0"/>
        </c:dLbls>
        <c:axId val="1235070879"/>
        <c:axId val="1235071359"/>
      </c:scatterChart>
      <c:valAx>
        <c:axId val="1235070879"/>
        <c:scaling>
          <c:orientation val="minMax"/>
          <c:max val="22"/>
          <c:min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Angle of Attack, degrees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071359"/>
        <c:crosses val="autoZero"/>
        <c:crossBetween val="midCat"/>
      </c:valAx>
      <c:valAx>
        <c:axId val="12350713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 of Lift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07087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r>
              <a:rPr lang="en-US"/>
              <a:t>Cruise Drag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endParaRPr lang="en-US"/>
        </a:p>
      </c:txPr>
    </c:title>
    <c:autoTitleDeleted val="0"/>
    <c:plotArea>
      <c:layout/>
      <c:scatterChart>
        <c:scatterStyle val="lineMarker"/>
        <c:varyColors val="0"/>
        <c:ser>
          <c:idx val="0"/>
          <c:order val="0"/>
          <c:spPr>
            <a:ln w="19050" cap="rnd">
              <a:solidFill>
                <a:srgbClr val="92D050"/>
              </a:solidFill>
              <a:prstDash val="solid"/>
              <a:round/>
            </a:ln>
            <a:effectLst/>
          </c:spPr>
          <c:marker>
            <c:symbol val="none"/>
          </c:marker>
          <c:xVal>
            <c:numRef>
              <c:f>'Drag (new)'!$P$7:$P$12</c:f>
              <c:numCache>
                <c:formatCode>General</c:formatCode>
                <c:ptCount val="6"/>
                <c:pt idx="0">
                  <c:v>200</c:v>
                </c:pt>
                <c:pt idx="1">
                  <c:v>300</c:v>
                </c:pt>
                <c:pt idx="2">
                  <c:v>400</c:v>
                </c:pt>
                <c:pt idx="3">
                  <c:v>500</c:v>
                </c:pt>
                <c:pt idx="4">
                  <c:v>600</c:v>
                </c:pt>
                <c:pt idx="5">
                  <c:v>700</c:v>
                </c:pt>
              </c:numCache>
            </c:numRef>
          </c:xVal>
          <c:yVal>
            <c:numRef>
              <c:f>'Drag (new)'!$Q$7:$Q$12</c:f>
              <c:numCache>
                <c:formatCode>_(* #,##0_);_(* \(#,##0\);_(* "-"??_);_(@_)</c:formatCode>
                <c:ptCount val="6"/>
                <c:pt idx="0">
                  <c:v>306.84405413646016</c:v>
                </c:pt>
                <c:pt idx="1">
                  <c:v>690.39912180703527</c:v>
                </c:pt>
                <c:pt idx="2">
                  <c:v>1227.3762165458406</c:v>
                </c:pt>
                <c:pt idx="3">
                  <c:v>1917.7753383528759</c:v>
                </c:pt>
                <c:pt idx="4">
                  <c:v>2761.5964872281411</c:v>
                </c:pt>
                <c:pt idx="5">
                  <c:v>3758.8396631716369</c:v>
                </c:pt>
              </c:numCache>
            </c:numRef>
          </c:yVal>
          <c:smooth val="0"/>
          <c:extLst>
            <c:ext xmlns:c16="http://schemas.microsoft.com/office/drawing/2014/chart" uri="{C3380CC4-5D6E-409C-BE32-E72D297353CC}">
              <c16:uniqueId val="{00000000-A791-43EC-B591-FD945F82B153}"/>
            </c:ext>
          </c:extLst>
        </c:ser>
        <c:ser>
          <c:idx val="1"/>
          <c:order val="1"/>
          <c:spPr>
            <a:ln w="19050" cap="rnd">
              <a:solidFill>
                <a:srgbClr val="186C24"/>
              </a:solidFill>
              <a:prstDash val="solid"/>
              <a:round/>
            </a:ln>
            <a:effectLst/>
          </c:spPr>
          <c:marker>
            <c:symbol val="none"/>
          </c:marker>
          <c:xVal>
            <c:numRef>
              <c:f>'Drag (new)'!$P$7:$P$12</c:f>
              <c:numCache>
                <c:formatCode>General</c:formatCode>
                <c:ptCount val="6"/>
                <c:pt idx="0">
                  <c:v>200</c:v>
                </c:pt>
                <c:pt idx="1">
                  <c:v>300</c:v>
                </c:pt>
                <c:pt idx="2">
                  <c:v>400</c:v>
                </c:pt>
                <c:pt idx="3">
                  <c:v>500</c:v>
                </c:pt>
                <c:pt idx="4">
                  <c:v>600</c:v>
                </c:pt>
                <c:pt idx="5">
                  <c:v>700</c:v>
                </c:pt>
              </c:numCache>
            </c:numRef>
          </c:xVal>
          <c:yVal>
            <c:numRef>
              <c:f>'Drag (new)'!$R$7:$R$12</c:f>
              <c:numCache>
                <c:formatCode>_(* #,##0_);_(* \(#,##0\);_(* "-"??_);_(@_)</c:formatCode>
                <c:ptCount val="6"/>
                <c:pt idx="0">
                  <c:v>261.45503596526436</c:v>
                </c:pt>
                <c:pt idx="1">
                  <c:v>588.27383092184482</c:v>
                </c:pt>
                <c:pt idx="2">
                  <c:v>1045.8201438610574</c:v>
                </c:pt>
                <c:pt idx="3">
                  <c:v>1634.0939747829023</c:v>
                </c:pt>
                <c:pt idx="4">
                  <c:v>2353.0953236873793</c:v>
                </c:pt>
                <c:pt idx="5">
                  <c:v>3202.8241905744885</c:v>
                </c:pt>
              </c:numCache>
            </c:numRef>
          </c:yVal>
          <c:smooth val="0"/>
          <c:extLst>
            <c:ext xmlns:c16="http://schemas.microsoft.com/office/drawing/2014/chart" uri="{C3380CC4-5D6E-409C-BE32-E72D297353CC}">
              <c16:uniqueId val="{00000001-A791-43EC-B591-FD945F82B153}"/>
            </c:ext>
          </c:extLst>
        </c:ser>
        <c:ser>
          <c:idx val="2"/>
          <c:order val="2"/>
          <c:spPr>
            <a:ln w="19050" cap="rnd">
              <a:solidFill>
                <a:srgbClr val="00B0F0"/>
              </a:solidFill>
              <a:prstDash val="solid"/>
              <a:round/>
            </a:ln>
            <a:effectLst/>
          </c:spPr>
          <c:marker>
            <c:symbol val="none"/>
          </c:marker>
          <c:xVal>
            <c:numRef>
              <c:f>'Drag (new)'!$P$7:$P$12</c:f>
              <c:numCache>
                <c:formatCode>General</c:formatCode>
                <c:ptCount val="6"/>
                <c:pt idx="0">
                  <c:v>200</c:v>
                </c:pt>
                <c:pt idx="1">
                  <c:v>300</c:v>
                </c:pt>
                <c:pt idx="2">
                  <c:v>400</c:v>
                </c:pt>
                <c:pt idx="3">
                  <c:v>500</c:v>
                </c:pt>
                <c:pt idx="4">
                  <c:v>600</c:v>
                </c:pt>
                <c:pt idx="5">
                  <c:v>700</c:v>
                </c:pt>
              </c:numCache>
            </c:numRef>
          </c:xVal>
          <c:yVal>
            <c:numRef>
              <c:f>'Drag (new)'!$S$7:$S$12</c:f>
              <c:numCache>
                <c:formatCode>_(* #,##0_);_(* \(#,##0\);_(* "-"??_);_(@_)</c:formatCode>
                <c:ptCount val="6"/>
                <c:pt idx="0">
                  <c:v>221.39051718381106</c:v>
                </c:pt>
                <c:pt idx="1">
                  <c:v>498.12866366357486</c:v>
                </c:pt>
                <c:pt idx="2">
                  <c:v>885.56206873524422</c:v>
                </c:pt>
                <c:pt idx="3">
                  <c:v>1383.6907323988191</c:v>
                </c:pt>
                <c:pt idx="4">
                  <c:v>1992.5146546542994</c:v>
                </c:pt>
                <c:pt idx="5">
                  <c:v>2712.0338355016852</c:v>
                </c:pt>
              </c:numCache>
            </c:numRef>
          </c:yVal>
          <c:smooth val="0"/>
          <c:extLst>
            <c:ext xmlns:c16="http://schemas.microsoft.com/office/drawing/2014/chart" uri="{C3380CC4-5D6E-409C-BE32-E72D297353CC}">
              <c16:uniqueId val="{00000002-A791-43EC-B591-FD945F82B153}"/>
            </c:ext>
          </c:extLst>
        </c:ser>
        <c:ser>
          <c:idx val="3"/>
          <c:order val="3"/>
          <c:spPr>
            <a:ln w="19050" cap="rnd">
              <a:solidFill>
                <a:srgbClr val="7030A0"/>
              </a:solidFill>
              <a:prstDash val="solid"/>
              <a:round/>
            </a:ln>
            <a:effectLst/>
          </c:spPr>
          <c:marker>
            <c:symbol val="none"/>
          </c:marker>
          <c:xVal>
            <c:numRef>
              <c:f>'Drag (new)'!$P$7:$P$12</c:f>
              <c:numCache>
                <c:formatCode>General</c:formatCode>
                <c:ptCount val="6"/>
                <c:pt idx="0">
                  <c:v>200</c:v>
                </c:pt>
                <c:pt idx="1">
                  <c:v>300</c:v>
                </c:pt>
                <c:pt idx="2">
                  <c:v>400</c:v>
                </c:pt>
                <c:pt idx="3">
                  <c:v>500</c:v>
                </c:pt>
                <c:pt idx="4">
                  <c:v>600</c:v>
                </c:pt>
                <c:pt idx="5">
                  <c:v>700</c:v>
                </c:pt>
              </c:numCache>
            </c:numRef>
          </c:xVal>
          <c:yVal>
            <c:numRef>
              <c:f>'Drag (new)'!$T$7:$T$12</c:f>
              <c:numCache>
                <c:formatCode>_(* #,##0_);_(* \(#,##0\);_(* "-"??_);_(@_)</c:formatCode>
                <c:ptCount val="6"/>
                <c:pt idx="0">
                  <c:v>155.45999590921252</c:v>
                </c:pt>
                <c:pt idx="1">
                  <c:v>349.78499079572816</c:v>
                </c:pt>
                <c:pt idx="2">
                  <c:v>621.83998363685009</c:v>
                </c:pt>
                <c:pt idx="3">
                  <c:v>971.62497443257848</c:v>
                </c:pt>
                <c:pt idx="4">
                  <c:v>1399.1399631829127</c:v>
                </c:pt>
                <c:pt idx="5">
                  <c:v>1904.3849498878537</c:v>
                </c:pt>
              </c:numCache>
            </c:numRef>
          </c:yVal>
          <c:smooth val="0"/>
          <c:extLst>
            <c:ext xmlns:c16="http://schemas.microsoft.com/office/drawing/2014/chart" uri="{C3380CC4-5D6E-409C-BE32-E72D297353CC}">
              <c16:uniqueId val="{00000003-A791-43EC-B591-FD945F82B153}"/>
            </c:ext>
          </c:extLst>
        </c:ser>
        <c:dLbls>
          <c:showLegendKey val="0"/>
          <c:showVal val="0"/>
          <c:showCatName val="0"/>
          <c:showSerName val="0"/>
          <c:showPercent val="0"/>
          <c:showBubbleSize val="0"/>
        </c:dLbls>
        <c:axId val="487476744"/>
        <c:axId val="1139900936"/>
      </c:scatterChart>
      <c:valAx>
        <c:axId val="487476744"/>
        <c:scaling>
          <c:orientation val="minMax"/>
          <c:max val="1000"/>
          <c:min val="2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r>
                  <a:rPr lang="en-US"/>
                  <a:t>Cruise Velocity (ft/s)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crossAx val="1139900936"/>
        <c:crosses val="autoZero"/>
        <c:crossBetween val="midCat"/>
      </c:valAx>
      <c:valAx>
        <c:axId val="1139900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r>
                  <a:rPr lang="en-US"/>
                  <a:t>Total Drag Force (lb)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crossAx val="4874767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'Drag (new)'!$Y$20</c:f>
              <c:numCache>
                <c:formatCode>General</c:formatCode>
                <c:ptCount val="1"/>
              </c:numCache>
            </c:numRef>
          </c:yVal>
          <c:smooth val="0"/>
          <c:extLst>
            <c:ext xmlns:c16="http://schemas.microsoft.com/office/drawing/2014/chart" uri="{C3380CC4-5D6E-409C-BE32-E72D297353CC}">
              <c16:uniqueId val="{00000000-9281-48B2-AFF3-78CFE17E7199}"/>
            </c:ext>
          </c:extLst>
        </c:ser>
        <c:dLbls>
          <c:showLegendKey val="0"/>
          <c:showVal val="0"/>
          <c:showCatName val="0"/>
          <c:showSerName val="0"/>
          <c:showPercent val="0"/>
          <c:showBubbleSize val="0"/>
        </c:dLbls>
        <c:axId val="1037082120"/>
        <c:axId val="319781383"/>
      </c:scatterChart>
      <c:valAx>
        <c:axId val="103708212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781383"/>
        <c:crosses val="autoZero"/>
        <c:crossBetween val="midCat"/>
      </c:valAx>
      <c:valAx>
        <c:axId val="319781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08212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r>
              <a:rPr lang="en-US"/>
              <a:t>Cruise Drag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endParaRPr lang="en-US"/>
        </a:p>
      </c:txPr>
    </c:title>
    <c:autoTitleDeleted val="0"/>
    <c:plotArea>
      <c:layout>
        <c:manualLayout>
          <c:layoutTarget val="inner"/>
          <c:xMode val="edge"/>
          <c:yMode val="edge"/>
          <c:x val="0.13039370078740156"/>
          <c:y val="0.14454454454454455"/>
          <c:w val="0.82417756553854959"/>
          <c:h val="0.69458655505899602"/>
        </c:manualLayout>
      </c:layout>
      <c:scatterChart>
        <c:scatterStyle val="lineMarker"/>
        <c:varyColors val="0"/>
        <c:ser>
          <c:idx val="0"/>
          <c:order val="0"/>
          <c:tx>
            <c:strRef>
              <c:f>'Drag (new)'!$Q$45</c:f>
              <c:strCache>
                <c:ptCount val="1"/>
                <c:pt idx="0">
                  <c:v>10,000 ft</c:v>
                </c:pt>
              </c:strCache>
            </c:strRef>
          </c:tx>
          <c:spPr>
            <a:ln w="19050" cap="rnd">
              <a:solidFill>
                <a:srgbClr val="92D050"/>
              </a:solidFill>
              <a:prstDash val="solid"/>
              <a:round/>
            </a:ln>
            <a:effectLst/>
          </c:spPr>
          <c:marker>
            <c:symbol val="none"/>
          </c:marker>
          <c:xVal>
            <c:numRef>
              <c:f>'Drag (new)'!$P$5:$P$15</c:f>
              <c:numCache>
                <c:formatCode>General</c:formatCode>
                <c:ptCount val="11"/>
                <c:pt idx="0">
                  <c:v>0</c:v>
                </c:pt>
                <c:pt idx="1">
                  <c:v>100</c:v>
                </c:pt>
                <c:pt idx="2">
                  <c:v>200</c:v>
                </c:pt>
                <c:pt idx="3">
                  <c:v>300</c:v>
                </c:pt>
                <c:pt idx="4">
                  <c:v>400</c:v>
                </c:pt>
                <c:pt idx="5">
                  <c:v>500</c:v>
                </c:pt>
                <c:pt idx="6">
                  <c:v>600</c:v>
                </c:pt>
                <c:pt idx="7">
                  <c:v>700</c:v>
                </c:pt>
                <c:pt idx="8">
                  <c:v>800</c:v>
                </c:pt>
                <c:pt idx="9">
                  <c:v>900</c:v>
                </c:pt>
                <c:pt idx="10">
                  <c:v>1000</c:v>
                </c:pt>
              </c:numCache>
            </c:numRef>
          </c:xVal>
          <c:yVal>
            <c:numRef>
              <c:f>'Drag (new)'!$Q$5:$Q$15</c:f>
              <c:numCache>
                <c:formatCode>_(* #,##0_);_(* \(#,##0\);_(* "-"??_);_(@_)</c:formatCode>
                <c:ptCount val="11"/>
                <c:pt idx="0">
                  <c:v>0</c:v>
                </c:pt>
                <c:pt idx="1">
                  <c:v>76.71101353411504</c:v>
                </c:pt>
                <c:pt idx="2">
                  <c:v>306.84405413646016</c:v>
                </c:pt>
                <c:pt idx="3">
                  <c:v>690.39912180703527</c:v>
                </c:pt>
                <c:pt idx="4">
                  <c:v>1227.3762165458406</c:v>
                </c:pt>
                <c:pt idx="5">
                  <c:v>1917.7753383528759</c:v>
                </c:pt>
                <c:pt idx="6">
                  <c:v>2761.5964872281411</c:v>
                </c:pt>
                <c:pt idx="7">
                  <c:v>3758.8396631716369</c:v>
                </c:pt>
                <c:pt idx="8">
                  <c:v>4909.5048661833625</c:v>
                </c:pt>
                <c:pt idx="9">
                  <c:v>6213.592096263319</c:v>
                </c:pt>
                <c:pt idx="10">
                  <c:v>7671.1013534115036</c:v>
                </c:pt>
              </c:numCache>
            </c:numRef>
          </c:yVal>
          <c:smooth val="0"/>
          <c:extLst>
            <c:ext xmlns:c16="http://schemas.microsoft.com/office/drawing/2014/chart" uri="{C3380CC4-5D6E-409C-BE32-E72D297353CC}">
              <c16:uniqueId val="{00000000-E56D-49BA-8552-D4AF45CCF32F}"/>
            </c:ext>
          </c:extLst>
        </c:ser>
        <c:ser>
          <c:idx val="1"/>
          <c:order val="1"/>
          <c:tx>
            <c:strRef>
              <c:f>'Drag (new)'!$R$45</c:f>
              <c:strCache>
                <c:ptCount val="1"/>
                <c:pt idx="0">
                  <c:v>15,000 ft</c:v>
                </c:pt>
              </c:strCache>
            </c:strRef>
          </c:tx>
          <c:spPr>
            <a:ln w="19050" cap="rnd">
              <a:solidFill>
                <a:srgbClr val="186C24"/>
              </a:solidFill>
              <a:prstDash val="solid"/>
              <a:round/>
            </a:ln>
            <a:effectLst/>
          </c:spPr>
          <c:marker>
            <c:symbol val="none"/>
          </c:marker>
          <c:xVal>
            <c:numRef>
              <c:f>'Drag (new)'!$P$5:$P$15</c:f>
              <c:numCache>
                <c:formatCode>General</c:formatCode>
                <c:ptCount val="11"/>
                <c:pt idx="0">
                  <c:v>0</c:v>
                </c:pt>
                <c:pt idx="1">
                  <c:v>100</c:v>
                </c:pt>
                <c:pt idx="2">
                  <c:v>200</c:v>
                </c:pt>
                <c:pt idx="3">
                  <c:v>300</c:v>
                </c:pt>
                <c:pt idx="4">
                  <c:v>400</c:v>
                </c:pt>
                <c:pt idx="5">
                  <c:v>500</c:v>
                </c:pt>
                <c:pt idx="6">
                  <c:v>600</c:v>
                </c:pt>
                <c:pt idx="7">
                  <c:v>700</c:v>
                </c:pt>
                <c:pt idx="8">
                  <c:v>800</c:v>
                </c:pt>
                <c:pt idx="9">
                  <c:v>900</c:v>
                </c:pt>
                <c:pt idx="10">
                  <c:v>1000</c:v>
                </c:pt>
              </c:numCache>
            </c:numRef>
          </c:xVal>
          <c:yVal>
            <c:numRef>
              <c:f>'Drag (new)'!$R$5:$R$15</c:f>
              <c:numCache>
                <c:formatCode>_(* #,##0_);_(* \(#,##0\);_(* "-"??_);_(@_)</c:formatCode>
                <c:ptCount val="11"/>
                <c:pt idx="0">
                  <c:v>0</c:v>
                </c:pt>
                <c:pt idx="1">
                  <c:v>65.363758991316089</c:v>
                </c:pt>
                <c:pt idx="2">
                  <c:v>261.45503596526436</c:v>
                </c:pt>
                <c:pt idx="3">
                  <c:v>588.27383092184482</c:v>
                </c:pt>
                <c:pt idx="4">
                  <c:v>1045.8201438610574</c:v>
                </c:pt>
                <c:pt idx="5">
                  <c:v>1634.0939747829023</c:v>
                </c:pt>
                <c:pt idx="6">
                  <c:v>2353.0953236873793</c:v>
                </c:pt>
                <c:pt idx="7">
                  <c:v>3202.8241905744885</c:v>
                </c:pt>
                <c:pt idx="8">
                  <c:v>4183.2805754442297</c:v>
                </c:pt>
                <c:pt idx="9">
                  <c:v>5294.4644782966034</c:v>
                </c:pt>
                <c:pt idx="10">
                  <c:v>6536.375899131609</c:v>
                </c:pt>
              </c:numCache>
            </c:numRef>
          </c:yVal>
          <c:smooth val="0"/>
          <c:extLst>
            <c:ext xmlns:c16="http://schemas.microsoft.com/office/drawing/2014/chart" uri="{C3380CC4-5D6E-409C-BE32-E72D297353CC}">
              <c16:uniqueId val="{00000001-E56D-49BA-8552-D4AF45CCF32F}"/>
            </c:ext>
          </c:extLst>
        </c:ser>
        <c:ser>
          <c:idx val="2"/>
          <c:order val="2"/>
          <c:tx>
            <c:strRef>
              <c:f>'Drag (new)'!$S$45</c:f>
              <c:strCache>
                <c:ptCount val="1"/>
                <c:pt idx="0">
                  <c:v>20,000 ft</c:v>
                </c:pt>
              </c:strCache>
            </c:strRef>
          </c:tx>
          <c:spPr>
            <a:ln w="19050" cap="rnd">
              <a:solidFill>
                <a:srgbClr val="00B0F0"/>
              </a:solidFill>
              <a:prstDash val="solid"/>
              <a:round/>
            </a:ln>
            <a:effectLst/>
          </c:spPr>
          <c:marker>
            <c:symbol val="none"/>
          </c:marker>
          <c:xVal>
            <c:numRef>
              <c:f>'Drag (new)'!$P$5:$P$15</c:f>
              <c:numCache>
                <c:formatCode>General</c:formatCode>
                <c:ptCount val="11"/>
                <c:pt idx="0">
                  <c:v>0</c:v>
                </c:pt>
                <c:pt idx="1">
                  <c:v>100</c:v>
                </c:pt>
                <c:pt idx="2">
                  <c:v>200</c:v>
                </c:pt>
                <c:pt idx="3">
                  <c:v>300</c:v>
                </c:pt>
                <c:pt idx="4">
                  <c:v>400</c:v>
                </c:pt>
                <c:pt idx="5">
                  <c:v>500</c:v>
                </c:pt>
                <c:pt idx="6">
                  <c:v>600</c:v>
                </c:pt>
                <c:pt idx="7">
                  <c:v>700</c:v>
                </c:pt>
                <c:pt idx="8">
                  <c:v>800</c:v>
                </c:pt>
                <c:pt idx="9">
                  <c:v>900</c:v>
                </c:pt>
                <c:pt idx="10">
                  <c:v>1000</c:v>
                </c:pt>
              </c:numCache>
            </c:numRef>
          </c:xVal>
          <c:yVal>
            <c:numRef>
              <c:f>'Drag (new)'!$S$5:$S$15</c:f>
              <c:numCache>
                <c:formatCode>_(* #,##0_);_(* \(#,##0\);_(* "-"??_);_(@_)</c:formatCode>
                <c:ptCount val="11"/>
                <c:pt idx="0">
                  <c:v>0</c:v>
                </c:pt>
                <c:pt idx="1">
                  <c:v>55.347629295952764</c:v>
                </c:pt>
                <c:pt idx="2">
                  <c:v>221.39051718381106</c:v>
                </c:pt>
                <c:pt idx="3">
                  <c:v>498.12866366357486</c:v>
                </c:pt>
                <c:pt idx="4">
                  <c:v>885.56206873524422</c:v>
                </c:pt>
                <c:pt idx="5">
                  <c:v>1383.6907323988191</c:v>
                </c:pt>
                <c:pt idx="6">
                  <c:v>1992.5146546542994</c:v>
                </c:pt>
                <c:pt idx="7">
                  <c:v>2712.0338355016852</c:v>
                </c:pt>
                <c:pt idx="8">
                  <c:v>3542.2482749409769</c:v>
                </c:pt>
                <c:pt idx="9">
                  <c:v>4483.1579729721734</c:v>
                </c:pt>
                <c:pt idx="10">
                  <c:v>5534.7629295952765</c:v>
                </c:pt>
              </c:numCache>
            </c:numRef>
          </c:yVal>
          <c:smooth val="0"/>
          <c:extLst>
            <c:ext xmlns:c16="http://schemas.microsoft.com/office/drawing/2014/chart" uri="{C3380CC4-5D6E-409C-BE32-E72D297353CC}">
              <c16:uniqueId val="{00000002-E56D-49BA-8552-D4AF45CCF32F}"/>
            </c:ext>
          </c:extLst>
        </c:ser>
        <c:ser>
          <c:idx val="3"/>
          <c:order val="3"/>
          <c:tx>
            <c:strRef>
              <c:f>'Drag (new)'!$T$45</c:f>
              <c:strCache>
                <c:ptCount val="1"/>
                <c:pt idx="0">
                  <c:v>30,000 ft</c:v>
                </c:pt>
              </c:strCache>
            </c:strRef>
          </c:tx>
          <c:spPr>
            <a:ln w="19050" cap="rnd">
              <a:solidFill>
                <a:srgbClr val="7030A0"/>
              </a:solidFill>
              <a:prstDash val="solid"/>
              <a:round/>
            </a:ln>
            <a:effectLst/>
          </c:spPr>
          <c:marker>
            <c:symbol val="none"/>
          </c:marker>
          <c:xVal>
            <c:numRef>
              <c:f>'Drag (new)'!$P$5:$P$15</c:f>
              <c:numCache>
                <c:formatCode>General</c:formatCode>
                <c:ptCount val="11"/>
                <c:pt idx="0">
                  <c:v>0</c:v>
                </c:pt>
                <c:pt idx="1">
                  <c:v>100</c:v>
                </c:pt>
                <c:pt idx="2">
                  <c:v>200</c:v>
                </c:pt>
                <c:pt idx="3">
                  <c:v>300</c:v>
                </c:pt>
                <c:pt idx="4">
                  <c:v>400</c:v>
                </c:pt>
                <c:pt idx="5">
                  <c:v>500</c:v>
                </c:pt>
                <c:pt idx="6">
                  <c:v>600</c:v>
                </c:pt>
                <c:pt idx="7">
                  <c:v>700</c:v>
                </c:pt>
                <c:pt idx="8">
                  <c:v>800</c:v>
                </c:pt>
                <c:pt idx="9">
                  <c:v>900</c:v>
                </c:pt>
                <c:pt idx="10">
                  <c:v>1000</c:v>
                </c:pt>
              </c:numCache>
            </c:numRef>
          </c:xVal>
          <c:yVal>
            <c:numRef>
              <c:f>'Drag (new)'!$T$5:$T$15</c:f>
              <c:numCache>
                <c:formatCode>_(* #,##0_);_(* \(#,##0\);_(* "-"??_);_(@_)</c:formatCode>
                <c:ptCount val="11"/>
                <c:pt idx="0">
                  <c:v>0</c:v>
                </c:pt>
                <c:pt idx="1">
                  <c:v>38.864998977303131</c:v>
                </c:pt>
                <c:pt idx="2">
                  <c:v>155.45999590921252</c:v>
                </c:pt>
                <c:pt idx="3">
                  <c:v>349.78499079572816</c:v>
                </c:pt>
                <c:pt idx="4">
                  <c:v>621.83998363685009</c:v>
                </c:pt>
                <c:pt idx="5">
                  <c:v>971.62497443257848</c:v>
                </c:pt>
                <c:pt idx="6">
                  <c:v>1399.1399631829127</c:v>
                </c:pt>
                <c:pt idx="7">
                  <c:v>1904.3849498878537</c:v>
                </c:pt>
                <c:pt idx="8">
                  <c:v>2487.3599345474004</c:v>
                </c:pt>
                <c:pt idx="9">
                  <c:v>3148.0649171615537</c:v>
                </c:pt>
                <c:pt idx="10">
                  <c:v>3886.4998977303139</c:v>
                </c:pt>
              </c:numCache>
            </c:numRef>
          </c:yVal>
          <c:smooth val="0"/>
          <c:extLst>
            <c:ext xmlns:c16="http://schemas.microsoft.com/office/drawing/2014/chart" uri="{C3380CC4-5D6E-409C-BE32-E72D297353CC}">
              <c16:uniqueId val="{00000003-E56D-49BA-8552-D4AF45CCF32F}"/>
            </c:ext>
          </c:extLst>
        </c:ser>
        <c:ser>
          <c:idx val="4"/>
          <c:order val="4"/>
          <c:tx>
            <c:strRef>
              <c:f>'Drag (new)'!$N$4</c:f>
              <c:strCache>
                <c:ptCount val="1"/>
                <c:pt idx="0">
                  <c:v>Selected Airspeed</c:v>
                </c:pt>
              </c:strCache>
            </c:strRef>
          </c:tx>
          <c:spPr>
            <a:ln w="19050" cap="rnd">
              <a:solidFill>
                <a:srgbClr val="C00000"/>
              </a:solidFill>
              <a:round/>
            </a:ln>
            <a:effectLst/>
          </c:spPr>
          <c:marker>
            <c:symbol val="none"/>
          </c:marker>
          <c:xVal>
            <c:numRef>
              <c:f>'Drag (new)'!$N$5:$N$15</c:f>
              <c:numCache>
                <c:formatCode>0.0</c:formatCode>
                <c:ptCount val="11"/>
                <c:pt idx="0">
                  <c:v>531.92740930825562</c:v>
                </c:pt>
                <c:pt idx="1">
                  <c:v>531.92740930825562</c:v>
                </c:pt>
                <c:pt idx="2">
                  <c:v>531.92740930825562</c:v>
                </c:pt>
                <c:pt idx="3">
                  <c:v>531.92740930825562</c:v>
                </c:pt>
                <c:pt idx="4">
                  <c:v>531.92740930825562</c:v>
                </c:pt>
                <c:pt idx="5">
                  <c:v>531.92740930825562</c:v>
                </c:pt>
                <c:pt idx="6">
                  <c:v>531.92740930825562</c:v>
                </c:pt>
                <c:pt idx="7">
                  <c:v>531.92740930825562</c:v>
                </c:pt>
                <c:pt idx="8">
                  <c:v>531.92740930825562</c:v>
                </c:pt>
                <c:pt idx="9">
                  <c:v>531.92740930825562</c:v>
                </c:pt>
                <c:pt idx="10">
                  <c:v>531.92740930825562</c:v>
                </c:pt>
              </c:numCache>
            </c:numRef>
          </c:xVal>
          <c:yVal>
            <c:numRef>
              <c:f>'Drag (new)'!$M$5:$M$15</c:f>
              <c:numCache>
                <c:formatCode>General</c:formatCode>
                <c:ptCount val="11"/>
                <c:pt idx="0">
                  <c:v>0</c:v>
                </c:pt>
                <c:pt idx="1">
                  <c:v>700</c:v>
                </c:pt>
                <c:pt idx="2">
                  <c:v>1400</c:v>
                </c:pt>
                <c:pt idx="3">
                  <c:v>2100</c:v>
                </c:pt>
                <c:pt idx="4">
                  <c:v>2800</c:v>
                </c:pt>
                <c:pt idx="5">
                  <c:v>3500</c:v>
                </c:pt>
                <c:pt idx="6">
                  <c:v>4200</c:v>
                </c:pt>
                <c:pt idx="7">
                  <c:v>4900</c:v>
                </c:pt>
                <c:pt idx="8">
                  <c:v>5600</c:v>
                </c:pt>
                <c:pt idx="9">
                  <c:v>6300</c:v>
                </c:pt>
                <c:pt idx="10">
                  <c:v>7000</c:v>
                </c:pt>
              </c:numCache>
            </c:numRef>
          </c:yVal>
          <c:smooth val="0"/>
          <c:extLst>
            <c:ext xmlns:c16="http://schemas.microsoft.com/office/drawing/2014/chart" uri="{C3380CC4-5D6E-409C-BE32-E72D297353CC}">
              <c16:uniqueId val="{00000004-E56D-49BA-8552-D4AF45CCF32F}"/>
            </c:ext>
          </c:extLst>
        </c:ser>
        <c:dLbls>
          <c:showLegendKey val="0"/>
          <c:showVal val="0"/>
          <c:showCatName val="0"/>
          <c:showSerName val="0"/>
          <c:showPercent val="0"/>
          <c:showBubbleSize val="0"/>
        </c:dLbls>
        <c:axId val="487476744"/>
        <c:axId val="1139900936"/>
      </c:scatterChart>
      <c:valAx>
        <c:axId val="487476744"/>
        <c:scaling>
          <c:orientation val="minMax"/>
          <c:max val="1000"/>
          <c:min val="2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r>
                  <a:rPr lang="en-US"/>
                  <a:t>Cruise Velocity (ft/s)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crossAx val="1139900936"/>
        <c:crosses val="autoZero"/>
        <c:crossBetween val="midCat"/>
      </c:valAx>
      <c:valAx>
        <c:axId val="1139900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r>
                  <a:rPr lang="en-US"/>
                  <a:t>Total Drag Force (lb)</a:t>
                </a:r>
              </a:p>
            </c:rich>
          </c:tx>
          <c:layout>
            <c:manualLayout>
              <c:xMode val="edge"/>
              <c:yMode val="edge"/>
              <c:x val="2.2714366837024418E-2"/>
              <c:y val="0.255981966218186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crossAx val="487476744"/>
        <c:crosses val="autoZero"/>
        <c:crossBetween val="midCat"/>
      </c:valAx>
      <c:spPr>
        <a:noFill/>
        <a:ln>
          <a:noFill/>
        </a:ln>
        <a:effectLst/>
      </c:spPr>
    </c:plotArea>
    <c:legend>
      <c:legendPos val="b"/>
      <c:legendEntry>
        <c:idx val="4"/>
        <c:delete val="1"/>
      </c:legendEntry>
      <c:layout>
        <c:manualLayout>
          <c:xMode val="edge"/>
          <c:yMode val="edge"/>
          <c:x val="0.17064159143650484"/>
          <c:y val="0.15569427695411944"/>
          <c:w val="0.58277167488326598"/>
          <c:h val="7.16268818542151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r>
              <a:rPr lang="en-US"/>
              <a:t>Aircraft Drag Coefficient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endParaRPr lang="en-US"/>
        </a:p>
      </c:txPr>
    </c:title>
    <c:autoTitleDeleted val="0"/>
    <c:plotArea>
      <c:layout/>
      <c:scatterChart>
        <c:scatterStyle val="lineMarker"/>
        <c:varyColors val="0"/>
        <c:ser>
          <c:idx val="0"/>
          <c:order val="0"/>
          <c:tx>
            <c:strRef>
              <c:f>'Drag (new)'!$M$93</c:f>
              <c:strCache>
                <c:ptCount val="1"/>
                <c:pt idx="0">
                  <c:v>C_D</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1"/>
            <c:trendlineLbl>
              <c:layout>
                <c:manualLayout>
                  <c:x val="-6.662751531058618E-2"/>
                  <c:y val="-1.5508794159350772E-2"/>
                </c:manualLayout>
              </c:layout>
              <c:numFmt formatCode="General" sourceLinked="0"/>
              <c:spPr>
                <a:solidFill>
                  <a:srgbClr val="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'Drag (new)'!$K$94:$K$109</c:f>
              <c:numCache>
                <c:formatCode>General</c:formatCode>
                <c:ptCount val="16"/>
                <c:pt idx="0">
                  <c:v>-0.5</c:v>
                </c:pt>
                <c:pt idx="1">
                  <c:v>-0.4</c:v>
                </c:pt>
                <c:pt idx="2">
                  <c:v>-0.3</c:v>
                </c:pt>
                <c:pt idx="3">
                  <c:v>0</c:v>
                </c:pt>
                <c:pt idx="4">
                  <c:v>-0.2</c:v>
                </c:pt>
                <c:pt idx="5">
                  <c:v>-0.1</c:v>
                </c:pt>
                <c:pt idx="6">
                  <c:v>0.1</c:v>
                </c:pt>
                <c:pt idx="7">
                  <c:v>0.2</c:v>
                </c:pt>
                <c:pt idx="8">
                  <c:v>0.3</c:v>
                </c:pt>
                <c:pt idx="9">
                  <c:v>0.4</c:v>
                </c:pt>
                <c:pt idx="10">
                  <c:v>0.5</c:v>
                </c:pt>
                <c:pt idx="11">
                  <c:v>0.6</c:v>
                </c:pt>
                <c:pt idx="12">
                  <c:v>0.7</c:v>
                </c:pt>
                <c:pt idx="13">
                  <c:v>0.8</c:v>
                </c:pt>
                <c:pt idx="14">
                  <c:v>0.9</c:v>
                </c:pt>
                <c:pt idx="15">
                  <c:v>1</c:v>
                </c:pt>
              </c:numCache>
            </c:numRef>
          </c:xVal>
          <c:yVal>
            <c:numRef>
              <c:f>'Drag (new)'!$M$94:$M$109</c:f>
              <c:numCache>
                <c:formatCode>0.0000</c:formatCode>
                <c:ptCount val="16"/>
                <c:pt idx="0">
                  <c:v>2.6753199810372982E-2</c:v>
                </c:pt>
                <c:pt idx="1">
                  <c:v>2.2966888037417636E-2</c:v>
                </c:pt>
                <c:pt idx="2">
                  <c:v>2.0021978880674585E-2</c:v>
                </c:pt>
                <c:pt idx="3">
                  <c:v>1.6235667107719239E-2</c:v>
                </c:pt>
                <c:pt idx="4">
                  <c:v>1.7918472340143834E-2</c:v>
                </c:pt>
                <c:pt idx="5">
                  <c:v>1.6656368415825386E-2</c:v>
                </c:pt>
                <c:pt idx="6">
                  <c:v>1.6656368415825386E-2</c:v>
                </c:pt>
                <c:pt idx="7">
                  <c:v>1.7918472340143834E-2</c:v>
                </c:pt>
                <c:pt idx="8">
                  <c:v>2.0021978880674585E-2</c:v>
                </c:pt>
                <c:pt idx="9">
                  <c:v>2.2966888037417636E-2</c:v>
                </c:pt>
                <c:pt idx="10">
                  <c:v>2.6753199810372982E-2</c:v>
                </c:pt>
                <c:pt idx="11">
                  <c:v>3.138091419954063E-2</c:v>
                </c:pt>
                <c:pt idx="12">
                  <c:v>3.6850031204920572E-2</c:v>
                </c:pt>
                <c:pt idx="13">
                  <c:v>4.3160550826512829E-2</c:v>
                </c:pt>
                <c:pt idx="14">
                  <c:v>5.0312473064317374E-2</c:v>
                </c:pt>
                <c:pt idx="15">
                  <c:v>5.8305797918334214E-2</c:v>
                </c:pt>
              </c:numCache>
            </c:numRef>
          </c:yVal>
          <c:smooth val="0"/>
          <c:extLst>
            <c:ext xmlns:c16="http://schemas.microsoft.com/office/drawing/2014/chart" uri="{C3380CC4-5D6E-409C-BE32-E72D297353CC}">
              <c16:uniqueId val="{00000001-B0F8-4F31-8300-0A2A828015E1}"/>
            </c:ext>
          </c:extLst>
        </c:ser>
        <c:dLbls>
          <c:showLegendKey val="0"/>
          <c:showVal val="0"/>
          <c:showCatName val="0"/>
          <c:showSerName val="0"/>
          <c:showPercent val="0"/>
          <c:showBubbleSize val="0"/>
        </c:dLbls>
        <c:axId val="754869768"/>
        <c:axId val="754871816"/>
      </c:scatterChart>
      <c:valAx>
        <c:axId val="7548697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 of Lift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71816"/>
        <c:crosses val="autoZero"/>
        <c:crossBetween val="midCat"/>
      </c:valAx>
      <c:valAx>
        <c:axId val="754871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 of Drag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697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3D Lift Model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'Drag (new)'!$J$115:$J$138</c:f>
              <c:numCache>
                <c:formatCode>General</c:formatCode>
                <c:ptCount val="24"/>
                <c:pt idx="0">
                  <c:v>14</c:v>
                </c:pt>
                <c:pt idx="1">
                  <c:v>13</c:v>
                </c:pt>
                <c:pt idx="2">
                  <c:v>12</c:v>
                </c:pt>
                <c:pt idx="3">
                  <c:v>11</c:v>
                </c:pt>
                <c:pt idx="4">
                  <c:v>10</c:v>
                </c:pt>
                <c:pt idx="5">
                  <c:v>9</c:v>
                </c:pt>
                <c:pt idx="6">
                  <c:v>8</c:v>
                </c:pt>
                <c:pt idx="7">
                  <c:v>7</c:v>
                </c:pt>
                <c:pt idx="8">
                  <c:v>6</c:v>
                </c:pt>
                <c:pt idx="9">
                  <c:v>5</c:v>
                </c:pt>
                <c:pt idx="10">
                  <c:v>4</c:v>
                </c:pt>
                <c:pt idx="11">
                  <c:v>3</c:v>
                </c:pt>
                <c:pt idx="12">
                  <c:v>2</c:v>
                </c:pt>
                <c:pt idx="13">
                  <c:v>1</c:v>
                </c:pt>
                <c:pt idx="14">
                  <c:v>0</c:v>
                </c:pt>
                <c:pt idx="15">
                  <c:v>-1</c:v>
                </c:pt>
                <c:pt idx="16">
                  <c:v>-2</c:v>
                </c:pt>
                <c:pt idx="17">
                  <c:v>-3</c:v>
                </c:pt>
                <c:pt idx="18">
                  <c:v>-4</c:v>
                </c:pt>
                <c:pt idx="19">
                  <c:v>-5</c:v>
                </c:pt>
                <c:pt idx="20">
                  <c:v>-6</c:v>
                </c:pt>
                <c:pt idx="21">
                  <c:v>-7</c:v>
                </c:pt>
                <c:pt idx="22">
                  <c:v>-8</c:v>
                </c:pt>
                <c:pt idx="23">
                  <c:v>-9</c:v>
                </c:pt>
              </c:numCache>
            </c:numRef>
          </c:xVal>
          <c:yVal>
            <c:numRef>
              <c:f>'Drag (new)'!$K$115:$K$138</c:f>
              <c:numCache>
                <c:formatCode>0.000</c:formatCode>
                <c:ptCount val="24"/>
                <c:pt idx="0">
                  <c:v>1.64836228282135</c:v>
                </c:pt>
                <c:pt idx="1">
                  <c:v>1.5584607249735578</c:v>
                </c:pt>
                <c:pt idx="2">
                  <c:v>1.4685591671257656</c:v>
                </c:pt>
                <c:pt idx="3">
                  <c:v>1.3786576092779734</c:v>
                </c:pt>
                <c:pt idx="4">
                  <c:v>1.288756051430181</c:v>
                </c:pt>
                <c:pt idx="5">
                  <c:v>1.1988544935823888</c:v>
                </c:pt>
                <c:pt idx="6">
                  <c:v>1.1089529357345964</c:v>
                </c:pt>
                <c:pt idx="7">
                  <c:v>1.0190513778868042</c:v>
                </c:pt>
                <c:pt idx="8">
                  <c:v>0.92914982003901214</c:v>
                </c:pt>
                <c:pt idx="9">
                  <c:v>0.83924826219121984</c:v>
                </c:pt>
                <c:pt idx="10">
                  <c:v>0.74934670434342754</c:v>
                </c:pt>
                <c:pt idx="11">
                  <c:v>0.65944514649563535</c:v>
                </c:pt>
                <c:pt idx="12">
                  <c:v>0.56954358864784305</c:v>
                </c:pt>
                <c:pt idx="13">
                  <c:v>0.4796420308000508</c:v>
                </c:pt>
                <c:pt idx="14">
                  <c:v>0.38974047295225855</c:v>
                </c:pt>
                <c:pt idx="15">
                  <c:v>0.29983891510446631</c:v>
                </c:pt>
                <c:pt idx="16">
                  <c:v>0.20993735725667406</c:v>
                </c:pt>
                <c:pt idx="17">
                  <c:v>0.12003579940888176</c:v>
                </c:pt>
                <c:pt idx="18">
                  <c:v>3.013424156108957E-2</c:v>
                </c:pt>
                <c:pt idx="19">
                  <c:v>-5.9767316286702676E-2</c:v>
                </c:pt>
                <c:pt idx="20">
                  <c:v>-0.14966887413449503</c:v>
                </c:pt>
                <c:pt idx="21">
                  <c:v>-0.23957043198228722</c:v>
                </c:pt>
                <c:pt idx="22">
                  <c:v>-0.32947198983007941</c:v>
                </c:pt>
                <c:pt idx="23">
                  <c:v>-0.41937354767787172</c:v>
                </c:pt>
              </c:numCache>
            </c:numRef>
          </c:yVal>
          <c:smooth val="0"/>
          <c:extLst>
            <c:ext xmlns:c16="http://schemas.microsoft.com/office/drawing/2014/chart" uri="{C3380CC4-5D6E-409C-BE32-E72D297353CC}">
              <c16:uniqueId val="{00000000-1EEF-47C2-A6F1-043E82B37DB2}"/>
            </c:ext>
          </c:extLst>
        </c:ser>
        <c:dLbls>
          <c:showLegendKey val="0"/>
          <c:showVal val="0"/>
          <c:showCatName val="0"/>
          <c:showSerName val="0"/>
          <c:showPercent val="0"/>
          <c:showBubbleSize val="0"/>
        </c:dLbls>
        <c:axId val="1158648839"/>
        <c:axId val="1158650887"/>
      </c:scatterChart>
      <c:valAx>
        <c:axId val="11586488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Angle of Attack, degrees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650887"/>
        <c:crosses val="autoZero"/>
        <c:crossBetween val="midCat"/>
      </c:valAx>
      <c:valAx>
        <c:axId val="1158650887"/>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 of Lift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648839"/>
        <c:crosses val="autoZero"/>
        <c:crossBetween val="midCat"/>
        <c:majorUnit val="0.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3D Drag Model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'Drag (new)'!$J$115:$J$138</c:f>
              <c:numCache>
                <c:formatCode>General</c:formatCode>
                <c:ptCount val="24"/>
                <c:pt idx="0">
                  <c:v>14</c:v>
                </c:pt>
                <c:pt idx="1">
                  <c:v>13</c:v>
                </c:pt>
                <c:pt idx="2">
                  <c:v>12</c:v>
                </c:pt>
                <c:pt idx="3">
                  <c:v>11</c:v>
                </c:pt>
                <c:pt idx="4">
                  <c:v>10</c:v>
                </c:pt>
                <c:pt idx="5">
                  <c:v>9</c:v>
                </c:pt>
                <c:pt idx="6">
                  <c:v>8</c:v>
                </c:pt>
                <c:pt idx="7">
                  <c:v>7</c:v>
                </c:pt>
                <c:pt idx="8">
                  <c:v>6</c:v>
                </c:pt>
                <c:pt idx="9">
                  <c:v>5</c:v>
                </c:pt>
                <c:pt idx="10">
                  <c:v>4</c:v>
                </c:pt>
                <c:pt idx="11">
                  <c:v>3</c:v>
                </c:pt>
                <c:pt idx="12">
                  <c:v>2</c:v>
                </c:pt>
                <c:pt idx="13">
                  <c:v>1</c:v>
                </c:pt>
                <c:pt idx="14">
                  <c:v>0</c:v>
                </c:pt>
                <c:pt idx="15">
                  <c:v>-1</c:v>
                </c:pt>
                <c:pt idx="16">
                  <c:v>-2</c:v>
                </c:pt>
                <c:pt idx="17">
                  <c:v>-3</c:v>
                </c:pt>
                <c:pt idx="18">
                  <c:v>-4</c:v>
                </c:pt>
                <c:pt idx="19">
                  <c:v>-5</c:v>
                </c:pt>
                <c:pt idx="20">
                  <c:v>-6</c:v>
                </c:pt>
                <c:pt idx="21">
                  <c:v>-7</c:v>
                </c:pt>
                <c:pt idx="22">
                  <c:v>-8</c:v>
                </c:pt>
                <c:pt idx="23">
                  <c:v>-9</c:v>
                </c:pt>
              </c:numCache>
            </c:numRef>
          </c:xVal>
          <c:yVal>
            <c:numRef>
              <c:f>'Drag (new)'!$L$115:$L$138</c:f>
              <c:numCache>
                <c:formatCode>0.00E+00</c:formatCode>
                <c:ptCount val="24"/>
                <c:pt idx="0">
                  <c:v>0.13054434445606422</c:v>
                </c:pt>
                <c:pt idx="1">
                  <c:v>0.11841559372268329</c:v>
                </c:pt>
                <c:pt idx="2">
                  <c:v>0.10696688899310616</c:v>
                </c:pt>
                <c:pt idx="3">
                  <c:v>9.6198230267332818E-2</c:v>
                </c:pt>
                <c:pt idx="4">
                  <c:v>8.6109617545363254E-2</c:v>
                </c:pt>
                <c:pt idx="5">
                  <c:v>7.6701050827197498E-2</c:v>
                </c:pt>
                <c:pt idx="6">
                  <c:v>6.7972530112835522E-2</c:v>
                </c:pt>
                <c:pt idx="7">
                  <c:v>5.9924055402277361E-2</c:v>
                </c:pt>
                <c:pt idx="8">
                  <c:v>5.2555626695523015E-2</c:v>
                </c:pt>
                <c:pt idx="9">
                  <c:v>4.5867243992572443E-2</c:v>
                </c:pt>
                <c:pt idx="10">
                  <c:v>3.9858907293425672E-2</c:v>
                </c:pt>
                <c:pt idx="11">
                  <c:v>3.4530616598082695E-2</c:v>
                </c:pt>
                <c:pt idx="12">
                  <c:v>2.9882371906543519E-2</c:v>
                </c:pt>
                <c:pt idx="13">
                  <c:v>2.5914173218808137E-2</c:v>
                </c:pt>
                <c:pt idx="14">
                  <c:v>2.2626020534876553E-2</c:v>
                </c:pt>
                <c:pt idx="15">
                  <c:v>2.0017913854748763E-2</c:v>
                </c:pt>
                <c:pt idx="16">
                  <c:v>1.8089853178424774E-2</c:v>
                </c:pt>
                <c:pt idx="17">
                  <c:v>1.684183850590458E-2</c:v>
                </c:pt>
                <c:pt idx="18">
                  <c:v>1.6273869837188183E-2</c:v>
                </c:pt>
                <c:pt idx="19">
                  <c:v>1.6385947172275584E-2</c:v>
                </c:pt>
                <c:pt idx="20">
                  <c:v>1.7178070511166779E-2</c:v>
                </c:pt>
                <c:pt idx="21">
                  <c:v>1.8650239853861772E-2</c:v>
                </c:pt>
                <c:pt idx="22">
                  <c:v>2.0802455200360562E-2</c:v>
                </c:pt>
                <c:pt idx="23">
                  <c:v>2.3634716550663147E-2</c:v>
                </c:pt>
              </c:numCache>
            </c:numRef>
          </c:yVal>
          <c:smooth val="0"/>
          <c:extLst>
            <c:ext xmlns:c16="http://schemas.microsoft.com/office/drawing/2014/chart" uri="{C3380CC4-5D6E-409C-BE32-E72D297353CC}">
              <c16:uniqueId val="{00000000-EAD6-4F9B-9B43-DE8235660632}"/>
            </c:ext>
          </c:extLst>
        </c:ser>
        <c:dLbls>
          <c:showLegendKey val="0"/>
          <c:showVal val="0"/>
          <c:showCatName val="0"/>
          <c:showSerName val="0"/>
          <c:showPercent val="0"/>
          <c:showBubbleSize val="0"/>
        </c:dLbls>
        <c:axId val="839794695"/>
        <c:axId val="839797255"/>
      </c:scatterChart>
      <c:valAx>
        <c:axId val="8397946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Angle of Attack, degrees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797255"/>
        <c:crosses val="autoZero"/>
        <c:crossBetween val="midCat"/>
      </c:valAx>
      <c:valAx>
        <c:axId val="839797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 of Drag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79469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'Drag (new)'!$K$115:$K$138</c:f>
              <c:numCache>
                <c:formatCode>0.000</c:formatCode>
                <c:ptCount val="24"/>
                <c:pt idx="0">
                  <c:v>1.64836228282135</c:v>
                </c:pt>
                <c:pt idx="1">
                  <c:v>1.5584607249735578</c:v>
                </c:pt>
                <c:pt idx="2">
                  <c:v>1.4685591671257656</c:v>
                </c:pt>
                <c:pt idx="3">
                  <c:v>1.3786576092779734</c:v>
                </c:pt>
                <c:pt idx="4">
                  <c:v>1.288756051430181</c:v>
                </c:pt>
                <c:pt idx="5">
                  <c:v>1.1988544935823888</c:v>
                </c:pt>
                <c:pt idx="6">
                  <c:v>1.1089529357345964</c:v>
                </c:pt>
                <c:pt idx="7">
                  <c:v>1.0190513778868042</c:v>
                </c:pt>
                <c:pt idx="8">
                  <c:v>0.92914982003901214</c:v>
                </c:pt>
                <c:pt idx="9">
                  <c:v>0.83924826219121984</c:v>
                </c:pt>
                <c:pt idx="10">
                  <c:v>0.74934670434342754</c:v>
                </c:pt>
                <c:pt idx="11">
                  <c:v>0.65944514649563535</c:v>
                </c:pt>
                <c:pt idx="12">
                  <c:v>0.56954358864784305</c:v>
                </c:pt>
                <c:pt idx="13">
                  <c:v>0.4796420308000508</c:v>
                </c:pt>
                <c:pt idx="14">
                  <c:v>0.38974047295225855</c:v>
                </c:pt>
                <c:pt idx="15">
                  <c:v>0.29983891510446631</c:v>
                </c:pt>
                <c:pt idx="16">
                  <c:v>0.20993735725667406</c:v>
                </c:pt>
                <c:pt idx="17">
                  <c:v>0.12003579940888176</c:v>
                </c:pt>
                <c:pt idx="18">
                  <c:v>3.013424156108957E-2</c:v>
                </c:pt>
                <c:pt idx="19">
                  <c:v>-5.9767316286702676E-2</c:v>
                </c:pt>
                <c:pt idx="20">
                  <c:v>-0.14966887413449503</c:v>
                </c:pt>
                <c:pt idx="21">
                  <c:v>-0.23957043198228722</c:v>
                </c:pt>
                <c:pt idx="22">
                  <c:v>-0.32947198983007941</c:v>
                </c:pt>
                <c:pt idx="23">
                  <c:v>-0.41937354767787172</c:v>
                </c:pt>
              </c:numCache>
            </c:numRef>
          </c:xVal>
          <c:yVal>
            <c:numRef>
              <c:f>'Drag (new)'!$L$115:$L$138</c:f>
              <c:numCache>
                <c:formatCode>0.00E+00</c:formatCode>
                <c:ptCount val="24"/>
                <c:pt idx="0">
                  <c:v>0.13054434445606422</c:v>
                </c:pt>
                <c:pt idx="1">
                  <c:v>0.11841559372268329</c:v>
                </c:pt>
                <c:pt idx="2">
                  <c:v>0.10696688899310616</c:v>
                </c:pt>
                <c:pt idx="3">
                  <c:v>9.6198230267332818E-2</c:v>
                </c:pt>
                <c:pt idx="4">
                  <c:v>8.6109617545363254E-2</c:v>
                </c:pt>
                <c:pt idx="5">
                  <c:v>7.6701050827197498E-2</c:v>
                </c:pt>
                <c:pt idx="6">
                  <c:v>6.7972530112835522E-2</c:v>
                </c:pt>
                <c:pt idx="7">
                  <c:v>5.9924055402277361E-2</c:v>
                </c:pt>
                <c:pt idx="8">
                  <c:v>5.2555626695523015E-2</c:v>
                </c:pt>
                <c:pt idx="9">
                  <c:v>4.5867243992572443E-2</c:v>
                </c:pt>
                <c:pt idx="10">
                  <c:v>3.9858907293425672E-2</c:v>
                </c:pt>
                <c:pt idx="11">
                  <c:v>3.4530616598082695E-2</c:v>
                </c:pt>
                <c:pt idx="12">
                  <c:v>2.9882371906543519E-2</c:v>
                </c:pt>
                <c:pt idx="13">
                  <c:v>2.5914173218808137E-2</c:v>
                </c:pt>
                <c:pt idx="14">
                  <c:v>2.2626020534876553E-2</c:v>
                </c:pt>
                <c:pt idx="15">
                  <c:v>2.0017913854748763E-2</c:v>
                </c:pt>
                <c:pt idx="16">
                  <c:v>1.8089853178424774E-2</c:v>
                </c:pt>
                <c:pt idx="17">
                  <c:v>1.684183850590458E-2</c:v>
                </c:pt>
                <c:pt idx="18">
                  <c:v>1.6273869837188183E-2</c:v>
                </c:pt>
                <c:pt idx="19">
                  <c:v>1.6385947172275584E-2</c:v>
                </c:pt>
                <c:pt idx="20">
                  <c:v>1.7178070511166779E-2</c:v>
                </c:pt>
                <c:pt idx="21">
                  <c:v>1.8650239853861772E-2</c:v>
                </c:pt>
                <c:pt idx="22">
                  <c:v>2.0802455200360562E-2</c:v>
                </c:pt>
                <c:pt idx="23">
                  <c:v>2.3634716550663147E-2</c:v>
                </c:pt>
              </c:numCache>
            </c:numRef>
          </c:yVal>
          <c:smooth val="0"/>
          <c:extLst>
            <c:ext xmlns:c16="http://schemas.microsoft.com/office/drawing/2014/chart" uri="{C3380CC4-5D6E-409C-BE32-E72D297353CC}">
              <c16:uniqueId val="{00000000-9C87-4F6B-A3DC-13A6790A6ADC}"/>
            </c:ext>
          </c:extLst>
        </c:ser>
        <c:dLbls>
          <c:showLegendKey val="0"/>
          <c:showVal val="0"/>
          <c:showCatName val="0"/>
          <c:showSerName val="0"/>
          <c:showPercent val="0"/>
          <c:showBubbleSize val="0"/>
        </c:dLbls>
        <c:axId val="640355847"/>
        <c:axId val="640370183"/>
      </c:scatterChart>
      <c:valAx>
        <c:axId val="640355847"/>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370183"/>
        <c:crosses val="autoZero"/>
        <c:crossBetween val="midCat"/>
      </c:valAx>
      <c:valAx>
        <c:axId val="64037018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35584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Takeoff Drag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'Drag (new)'!$J$143:$J$218</c:f>
              <c:numCache>
                <c:formatCode>General</c:formatCode>
                <c:ptCount val="76"/>
                <c:pt idx="0">
                  <c:v>0</c:v>
                </c:pt>
                <c:pt idx="1">
                  <c:v>2</c:v>
                </c:pt>
                <c:pt idx="2">
                  <c:v>4</c:v>
                </c:pt>
                <c:pt idx="3">
                  <c:v>6</c:v>
                </c:pt>
                <c:pt idx="4">
                  <c:v>8</c:v>
                </c:pt>
                <c:pt idx="5">
                  <c:v>10</c:v>
                </c:pt>
                <c:pt idx="6">
                  <c:v>12</c:v>
                </c:pt>
                <c:pt idx="7">
                  <c:v>14</c:v>
                </c:pt>
                <c:pt idx="8">
                  <c:v>16</c:v>
                </c:pt>
                <c:pt idx="9">
                  <c:v>18</c:v>
                </c:pt>
                <c:pt idx="10">
                  <c:v>20</c:v>
                </c:pt>
                <c:pt idx="11">
                  <c:v>22</c:v>
                </c:pt>
                <c:pt idx="12">
                  <c:v>24</c:v>
                </c:pt>
                <c:pt idx="13">
                  <c:v>26</c:v>
                </c:pt>
                <c:pt idx="14">
                  <c:v>28</c:v>
                </c:pt>
                <c:pt idx="15">
                  <c:v>30</c:v>
                </c:pt>
                <c:pt idx="16">
                  <c:v>32</c:v>
                </c:pt>
                <c:pt idx="17">
                  <c:v>34</c:v>
                </c:pt>
                <c:pt idx="18">
                  <c:v>36</c:v>
                </c:pt>
                <c:pt idx="19">
                  <c:v>38</c:v>
                </c:pt>
                <c:pt idx="20">
                  <c:v>40</c:v>
                </c:pt>
                <c:pt idx="21">
                  <c:v>42</c:v>
                </c:pt>
                <c:pt idx="22">
                  <c:v>44</c:v>
                </c:pt>
                <c:pt idx="23">
                  <c:v>46</c:v>
                </c:pt>
                <c:pt idx="24">
                  <c:v>48</c:v>
                </c:pt>
                <c:pt idx="25">
                  <c:v>50</c:v>
                </c:pt>
                <c:pt idx="26">
                  <c:v>52</c:v>
                </c:pt>
                <c:pt idx="27">
                  <c:v>54</c:v>
                </c:pt>
                <c:pt idx="28">
                  <c:v>56</c:v>
                </c:pt>
                <c:pt idx="29">
                  <c:v>58</c:v>
                </c:pt>
                <c:pt idx="30">
                  <c:v>60</c:v>
                </c:pt>
                <c:pt idx="31">
                  <c:v>62</c:v>
                </c:pt>
                <c:pt idx="32">
                  <c:v>64</c:v>
                </c:pt>
                <c:pt idx="33">
                  <c:v>66</c:v>
                </c:pt>
                <c:pt idx="34">
                  <c:v>68</c:v>
                </c:pt>
                <c:pt idx="35">
                  <c:v>70</c:v>
                </c:pt>
                <c:pt idx="36">
                  <c:v>72</c:v>
                </c:pt>
                <c:pt idx="37">
                  <c:v>74</c:v>
                </c:pt>
                <c:pt idx="38">
                  <c:v>76</c:v>
                </c:pt>
                <c:pt idx="39">
                  <c:v>78</c:v>
                </c:pt>
                <c:pt idx="40">
                  <c:v>80</c:v>
                </c:pt>
                <c:pt idx="41">
                  <c:v>82</c:v>
                </c:pt>
                <c:pt idx="42">
                  <c:v>84</c:v>
                </c:pt>
                <c:pt idx="43">
                  <c:v>86</c:v>
                </c:pt>
                <c:pt idx="44">
                  <c:v>88</c:v>
                </c:pt>
                <c:pt idx="45">
                  <c:v>90</c:v>
                </c:pt>
                <c:pt idx="46">
                  <c:v>92</c:v>
                </c:pt>
                <c:pt idx="47">
                  <c:v>94</c:v>
                </c:pt>
                <c:pt idx="48">
                  <c:v>96</c:v>
                </c:pt>
                <c:pt idx="49">
                  <c:v>98</c:v>
                </c:pt>
                <c:pt idx="50">
                  <c:v>100</c:v>
                </c:pt>
                <c:pt idx="51">
                  <c:v>102</c:v>
                </c:pt>
                <c:pt idx="52">
                  <c:v>104</c:v>
                </c:pt>
                <c:pt idx="53">
                  <c:v>106</c:v>
                </c:pt>
                <c:pt idx="54">
                  <c:v>108</c:v>
                </c:pt>
                <c:pt idx="55">
                  <c:v>110</c:v>
                </c:pt>
                <c:pt idx="56">
                  <c:v>112</c:v>
                </c:pt>
                <c:pt idx="57">
                  <c:v>114</c:v>
                </c:pt>
                <c:pt idx="58">
                  <c:v>116</c:v>
                </c:pt>
                <c:pt idx="59">
                  <c:v>118</c:v>
                </c:pt>
                <c:pt idx="60">
                  <c:v>120</c:v>
                </c:pt>
                <c:pt idx="61">
                  <c:v>122</c:v>
                </c:pt>
                <c:pt idx="62">
                  <c:v>124</c:v>
                </c:pt>
                <c:pt idx="63">
                  <c:v>126</c:v>
                </c:pt>
                <c:pt idx="64">
                  <c:v>128</c:v>
                </c:pt>
                <c:pt idx="65">
                  <c:v>130</c:v>
                </c:pt>
                <c:pt idx="66">
                  <c:v>132</c:v>
                </c:pt>
                <c:pt idx="67">
                  <c:v>134</c:v>
                </c:pt>
                <c:pt idx="68">
                  <c:v>136</c:v>
                </c:pt>
                <c:pt idx="69">
                  <c:v>138</c:v>
                </c:pt>
                <c:pt idx="70">
                  <c:v>140</c:v>
                </c:pt>
                <c:pt idx="71">
                  <c:v>142</c:v>
                </c:pt>
                <c:pt idx="72">
                  <c:v>144</c:v>
                </c:pt>
                <c:pt idx="73">
                  <c:v>146</c:v>
                </c:pt>
                <c:pt idx="74">
                  <c:v>148</c:v>
                </c:pt>
                <c:pt idx="75">
                  <c:v>150</c:v>
                </c:pt>
              </c:numCache>
            </c:numRef>
          </c:xVal>
          <c:yVal>
            <c:numRef>
              <c:f>'Drag (new)'!$K$143:$K$218</c:f>
              <c:numCache>
                <c:formatCode>General</c:formatCode>
                <c:ptCount val="76"/>
                <c:pt idx="0">
                  <c:v>0</c:v>
                </c:pt>
                <c:pt idx="1">
                  <c:v>0.46232421961730119</c:v>
                </c:pt>
                <c:pt idx="2">
                  <c:v>1.8492968784692048</c:v>
                </c:pt>
                <c:pt idx="3">
                  <c:v>4.1609179765557105</c:v>
                </c:pt>
                <c:pt idx="4">
                  <c:v>7.3971875138768191</c:v>
                </c:pt>
                <c:pt idx="5">
                  <c:v>11.558105490432528</c:v>
                </c:pt>
                <c:pt idx="6">
                  <c:v>16.643671906222842</c:v>
                </c:pt>
                <c:pt idx="7">
                  <c:v>22.653886761247758</c:v>
                </c:pt>
                <c:pt idx="8">
                  <c:v>29.588750055507276</c:v>
                </c:pt>
                <c:pt idx="9">
                  <c:v>37.448261789001393</c:v>
                </c:pt>
                <c:pt idx="10">
                  <c:v>46.232421961730111</c:v>
                </c:pt>
                <c:pt idx="11">
                  <c:v>55.941230573693446</c:v>
                </c:pt>
                <c:pt idx="12">
                  <c:v>66.574687624891368</c:v>
                </c:pt>
                <c:pt idx="13">
                  <c:v>78.132793115323892</c:v>
                </c:pt>
                <c:pt idx="14">
                  <c:v>90.615547044991033</c:v>
                </c:pt>
                <c:pt idx="15">
                  <c:v>104.02294941389277</c:v>
                </c:pt>
                <c:pt idx="16">
                  <c:v>118.3550002220291</c:v>
                </c:pt>
                <c:pt idx="17">
                  <c:v>133.61169946940007</c:v>
                </c:pt>
                <c:pt idx="18">
                  <c:v>149.79304715600557</c:v>
                </c:pt>
                <c:pt idx="19">
                  <c:v>166.89904328184574</c:v>
                </c:pt>
                <c:pt idx="20">
                  <c:v>184.92968784692044</c:v>
                </c:pt>
                <c:pt idx="21">
                  <c:v>203.88498085122981</c:v>
                </c:pt>
                <c:pt idx="22">
                  <c:v>223.76492229477378</c:v>
                </c:pt>
                <c:pt idx="23">
                  <c:v>244.56951217755233</c:v>
                </c:pt>
                <c:pt idx="24">
                  <c:v>266.29875049956547</c:v>
                </c:pt>
                <c:pt idx="25">
                  <c:v>288.95263726081322</c:v>
                </c:pt>
                <c:pt idx="26">
                  <c:v>312.53117246129557</c:v>
                </c:pt>
                <c:pt idx="27">
                  <c:v>337.03435610101252</c:v>
                </c:pt>
                <c:pt idx="28">
                  <c:v>362.46218817996413</c:v>
                </c:pt>
                <c:pt idx="29">
                  <c:v>388.81466869815029</c:v>
                </c:pt>
                <c:pt idx="30">
                  <c:v>416.0917976555711</c:v>
                </c:pt>
                <c:pt idx="31">
                  <c:v>444.2935750522264</c:v>
                </c:pt>
                <c:pt idx="32">
                  <c:v>473.42000088811642</c:v>
                </c:pt>
                <c:pt idx="33">
                  <c:v>503.47107516324098</c:v>
                </c:pt>
                <c:pt idx="34">
                  <c:v>534.44679787760026</c:v>
                </c:pt>
                <c:pt idx="35">
                  <c:v>566.34716903119386</c:v>
                </c:pt>
                <c:pt idx="36">
                  <c:v>599.17218862402228</c:v>
                </c:pt>
                <c:pt idx="37">
                  <c:v>632.92185665608531</c:v>
                </c:pt>
                <c:pt idx="38">
                  <c:v>667.59617312738294</c:v>
                </c:pt>
                <c:pt idx="39">
                  <c:v>703.19513803791506</c:v>
                </c:pt>
                <c:pt idx="40">
                  <c:v>739.71875138768178</c:v>
                </c:pt>
                <c:pt idx="41">
                  <c:v>777.16701317668321</c:v>
                </c:pt>
                <c:pt idx="42">
                  <c:v>815.53992340491925</c:v>
                </c:pt>
                <c:pt idx="43">
                  <c:v>854.83748207239</c:v>
                </c:pt>
                <c:pt idx="44">
                  <c:v>895.05968917909513</c:v>
                </c:pt>
                <c:pt idx="45">
                  <c:v>936.20654472503497</c:v>
                </c:pt>
                <c:pt idx="46">
                  <c:v>978.2780487102093</c:v>
                </c:pt>
                <c:pt idx="47">
                  <c:v>1021.2742011346182</c:v>
                </c:pt>
                <c:pt idx="48">
                  <c:v>1065.1950019982619</c:v>
                </c:pt>
                <c:pt idx="49">
                  <c:v>1110.0404513011401</c:v>
                </c:pt>
                <c:pt idx="50">
                  <c:v>1155.8105490432529</c:v>
                </c:pt>
                <c:pt idx="51">
                  <c:v>1202.5052952246003</c:v>
                </c:pt>
                <c:pt idx="52">
                  <c:v>1250.1246898451823</c:v>
                </c:pt>
                <c:pt idx="53">
                  <c:v>1298.6687329049989</c:v>
                </c:pt>
                <c:pt idx="54">
                  <c:v>1348.1374244040501</c:v>
                </c:pt>
                <c:pt idx="55">
                  <c:v>1398.5307643423362</c:v>
                </c:pt>
                <c:pt idx="56">
                  <c:v>1449.8487527198565</c:v>
                </c:pt>
                <c:pt idx="57">
                  <c:v>1502.0913895366116</c:v>
                </c:pt>
                <c:pt idx="58">
                  <c:v>1555.2586747926011</c:v>
                </c:pt>
                <c:pt idx="59">
                  <c:v>1609.3506084878254</c:v>
                </c:pt>
                <c:pt idx="60">
                  <c:v>1664.3671906222844</c:v>
                </c:pt>
                <c:pt idx="61">
                  <c:v>1720.3084211959776</c:v>
                </c:pt>
                <c:pt idx="62">
                  <c:v>1777.1743002089056</c:v>
                </c:pt>
                <c:pt idx="63">
                  <c:v>1834.9648276610683</c:v>
                </c:pt>
                <c:pt idx="64">
                  <c:v>1893.6800035524657</c:v>
                </c:pt>
                <c:pt idx="65">
                  <c:v>1953.3198278830978</c:v>
                </c:pt>
                <c:pt idx="66">
                  <c:v>2013.8843006529639</c:v>
                </c:pt>
                <c:pt idx="67">
                  <c:v>2075.3734218620652</c:v>
                </c:pt>
                <c:pt idx="68">
                  <c:v>2137.787191510401</c:v>
                </c:pt>
                <c:pt idx="69">
                  <c:v>2201.1256095979707</c:v>
                </c:pt>
                <c:pt idx="70">
                  <c:v>2265.3886761247754</c:v>
                </c:pt>
                <c:pt idx="71">
                  <c:v>2330.5763910908154</c:v>
                </c:pt>
                <c:pt idx="72">
                  <c:v>2396.6887544960891</c:v>
                </c:pt>
                <c:pt idx="73">
                  <c:v>2463.7257663405981</c:v>
                </c:pt>
                <c:pt idx="74">
                  <c:v>2531.6874266243412</c:v>
                </c:pt>
                <c:pt idx="75">
                  <c:v>2600.5737353473191</c:v>
                </c:pt>
              </c:numCache>
            </c:numRef>
          </c:yVal>
          <c:smooth val="0"/>
          <c:extLst>
            <c:ext xmlns:c16="http://schemas.microsoft.com/office/drawing/2014/chart" uri="{C3380CC4-5D6E-409C-BE32-E72D297353CC}">
              <c16:uniqueId val="{00000000-E629-45DE-BB07-E408B40935F5}"/>
            </c:ext>
          </c:extLst>
        </c:ser>
        <c:dLbls>
          <c:showLegendKey val="0"/>
          <c:showVal val="0"/>
          <c:showCatName val="0"/>
          <c:showSerName val="0"/>
          <c:showPercent val="0"/>
          <c:showBubbleSize val="0"/>
        </c:dLbls>
        <c:axId val="28286984"/>
        <c:axId val="1947960839"/>
      </c:scatterChart>
      <c:valAx>
        <c:axId val="282869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 ft/s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960839"/>
        <c:crosses val="autoZero"/>
        <c:crossBetween val="midCat"/>
      </c:valAx>
      <c:valAx>
        <c:axId val="1947960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Drag Force, lb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86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Aircraft Drag Coefficient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765063390744796"/>
                  <c:y val="-1.5739257376689585E-2"/>
                </c:manualLayout>
              </c:layout>
              <c:numFmt formatCode="General" sourceLinked="0"/>
              <c:spPr>
                <a:solidFill>
                  <a:srgbClr val="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'Drag (new)'!$L$94:$L$109</c:f>
              <c:numCache>
                <c:formatCode>General</c:formatCode>
                <c:ptCount val="16"/>
                <c:pt idx="0">
                  <c:v>0.25</c:v>
                </c:pt>
                <c:pt idx="1">
                  <c:v>0.16000000000000003</c:v>
                </c:pt>
                <c:pt idx="2">
                  <c:v>0.09</c:v>
                </c:pt>
                <c:pt idx="3">
                  <c:v>0</c:v>
                </c:pt>
                <c:pt idx="4">
                  <c:v>4.0000000000000008E-2</c:v>
                </c:pt>
                <c:pt idx="5">
                  <c:v>1.0000000000000002E-2</c:v>
                </c:pt>
                <c:pt idx="6">
                  <c:v>1.0000000000000002E-2</c:v>
                </c:pt>
                <c:pt idx="7">
                  <c:v>4.0000000000000008E-2</c:v>
                </c:pt>
                <c:pt idx="8">
                  <c:v>0.09</c:v>
                </c:pt>
                <c:pt idx="9">
                  <c:v>0.16000000000000003</c:v>
                </c:pt>
                <c:pt idx="10">
                  <c:v>0.25</c:v>
                </c:pt>
                <c:pt idx="11">
                  <c:v>0.36</c:v>
                </c:pt>
                <c:pt idx="12">
                  <c:v>0.48999999999999994</c:v>
                </c:pt>
                <c:pt idx="13">
                  <c:v>0.64000000000000012</c:v>
                </c:pt>
                <c:pt idx="14">
                  <c:v>0.81</c:v>
                </c:pt>
                <c:pt idx="15">
                  <c:v>1</c:v>
                </c:pt>
              </c:numCache>
            </c:numRef>
          </c:xVal>
          <c:yVal>
            <c:numRef>
              <c:f>'Drag (new)'!$M$94:$M$109</c:f>
              <c:numCache>
                <c:formatCode>0.0000</c:formatCode>
                <c:ptCount val="16"/>
                <c:pt idx="0">
                  <c:v>2.6753199810372982E-2</c:v>
                </c:pt>
                <c:pt idx="1">
                  <c:v>2.2966888037417636E-2</c:v>
                </c:pt>
                <c:pt idx="2">
                  <c:v>2.0021978880674585E-2</c:v>
                </c:pt>
                <c:pt idx="3">
                  <c:v>1.6235667107719239E-2</c:v>
                </c:pt>
                <c:pt idx="4">
                  <c:v>1.7918472340143834E-2</c:v>
                </c:pt>
                <c:pt idx="5">
                  <c:v>1.6656368415825386E-2</c:v>
                </c:pt>
                <c:pt idx="6">
                  <c:v>1.6656368415825386E-2</c:v>
                </c:pt>
                <c:pt idx="7">
                  <c:v>1.7918472340143834E-2</c:v>
                </c:pt>
                <c:pt idx="8">
                  <c:v>2.0021978880674585E-2</c:v>
                </c:pt>
                <c:pt idx="9">
                  <c:v>2.2966888037417636E-2</c:v>
                </c:pt>
                <c:pt idx="10">
                  <c:v>2.6753199810372982E-2</c:v>
                </c:pt>
                <c:pt idx="11">
                  <c:v>3.138091419954063E-2</c:v>
                </c:pt>
                <c:pt idx="12">
                  <c:v>3.6850031204920572E-2</c:v>
                </c:pt>
                <c:pt idx="13">
                  <c:v>4.3160550826512829E-2</c:v>
                </c:pt>
                <c:pt idx="14">
                  <c:v>5.0312473064317374E-2</c:v>
                </c:pt>
                <c:pt idx="15">
                  <c:v>5.8305797918334214E-2</c:v>
                </c:pt>
              </c:numCache>
            </c:numRef>
          </c:yVal>
          <c:smooth val="0"/>
          <c:extLst>
            <c:ext xmlns:c16="http://schemas.microsoft.com/office/drawing/2014/chart" uri="{C3380CC4-5D6E-409C-BE32-E72D297353CC}">
              <c16:uniqueId val="{00000001-DC07-4666-A220-ABEA3CBE5F39}"/>
            </c:ext>
          </c:extLst>
        </c:ser>
        <c:dLbls>
          <c:showLegendKey val="0"/>
          <c:showVal val="0"/>
          <c:showCatName val="0"/>
          <c:showSerName val="0"/>
          <c:showPercent val="0"/>
          <c:showBubbleSize val="0"/>
        </c:dLbls>
        <c:axId val="1887219720"/>
        <c:axId val="1887221768"/>
      </c:scatterChart>
      <c:valAx>
        <c:axId val="18872197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 of Lift^2</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221768"/>
        <c:crosses val="autoZero"/>
        <c:crossBetween val="midCat"/>
      </c:valAx>
      <c:valAx>
        <c:axId val="1887221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 of Drag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2197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Drag Polar</a:t>
            </a:r>
          </a:p>
        </c:rich>
      </c:tx>
      <c:layout>
        <c:manualLayout>
          <c:xMode val="edge"/>
          <c:yMode val="edge"/>
          <c:x val="0.42125337332552998"/>
          <c:y val="2.63826937838287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939841006632853E-2"/>
          <c:y val="0.24608509561302891"/>
          <c:w val="0.88216079789309398"/>
          <c:h val="0.65871735098365558"/>
        </c:manualLayout>
      </c:layout>
      <c:scatterChart>
        <c:scatterStyle val="smoothMarker"/>
        <c:varyColors val="0"/>
        <c:ser>
          <c:idx val="0"/>
          <c:order val="0"/>
          <c:tx>
            <c:v>Parabolic Drag Polar</c:v>
          </c:tx>
          <c:spPr>
            <a:ln w="25400" cap="rnd">
              <a:solidFill>
                <a:schemeClr val="accent1"/>
              </a:solidFill>
              <a:round/>
            </a:ln>
            <a:effectLst>
              <a:outerShdw blurRad="50800" dist="38100" dir="2700000" algn="tl" rotWithShape="0">
                <a:prstClr val="black">
                  <a:alpha val="40000"/>
                </a:prstClr>
              </a:outerShdw>
            </a:effectLst>
          </c:spPr>
          <c:marker>
            <c:symbol val="none"/>
          </c:marker>
          <c:dPt>
            <c:idx val="12"/>
            <c:marker>
              <c:symbol val="none"/>
            </c:marker>
            <c:bubble3D val="0"/>
            <c:extLst>
              <c:ext xmlns:c16="http://schemas.microsoft.com/office/drawing/2014/chart" uri="{C3380CC4-5D6E-409C-BE32-E72D297353CC}">
                <c16:uniqueId val="{00000000-1AB8-41D1-8675-5850B5D0DDF1}"/>
              </c:ext>
            </c:extLst>
          </c:dPt>
          <c:dPt>
            <c:idx val="16"/>
            <c:marker>
              <c:symbol val="none"/>
            </c:marker>
            <c:bubble3D val="0"/>
            <c:extLst>
              <c:ext xmlns:c16="http://schemas.microsoft.com/office/drawing/2014/chart" uri="{C3380CC4-5D6E-409C-BE32-E72D297353CC}">
                <c16:uniqueId val="{00000001-1AB8-41D1-8675-5850B5D0DDF1}"/>
              </c:ext>
            </c:extLst>
          </c:dPt>
          <c:xVal>
            <c:numRef>
              <c:f>'Drag (new)'!$L$115:$L$138</c:f>
              <c:numCache>
                <c:formatCode>0.00E+00</c:formatCode>
                <c:ptCount val="24"/>
                <c:pt idx="0">
                  <c:v>0.13054434445606422</c:v>
                </c:pt>
                <c:pt idx="1">
                  <c:v>0.11841559372268329</c:v>
                </c:pt>
                <c:pt idx="2">
                  <c:v>0.10696688899310616</c:v>
                </c:pt>
                <c:pt idx="3">
                  <c:v>9.6198230267332818E-2</c:v>
                </c:pt>
                <c:pt idx="4">
                  <c:v>8.6109617545363254E-2</c:v>
                </c:pt>
                <c:pt idx="5">
                  <c:v>7.6701050827197498E-2</c:v>
                </c:pt>
                <c:pt idx="6">
                  <c:v>6.7972530112835522E-2</c:v>
                </c:pt>
                <c:pt idx="7">
                  <c:v>5.9924055402277361E-2</c:v>
                </c:pt>
                <c:pt idx="8">
                  <c:v>5.2555626695523015E-2</c:v>
                </c:pt>
                <c:pt idx="9">
                  <c:v>4.5867243992572443E-2</c:v>
                </c:pt>
                <c:pt idx="10">
                  <c:v>3.9858907293425672E-2</c:v>
                </c:pt>
                <c:pt idx="11">
                  <c:v>3.4530616598082695E-2</c:v>
                </c:pt>
                <c:pt idx="12">
                  <c:v>2.9882371906543519E-2</c:v>
                </c:pt>
                <c:pt idx="13">
                  <c:v>2.5914173218808137E-2</c:v>
                </c:pt>
                <c:pt idx="14">
                  <c:v>2.2626020534876553E-2</c:v>
                </c:pt>
                <c:pt idx="15">
                  <c:v>2.0017913854748763E-2</c:v>
                </c:pt>
                <c:pt idx="16">
                  <c:v>1.8089853178424774E-2</c:v>
                </c:pt>
                <c:pt idx="17">
                  <c:v>1.684183850590458E-2</c:v>
                </c:pt>
                <c:pt idx="18">
                  <c:v>1.6273869837188183E-2</c:v>
                </c:pt>
                <c:pt idx="19">
                  <c:v>1.6385947172275584E-2</c:v>
                </c:pt>
                <c:pt idx="20">
                  <c:v>1.7178070511166779E-2</c:v>
                </c:pt>
                <c:pt idx="21">
                  <c:v>1.8650239853861772E-2</c:v>
                </c:pt>
                <c:pt idx="22">
                  <c:v>2.0802455200360562E-2</c:v>
                </c:pt>
                <c:pt idx="23">
                  <c:v>2.3634716550663147E-2</c:v>
                </c:pt>
              </c:numCache>
            </c:numRef>
          </c:xVal>
          <c:yVal>
            <c:numRef>
              <c:f>'Drag (new)'!$K$115:$K$138</c:f>
              <c:numCache>
                <c:formatCode>0.000</c:formatCode>
                <c:ptCount val="24"/>
                <c:pt idx="0">
                  <c:v>1.64836228282135</c:v>
                </c:pt>
                <c:pt idx="1">
                  <c:v>1.5584607249735578</c:v>
                </c:pt>
                <c:pt idx="2">
                  <c:v>1.4685591671257656</c:v>
                </c:pt>
                <c:pt idx="3">
                  <c:v>1.3786576092779734</c:v>
                </c:pt>
                <c:pt idx="4">
                  <c:v>1.288756051430181</c:v>
                </c:pt>
                <c:pt idx="5">
                  <c:v>1.1988544935823888</c:v>
                </c:pt>
                <c:pt idx="6">
                  <c:v>1.1089529357345964</c:v>
                </c:pt>
                <c:pt idx="7">
                  <c:v>1.0190513778868042</c:v>
                </c:pt>
                <c:pt idx="8">
                  <c:v>0.92914982003901214</c:v>
                </c:pt>
                <c:pt idx="9">
                  <c:v>0.83924826219121984</c:v>
                </c:pt>
                <c:pt idx="10">
                  <c:v>0.74934670434342754</c:v>
                </c:pt>
                <c:pt idx="11">
                  <c:v>0.65944514649563535</c:v>
                </c:pt>
                <c:pt idx="12">
                  <c:v>0.56954358864784305</c:v>
                </c:pt>
                <c:pt idx="13">
                  <c:v>0.4796420308000508</c:v>
                </c:pt>
                <c:pt idx="14">
                  <c:v>0.38974047295225855</c:v>
                </c:pt>
                <c:pt idx="15">
                  <c:v>0.29983891510446631</c:v>
                </c:pt>
                <c:pt idx="16">
                  <c:v>0.20993735725667406</c:v>
                </c:pt>
                <c:pt idx="17">
                  <c:v>0.12003579940888176</c:v>
                </c:pt>
                <c:pt idx="18">
                  <c:v>3.013424156108957E-2</c:v>
                </c:pt>
                <c:pt idx="19">
                  <c:v>-5.9767316286702676E-2</c:v>
                </c:pt>
                <c:pt idx="20">
                  <c:v>-0.14966887413449503</c:v>
                </c:pt>
                <c:pt idx="21">
                  <c:v>-0.23957043198228722</c:v>
                </c:pt>
                <c:pt idx="22">
                  <c:v>-0.32947198983007941</c:v>
                </c:pt>
                <c:pt idx="23">
                  <c:v>-0.41937354767787172</c:v>
                </c:pt>
              </c:numCache>
            </c:numRef>
          </c:yVal>
          <c:smooth val="1"/>
          <c:extLst>
            <c:ext xmlns:c16="http://schemas.microsoft.com/office/drawing/2014/chart" uri="{C3380CC4-5D6E-409C-BE32-E72D297353CC}">
              <c16:uniqueId val="{00000002-1AB8-41D1-8675-5850B5D0DDF1}"/>
            </c:ext>
          </c:extLst>
        </c:ser>
        <c:ser>
          <c:idx val="1"/>
          <c:order val="1"/>
          <c:tx>
            <c:v>Actual Drag Polar</c:v>
          </c:tx>
          <c:spPr>
            <a:ln w="19050" cap="rnd">
              <a:solidFill>
                <a:schemeClr val="accent2"/>
              </a:solidFill>
              <a:round/>
            </a:ln>
            <a:effectLst/>
          </c:spPr>
          <c:marker>
            <c:symbol val="none"/>
          </c:marker>
          <c:xVal>
            <c:numRef>
              <c:f>'Drag (new)'!$I$115:$I$138</c:f>
              <c:numCache>
                <c:formatCode>0.00E+00</c:formatCode>
                <c:ptCount val="24"/>
                <c:pt idx="0">
                  <c:v>7.4116704536908967E-2</c:v>
                </c:pt>
                <c:pt idx="1">
                  <c:v>7.033453423817429E-2</c:v>
                </c:pt>
                <c:pt idx="2">
                  <c:v>6.6552363939439613E-2</c:v>
                </c:pt>
                <c:pt idx="3">
                  <c:v>6.2770193640704908E-2</c:v>
                </c:pt>
                <c:pt idx="4">
                  <c:v>5.8988023341970217E-2</c:v>
                </c:pt>
                <c:pt idx="5">
                  <c:v>5.5205853043235539E-2</c:v>
                </c:pt>
                <c:pt idx="6">
                  <c:v>5.1423682744500841E-2</c:v>
                </c:pt>
                <c:pt idx="7">
                  <c:v>4.7641512445766157E-2</c:v>
                </c:pt>
                <c:pt idx="8">
                  <c:v>4.3859342147031473E-2</c:v>
                </c:pt>
                <c:pt idx="9">
                  <c:v>4.0077171848296782E-2</c:v>
                </c:pt>
                <c:pt idx="10">
                  <c:v>3.6295001549562091E-2</c:v>
                </c:pt>
                <c:pt idx="11">
                  <c:v>3.2512831250827406E-2</c:v>
                </c:pt>
                <c:pt idx="12">
                  <c:v>2.8730660952092712E-2</c:v>
                </c:pt>
                <c:pt idx="13">
                  <c:v>2.4948490653358021E-2</c:v>
                </c:pt>
                <c:pt idx="14">
                  <c:v>2.1166320354623333E-2</c:v>
                </c:pt>
                <c:pt idx="15">
                  <c:v>1.7384150055888642E-2</c:v>
                </c:pt>
                <c:pt idx="16">
                  <c:v>1.3601979757153954E-2</c:v>
                </c:pt>
                <c:pt idx="17">
                  <c:v>9.8198094584192631E-3</c:v>
                </c:pt>
                <c:pt idx="18">
                  <c:v>6.0376391596845755E-3</c:v>
                </c:pt>
                <c:pt idx="19">
                  <c:v>2.2554688609498861E-3</c:v>
                </c:pt>
                <c:pt idx="20">
                  <c:v>-1.5267014377848068E-3</c:v>
                </c:pt>
                <c:pt idx="21">
                  <c:v>-5.3088717365194944E-3</c:v>
                </c:pt>
                <c:pt idx="22">
                  <c:v>-9.0910420352541786E-3</c:v>
                </c:pt>
                <c:pt idx="23">
                  <c:v>-1.287321233398887E-2</c:v>
                </c:pt>
              </c:numCache>
            </c:numRef>
          </c:xVal>
          <c:yVal>
            <c:numRef>
              <c:f>'Drag (new)'!$K$115:$K$138</c:f>
              <c:numCache>
                <c:formatCode>0.000</c:formatCode>
                <c:ptCount val="24"/>
                <c:pt idx="0">
                  <c:v>1.64836228282135</c:v>
                </c:pt>
                <c:pt idx="1">
                  <c:v>1.5584607249735578</c:v>
                </c:pt>
                <c:pt idx="2">
                  <c:v>1.4685591671257656</c:v>
                </c:pt>
                <c:pt idx="3">
                  <c:v>1.3786576092779734</c:v>
                </c:pt>
                <c:pt idx="4">
                  <c:v>1.288756051430181</c:v>
                </c:pt>
                <c:pt idx="5">
                  <c:v>1.1988544935823888</c:v>
                </c:pt>
                <c:pt idx="6">
                  <c:v>1.1089529357345964</c:v>
                </c:pt>
                <c:pt idx="7">
                  <c:v>1.0190513778868042</c:v>
                </c:pt>
                <c:pt idx="8">
                  <c:v>0.92914982003901214</c:v>
                </c:pt>
                <c:pt idx="9">
                  <c:v>0.83924826219121984</c:v>
                </c:pt>
                <c:pt idx="10">
                  <c:v>0.74934670434342754</c:v>
                </c:pt>
                <c:pt idx="11">
                  <c:v>0.65944514649563535</c:v>
                </c:pt>
                <c:pt idx="12">
                  <c:v>0.56954358864784305</c:v>
                </c:pt>
                <c:pt idx="13">
                  <c:v>0.4796420308000508</c:v>
                </c:pt>
                <c:pt idx="14">
                  <c:v>0.38974047295225855</c:v>
                </c:pt>
                <c:pt idx="15">
                  <c:v>0.29983891510446631</c:v>
                </c:pt>
                <c:pt idx="16">
                  <c:v>0.20993735725667406</c:v>
                </c:pt>
                <c:pt idx="17">
                  <c:v>0.12003579940888176</c:v>
                </c:pt>
                <c:pt idx="18">
                  <c:v>3.013424156108957E-2</c:v>
                </c:pt>
                <c:pt idx="19">
                  <c:v>-5.9767316286702676E-2</c:v>
                </c:pt>
                <c:pt idx="20">
                  <c:v>-0.14966887413449503</c:v>
                </c:pt>
                <c:pt idx="21">
                  <c:v>-0.23957043198228722</c:v>
                </c:pt>
                <c:pt idx="22">
                  <c:v>-0.32947198983007941</c:v>
                </c:pt>
                <c:pt idx="23">
                  <c:v>-0.41937354767787172</c:v>
                </c:pt>
              </c:numCache>
            </c:numRef>
          </c:yVal>
          <c:smooth val="1"/>
          <c:extLst>
            <c:ext xmlns:c16="http://schemas.microsoft.com/office/drawing/2014/chart" uri="{C3380CC4-5D6E-409C-BE32-E72D297353CC}">
              <c16:uniqueId val="{00000003-1AB8-41D1-8675-5850B5D0DDF1}"/>
            </c:ext>
          </c:extLst>
        </c:ser>
        <c:dLbls>
          <c:showLegendKey val="0"/>
          <c:showVal val="0"/>
          <c:showCatName val="0"/>
          <c:showSerName val="0"/>
          <c:showPercent val="0"/>
          <c:showBubbleSize val="0"/>
        </c:dLbls>
        <c:axId val="901573343"/>
        <c:axId val="901571423"/>
      </c:scatterChart>
      <c:valAx>
        <c:axId val="9015733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a:t>Drag Coefficient (CD)</a:t>
                </a:r>
              </a:p>
            </c:rich>
          </c:tx>
          <c:layout>
            <c:manualLayout>
              <c:xMode val="edge"/>
              <c:yMode val="edge"/>
              <c:x val="0.42137326863051111"/>
              <c:y val="0.920701655012002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01571423"/>
        <c:crosses val="autoZero"/>
        <c:crossBetween val="midCat"/>
      </c:valAx>
      <c:valAx>
        <c:axId val="901571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a:t>Lift Coefficient (CL)</a:t>
                </a:r>
              </a:p>
            </c:rich>
          </c:tx>
          <c:layout>
            <c:manualLayout>
              <c:xMode val="edge"/>
              <c:yMode val="edge"/>
              <c:x val="1.2903986214072051E-2"/>
              <c:y val="0.3187621461663556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57334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Drag Polar</a:t>
            </a:r>
          </a:p>
        </c:rich>
      </c:tx>
      <c:layout>
        <c:manualLayout>
          <c:xMode val="edge"/>
          <c:yMode val="edge"/>
          <c:x val="0.42125337332552998"/>
          <c:y val="2.63826937838287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939841006632853E-2"/>
          <c:y val="0.24608509561302891"/>
          <c:w val="0.88216079789309398"/>
          <c:h val="0.65871735098365558"/>
        </c:manualLayout>
      </c:layout>
      <c:scatterChart>
        <c:scatterStyle val="smoothMarker"/>
        <c:varyColors val="0"/>
        <c:ser>
          <c:idx val="0"/>
          <c:order val="0"/>
          <c:tx>
            <c:v>Parabolic Drag Polar</c:v>
          </c:tx>
          <c:spPr>
            <a:ln w="25400" cap="rnd">
              <a:solidFill>
                <a:schemeClr val="accent1"/>
              </a:solidFill>
              <a:round/>
            </a:ln>
            <a:effectLst>
              <a:outerShdw blurRad="50800" dist="38100" dir="2700000" algn="tl" rotWithShape="0">
                <a:prstClr val="black">
                  <a:alpha val="40000"/>
                </a:prstClr>
              </a:outerShdw>
            </a:effectLst>
          </c:spPr>
          <c:marker>
            <c:symbol val="none"/>
          </c:marker>
          <c:dPt>
            <c:idx val="12"/>
            <c:marker>
              <c:symbol val="circle"/>
              <c:size val="5"/>
              <c:spPr>
                <a:solidFill>
                  <a:schemeClr val="tx1"/>
                </a:solidFill>
                <a:ln w="9525">
                  <a:solidFill>
                    <a:schemeClr val="tx1"/>
                  </a:solidFill>
                </a:ln>
                <a:effectLst/>
              </c:spPr>
            </c:marker>
            <c:bubble3D val="0"/>
            <c:extLst>
              <c:ext xmlns:c16="http://schemas.microsoft.com/office/drawing/2014/chart" uri="{C3380CC4-5D6E-409C-BE32-E72D297353CC}">
                <c16:uniqueId val="{00000000-1D14-4F3B-B27C-8342214A8C11}"/>
              </c:ext>
            </c:extLst>
          </c:dPt>
          <c:dPt>
            <c:idx val="16"/>
            <c:marker>
              <c:symbol val="circle"/>
              <c:size val="5"/>
              <c:spPr>
                <a:solidFill>
                  <a:schemeClr val="tx1"/>
                </a:solidFill>
                <a:ln w="9525">
                  <a:solidFill>
                    <a:schemeClr val="tx1"/>
                  </a:solidFill>
                </a:ln>
                <a:effectLst/>
              </c:spPr>
            </c:marker>
            <c:bubble3D val="0"/>
            <c:extLst>
              <c:ext xmlns:c16="http://schemas.microsoft.com/office/drawing/2014/chart" uri="{C3380CC4-5D6E-409C-BE32-E72D297353CC}">
                <c16:uniqueId val="{00000001-1D14-4F3B-B27C-8342214A8C11}"/>
              </c:ext>
            </c:extLst>
          </c:dPt>
          <c:dLbls>
            <c:dLbl>
              <c:idx val="12"/>
              <c:layout>
                <c:manualLayout>
                  <c:x val="-0.14452464559760703"/>
                  <c:y val="-3.5342683142757653E-2"/>
                </c:manualLayout>
              </c:layout>
              <c:tx>
                <c:rich>
                  <a:bodyPr/>
                  <a:lstStyle/>
                  <a:p>
                    <a:r>
                      <a:rPr lang="en-US"/>
                      <a:t>CL/CDmax</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1D14-4F3B-B27C-8342214A8C11}"/>
                </c:ext>
              </c:extLst>
            </c:dLbl>
            <c:dLbl>
              <c:idx val="16"/>
              <c:layout>
                <c:manualLayout>
                  <c:x val="6.4453394613116759E-3"/>
                  <c:y val="1.319134689191439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a:t>CLminDrag</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70893049995534"/>
                      <c:h val="5.2699603947986624E-2"/>
                    </c:manualLayout>
                  </c15:layout>
                  <c15:showDataLabelsRange val="0"/>
                </c:ext>
                <c:ext xmlns:c16="http://schemas.microsoft.com/office/drawing/2014/chart" uri="{C3380CC4-5D6E-409C-BE32-E72D297353CC}">
                  <c16:uniqueId val="{00000001-1D14-4F3B-B27C-8342214A8C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'Drag (new)'!$L$115:$L$138</c:f>
              <c:numCache>
                <c:formatCode>0.00E+00</c:formatCode>
                <c:ptCount val="24"/>
                <c:pt idx="0">
                  <c:v>0.13054434445606422</c:v>
                </c:pt>
                <c:pt idx="1">
                  <c:v>0.11841559372268329</c:v>
                </c:pt>
                <c:pt idx="2">
                  <c:v>0.10696688899310616</c:v>
                </c:pt>
                <c:pt idx="3">
                  <c:v>9.6198230267332818E-2</c:v>
                </c:pt>
                <c:pt idx="4">
                  <c:v>8.6109617545363254E-2</c:v>
                </c:pt>
                <c:pt idx="5">
                  <c:v>7.6701050827197498E-2</c:v>
                </c:pt>
                <c:pt idx="6">
                  <c:v>6.7972530112835522E-2</c:v>
                </c:pt>
                <c:pt idx="7">
                  <c:v>5.9924055402277361E-2</c:v>
                </c:pt>
                <c:pt idx="8">
                  <c:v>5.2555626695523015E-2</c:v>
                </c:pt>
                <c:pt idx="9">
                  <c:v>4.5867243992572443E-2</c:v>
                </c:pt>
                <c:pt idx="10">
                  <c:v>3.9858907293425672E-2</c:v>
                </c:pt>
                <c:pt idx="11">
                  <c:v>3.4530616598082695E-2</c:v>
                </c:pt>
                <c:pt idx="12">
                  <c:v>2.9882371906543519E-2</c:v>
                </c:pt>
                <c:pt idx="13">
                  <c:v>2.5914173218808137E-2</c:v>
                </c:pt>
                <c:pt idx="14">
                  <c:v>2.2626020534876553E-2</c:v>
                </c:pt>
                <c:pt idx="15">
                  <c:v>2.0017913854748763E-2</c:v>
                </c:pt>
                <c:pt idx="16">
                  <c:v>1.8089853178424774E-2</c:v>
                </c:pt>
                <c:pt idx="17">
                  <c:v>1.684183850590458E-2</c:v>
                </c:pt>
                <c:pt idx="18">
                  <c:v>1.6273869837188183E-2</c:v>
                </c:pt>
                <c:pt idx="19">
                  <c:v>1.6385947172275584E-2</c:v>
                </c:pt>
                <c:pt idx="20">
                  <c:v>1.7178070511166779E-2</c:v>
                </c:pt>
                <c:pt idx="21">
                  <c:v>1.8650239853861772E-2</c:v>
                </c:pt>
                <c:pt idx="22">
                  <c:v>2.0802455200360562E-2</c:v>
                </c:pt>
                <c:pt idx="23">
                  <c:v>2.3634716550663147E-2</c:v>
                </c:pt>
              </c:numCache>
            </c:numRef>
          </c:xVal>
          <c:yVal>
            <c:numRef>
              <c:f>'Drag (new)'!$K$115:$K$138</c:f>
              <c:numCache>
                <c:formatCode>0.000</c:formatCode>
                <c:ptCount val="24"/>
                <c:pt idx="0">
                  <c:v>1.64836228282135</c:v>
                </c:pt>
                <c:pt idx="1">
                  <c:v>1.5584607249735578</c:v>
                </c:pt>
                <c:pt idx="2">
                  <c:v>1.4685591671257656</c:v>
                </c:pt>
                <c:pt idx="3">
                  <c:v>1.3786576092779734</c:v>
                </c:pt>
                <c:pt idx="4">
                  <c:v>1.288756051430181</c:v>
                </c:pt>
                <c:pt idx="5">
                  <c:v>1.1988544935823888</c:v>
                </c:pt>
                <c:pt idx="6">
                  <c:v>1.1089529357345964</c:v>
                </c:pt>
                <c:pt idx="7">
                  <c:v>1.0190513778868042</c:v>
                </c:pt>
                <c:pt idx="8">
                  <c:v>0.92914982003901214</c:v>
                </c:pt>
                <c:pt idx="9">
                  <c:v>0.83924826219121984</c:v>
                </c:pt>
                <c:pt idx="10">
                  <c:v>0.74934670434342754</c:v>
                </c:pt>
                <c:pt idx="11">
                  <c:v>0.65944514649563535</c:v>
                </c:pt>
                <c:pt idx="12">
                  <c:v>0.56954358864784305</c:v>
                </c:pt>
                <c:pt idx="13">
                  <c:v>0.4796420308000508</c:v>
                </c:pt>
                <c:pt idx="14">
                  <c:v>0.38974047295225855</c:v>
                </c:pt>
                <c:pt idx="15">
                  <c:v>0.29983891510446631</c:v>
                </c:pt>
                <c:pt idx="16">
                  <c:v>0.20993735725667406</c:v>
                </c:pt>
                <c:pt idx="17">
                  <c:v>0.12003579940888176</c:v>
                </c:pt>
                <c:pt idx="18">
                  <c:v>3.013424156108957E-2</c:v>
                </c:pt>
                <c:pt idx="19">
                  <c:v>-5.9767316286702676E-2</c:v>
                </c:pt>
                <c:pt idx="20">
                  <c:v>-0.14966887413449503</c:v>
                </c:pt>
                <c:pt idx="21">
                  <c:v>-0.23957043198228722</c:v>
                </c:pt>
                <c:pt idx="22">
                  <c:v>-0.32947198983007941</c:v>
                </c:pt>
                <c:pt idx="23">
                  <c:v>-0.41937354767787172</c:v>
                </c:pt>
              </c:numCache>
            </c:numRef>
          </c:yVal>
          <c:smooth val="1"/>
          <c:extLst>
            <c:ext xmlns:c16="http://schemas.microsoft.com/office/drawing/2014/chart" uri="{C3380CC4-5D6E-409C-BE32-E72D297353CC}">
              <c16:uniqueId val="{00000002-1D14-4F3B-B27C-8342214A8C11}"/>
            </c:ext>
          </c:extLst>
        </c:ser>
        <c:ser>
          <c:idx val="1"/>
          <c:order val="1"/>
          <c:tx>
            <c:v>Actual Drag Polar</c:v>
          </c:tx>
          <c:spPr>
            <a:ln w="19050" cap="rnd">
              <a:solidFill>
                <a:schemeClr val="accent2"/>
              </a:solidFill>
              <a:round/>
            </a:ln>
            <a:effectLst/>
          </c:spPr>
          <c:marker>
            <c:symbol val="none"/>
          </c:marker>
          <c:xVal>
            <c:numRef>
              <c:f>'Drag (new)'!$I$115:$I$138</c:f>
              <c:numCache>
                <c:formatCode>0.00E+00</c:formatCode>
                <c:ptCount val="24"/>
                <c:pt idx="0">
                  <c:v>7.4116704536908967E-2</c:v>
                </c:pt>
                <c:pt idx="1">
                  <c:v>7.033453423817429E-2</c:v>
                </c:pt>
                <c:pt idx="2">
                  <c:v>6.6552363939439613E-2</c:v>
                </c:pt>
                <c:pt idx="3">
                  <c:v>6.2770193640704908E-2</c:v>
                </c:pt>
                <c:pt idx="4">
                  <c:v>5.8988023341970217E-2</c:v>
                </c:pt>
                <c:pt idx="5">
                  <c:v>5.5205853043235539E-2</c:v>
                </c:pt>
                <c:pt idx="6">
                  <c:v>5.1423682744500841E-2</c:v>
                </c:pt>
                <c:pt idx="7">
                  <c:v>4.7641512445766157E-2</c:v>
                </c:pt>
                <c:pt idx="8">
                  <c:v>4.3859342147031473E-2</c:v>
                </c:pt>
                <c:pt idx="9">
                  <c:v>4.0077171848296782E-2</c:v>
                </c:pt>
                <c:pt idx="10">
                  <c:v>3.6295001549562091E-2</c:v>
                </c:pt>
                <c:pt idx="11">
                  <c:v>3.2512831250827406E-2</c:v>
                </c:pt>
                <c:pt idx="12">
                  <c:v>2.8730660952092712E-2</c:v>
                </c:pt>
                <c:pt idx="13">
                  <c:v>2.4948490653358021E-2</c:v>
                </c:pt>
                <c:pt idx="14">
                  <c:v>2.1166320354623333E-2</c:v>
                </c:pt>
                <c:pt idx="15">
                  <c:v>1.7384150055888642E-2</c:v>
                </c:pt>
                <c:pt idx="16">
                  <c:v>1.3601979757153954E-2</c:v>
                </c:pt>
                <c:pt idx="17">
                  <c:v>9.8198094584192631E-3</c:v>
                </c:pt>
                <c:pt idx="18">
                  <c:v>6.0376391596845755E-3</c:v>
                </c:pt>
                <c:pt idx="19">
                  <c:v>2.2554688609498861E-3</c:v>
                </c:pt>
                <c:pt idx="20">
                  <c:v>-1.5267014377848068E-3</c:v>
                </c:pt>
                <c:pt idx="21">
                  <c:v>-5.3088717365194944E-3</c:v>
                </c:pt>
                <c:pt idx="22">
                  <c:v>-9.0910420352541786E-3</c:v>
                </c:pt>
                <c:pt idx="23">
                  <c:v>-1.287321233398887E-2</c:v>
                </c:pt>
              </c:numCache>
            </c:numRef>
          </c:xVal>
          <c:yVal>
            <c:numRef>
              <c:f>'Drag (new)'!$K$115:$K$138</c:f>
              <c:numCache>
                <c:formatCode>0.000</c:formatCode>
                <c:ptCount val="24"/>
                <c:pt idx="0">
                  <c:v>1.64836228282135</c:v>
                </c:pt>
                <c:pt idx="1">
                  <c:v>1.5584607249735578</c:v>
                </c:pt>
                <c:pt idx="2">
                  <c:v>1.4685591671257656</c:v>
                </c:pt>
                <c:pt idx="3">
                  <c:v>1.3786576092779734</c:v>
                </c:pt>
                <c:pt idx="4">
                  <c:v>1.288756051430181</c:v>
                </c:pt>
                <c:pt idx="5">
                  <c:v>1.1988544935823888</c:v>
                </c:pt>
                <c:pt idx="6">
                  <c:v>1.1089529357345964</c:v>
                </c:pt>
                <c:pt idx="7">
                  <c:v>1.0190513778868042</c:v>
                </c:pt>
                <c:pt idx="8">
                  <c:v>0.92914982003901214</c:v>
                </c:pt>
                <c:pt idx="9">
                  <c:v>0.83924826219121984</c:v>
                </c:pt>
                <c:pt idx="10">
                  <c:v>0.74934670434342754</c:v>
                </c:pt>
                <c:pt idx="11">
                  <c:v>0.65944514649563535</c:v>
                </c:pt>
                <c:pt idx="12">
                  <c:v>0.56954358864784305</c:v>
                </c:pt>
                <c:pt idx="13">
                  <c:v>0.4796420308000508</c:v>
                </c:pt>
                <c:pt idx="14">
                  <c:v>0.38974047295225855</c:v>
                </c:pt>
                <c:pt idx="15">
                  <c:v>0.29983891510446631</c:v>
                </c:pt>
                <c:pt idx="16">
                  <c:v>0.20993735725667406</c:v>
                </c:pt>
                <c:pt idx="17">
                  <c:v>0.12003579940888176</c:v>
                </c:pt>
                <c:pt idx="18">
                  <c:v>3.013424156108957E-2</c:v>
                </c:pt>
                <c:pt idx="19">
                  <c:v>-5.9767316286702676E-2</c:v>
                </c:pt>
                <c:pt idx="20">
                  <c:v>-0.14966887413449503</c:v>
                </c:pt>
                <c:pt idx="21">
                  <c:v>-0.23957043198228722</c:v>
                </c:pt>
                <c:pt idx="22">
                  <c:v>-0.32947198983007941</c:v>
                </c:pt>
                <c:pt idx="23">
                  <c:v>-0.41937354767787172</c:v>
                </c:pt>
              </c:numCache>
            </c:numRef>
          </c:yVal>
          <c:smooth val="1"/>
          <c:extLst>
            <c:ext xmlns:c16="http://schemas.microsoft.com/office/drawing/2014/chart" uri="{C3380CC4-5D6E-409C-BE32-E72D297353CC}">
              <c16:uniqueId val="{00000003-1D14-4F3B-B27C-8342214A8C11}"/>
            </c:ext>
          </c:extLst>
        </c:ser>
        <c:dLbls>
          <c:showLegendKey val="0"/>
          <c:showVal val="0"/>
          <c:showCatName val="0"/>
          <c:showSerName val="0"/>
          <c:showPercent val="0"/>
          <c:showBubbleSize val="0"/>
        </c:dLbls>
        <c:axId val="901573343"/>
        <c:axId val="901571423"/>
      </c:scatterChart>
      <c:valAx>
        <c:axId val="9015733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a:t>Drag Coefficient (CD)</a:t>
                </a:r>
              </a:p>
            </c:rich>
          </c:tx>
          <c:layout>
            <c:manualLayout>
              <c:xMode val="edge"/>
              <c:yMode val="edge"/>
              <c:x val="0.42137326863051111"/>
              <c:y val="0.920701655012002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01571423"/>
        <c:crosses val="autoZero"/>
        <c:crossBetween val="midCat"/>
      </c:valAx>
      <c:valAx>
        <c:axId val="901571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a:t>Lift Coefficient (CL)</a:t>
                </a:r>
              </a:p>
            </c:rich>
          </c:tx>
          <c:layout>
            <c:manualLayout>
              <c:xMode val="edge"/>
              <c:yMode val="edge"/>
              <c:x val="1.2903986214072051E-2"/>
              <c:y val="0.3187621461663556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57334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Flight Envelope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Envelope!$C$7</c:f>
              <c:strCache>
                <c:ptCount val="1"/>
                <c:pt idx="0">
                  <c:v>Vs (Stalling speed)</c:v>
                </c:pt>
              </c:strCache>
            </c:strRef>
          </c:tx>
          <c:spPr>
            <a:ln w="19050" cap="rnd">
              <a:solidFill>
                <a:schemeClr val="accent1"/>
              </a:solidFill>
              <a:round/>
            </a:ln>
            <a:effectLst/>
          </c:spPr>
          <c:marker>
            <c:symbol val="none"/>
          </c:marker>
          <c:xVal>
            <c:numRef>
              <c:f>Envelope!$C$9:$C$44</c:f>
              <c:numCache>
                <c:formatCode>General</c:formatCode>
                <c:ptCount val="36"/>
                <c:pt idx="0">
                  <c:v>91.394094063596299</c:v>
                </c:pt>
                <c:pt idx="1">
                  <c:v>91.394094063596299</c:v>
                </c:pt>
                <c:pt idx="2">
                  <c:v>91.394094063596299</c:v>
                </c:pt>
                <c:pt idx="3">
                  <c:v>91.394094063596299</c:v>
                </c:pt>
                <c:pt idx="4">
                  <c:v>91.394094063596299</c:v>
                </c:pt>
                <c:pt idx="5">
                  <c:v>91.394094063596299</c:v>
                </c:pt>
                <c:pt idx="6">
                  <c:v>91.394094063596299</c:v>
                </c:pt>
                <c:pt idx="7">
                  <c:v>91.394094063596299</c:v>
                </c:pt>
                <c:pt idx="8">
                  <c:v>91.394094063596299</c:v>
                </c:pt>
                <c:pt idx="9">
                  <c:v>91.394094063596299</c:v>
                </c:pt>
                <c:pt idx="10">
                  <c:v>91.394094063596299</c:v>
                </c:pt>
                <c:pt idx="11">
                  <c:v>91.394094063596299</c:v>
                </c:pt>
                <c:pt idx="12">
                  <c:v>91.394094063596299</c:v>
                </c:pt>
                <c:pt idx="13">
                  <c:v>91.394094063596299</c:v>
                </c:pt>
                <c:pt idx="14">
                  <c:v>91.394094063596299</c:v>
                </c:pt>
                <c:pt idx="15">
                  <c:v>91.394094063596299</c:v>
                </c:pt>
                <c:pt idx="16">
                  <c:v>91.394094063596299</c:v>
                </c:pt>
                <c:pt idx="17">
                  <c:v>91.394094063596299</c:v>
                </c:pt>
                <c:pt idx="18">
                  <c:v>91.394094063596299</c:v>
                </c:pt>
                <c:pt idx="19">
                  <c:v>91.394094063596299</c:v>
                </c:pt>
                <c:pt idx="20">
                  <c:v>91.394094063596299</c:v>
                </c:pt>
                <c:pt idx="21">
                  <c:v>91.394094063596299</c:v>
                </c:pt>
                <c:pt idx="22">
                  <c:v>91.394094063596299</c:v>
                </c:pt>
                <c:pt idx="23">
                  <c:v>91.394094063596299</c:v>
                </c:pt>
                <c:pt idx="24">
                  <c:v>91.394094063596299</c:v>
                </c:pt>
                <c:pt idx="25">
                  <c:v>91.394094063596299</c:v>
                </c:pt>
                <c:pt idx="26">
                  <c:v>91.394094063596299</c:v>
                </c:pt>
                <c:pt idx="27">
                  <c:v>91.394094063596299</c:v>
                </c:pt>
                <c:pt idx="28">
                  <c:v>91.394094063596299</c:v>
                </c:pt>
                <c:pt idx="29">
                  <c:v>91.394094063596299</c:v>
                </c:pt>
                <c:pt idx="30">
                  <c:v>91.394094063596299</c:v>
                </c:pt>
                <c:pt idx="31">
                  <c:v>91.394094063596299</c:v>
                </c:pt>
                <c:pt idx="32">
                  <c:v>91.394094063596299</c:v>
                </c:pt>
                <c:pt idx="33">
                  <c:v>91.394094063596299</c:v>
                </c:pt>
                <c:pt idx="34">
                  <c:v>91.394094063596299</c:v>
                </c:pt>
                <c:pt idx="35">
                  <c:v>91.394094063596299</c:v>
                </c:pt>
              </c:numCache>
            </c:numRef>
          </c:xVal>
          <c:yVal>
            <c:numRef>
              <c:f>Envelope!$A$9:$A$44</c:f>
              <c:numCache>
                <c:formatCode>General</c:formatCode>
                <c:ptCount val="36"/>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pt idx="33">
                  <c:v>33000</c:v>
                </c:pt>
                <c:pt idx="34">
                  <c:v>34000</c:v>
                </c:pt>
                <c:pt idx="35">
                  <c:v>35000</c:v>
                </c:pt>
              </c:numCache>
            </c:numRef>
          </c:yVal>
          <c:smooth val="0"/>
          <c:extLst>
            <c:ext xmlns:c16="http://schemas.microsoft.com/office/drawing/2014/chart" uri="{C3380CC4-5D6E-409C-BE32-E72D297353CC}">
              <c16:uniqueId val="{00000000-E2C1-42D5-A091-A47B4AF12430}"/>
            </c:ext>
          </c:extLst>
        </c:ser>
        <c:ser>
          <c:idx val="7"/>
          <c:order val="7"/>
          <c:tx>
            <c:strRef>
              <c:f>Envelope!$AJ$7</c:f>
              <c:strCache>
                <c:ptCount val="1"/>
                <c:pt idx="0">
                  <c:v>Vmax (max level speed)</c:v>
                </c:pt>
              </c:strCache>
            </c:strRef>
          </c:tx>
          <c:spPr>
            <a:ln w="19050" cap="rnd">
              <a:solidFill>
                <a:schemeClr val="accent2">
                  <a:lumMod val="60000"/>
                </a:schemeClr>
              </a:solidFill>
              <a:round/>
            </a:ln>
            <a:effectLst/>
          </c:spPr>
          <c:marker>
            <c:symbol val="none"/>
          </c:marker>
          <c:xVal>
            <c:numRef>
              <c:f>Envelope!$AJ$9:$AJ$44</c:f>
              <c:numCache>
                <c:formatCode>General</c:formatCode>
                <c:ptCount val="36"/>
                <c:pt idx="0">
                  <c:v>247</c:v>
                </c:pt>
                <c:pt idx="1">
                  <c:v>246</c:v>
                </c:pt>
                <c:pt idx="2">
                  <c:v>244</c:v>
                </c:pt>
                <c:pt idx="3">
                  <c:v>242</c:v>
                </c:pt>
                <c:pt idx="4">
                  <c:v>241</c:v>
                </c:pt>
                <c:pt idx="5">
                  <c:v>239</c:v>
                </c:pt>
                <c:pt idx="6">
                  <c:v>237</c:v>
                </c:pt>
                <c:pt idx="7">
                  <c:v>235</c:v>
                </c:pt>
                <c:pt idx="8">
                  <c:v>234</c:v>
                </c:pt>
                <c:pt idx="9">
                  <c:v>232</c:v>
                </c:pt>
                <c:pt idx="10">
                  <c:v>230</c:v>
                </c:pt>
                <c:pt idx="11">
                  <c:v>228</c:v>
                </c:pt>
                <c:pt idx="12">
                  <c:v>226</c:v>
                </c:pt>
                <c:pt idx="13">
                  <c:v>224</c:v>
                </c:pt>
                <c:pt idx="14">
                  <c:v>222</c:v>
                </c:pt>
                <c:pt idx="15">
                  <c:v>220</c:v>
                </c:pt>
                <c:pt idx="16">
                  <c:v>218</c:v>
                </c:pt>
                <c:pt idx="17">
                  <c:v>216</c:v>
                </c:pt>
                <c:pt idx="18">
                  <c:v>214</c:v>
                </c:pt>
                <c:pt idx="19">
                  <c:v>212</c:v>
                </c:pt>
                <c:pt idx="20">
                  <c:v>209</c:v>
                </c:pt>
                <c:pt idx="21">
                  <c:v>207</c:v>
                </c:pt>
                <c:pt idx="22">
                  <c:v>205</c:v>
                </c:pt>
                <c:pt idx="23">
                  <c:v>203</c:v>
                </c:pt>
                <c:pt idx="24">
                  <c:v>200</c:v>
                </c:pt>
                <c:pt idx="25">
                  <c:v>198</c:v>
                </c:pt>
                <c:pt idx="26">
                  <c:v>195</c:v>
                </c:pt>
                <c:pt idx="27">
                  <c:v>193</c:v>
                </c:pt>
                <c:pt idx="28">
                  <c:v>190</c:v>
                </c:pt>
                <c:pt idx="29">
                  <c:v>188</c:v>
                </c:pt>
                <c:pt idx="30">
                  <c:v>185</c:v>
                </c:pt>
                <c:pt idx="31">
                  <c:v>182</c:v>
                </c:pt>
                <c:pt idx="32">
                  <c:v>180</c:v>
                </c:pt>
                <c:pt idx="33">
                  <c:v>177</c:v>
                </c:pt>
                <c:pt idx="34">
                  <c:v>174</c:v>
                </c:pt>
                <c:pt idx="35">
                  <c:v>171</c:v>
                </c:pt>
              </c:numCache>
            </c:numRef>
          </c:xVal>
          <c:yVal>
            <c:numRef>
              <c:f>Envelope!$A$9:$A$44</c:f>
              <c:numCache>
                <c:formatCode>General</c:formatCode>
                <c:ptCount val="36"/>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pt idx="33">
                  <c:v>33000</c:v>
                </c:pt>
                <c:pt idx="34">
                  <c:v>34000</c:v>
                </c:pt>
                <c:pt idx="35">
                  <c:v>35000</c:v>
                </c:pt>
              </c:numCache>
            </c:numRef>
          </c:yVal>
          <c:smooth val="0"/>
          <c:extLst>
            <c:ext xmlns:c16="http://schemas.microsoft.com/office/drawing/2014/chart" uri="{C3380CC4-5D6E-409C-BE32-E72D297353CC}">
              <c16:uniqueId val="{00000007-E2C1-42D5-A091-A47B4AF12430}"/>
            </c:ext>
          </c:extLst>
        </c:ser>
        <c:ser>
          <c:idx val="8"/>
          <c:order val="8"/>
          <c:tx>
            <c:strRef>
              <c:f>Envelope!$B$7</c:f>
              <c:strCache>
                <c:ptCount val="1"/>
                <c:pt idx="0">
                  <c:v>Vmin</c:v>
                </c:pt>
              </c:strCache>
            </c:strRef>
          </c:tx>
          <c:spPr>
            <a:ln w="19050" cap="rnd">
              <a:solidFill>
                <a:schemeClr val="accent3">
                  <a:lumMod val="60000"/>
                </a:schemeClr>
              </a:solidFill>
              <a:round/>
            </a:ln>
            <a:effectLst/>
          </c:spPr>
          <c:marker>
            <c:symbol val="none"/>
          </c:marker>
          <c:xVal>
            <c:numRef>
              <c:f>Envelope!$B$9:$B$44</c:f>
              <c:numCache>
                <c:formatCode>General</c:formatCode>
                <c:ptCount val="36"/>
                <c:pt idx="0">
                  <c:v>84.637478685882272</c:v>
                </c:pt>
                <c:pt idx="1">
                  <c:v>86.185971179293233</c:v>
                </c:pt>
                <c:pt idx="2">
                  <c:v>87.773848252764438</c:v>
                </c:pt>
                <c:pt idx="3">
                  <c:v>89.402396734241051</c:v>
                </c:pt>
                <c:pt idx="4">
                  <c:v>91.072954944717381</c:v>
                </c:pt>
                <c:pt idx="5">
                  <c:v>92.786915142232289</c:v>
                </c:pt>
                <c:pt idx="6">
                  <c:v>94.545726100326135</c:v>
                </c:pt>
                <c:pt idx="7">
                  <c:v>96.350895829387838</c:v>
                </c:pt>
                <c:pt idx="8">
                  <c:v>98.203994449913182</c:v>
                </c:pt>
                <c:pt idx="9">
                  <c:v>100.10665722733765</c:v>
                </c:pt>
                <c:pt idx="10">
                  <c:v>102.0605877787965</c:v>
                </c:pt>
                <c:pt idx="11">
                  <c:v>104.06756146291171</c:v>
                </c:pt>
                <c:pt idx="12">
                  <c:v>106.12942896450976</c:v>
                </c:pt>
                <c:pt idx="13">
                  <c:v>108.24812008704664</c:v>
                </c:pt>
                <c:pt idx="14">
                  <c:v>110.42564776645587</c:v>
                </c:pt>
                <c:pt idx="15">
                  <c:v>112.66411232115568</c:v>
                </c:pt>
                <c:pt idx="16">
                  <c:v>114.96570595405311</c:v>
                </c:pt>
                <c:pt idx="17">
                  <c:v>117.3327175235783</c:v>
                </c:pt>
                <c:pt idx="18">
                  <c:v>119.767537602076</c:v>
                </c:pt>
                <c:pt idx="19">
                  <c:v>122.27266384128674</c:v>
                </c:pt>
                <c:pt idx="20">
                  <c:v>124.85070666617371</c:v>
                </c:pt>
                <c:pt idx="21">
                  <c:v>127.50439532000614</c:v>
                </c:pt>
                <c:pt idx="22">
                  <c:v>130.23658428540941</c:v>
                </c:pt>
                <c:pt idx="23">
                  <c:v>133.05026010804647</c:v>
                </c:pt>
                <c:pt idx="24">
                  <c:v>135.94854865172485</c:v>
                </c:pt>
                <c:pt idx="25">
                  <c:v>138.93472281603766</c:v>
                </c:pt>
                <c:pt idx="26">
                  <c:v>142.0122107501754</c:v>
                </c:pt>
                <c:pt idx="27">
                  <c:v>145.18460459929315</c:v>
                </c:pt>
                <c:pt idx="28">
                  <c:v>148.45566982282534</c:v>
                </c:pt>
                <c:pt idx="29">
                  <c:v>151.82935512741602</c:v>
                </c:pt>
                <c:pt idx="30">
                  <c:v>155.30980306071922</c:v>
                </c:pt>
                <c:pt idx="31">
                  <c:v>158.90136131623777</c:v>
                </c:pt>
                <c:pt idx="32">
                  <c:v>162.60859480366233</c:v>
                </c:pt>
                <c:pt idx="33">
                  <c:v>166.43629854386324</c:v>
                </c:pt>
                <c:pt idx="34">
                  <c:v>170.38951145283897</c:v>
                </c:pt>
                <c:pt idx="35">
                  <c:v>174.47353108456795</c:v>
                </c:pt>
              </c:numCache>
            </c:numRef>
          </c:xVal>
          <c:yVal>
            <c:numRef>
              <c:f>Envelope!$A$9:$A$44</c:f>
              <c:numCache>
                <c:formatCode>General</c:formatCode>
                <c:ptCount val="36"/>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pt idx="33">
                  <c:v>33000</c:v>
                </c:pt>
                <c:pt idx="34">
                  <c:v>34000</c:v>
                </c:pt>
                <c:pt idx="35">
                  <c:v>35000</c:v>
                </c:pt>
              </c:numCache>
            </c:numRef>
          </c:yVal>
          <c:smooth val="0"/>
          <c:extLst>
            <c:ext xmlns:c16="http://schemas.microsoft.com/office/drawing/2014/chart" uri="{C3380CC4-5D6E-409C-BE32-E72D297353CC}">
              <c16:uniqueId val="{00000008-E2C1-42D5-A091-A47B4AF12430}"/>
            </c:ext>
          </c:extLst>
        </c:ser>
        <c:dLbls>
          <c:showLegendKey val="0"/>
          <c:showVal val="0"/>
          <c:showCatName val="0"/>
          <c:showSerName val="0"/>
          <c:showPercent val="0"/>
          <c:showBubbleSize val="0"/>
        </c:dLbls>
        <c:axId val="1286376208"/>
        <c:axId val="1286376928"/>
        <c:extLst>
          <c:ext xmlns:c15="http://schemas.microsoft.com/office/drawing/2012/chart" uri="{02D57815-91ED-43cb-92C2-25804820EDAC}">
            <c15:filteredScatterSeries>
              <c15:ser>
                <c:idx val="1"/>
                <c:order val="1"/>
                <c:tx>
                  <c:strRef>
                    <c:extLst>
                      <c:ext uri="{02D57815-91ED-43cb-92C2-25804820EDAC}">
                        <c15:formulaRef>
                          <c15:sqref>Envelope!$G$7</c15:sqref>
                        </c15:formulaRef>
                      </c:ext>
                    </c:extLst>
                    <c:strCache>
                      <c:ptCount val="1"/>
                      <c:pt idx="0">
                        <c:v>Vba (best rate-of-descent)</c:v>
                      </c:pt>
                    </c:strCache>
                  </c:strRef>
                </c:tx>
                <c:spPr>
                  <a:ln w="25400" cap="rnd">
                    <a:noFill/>
                    <a:round/>
                  </a:ln>
                  <a:effectLst/>
                </c:spPr>
                <c:marker>
                  <c:symbol val="circle"/>
                  <c:size val="5"/>
                  <c:spPr>
                    <a:solidFill>
                      <a:schemeClr val="accent2"/>
                    </a:solidFill>
                    <a:ln w="9525">
                      <a:solidFill>
                        <a:schemeClr val="accent2"/>
                      </a:solidFill>
                    </a:ln>
                    <a:effectLst/>
                  </c:spPr>
                </c:marker>
                <c:xVal>
                  <c:numRef>
                    <c:extLst>
                      <c:ext uri="{02D57815-91ED-43cb-92C2-25804820EDAC}">
                        <c15:formulaRef>
                          <c15:sqref>Envelope!$G$9:$G$49</c15:sqref>
                        </c15:formulaRef>
                      </c:ext>
                    </c:extLst>
                    <c:numCache>
                      <c:formatCode>General</c:formatCode>
                      <c:ptCount val="41"/>
                      <c:pt idx="0">
                        <c:v>111</c:v>
                      </c:pt>
                      <c:pt idx="1">
                        <c:v>111</c:v>
                      </c:pt>
                      <c:pt idx="2">
                        <c:v>111</c:v>
                      </c:pt>
                      <c:pt idx="3">
                        <c:v>111</c:v>
                      </c:pt>
                      <c:pt idx="4">
                        <c:v>111</c:v>
                      </c:pt>
                      <c:pt idx="5">
                        <c:v>111</c:v>
                      </c:pt>
                      <c:pt idx="6">
                        <c:v>111</c:v>
                      </c:pt>
                      <c:pt idx="7">
                        <c:v>111</c:v>
                      </c:pt>
                      <c:pt idx="8">
                        <c:v>111</c:v>
                      </c:pt>
                      <c:pt idx="9">
                        <c:v>111</c:v>
                      </c:pt>
                      <c:pt idx="10">
                        <c:v>111</c:v>
                      </c:pt>
                      <c:pt idx="11">
                        <c:v>111</c:v>
                      </c:pt>
                      <c:pt idx="12">
                        <c:v>111</c:v>
                      </c:pt>
                      <c:pt idx="13">
                        <c:v>111</c:v>
                      </c:pt>
                      <c:pt idx="14">
                        <c:v>111</c:v>
                      </c:pt>
                      <c:pt idx="15">
                        <c:v>111</c:v>
                      </c:pt>
                      <c:pt idx="16">
                        <c:v>111</c:v>
                      </c:pt>
                      <c:pt idx="17">
                        <c:v>111</c:v>
                      </c:pt>
                      <c:pt idx="18">
                        <c:v>111</c:v>
                      </c:pt>
                      <c:pt idx="19">
                        <c:v>111</c:v>
                      </c:pt>
                      <c:pt idx="20">
                        <c:v>111</c:v>
                      </c:pt>
                      <c:pt idx="21">
                        <c:v>111</c:v>
                      </c:pt>
                      <c:pt idx="22">
                        <c:v>111</c:v>
                      </c:pt>
                      <c:pt idx="23">
                        <c:v>111</c:v>
                      </c:pt>
                      <c:pt idx="24">
                        <c:v>111</c:v>
                      </c:pt>
                      <c:pt idx="25">
                        <c:v>111</c:v>
                      </c:pt>
                      <c:pt idx="26">
                        <c:v>111</c:v>
                      </c:pt>
                      <c:pt idx="27">
                        <c:v>111</c:v>
                      </c:pt>
                      <c:pt idx="28">
                        <c:v>111</c:v>
                      </c:pt>
                      <c:pt idx="29">
                        <c:v>111</c:v>
                      </c:pt>
                      <c:pt idx="30">
                        <c:v>111</c:v>
                      </c:pt>
                      <c:pt idx="31">
                        <c:v>111</c:v>
                      </c:pt>
                      <c:pt idx="32">
                        <c:v>111</c:v>
                      </c:pt>
                      <c:pt idx="33">
                        <c:v>111</c:v>
                      </c:pt>
                      <c:pt idx="34">
                        <c:v>111</c:v>
                      </c:pt>
                      <c:pt idx="35">
                        <c:v>111</c:v>
                      </c:pt>
                      <c:pt idx="36">
                        <c:v>111</c:v>
                      </c:pt>
                      <c:pt idx="37">
                        <c:v>111</c:v>
                      </c:pt>
                      <c:pt idx="38">
                        <c:v>111</c:v>
                      </c:pt>
                      <c:pt idx="39">
                        <c:v>111</c:v>
                      </c:pt>
                      <c:pt idx="40">
                        <c:v>111</c:v>
                      </c:pt>
                    </c:numCache>
                  </c:numRef>
                </c:xVal>
                <c:yVal>
                  <c:numRef>
                    <c:extLst>
                      <c:ext uri="{02D57815-91ED-43cb-92C2-25804820EDAC}">
                        <c15:formulaRef>
                          <c15:sqref>Envelope!$A$9:$A$49</c15:sqref>
                        </c15:formulaRef>
                      </c:ext>
                    </c:extLst>
                    <c:numCache>
                      <c:formatCode>General</c:formatCode>
                      <c:ptCount val="41"/>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pt idx="33">
                        <c:v>33000</c:v>
                      </c:pt>
                      <c:pt idx="34">
                        <c:v>34000</c:v>
                      </c:pt>
                      <c:pt idx="35">
                        <c:v>35000</c:v>
                      </c:pt>
                      <c:pt idx="36">
                        <c:v>36000</c:v>
                      </c:pt>
                      <c:pt idx="37">
                        <c:v>37000</c:v>
                      </c:pt>
                      <c:pt idx="38">
                        <c:v>38000</c:v>
                      </c:pt>
                      <c:pt idx="39">
                        <c:v>39000</c:v>
                      </c:pt>
                      <c:pt idx="40">
                        <c:v>40000</c:v>
                      </c:pt>
                    </c:numCache>
                  </c:numRef>
                </c:yVal>
                <c:smooth val="0"/>
                <c:extLst>
                  <c:ext xmlns:c16="http://schemas.microsoft.com/office/drawing/2014/chart" uri="{C3380CC4-5D6E-409C-BE32-E72D297353CC}">
                    <c16:uniqueId val="{00000001-E2C1-42D5-A091-A47B4AF12430}"/>
                  </c:ext>
                </c:extLst>
              </c15:ser>
            </c15:filteredScatterSeries>
            <c15:filteredScatterSeries>
              <c15:ser>
                <c:idx val="2"/>
                <c:order val="2"/>
                <c:tx>
                  <c:strRef>
                    <c:extLst xmlns:c15="http://schemas.microsoft.com/office/drawing/2012/chart">
                      <c:ext xmlns:c15="http://schemas.microsoft.com/office/drawing/2012/chart" uri="{02D57815-91ED-43cb-92C2-25804820EDAC}">
                        <c15:formulaRef>
                          <c15:sqref>Envelope!$K$7</c15:sqref>
                        </c15:formulaRef>
                      </c:ext>
                    </c:extLst>
                    <c:strCache>
                      <c:ptCount val="1"/>
                      <c:pt idx="0">
                        <c:v>Vbg (Best angle-of-descent)</c:v>
                      </c:pt>
                    </c:strCache>
                  </c:strRef>
                </c:tx>
                <c:spPr>
                  <a:ln w="25400" cap="rnd">
                    <a:noFill/>
                    <a:round/>
                  </a:ln>
                  <a:effectLst/>
                </c:spPr>
                <c:marker>
                  <c:symbol val="circle"/>
                  <c:size val="5"/>
                  <c:spPr>
                    <a:solidFill>
                      <a:schemeClr val="accent3"/>
                    </a:solidFill>
                    <a:ln w="9525">
                      <a:solidFill>
                        <a:schemeClr val="accent3"/>
                      </a:solidFill>
                    </a:ln>
                    <a:effectLst/>
                  </c:spPr>
                </c:marker>
                <c:xVal>
                  <c:numRef>
                    <c:extLst xmlns:c15="http://schemas.microsoft.com/office/drawing/2012/chart">
                      <c:ext xmlns:c15="http://schemas.microsoft.com/office/drawing/2012/chart" uri="{02D57815-91ED-43cb-92C2-25804820EDAC}">
                        <c15:formulaRef>
                          <c15:sqref>Envelope!$K$9:$K$49</c15:sqref>
                        </c15:formulaRef>
                      </c:ext>
                    </c:extLst>
                    <c:numCache>
                      <c:formatCode>General</c:formatCode>
                      <c:ptCount val="41"/>
                      <c:pt idx="0">
                        <c:v>139</c:v>
                      </c:pt>
                      <c:pt idx="1">
                        <c:v>139</c:v>
                      </c:pt>
                      <c:pt idx="2">
                        <c:v>139</c:v>
                      </c:pt>
                      <c:pt idx="3">
                        <c:v>139</c:v>
                      </c:pt>
                      <c:pt idx="4">
                        <c:v>139</c:v>
                      </c:pt>
                      <c:pt idx="5">
                        <c:v>139</c:v>
                      </c:pt>
                      <c:pt idx="6">
                        <c:v>139</c:v>
                      </c:pt>
                      <c:pt idx="7">
                        <c:v>139</c:v>
                      </c:pt>
                      <c:pt idx="8">
                        <c:v>139</c:v>
                      </c:pt>
                      <c:pt idx="9">
                        <c:v>139</c:v>
                      </c:pt>
                      <c:pt idx="10">
                        <c:v>139</c:v>
                      </c:pt>
                      <c:pt idx="11">
                        <c:v>139</c:v>
                      </c:pt>
                      <c:pt idx="12">
                        <c:v>139</c:v>
                      </c:pt>
                      <c:pt idx="13">
                        <c:v>139</c:v>
                      </c:pt>
                      <c:pt idx="14">
                        <c:v>139</c:v>
                      </c:pt>
                      <c:pt idx="15">
                        <c:v>139</c:v>
                      </c:pt>
                      <c:pt idx="16">
                        <c:v>139</c:v>
                      </c:pt>
                      <c:pt idx="17">
                        <c:v>139</c:v>
                      </c:pt>
                      <c:pt idx="18">
                        <c:v>139</c:v>
                      </c:pt>
                      <c:pt idx="19">
                        <c:v>139</c:v>
                      </c:pt>
                      <c:pt idx="20">
                        <c:v>139</c:v>
                      </c:pt>
                      <c:pt idx="21">
                        <c:v>139</c:v>
                      </c:pt>
                      <c:pt idx="22">
                        <c:v>139</c:v>
                      </c:pt>
                      <c:pt idx="23">
                        <c:v>139</c:v>
                      </c:pt>
                      <c:pt idx="24">
                        <c:v>139</c:v>
                      </c:pt>
                      <c:pt idx="25">
                        <c:v>139</c:v>
                      </c:pt>
                      <c:pt idx="26">
                        <c:v>139</c:v>
                      </c:pt>
                      <c:pt idx="27">
                        <c:v>139</c:v>
                      </c:pt>
                      <c:pt idx="28">
                        <c:v>139</c:v>
                      </c:pt>
                      <c:pt idx="29">
                        <c:v>139</c:v>
                      </c:pt>
                      <c:pt idx="30">
                        <c:v>139</c:v>
                      </c:pt>
                      <c:pt idx="31">
                        <c:v>139</c:v>
                      </c:pt>
                      <c:pt idx="32">
                        <c:v>139</c:v>
                      </c:pt>
                      <c:pt idx="33">
                        <c:v>139</c:v>
                      </c:pt>
                      <c:pt idx="34">
                        <c:v>139</c:v>
                      </c:pt>
                      <c:pt idx="35">
                        <c:v>139</c:v>
                      </c:pt>
                      <c:pt idx="36">
                        <c:v>139</c:v>
                      </c:pt>
                      <c:pt idx="37">
                        <c:v>139</c:v>
                      </c:pt>
                      <c:pt idx="38">
                        <c:v>139</c:v>
                      </c:pt>
                      <c:pt idx="39">
                        <c:v>139</c:v>
                      </c:pt>
                      <c:pt idx="40">
                        <c:v>139</c:v>
                      </c:pt>
                    </c:numCache>
                  </c:numRef>
                </c:xVal>
                <c:yVal>
                  <c:numRef>
                    <c:extLst xmlns:c15="http://schemas.microsoft.com/office/drawing/2012/chart">
                      <c:ext xmlns:c15="http://schemas.microsoft.com/office/drawing/2012/chart" uri="{02D57815-91ED-43cb-92C2-25804820EDAC}">
                        <c15:formulaRef>
                          <c15:sqref>Envelope!$A$9:$A$49</c15:sqref>
                        </c15:formulaRef>
                      </c:ext>
                    </c:extLst>
                    <c:numCache>
                      <c:formatCode>General</c:formatCode>
                      <c:ptCount val="41"/>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pt idx="33">
                        <c:v>33000</c:v>
                      </c:pt>
                      <c:pt idx="34">
                        <c:v>34000</c:v>
                      </c:pt>
                      <c:pt idx="35">
                        <c:v>35000</c:v>
                      </c:pt>
                      <c:pt idx="36">
                        <c:v>36000</c:v>
                      </c:pt>
                      <c:pt idx="37">
                        <c:v>37000</c:v>
                      </c:pt>
                      <c:pt idx="38">
                        <c:v>38000</c:v>
                      </c:pt>
                      <c:pt idx="39">
                        <c:v>39000</c:v>
                      </c:pt>
                      <c:pt idx="40">
                        <c:v>40000</c:v>
                      </c:pt>
                    </c:numCache>
                  </c:numRef>
                </c:yVal>
                <c:smooth val="0"/>
                <c:extLst xmlns:c15="http://schemas.microsoft.com/office/drawing/2012/chart">
                  <c:ext xmlns:c16="http://schemas.microsoft.com/office/drawing/2014/chart" uri="{C3380CC4-5D6E-409C-BE32-E72D297353CC}">
                    <c16:uniqueId val="{00000002-E2C1-42D5-A091-A47B4AF12430}"/>
                  </c:ext>
                </c:extLst>
              </c15:ser>
            </c15:filteredScatterSeries>
            <c15:filteredScatterSeries>
              <c15:ser>
                <c:idx val="3"/>
                <c:order val="3"/>
                <c:tx>
                  <c:strRef>
                    <c:extLst xmlns:c15="http://schemas.microsoft.com/office/drawing/2012/chart">
                      <c:ext xmlns:c15="http://schemas.microsoft.com/office/drawing/2012/chart" uri="{02D57815-91ED-43cb-92C2-25804820EDAC}">
                        <c15:formulaRef>
                          <c15:sqref>Envelope!$P$7</c15:sqref>
                        </c15:formulaRef>
                      </c:ext>
                    </c:extLst>
                    <c:strCache>
                      <c:ptCount val="1"/>
                      <c:pt idx="0">
                        <c:v>Vy (Best angle-of-climb)</c:v>
                      </c:pt>
                    </c:strCache>
                  </c:strRef>
                </c:tx>
                <c:spPr>
                  <a:ln w="25400" cap="rnd">
                    <a:noFill/>
                    <a:round/>
                  </a:ln>
                  <a:effectLst/>
                </c:spPr>
                <c:marker>
                  <c:symbol val="circle"/>
                  <c:size val="5"/>
                  <c:spPr>
                    <a:solidFill>
                      <a:schemeClr val="accent4"/>
                    </a:solidFill>
                    <a:ln w="9525">
                      <a:solidFill>
                        <a:schemeClr val="accent4"/>
                      </a:solidFill>
                    </a:ln>
                    <a:effectLst/>
                  </c:spPr>
                </c:marker>
                <c:xVal>
                  <c:numRef>
                    <c:extLst xmlns:c15="http://schemas.microsoft.com/office/drawing/2012/chart">
                      <c:ext xmlns:c15="http://schemas.microsoft.com/office/drawing/2012/chart" uri="{02D57815-91ED-43cb-92C2-25804820EDAC}">
                        <c15:formulaRef>
                          <c15:sqref>Envelope!$P$9:$P$49</c15:sqref>
                        </c15:formulaRef>
                      </c:ext>
                    </c:extLst>
                    <c:numCache>
                      <c:formatCode>General</c:formatCode>
                      <c:ptCount val="41"/>
                      <c:pt idx="0">
                        <c:v>194</c:v>
                      </c:pt>
                      <c:pt idx="1">
                        <c:v>193</c:v>
                      </c:pt>
                      <c:pt idx="2">
                        <c:v>192</c:v>
                      </c:pt>
                      <c:pt idx="3">
                        <c:v>191</c:v>
                      </c:pt>
                      <c:pt idx="4">
                        <c:v>190</c:v>
                      </c:pt>
                      <c:pt idx="5">
                        <c:v>189</c:v>
                      </c:pt>
                      <c:pt idx="6">
                        <c:v>188</c:v>
                      </c:pt>
                      <c:pt idx="7">
                        <c:v>187</c:v>
                      </c:pt>
                      <c:pt idx="8">
                        <c:v>186</c:v>
                      </c:pt>
                      <c:pt idx="9">
                        <c:v>185</c:v>
                      </c:pt>
                      <c:pt idx="10">
                        <c:v>184</c:v>
                      </c:pt>
                      <c:pt idx="11">
                        <c:v>183</c:v>
                      </c:pt>
                      <c:pt idx="12">
                        <c:v>182</c:v>
                      </c:pt>
                      <c:pt idx="13">
                        <c:v>180</c:v>
                      </c:pt>
                      <c:pt idx="14">
                        <c:v>179</c:v>
                      </c:pt>
                      <c:pt idx="15">
                        <c:v>178</c:v>
                      </c:pt>
                      <c:pt idx="16">
                        <c:v>177</c:v>
                      </c:pt>
                      <c:pt idx="17">
                        <c:v>176</c:v>
                      </c:pt>
                      <c:pt idx="18">
                        <c:v>175</c:v>
                      </c:pt>
                      <c:pt idx="19">
                        <c:v>173</c:v>
                      </c:pt>
                      <c:pt idx="20">
                        <c:v>172</c:v>
                      </c:pt>
                      <c:pt idx="21">
                        <c:v>171</c:v>
                      </c:pt>
                      <c:pt idx="22">
                        <c:v>169</c:v>
                      </c:pt>
                      <c:pt idx="23">
                        <c:v>168</c:v>
                      </c:pt>
                      <c:pt idx="24">
                        <c:v>167</c:v>
                      </c:pt>
                      <c:pt idx="25">
                        <c:v>165</c:v>
                      </c:pt>
                      <c:pt idx="26">
                        <c:v>164</c:v>
                      </c:pt>
                      <c:pt idx="27">
                        <c:v>163</c:v>
                      </c:pt>
                      <c:pt idx="28">
                        <c:v>161</c:v>
                      </c:pt>
                      <c:pt idx="29">
                        <c:v>160</c:v>
                      </c:pt>
                      <c:pt idx="30">
                        <c:v>158</c:v>
                      </c:pt>
                      <c:pt idx="31">
                        <c:v>157</c:v>
                      </c:pt>
                      <c:pt idx="32">
                        <c:v>155</c:v>
                      </c:pt>
                      <c:pt idx="33">
                        <c:v>154</c:v>
                      </c:pt>
                      <c:pt idx="34">
                        <c:v>152</c:v>
                      </c:pt>
                      <c:pt idx="35">
                        <c:v>150</c:v>
                      </c:pt>
                      <c:pt idx="36">
                        <c:v>149</c:v>
                      </c:pt>
                      <c:pt idx="37">
                        <c:v>147</c:v>
                      </c:pt>
                      <c:pt idx="38">
                        <c:v>146</c:v>
                      </c:pt>
                      <c:pt idx="39">
                        <c:v>144</c:v>
                      </c:pt>
                      <c:pt idx="40">
                        <c:v>142</c:v>
                      </c:pt>
                    </c:numCache>
                  </c:numRef>
                </c:xVal>
                <c:yVal>
                  <c:numRef>
                    <c:extLst xmlns:c15="http://schemas.microsoft.com/office/drawing/2012/chart">
                      <c:ext xmlns:c15="http://schemas.microsoft.com/office/drawing/2012/chart" uri="{02D57815-91ED-43cb-92C2-25804820EDAC}">
                        <c15:formulaRef>
                          <c15:sqref>Envelope!$A$9:$A$49</c15:sqref>
                        </c15:formulaRef>
                      </c:ext>
                    </c:extLst>
                    <c:numCache>
                      <c:formatCode>General</c:formatCode>
                      <c:ptCount val="41"/>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pt idx="33">
                        <c:v>33000</c:v>
                      </c:pt>
                      <c:pt idx="34">
                        <c:v>34000</c:v>
                      </c:pt>
                      <c:pt idx="35">
                        <c:v>35000</c:v>
                      </c:pt>
                      <c:pt idx="36">
                        <c:v>36000</c:v>
                      </c:pt>
                      <c:pt idx="37">
                        <c:v>37000</c:v>
                      </c:pt>
                      <c:pt idx="38">
                        <c:v>38000</c:v>
                      </c:pt>
                      <c:pt idx="39">
                        <c:v>39000</c:v>
                      </c:pt>
                      <c:pt idx="40">
                        <c:v>40000</c:v>
                      </c:pt>
                    </c:numCache>
                  </c:numRef>
                </c:yVal>
                <c:smooth val="0"/>
                <c:extLst xmlns:c15="http://schemas.microsoft.com/office/drawing/2012/chart">
                  <c:ext xmlns:c16="http://schemas.microsoft.com/office/drawing/2014/chart" uri="{C3380CC4-5D6E-409C-BE32-E72D297353CC}">
                    <c16:uniqueId val="{00000003-E2C1-42D5-A091-A47B4AF12430}"/>
                  </c:ext>
                </c:extLst>
              </c15:ser>
            </c15:filteredScatterSeries>
            <c15:filteredScatterSeries>
              <c15:ser>
                <c:idx val="4"/>
                <c:order val="4"/>
                <c:tx>
                  <c:strRef>
                    <c:extLst xmlns:c15="http://schemas.microsoft.com/office/drawing/2012/chart">
                      <c:ext xmlns:c15="http://schemas.microsoft.com/office/drawing/2012/chart" uri="{02D57815-91ED-43cb-92C2-25804820EDAC}">
                        <c15:formulaRef>
                          <c15:sqref>Envelope!$U$7</c15:sqref>
                        </c15:formulaRef>
                      </c:ext>
                    </c:extLst>
                    <c:strCache>
                      <c:ptCount val="1"/>
                      <c:pt idx="0">
                        <c:v>Vx (Best rate-of-climb)</c:v>
                      </c:pt>
                    </c:strCache>
                  </c:strRef>
                </c:tx>
                <c:spPr>
                  <a:ln w="25400" cap="rnd">
                    <a:noFill/>
                    <a:round/>
                  </a:ln>
                  <a:effectLst/>
                </c:spPr>
                <c:marker>
                  <c:symbol val="circle"/>
                  <c:size val="5"/>
                  <c:spPr>
                    <a:solidFill>
                      <a:schemeClr val="accent5"/>
                    </a:solidFill>
                    <a:ln w="9525">
                      <a:solidFill>
                        <a:schemeClr val="accent5"/>
                      </a:solidFill>
                    </a:ln>
                    <a:effectLst/>
                  </c:spPr>
                </c:marker>
                <c:xVal>
                  <c:numRef>
                    <c:extLst xmlns:c15="http://schemas.microsoft.com/office/drawing/2012/chart">
                      <c:ext xmlns:c15="http://schemas.microsoft.com/office/drawing/2012/chart" uri="{02D57815-91ED-43cb-92C2-25804820EDAC}">
                        <c15:formulaRef>
                          <c15:sqref>Envelope!$U$9:$U$49</c15:sqref>
                        </c15:formulaRef>
                      </c:ext>
                    </c:extLst>
                    <c:numCache>
                      <c:formatCode>General</c:formatCode>
                      <c:ptCount val="41"/>
                      <c:pt idx="0">
                        <c:v>109</c:v>
                      </c:pt>
                      <c:pt idx="1">
                        <c:v>109</c:v>
                      </c:pt>
                      <c:pt idx="2">
                        <c:v>109</c:v>
                      </c:pt>
                      <c:pt idx="3">
                        <c:v>108</c:v>
                      </c:pt>
                      <c:pt idx="4">
                        <c:v>108</c:v>
                      </c:pt>
                      <c:pt idx="5">
                        <c:v>108</c:v>
                      </c:pt>
                      <c:pt idx="6">
                        <c:v>108</c:v>
                      </c:pt>
                      <c:pt idx="7">
                        <c:v>108</c:v>
                      </c:pt>
                      <c:pt idx="8">
                        <c:v>108</c:v>
                      </c:pt>
                      <c:pt idx="9">
                        <c:v>108</c:v>
                      </c:pt>
                      <c:pt idx="10">
                        <c:v>108</c:v>
                      </c:pt>
                      <c:pt idx="11">
                        <c:v>107</c:v>
                      </c:pt>
                      <c:pt idx="12">
                        <c:v>107</c:v>
                      </c:pt>
                      <c:pt idx="13">
                        <c:v>107</c:v>
                      </c:pt>
                      <c:pt idx="14">
                        <c:v>107</c:v>
                      </c:pt>
                      <c:pt idx="15">
                        <c:v>107</c:v>
                      </c:pt>
                      <c:pt idx="16">
                        <c:v>106</c:v>
                      </c:pt>
                      <c:pt idx="17">
                        <c:v>106</c:v>
                      </c:pt>
                      <c:pt idx="18">
                        <c:v>106</c:v>
                      </c:pt>
                      <c:pt idx="19">
                        <c:v>106</c:v>
                      </c:pt>
                      <c:pt idx="20">
                        <c:v>105</c:v>
                      </c:pt>
                      <c:pt idx="21">
                        <c:v>105</c:v>
                      </c:pt>
                      <c:pt idx="22">
                        <c:v>105</c:v>
                      </c:pt>
                      <c:pt idx="23">
                        <c:v>105</c:v>
                      </c:pt>
                      <c:pt idx="24">
                        <c:v>104</c:v>
                      </c:pt>
                      <c:pt idx="25">
                        <c:v>104</c:v>
                      </c:pt>
                      <c:pt idx="26">
                        <c:v>104</c:v>
                      </c:pt>
                      <c:pt idx="27">
                        <c:v>103</c:v>
                      </c:pt>
                      <c:pt idx="28">
                        <c:v>103</c:v>
                      </c:pt>
                      <c:pt idx="29">
                        <c:v>103</c:v>
                      </c:pt>
                      <c:pt idx="30">
                        <c:v>102</c:v>
                      </c:pt>
                      <c:pt idx="31">
                        <c:v>102</c:v>
                      </c:pt>
                      <c:pt idx="32">
                        <c:v>102</c:v>
                      </c:pt>
                      <c:pt idx="33">
                        <c:v>101</c:v>
                      </c:pt>
                      <c:pt idx="34">
                        <c:v>101</c:v>
                      </c:pt>
                      <c:pt idx="35">
                        <c:v>101</c:v>
                      </c:pt>
                      <c:pt idx="36">
                        <c:v>100</c:v>
                      </c:pt>
                      <c:pt idx="37">
                        <c:v>100</c:v>
                      </c:pt>
                      <c:pt idx="38">
                        <c:v>99</c:v>
                      </c:pt>
                      <c:pt idx="39">
                        <c:v>99</c:v>
                      </c:pt>
                      <c:pt idx="40">
                        <c:v>98</c:v>
                      </c:pt>
                    </c:numCache>
                  </c:numRef>
                </c:xVal>
                <c:yVal>
                  <c:numRef>
                    <c:extLst xmlns:c15="http://schemas.microsoft.com/office/drawing/2012/chart">
                      <c:ext xmlns:c15="http://schemas.microsoft.com/office/drawing/2012/chart" uri="{02D57815-91ED-43cb-92C2-25804820EDAC}">
                        <c15:formulaRef>
                          <c15:sqref>Envelope!$A$9:$A$49</c15:sqref>
                        </c15:formulaRef>
                      </c:ext>
                    </c:extLst>
                    <c:numCache>
                      <c:formatCode>General</c:formatCode>
                      <c:ptCount val="41"/>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pt idx="33">
                        <c:v>33000</c:v>
                      </c:pt>
                      <c:pt idx="34">
                        <c:v>34000</c:v>
                      </c:pt>
                      <c:pt idx="35">
                        <c:v>35000</c:v>
                      </c:pt>
                      <c:pt idx="36">
                        <c:v>36000</c:v>
                      </c:pt>
                      <c:pt idx="37">
                        <c:v>37000</c:v>
                      </c:pt>
                      <c:pt idx="38">
                        <c:v>38000</c:v>
                      </c:pt>
                      <c:pt idx="39">
                        <c:v>39000</c:v>
                      </c:pt>
                      <c:pt idx="40">
                        <c:v>40000</c:v>
                      </c:pt>
                    </c:numCache>
                  </c:numRef>
                </c:yVal>
                <c:smooth val="0"/>
                <c:extLst xmlns:c15="http://schemas.microsoft.com/office/drawing/2012/chart">
                  <c:ext xmlns:c16="http://schemas.microsoft.com/office/drawing/2014/chart" uri="{C3380CC4-5D6E-409C-BE32-E72D297353CC}">
                    <c16:uniqueId val="{00000004-E2C1-42D5-A091-A47B4AF12430}"/>
                  </c:ext>
                </c:extLst>
              </c15:ser>
            </c15:filteredScatterSeries>
            <c15:filteredScatterSeries>
              <c15:ser>
                <c:idx val="5"/>
                <c:order val="5"/>
                <c:tx>
                  <c:strRef>
                    <c:extLst xmlns:c15="http://schemas.microsoft.com/office/drawing/2012/chart">
                      <c:ext xmlns:c15="http://schemas.microsoft.com/office/drawing/2012/chart" uri="{02D57815-91ED-43cb-92C2-25804820EDAC}">
                        <c15:formulaRef>
                          <c15:sqref>Envelope!$Z$7</c15:sqref>
                        </c15:formulaRef>
                      </c:ext>
                    </c:extLst>
                    <c:strCache>
                      <c:ptCount val="1"/>
                      <c:pt idx="0">
                        <c:v>Ve (Best endurance)</c:v>
                      </c:pt>
                    </c:strCache>
                  </c:strRef>
                </c:tx>
                <c:spPr>
                  <a:ln w="25400" cap="rnd">
                    <a:noFill/>
                    <a:round/>
                  </a:ln>
                  <a:effectLst/>
                </c:spPr>
                <c:marker>
                  <c:symbol val="circle"/>
                  <c:size val="5"/>
                  <c:spPr>
                    <a:solidFill>
                      <a:schemeClr val="accent6"/>
                    </a:solidFill>
                    <a:ln w="9525">
                      <a:solidFill>
                        <a:schemeClr val="accent6"/>
                      </a:solidFill>
                    </a:ln>
                    <a:effectLst/>
                  </c:spPr>
                </c:marker>
                <c:xVal>
                  <c:numRef>
                    <c:extLst xmlns:c15="http://schemas.microsoft.com/office/drawing/2012/chart">
                      <c:ext xmlns:c15="http://schemas.microsoft.com/office/drawing/2012/chart" uri="{02D57815-91ED-43cb-92C2-25804820EDAC}">
                        <c15:formulaRef>
                          <c15:sqref>Envelope!$Z$9:$Z$49</c15:sqref>
                        </c15:formulaRef>
                      </c:ext>
                    </c:extLst>
                    <c:numCache>
                      <c:formatCode>General</c:formatCode>
                      <c:ptCount val="41"/>
                      <c:pt idx="0">
                        <c:v>127</c:v>
                      </c:pt>
                      <c:pt idx="1">
                        <c:v>126</c:v>
                      </c:pt>
                      <c:pt idx="2">
                        <c:v>126</c:v>
                      </c:pt>
                      <c:pt idx="3">
                        <c:v>126</c:v>
                      </c:pt>
                      <c:pt idx="4">
                        <c:v>126</c:v>
                      </c:pt>
                      <c:pt idx="5">
                        <c:v>126</c:v>
                      </c:pt>
                      <c:pt idx="6">
                        <c:v>126</c:v>
                      </c:pt>
                      <c:pt idx="7">
                        <c:v>125</c:v>
                      </c:pt>
                      <c:pt idx="8">
                        <c:v>125</c:v>
                      </c:pt>
                      <c:pt idx="9">
                        <c:v>125</c:v>
                      </c:pt>
                      <c:pt idx="10">
                        <c:v>125</c:v>
                      </c:pt>
                      <c:pt idx="11">
                        <c:v>124</c:v>
                      </c:pt>
                      <c:pt idx="12">
                        <c:v>124</c:v>
                      </c:pt>
                      <c:pt idx="13">
                        <c:v>124</c:v>
                      </c:pt>
                      <c:pt idx="14">
                        <c:v>124</c:v>
                      </c:pt>
                      <c:pt idx="15">
                        <c:v>123</c:v>
                      </c:pt>
                      <c:pt idx="16">
                        <c:v>123</c:v>
                      </c:pt>
                      <c:pt idx="17">
                        <c:v>123</c:v>
                      </c:pt>
                      <c:pt idx="18">
                        <c:v>122</c:v>
                      </c:pt>
                      <c:pt idx="19">
                        <c:v>122</c:v>
                      </c:pt>
                      <c:pt idx="20">
                        <c:v>122</c:v>
                      </c:pt>
                      <c:pt idx="21">
                        <c:v>121</c:v>
                      </c:pt>
                      <c:pt idx="22">
                        <c:v>121</c:v>
                      </c:pt>
                      <c:pt idx="23">
                        <c:v>120</c:v>
                      </c:pt>
                      <c:pt idx="24">
                        <c:v>120</c:v>
                      </c:pt>
                      <c:pt idx="25">
                        <c:v>119</c:v>
                      </c:pt>
                      <c:pt idx="26">
                        <c:v>119</c:v>
                      </c:pt>
                      <c:pt idx="27">
                        <c:v>118</c:v>
                      </c:pt>
                      <c:pt idx="28">
                        <c:v>118</c:v>
                      </c:pt>
                      <c:pt idx="29">
                        <c:v>117</c:v>
                      </c:pt>
                      <c:pt idx="30">
                        <c:v>117</c:v>
                      </c:pt>
                      <c:pt idx="31">
                        <c:v>116</c:v>
                      </c:pt>
                      <c:pt idx="32">
                        <c:v>116</c:v>
                      </c:pt>
                      <c:pt idx="33">
                        <c:v>115</c:v>
                      </c:pt>
                      <c:pt idx="34">
                        <c:v>114</c:v>
                      </c:pt>
                      <c:pt idx="35">
                        <c:v>113</c:v>
                      </c:pt>
                      <c:pt idx="36">
                        <c:v>113</c:v>
                      </c:pt>
                      <c:pt idx="37">
                        <c:v>112</c:v>
                      </c:pt>
                      <c:pt idx="38">
                        <c:v>111</c:v>
                      </c:pt>
                      <c:pt idx="39">
                        <c:v>110</c:v>
                      </c:pt>
                      <c:pt idx="40">
                        <c:v>109</c:v>
                      </c:pt>
                    </c:numCache>
                  </c:numRef>
                </c:xVal>
                <c:yVal>
                  <c:numRef>
                    <c:extLst xmlns:c15="http://schemas.microsoft.com/office/drawing/2012/chart">
                      <c:ext xmlns:c15="http://schemas.microsoft.com/office/drawing/2012/chart" uri="{02D57815-91ED-43cb-92C2-25804820EDAC}">
                        <c15:formulaRef>
                          <c15:sqref>Envelope!$A$9:$A$49</c15:sqref>
                        </c15:formulaRef>
                      </c:ext>
                    </c:extLst>
                    <c:numCache>
                      <c:formatCode>General</c:formatCode>
                      <c:ptCount val="41"/>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pt idx="33">
                        <c:v>33000</c:v>
                      </c:pt>
                      <c:pt idx="34">
                        <c:v>34000</c:v>
                      </c:pt>
                      <c:pt idx="35">
                        <c:v>35000</c:v>
                      </c:pt>
                      <c:pt idx="36">
                        <c:v>36000</c:v>
                      </c:pt>
                      <c:pt idx="37">
                        <c:v>37000</c:v>
                      </c:pt>
                      <c:pt idx="38">
                        <c:v>38000</c:v>
                      </c:pt>
                      <c:pt idx="39">
                        <c:v>39000</c:v>
                      </c:pt>
                      <c:pt idx="40">
                        <c:v>40000</c:v>
                      </c:pt>
                    </c:numCache>
                  </c:numRef>
                </c:yVal>
                <c:smooth val="0"/>
                <c:extLst xmlns:c15="http://schemas.microsoft.com/office/drawing/2012/chart">
                  <c:ext xmlns:c16="http://schemas.microsoft.com/office/drawing/2014/chart" uri="{C3380CC4-5D6E-409C-BE32-E72D297353CC}">
                    <c16:uniqueId val="{00000005-E2C1-42D5-A091-A47B4AF12430}"/>
                  </c:ext>
                </c:extLst>
              </c15:ser>
            </c15:filteredScatterSeries>
            <c15:filteredScatterSeries>
              <c15:ser>
                <c:idx val="6"/>
                <c:order val="6"/>
                <c:tx>
                  <c:strRef>
                    <c:extLst xmlns:c15="http://schemas.microsoft.com/office/drawing/2012/chart">
                      <c:ext xmlns:c15="http://schemas.microsoft.com/office/drawing/2012/chart" uri="{02D57815-91ED-43cb-92C2-25804820EDAC}">
                        <c15:formulaRef>
                          <c15:sqref>Envelope!$AE$7</c15:sqref>
                        </c15:formulaRef>
                      </c:ext>
                    </c:extLst>
                    <c:strCache>
                      <c:ptCount val="1"/>
                      <c:pt idx="0">
                        <c:v>Vr (Best endurance)</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extLst xmlns:c15="http://schemas.microsoft.com/office/drawing/2012/chart">
                      <c:ext xmlns:c15="http://schemas.microsoft.com/office/drawing/2012/chart" uri="{02D57815-91ED-43cb-92C2-25804820EDAC}">
                        <c15:formulaRef>
                          <c15:sqref>Envelope!$AE$9:$AE$49</c15:sqref>
                        </c15:formulaRef>
                      </c:ext>
                    </c:extLst>
                    <c:numCache>
                      <c:formatCode>General</c:formatCode>
                      <c:ptCount val="41"/>
                      <c:pt idx="0">
                        <c:v>154</c:v>
                      </c:pt>
                      <c:pt idx="1">
                        <c:v>153</c:v>
                      </c:pt>
                      <c:pt idx="2">
                        <c:v>153</c:v>
                      </c:pt>
                      <c:pt idx="3">
                        <c:v>153</c:v>
                      </c:pt>
                      <c:pt idx="4">
                        <c:v>153</c:v>
                      </c:pt>
                      <c:pt idx="5">
                        <c:v>152</c:v>
                      </c:pt>
                      <c:pt idx="6">
                        <c:v>152</c:v>
                      </c:pt>
                      <c:pt idx="7">
                        <c:v>151</c:v>
                      </c:pt>
                      <c:pt idx="8">
                        <c:v>151</c:v>
                      </c:pt>
                      <c:pt idx="9">
                        <c:v>151</c:v>
                      </c:pt>
                      <c:pt idx="10">
                        <c:v>150</c:v>
                      </c:pt>
                      <c:pt idx="11">
                        <c:v>150</c:v>
                      </c:pt>
                      <c:pt idx="12">
                        <c:v>149</c:v>
                      </c:pt>
                      <c:pt idx="13">
                        <c:v>149</c:v>
                      </c:pt>
                      <c:pt idx="14">
                        <c:v>148</c:v>
                      </c:pt>
                      <c:pt idx="15">
                        <c:v>148</c:v>
                      </c:pt>
                      <c:pt idx="16">
                        <c:v>147</c:v>
                      </c:pt>
                      <c:pt idx="17">
                        <c:v>147</c:v>
                      </c:pt>
                      <c:pt idx="18">
                        <c:v>146</c:v>
                      </c:pt>
                      <c:pt idx="19">
                        <c:v>146</c:v>
                      </c:pt>
                      <c:pt idx="20">
                        <c:v>145</c:v>
                      </c:pt>
                      <c:pt idx="21">
                        <c:v>145</c:v>
                      </c:pt>
                      <c:pt idx="22">
                        <c:v>144</c:v>
                      </c:pt>
                      <c:pt idx="23">
                        <c:v>143</c:v>
                      </c:pt>
                      <c:pt idx="24">
                        <c:v>143</c:v>
                      </c:pt>
                      <c:pt idx="25">
                        <c:v>142</c:v>
                      </c:pt>
                      <c:pt idx="26">
                        <c:v>141</c:v>
                      </c:pt>
                      <c:pt idx="27">
                        <c:v>140</c:v>
                      </c:pt>
                      <c:pt idx="28">
                        <c:v>139</c:v>
                      </c:pt>
                      <c:pt idx="29">
                        <c:v>139</c:v>
                      </c:pt>
                      <c:pt idx="30">
                        <c:v>138</c:v>
                      </c:pt>
                      <c:pt idx="31">
                        <c:v>137</c:v>
                      </c:pt>
                      <c:pt idx="32">
                        <c:v>136</c:v>
                      </c:pt>
                      <c:pt idx="33">
                        <c:v>135</c:v>
                      </c:pt>
                      <c:pt idx="34">
                        <c:v>134</c:v>
                      </c:pt>
                      <c:pt idx="35">
                        <c:v>133</c:v>
                      </c:pt>
                      <c:pt idx="36">
                        <c:v>132</c:v>
                      </c:pt>
                      <c:pt idx="37">
                        <c:v>131</c:v>
                      </c:pt>
                      <c:pt idx="38">
                        <c:v>129</c:v>
                      </c:pt>
                      <c:pt idx="39">
                        <c:v>128</c:v>
                      </c:pt>
                      <c:pt idx="40">
                        <c:v>127</c:v>
                      </c:pt>
                    </c:numCache>
                  </c:numRef>
                </c:xVal>
                <c:yVal>
                  <c:numRef>
                    <c:extLst xmlns:c15="http://schemas.microsoft.com/office/drawing/2012/chart">
                      <c:ext xmlns:c15="http://schemas.microsoft.com/office/drawing/2012/chart" uri="{02D57815-91ED-43cb-92C2-25804820EDAC}">
                        <c15:formulaRef>
                          <c15:sqref>Envelope!$A$9:$A$49</c15:sqref>
                        </c15:formulaRef>
                      </c:ext>
                    </c:extLst>
                    <c:numCache>
                      <c:formatCode>General</c:formatCode>
                      <c:ptCount val="41"/>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pt idx="33">
                        <c:v>33000</c:v>
                      </c:pt>
                      <c:pt idx="34">
                        <c:v>34000</c:v>
                      </c:pt>
                      <c:pt idx="35">
                        <c:v>35000</c:v>
                      </c:pt>
                      <c:pt idx="36">
                        <c:v>36000</c:v>
                      </c:pt>
                      <c:pt idx="37">
                        <c:v>37000</c:v>
                      </c:pt>
                      <c:pt idx="38">
                        <c:v>38000</c:v>
                      </c:pt>
                      <c:pt idx="39">
                        <c:v>39000</c:v>
                      </c:pt>
                      <c:pt idx="40">
                        <c:v>40000</c:v>
                      </c:pt>
                    </c:numCache>
                  </c:numRef>
                </c:yVal>
                <c:smooth val="0"/>
                <c:extLst xmlns:c15="http://schemas.microsoft.com/office/drawing/2012/chart">
                  <c:ext xmlns:c16="http://schemas.microsoft.com/office/drawing/2014/chart" uri="{C3380CC4-5D6E-409C-BE32-E72D297353CC}">
                    <c16:uniqueId val="{00000006-E2C1-42D5-A091-A47B4AF12430}"/>
                  </c:ext>
                </c:extLst>
              </c15:ser>
            </c15:filteredScatterSeries>
          </c:ext>
        </c:extLst>
      </c:scatterChart>
      <c:valAx>
        <c:axId val="12863762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a:t>
                </a:r>
                <a:r>
                  <a:rPr lang="en-US" baseline="0"/>
                  <a:t> (KCAS)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376928"/>
        <c:crosses val="autoZero"/>
        <c:crossBetween val="midCat"/>
      </c:valAx>
      <c:valAx>
        <c:axId val="1286376928"/>
        <c:scaling>
          <c:orientation val="minMax"/>
          <c:max val="3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Altitude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376208"/>
        <c:crosses val="autoZero"/>
        <c:crossBetween val="midCat"/>
      </c:valAx>
      <c:spPr>
        <a:noFill/>
        <a:ln>
          <a:noFill/>
        </a:ln>
        <a:effectLst/>
      </c:spPr>
    </c:plotArea>
    <c:legend>
      <c:legendPos val="tr"/>
      <c:layout>
        <c:manualLayout>
          <c:xMode val="edge"/>
          <c:yMode val="edge"/>
          <c:x val="0.74679597752741234"/>
          <c:y val="0.17077545377609879"/>
          <c:w val="0.21920651420808915"/>
          <c:h val="0.23234598462330716"/>
        </c:manualLayout>
      </c:layout>
      <c:overlay val="1"/>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Altitude vs. VCAS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Stall</c:v>
          </c:tx>
          <c:spPr>
            <a:ln w="19050" cap="rnd">
              <a:solidFill>
                <a:schemeClr val="accent1"/>
              </a:solidFill>
              <a:round/>
            </a:ln>
            <a:effectLst/>
          </c:spPr>
          <c:marker>
            <c:symbol val="none"/>
          </c:marker>
          <c:xVal>
            <c:numRef>
              <c:f>Envelope!$J$117:$J$139</c:f>
              <c:numCache>
                <c:formatCode>0.00</c:formatCode>
                <c:ptCount val="23"/>
                <c:pt idx="0">
                  <c:v>72.498545105481199</c:v>
                </c:pt>
                <c:pt idx="1">
                  <c:v>73.570832311661889</c:v>
                </c:pt>
                <c:pt idx="2">
                  <c:v>74.666594853297411</c:v>
                </c:pt>
                <c:pt idx="3">
                  <c:v>75.786515748113942</c:v>
                </c:pt>
                <c:pt idx="4">
                  <c:v>76.931302875444686</c:v>
                </c:pt>
                <c:pt idx="5">
                  <c:v>78.101690065381078</c:v>
                </c:pt>
                <c:pt idx="6">
                  <c:v>79.298438243823114</c:v>
                </c:pt>
                <c:pt idx="7">
                  <c:v>80.522336636724901</c:v>
                </c:pt>
                <c:pt idx="8">
                  <c:v>81.774204037049941</c:v>
                </c:pt>
                <c:pt idx="9">
                  <c:v>83.054890138187062</c:v>
                </c:pt>
                <c:pt idx="10">
                  <c:v>84.365276937832348</c:v>
                </c:pt>
                <c:pt idx="11">
                  <c:v>85.706280216614715</c:v>
                </c:pt>
                <c:pt idx="12">
                  <c:v>87.078851096036843</c:v>
                </c:pt>
                <c:pt idx="13">
                  <c:v>88.483977680620058</c:v>
                </c:pt>
                <c:pt idx="14">
                  <c:v>89.922686789481958</c:v>
                </c:pt>
                <c:pt idx="15">
                  <c:v>91.396045782943659</c:v>
                </c:pt>
                <c:pt idx="16">
                  <c:v>92.905164490159393</c:v>
                </c:pt>
                <c:pt idx="17">
                  <c:v>94.451197244189714</c:v>
                </c:pt>
                <c:pt idx="18">
                  <c:v>96.035345031400411</c:v>
                </c:pt>
                <c:pt idx="19">
                  <c:v>97.658857762569269</c:v>
                </c:pt>
                <c:pt idx="20">
                  <c:v>99.3230366736219</c:v>
                </c:pt>
                <c:pt idx="21">
                  <c:v>101.0292368645014</c:v>
                </c:pt>
                <c:pt idx="22">
                  <c:v>102.7788699853089</c:v>
                </c:pt>
              </c:numCache>
            </c:numRef>
          </c:xVal>
          <c:yVal>
            <c:numRef>
              <c:f>Envelope!$P$65:$P$101</c:f>
              <c:numCache>
                <c:formatCode>General</c:formatCode>
                <c:ptCount val="37"/>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pt idx="23">
                  <c:v>23000</c:v>
                </c:pt>
                <c:pt idx="24">
                  <c:v>24000</c:v>
                </c:pt>
                <c:pt idx="25">
                  <c:v>25000</c:v>
                </c:pt>
                <c:pt idx="26">
                  <c:v>26000</c:v>
                </c:pt>
                <c:pt idx="27">
                  <c:v>27000</c:v>
                </c:pt>
                <c:pt idx="28">
                  <c:v>28000</c:v>
                </c:pt>
                <c:pt idx="29">
                  <c:v>29000</c:v>
                </c:pt>
                <c:pt idx="30">
                  <c:v>30000</c:v>
                </c:pt>
                <c:pt idx="31">
                  <c:v>31000</c:v>
                </c:pt>
                <c:pt idx="32">
                  <c:v>32000</c:v>
                </c:pt>
                <c:pt idx="33">
                  <c:v>33000</c:v>
                </c:pt>
                <c:pt idx="34">
                  <c:v>34000</c:v>
                </c:pt>
                <c:pt idx="35">
                  <c:v>35000</c:v>
                </c:pt>
                <c:pt idx="36">
                  <c:v>36000</c:v>
                </c:pt>
              </c:numCache>
            </c:numRef>
          </c:yVal>
          <c:smooth val="1"/>
          <c:extLst>
            <c:ext xmlns:c16="http://schemas.microsoft.com/office/drawing/2014/chart" uri="{C3380CC4-5D6E-409C-BE32-E72D297353CC}">
              <c16:uniqueId val="{0000000A-A718-4522-B061-7B0274D3934D}"/>
            </c:ext>
          </c:extLst>
        </c:ser>
        <c:ser>
          <c:idx val="1"/>
          <c:order val="1"/>
          <c:tx>
            <c:v>Maximum KTAS</c:v>
          </c:tx>
          <c:spPr>
            <a:ln w="19050" cap="rnd">
              <a:solidFill>
                <a:schemeClr val="accent2"/>
              </a:solidFill>
              <a:round/>
            </a:ln>
            <a:effectLst/>
          </c:spPr>
          <c:marker>
            <c:symbol val="none"/>
          </c:marker>
          <c:xVal>
            <c:numRef>
              <c:f>Envelope!$N$117:$N$139</c:f>
              <c:numCache>
                <c:formatCode>0.00</c:formatCode>
                <c:ptCount val="23"/>
                <c:pt idx="0">
                  <c:v>381.3152091308761</c:v>
                </c:pt>
                <c:pt idx="1">
                  <c:v>386.95503844990947</c:v>
                </c:pt>
                <c:pt idx="2">
                  <c:v>392.71833924599594</c:v>
                </c:pt>
                <c:pt idx="3">
                  <c:v>398.60870393670353</c:v>
                </c:pt>
                <c:pt idx="4">
                  <c:v>404.62985570234713</c:v>
                </c:pt>
                <c:pt idx="5">
                  <c:v>410.78565421451549</c:v>
                </c:pt>
                <c:pt idx="6">
                  <c:v>417.08010165860799</c:v>
                </c:pt>
                <c:pt idx="7">
                  <c:v>423.51734906771514</c:v>
                </c:pt>
                <c:pt idx="8">
                  <c:v>430.10170298632875</c:v>
                </c:pt>
                <c:pt idx="9">
                  <c:v>436.83763248361157</c:v>
                </c:pt>
                <c:pt idx="10">
                  <c:v>443.72977653729015</c:v>
                </c:pt>
                <c:pt idx="11">
                  <c:v>450.78295181067131</c:v>
                </c:pt>
                <c:pt idx="12">
                  <c:v>458.00216084682927</c:v>
                </c:pt>
                <c:pt idx="13">
                  <c:v>465.39260070567269</c:v>
                </c:pt>
                <c:pt idx="14">
                  <c:v>472.95967207139444</c:v>
                </c:pt>
                <c:pt idx="15">
                  <c:v>480.70898885974242</c:v>
                </c:pt>
                <c:pt idx="16">
                  <c:v>488.6463883566293</c:v>
                </c:pt>
                <c:pt idx="17">
                  <c:v>496.77794192185655</c:v>
                </c:pt>
                <c:pt idx="18">
                  <c:v>505.10996629414689</c:v>
                </c:pt>
                <c:pt idx="19">
                  <c:v>513.64903553631689</c:v>
                </c:pt>
                <c:pt idx="20">
                  <c:v>522.40199366224829</c:v>
                </c:pt>
                <c:pt idx="21">
                  <c:v>531.37596799039204</c:v>
                </c:pt>
                <c:pt idx="22">
                  <c:v>540.57838327186209</c:v>
                </c:pt>
              </c:numCache>
            </c:numRef>
          </c:xVal>
          <c:yVal>
            <c:numRef>
              <c:f>Envelope!$P$117:$P$139</c:f>
              <c:numCache>
                <c:formatCode>General</c:formatCode>
                <c:ptCount val="23"/>
                <c:pt idx="0">
                  <c:v>0</c:v>
                </c:pt>
                <c:pt idx="1">
                  <c:v>1000</c:v>
                </c:pt>
                <c:pt idx="2">
                  <c:v>2000</c:v>
                </c:pt>
                <c:pt idx="3">
                  <c:v>3000</c:v>
                </c:pt>
                <c:pt idx="4">
                  <c:v>4000</c:v>
                </c:pt>
                <c:pt idx="5">
                  <c:v>5000</c:v>
                </c:pt>
                <c:pt idx="6">
                  <c:v>6000</c:v>
                </c:pt>
                <c:pt idx="7">
                  <c:v>7000</c:v>
                </c:pt>
                <c:pt idx="8">
                  <c:v>8000</c:v>
                </c:pt>
                <c:pt idx="9">
                  <c:v>9000</c:v>
                </c:pt>
                <c:pt idx="10">
                  <c:v>10000</c:v>
                </c:pt>
                <c:pt idx="11">
                  <c:v>11000</c:v>
                </c:pt>
                <c:pt idx="12">
                  <c:v>12000</c:v>
                </c:pt>
                <c:pt idx="13">
                  <c:v>13000</c:v>
                </c:pt>
                <c:pt idx="14">
                  <c:v>14000</c:v>
                </c:pt>
                <c:pt idx="15">
                  <c:v>15000</c:v>
                </c:pt>
                <c:pt idx="16">
                  <c:v>16000</c:v>
                </c:pt>
                <c:pt idx="17">
                  <c:v>17000</c:v>
                </c:pt>
                <c:pt idx="18">
                  <c:v>18000</c:v>
                </c:pt>
                <c:pt idx="19">
                  <c:v>19000</c:v>
                </c:pt>
                <c:pt idx="20">
                  <c:v>20000</c:v>
                </c:pt>
                <c:pt idx="21">
                  <c:v>21000</c:v>
                </c:pt>
                <c:pt idx="22">
                  <c:v>22000</c:v>
                </c:pt>
              </c:numCache>
            </c:numRef>
          </c:yVal>
          <c:smooth val="1"/>
          <c:extLst>
            <c:ext xmlns:c16="http://schemas.microsoft.com/office/drawing/2014/chart" uri="{C3380CC4-5D6E-409C-BE32-E72D297353CC}">
              <c16:uniqueId val="{0000000D-A718-4522-B061-7B0274D3934D}"/>
            </c:ext>
          </c:extLst>
        </c:ser>
        <c:ser>
          <c:idx val="2"/>
          <c:order val="2"/>
          <c:tx>
            <c:v>Ceiling</c:v>
          </c:tx>
          <c:spPr>
            <a:ln w="38100" cap="rnd">
              <a:solidFill>
                <a:schemeClr val="accent3"/>
              </a:solidFill>
              <a:round/>
            </a:ln>
            <a:effectLst/>
          </c:spPr>
          <c:marker>
            <c:symbol val="none"/>
          </c:marker>
          <c:xVal>
            <c:numRef>
              <c:f>Envelope!$S$117:$S$144</c:f>
              <c:numCache>
                <c:formatCode>General</c:formatCode>
                <c:ptCount val="28"/>
                <c:pt idx="0">
                  <c:v>0</c:v>
                </c:pt>
                <c:pt idx="1">
                  <c:v>20</c:v>
                </c:pt>
                <c:pt idx="2">
                  <c:v>40</c:v>
                </c:pt>
                <c:pt idx="3">
                  <c:v>60</c:v>
                </c:pt>
                <c:pt idx="4">
                  <c:v>80</c:v>
                </c:pt>
                <c:pt idx="5">
                  <c:v>100</c:v>
                </c:pt>
                <c:pt idx="6">
                  <c:v>120</c:v>
                </c:pt>
                <c:pt idx="7">
                  <c:v>140</c:v>
                </c:pt>
                <c:pt idx="8">
                  <c:v>160</c:v>
                </c:pt>
                <c:pt idx="9">
                  <c:v>180</c:v>
                </c:pt>
                <c:pt idx="10">
                  <c:v>200</c:v>
                </c:pt>
                <c:pt idx="11">
                  <c:v>220</c:v>
                </c:pt>
                <c:pt idx="12">
                  <c:v>240</c:v>
                </c:pt>
                <c:pt idx="13">
                  <c:v>260</c:v>
                </c:pt>
                <c:pt idx="14">
                  <c:v>280</c:v>
                </c:pt>
                <c:pt idx="15">
                  <c:v>300</c:v>
                </c:pt>
                <c:pt idx="16">
                  <c:v>320</c:v>
                </c:pt>
                <c:pt idx="17">
                  <c:v>340</c:v>
                </c:pt>
                <c:pt idx="18">
                  <c:v>360</c:v>
                </c:pt>
                <c:pt idx="19">
                  <c:v>380</c:v>
                </c:pt>
                <c:pt idx="20">
                  <c:v>400</c:v>
                </c:pt>
                <c:pt idx="21">
                  <c:v>420</c:v>
                </c:pt>
                <c:pt idx="22">
                  <c:v>440</c:v>
                </c:pt>
                <c:pt idx="23">
                  <c:v>460</c:v>
                </c:pt>
                <c:pt idx="24">
                  <c:v>480</c:v>
                </c:pt>
                <c:pt idx="25">
                  <c:v>500</c:v>
                </c:pt>
                <c:pt idx="26">
                  <c:v>520</c:v>
                </c:pt>
                <c:pt idx="27">
                  <c:v>540</c:v>
                </c:pt>
              </c:numCache>
            </c:numRef>
          </c:xVal>
          <c:yVal>
            <c:numRef>
              <c:f>Envelope!$R$117:$R$144</c:f>
              <c:numCache>
                <c:formatCode>General</c:formatCode>
                <c:ptCount val="28"/>
                <c:pt idx="0">
                  <c:v>22000</c:v>
                </c:pt>
                <c:pt idx="1">
                  <c:v>22000</c:v>
                </c:pt>
                <c:pt idx="2">
                  <c:v>22000</c:v>
                </c:pt>
                <c:pt idx="3">
                  <c:v>22000</c:v>
                </c:pt>
                <c:pt idx="4">
                  <c:v>22000</c:v>
                </c:pt>
                <c:pt idx="5">
                  <c:v>22000</c:v>
                </c:pt>
                <c:pt idx="6">
                  <c:v>22000</c:v>
                </c:pt>
                <c:pt idx="7">
                  <c:v>22000</c:v>
                </c:pt>
                <c:pt idx="8">
                  <c:v>22000</c:v>
                </c:pt>
                <c:pt idx="9">
                  <c:v>22000</c:v>
                </c:pt>
                <c:pt idx="10">
                  <c:v>22000</c:v>
                </c:pt>
                <c:pt idx="11">
                  <c:v>22000</c:v>
                </c:pt>
                <c:pt idx="12">
                  <c:v>22000</c:v>
                </c:pt>
                <c:pt idx="13">
                  <c:v>22000</c:v>
                </c:pt>
                <c:pt idx="14">
                  <c:v>22000</c:v>
                </c:pt>
                <c:pt idx="15">
                  <c:v>22000</c:v>
                </c:pt>
                <c:pt idx="16">
                  <c:v>22000</c:v>
                </c:pt>
                <c:pt idx="17">
                  <c:v>22000</c:v>
                </c:pt>
                <c:pt idx="18">
                  <c:v>22000</c:v>
                </c:pt>
                <c:pt idx="19">
                  <c:v>22000</c:v>
                </c:pt>
                <c:pt idx="20">
                  <c:v>22000</c:v>
                </c:pt>
                <c:pt idx="21">
                  <c:v>22000</c:v>
                </c:pt>
                <c:pt idx="22">
                  <c:v>22000</c:v>
                </c:pt>
                <c:pt idx="23">
                  <c:v>22000</c:v>
                </c:pt>
                <c:pt idx="24">
                  <c:v>22000</c:v>
                </c:pt>
                <c:pt idx="25">
                  <c:v>22000</c:v>
                </c:pt>
                <c:pt idx="26">
                  <c:v>22000</c:v>
                </c:pt>
                <c:pt idx="27">
                  <c:v>22000</c:v>
                </c:pt>
              </c:numCache>
            </c:numRef>
          </c:yVal>
          <c:smooth val="1"/>
          <c:extLst>
            <c:ext xmlns:c16="http://schemas.microsoft.com/office/drawing/2014/chart" uri="{C3380CC4-5D6E-409C-BE32-E72D297353CC}">
              <c16:uniqueId val="{0000000E-A718-4522-B061-7B0274D3934D}"/>
            </c:ext>
          </c:extLst>
        </c:ser>
        <c:dLbls>
          <c:showLegendKey val="0"/>
          <c:showVal val="0"/>
          <c:showCatName val="0"/>
          <c:showSerName val="0"/>
          <c:showPercent val="0"/>
          <c:showBubbleSize val="0"/>
        </c:dLbls>
        <c:axId val="1950032992"/>
        <c:axId val="1950033472"/>
      </c:scatterChart>
      <c:valAx>
        <c:axId val="1950032992"/>
        <c:scaling>
          <c:orientation val="minMax"/>
          <c:max val="5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True</a:t>
                </a:r>
                <a:r>
                  <a:rPr lang="en-US" baseline="0"/>
                  <a:t> Airspeed, KTAS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033472"/>
        <c:crosses val="autoZero"/>
        <c:crossBetween val="midCat"/>
      </c:valAx>
      <c:valAx>
        <c:axId val="1950033472"/>
        <c:scaling>
          <c:orientation val="minMax"/>
          <c:max val="22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Altitude,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03299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r>
              <a:rPr lang="en-US"/>
              <a:t>Cruise Drag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endParaRPr lang="en-US"/>
        </a:p>
      </c:txPr>
    </c:title>
    <c:autoTitleDeleted val="0"/>
    <c:plotArea>
      <c:layout/>
      <c:scatterChart>
        <c:scatterStyle val="lineMarker"/>
        <c:varyColors val="0"/>
        <c:ser>
          <c:idx val="0"/>
          <c:order val="0"/>
          <c:spPr>
            <a:ln w="19050" cap="rnd">
              <a:solidFill>
                <a:srgbClr val="92D050"/>
              </a:solidFill>
              <a:prstDash val="solid"/>
              <a:round/>
            </a:ln>
            <a:effectLst/>
          </c:spPr>
          <c:marker>
            <c:symbol val="none"/>
          </c:marker>
          <c:xVal>
            <c:numRef>
              <c:f>Drag!$R$7:$R$12</c:f>
              <c:numCache>
                <c:formatCode>General</c:formatCode>
                <c:ptCount val="6"/>
                <c:pt idx="0">
                  <c:v>200</c:v>
                </c:pt>
                <c:pt idx="1">
                  <c:v>300</c:v>
                </c:pt>
                <c:pt idx="2">
                  <c:v>400</c:v>
                </c:pt>
                <c:pt idx="3">
                  <c:v>500</c:v>
                </c:pt>
                <c:pt idx="4">
                  <c:v>600</c:v>
                </c:pt>
                <c:pt idx="5">
                  <c:v>700</c:v>
                </c:pt>
              </c:numCache>
            </c:numRef>
          </c:xVal>
          <c:yVal>
            <c:numRef>
              <c:f>Drag!$S$7:$S$12</c:f>
              <c:numCache>
                <c:formatCode>_(* #,##0_);_(* \(#,##0\);_(* "-"??_);_(@_)</c:formatCode>
                <c:ptCount val="6"/>
                <c:pt idx="0">
                  <c:v>320.55455612580687</c:v>
                </c:pt>
                <c:pt idx="1">
                  <c:v>721.24775128306544</c:v>
                </c:pt>
                <c:pt idx="2">
                  <c:v>1282.2182245032275</c:v>
                </c:pt>
                <c:pt idx="3">
                  <c:v>2003.4659757862933</c:v>
                </c:pt>
                <c:pt idx="4">
                  <c:v>2884.9910051322618</c:v>
                </c:pt>
                <c:pt idx="5">
                  <c:v>3926.7933125411346</c:v>
                </c:pt>
              </c:numCache>
            </c:numRef>
          </c:yVal>
          <c:smooth val="0"/>
          <c:extLst>
            <c:ext xmlns:c16="http://schemas.microsoft.com/office/drawing/2014/chart" uri="{C3380CC4-5D6E-409C-BE32-E72D297353CC}">
              <c16:uniqueId val="{00000006-F2B6-4D72-936A-14A28C912AE1}"/>
            </c:ext>
          </c:extLst>
        </c:ser>
        <c:ser>
          <c:idx val="1"/>
          <c:order val="1"/>
          <c:spPr>
            <a:ln w="19050" cap="rnd">
              <a:solidFill>
                <a:srgbClr val="186C24"/>
              </a:solidFill>
              <a:prstDash val="solid"/>
              <a:round/>
            </a:ln>
            <a:effectLst/>
          </c:spPr>
          <c:marker>
            <c:symbol val="none"/>
          </c:marker>
          <c:xVal>
            <c:numRef>
              <c:f>Drag!$R$7:$R$12</c:f>
              <c:numCache>
                <c:formatCode>General</c:formatCode>
                <c:ptCount val="6"/>
                <c:pt idx="0">
                  <c:v>200</c:v>
                </c:pt>
                <c:pt idx="1">
                  <c:v>300</c:v>
                </c:pt>
                <c:pt idx="2">
                  <c:v>400</c:v>
                </c:pt>
                <c:pt idx="3">
                  <c:v>500</c:v>
                </c:pt>
                <c:pt idx="4">
                  <c:v>600</c:v>
                </c:pt>
                <c:pt idx="5">
                  <c:v>700</c:v>
                </c:pt>
              </c:numCache>
            </c:numRef>
          </c:xVal>
          <c:yVal>
            <c:numRef>
              <c:f>Drag!$U$7:$U$12</c:f>
              <c:numCache>
                <c:formatCode>_(* #,##0_);_(* \(#,##0\);_(* "-"??_);_(@_)</c:formatCode>
                <c:ptCount val="6"/>
                <c:pt idx="0">
                  <c:v>273.13745164972244</c:v>
                </c:pt>
                <c:pt idx="1">
                  <c:v>614.55926621187541</c:v>
                </c:pt>
                <c:pt idx="2">
                  <c:v>1092.5498065988897</c:v>
                </c:pt>
                <c:pt idx="3">
                  <c:v>1707.1090728107654</c:v>
                </c:pt>
                <c:pt idx="4">
                  <c:v>2458.2370648475016</c:v>
                </c:pt>
                <c:pt idx="5">
                  <c:v>3345.9337827090999</c:v>
                </c:pt>
              </c:numCache>
            </c:numRef>
          </c:yVal>
          <c:smooth val="0"/>
          <c:extLst>
            <c:ext xmlns:c16="http://schemas.microsoft.com/office/drawing/2014/chart" uri="{C3380CC4-5D6E-409C-BE32-E72D297353CC}">
              <c16:uniqueId val="{00000008-F2B6-4D72-936A-14A28C912AE1}"/>
            </c:ext>
          </c:extLst>
        </c:ser>
        <c:ser>
          <c:idx val="2"/>
          <c:order val="2"/>
          <c:spPr>
            <a:ln w="19050" cap="rnd">
              <a:solidFill>
                <a:srgbClr val="00B0F0"/>
              </a:solidFill>
              <a:prstDash val="solid"/>
              <a:round/>
            </a:ln>
            <a:effectLst/>
          </c:spPr>
          <c:marker>
            <c:symbol val="none"/>
          </c:marker>
          <c:xVal>
            <c:numRef>
              <c:f>Drag!$R$7:$R$12</c:f>
              <c:numCache>
                <c:formatCode>General</c:formatCode>
                <c:ptCount val="6"/>
                <c:pt idx="0">
                  <c:v>200</c:v>
                </c:pt>
                <c:pt idx="1">
                  <c:v>300</c:v>
                </c:pt>
                <c:pt idx="2">
                  <c:v>400</c:v>
                </c:pt>
                <c:pt idx="3">
                  <c:v>500</c:v>
                </c:pt>
                <c:pt idx="4">
                  <c:v>600</c:v>
                </c:pt>
                <c:pt idx="5">
                  <c:v>700</c:v>
                </c:pt>
              </c:numCache>
            </c:numRef>
          </c:xVal>
          <c:yVal>
            <c:numRef>
              <c:f>Drag!$V$7:$V$12</c:f>
              <c:numCache>
                <c:formatCode>_(* #,##0_);_(* \(#,##0\);_(* "-"??_);_(@_)</c:formatCode>
                <c:ptCount val="6"/>
                <c:pt idx="0">
                  <c:v>231.28275751029705</c:v>
                </c:pt>
                <c:pt idx="1">
                  <c:v>520.38620439816827</c:v>
                </c:pt>
                <c:pt idx="2">
                  <c:v>925.13103004118818</c:v>
                </c:pt>
                <c:pt idx="3">
                  <c:v>1445.5172344393566</c:v>
                </c:pt>
                <c:pt idx="4">
                  <c:v>2081.5448175926731</c:v>
                </c:pt>
                <c:pt idx="5">
                  <c:v>2833.2137795011386</c:v>
                </c:pt>
              </c:numCache>
            </c:numRef>
          </c:yVal>
          <c:smooth val="0"/>
          <c:extLst>
            <c:ext xmlns:c16="http://schemas.microsoft.com/office/drawing/2014/chart" uri="{C3380CC4-5D6E-409C-BE32-E72D297353CC}">
              <c16:uniqueId val="{0000000A-F2B6-4D72-936A-14A28C912AE1}"/>
            </c:ext>
          </c:extLst>
        </c:ser>
        <c:ser>
          <c:idx val="3"/>
          <c:order val="3"/>
          <c:spPr>
            <a:ln w="19050" cap="rnd">
              <a:solidFill>
                <a:srgbClr val="7030A0"/>
              </a:solidFill>
              <a:prstDash val="solid"/>
              <a:round/>
            </a:ln>
            <a:effectLst/>
          </c:spPr>
          <c:marker>
            <c:symbol val="none"/>
          </c:marker>
          <c:xVal>
            <c:numRef>
              <c:f>Drag!$R$7:$R$12</c:f>
              <c:numCache>
                <c:formatCode>General</c:formatCode>
                <c:ptCount val="6"/>
                <c:pt idx="0">
                  <c:v>200</c:v>
                </c:pt>
                <c:pt idx="1">
                  <c:v>300</c:v>
                </c:pt>
                <c:pt idx="2">
                  <c:v>400</c:v>
                </c:pt>
                <c:pt idx="3">
                  <c:v>500</c:v>
                </c:pt>
                <c:pt idx="4">
                  <c:v>600</c:v>
                </c:pt>
                <c:pt idx="5">
                  <c:v>700</c:v>
                </c:pt>
              </c:numCache>
            </c:numRef>
          </c:xVal>
          <c:yVal>
            <c:numRef>
              <c:f>Drag!$W$7:$W$12</c:f>
              <c:numCache>
                <c:formatCode>_(* #,##0_);_(* \(#,##0\);_(* "-"??_);_(@_)</c:formatCode>
                <c:ptCount val="6"/>
                <c:pt idx="0">
                  <c:v>162.40630806499314</c:v>
                </c:pt>
                <c:pt idx="1">
                  <c:v>365.41419314623454</c:v>
                </c:pt>
                <c:pt idx="2">
                  <c:v>649.62523225997256</c:v>
                </c:pt>
                <c:pt idx="3">
                  <c:v>1015.0394254062072</c:v>
                </c:pt>
                <c:pt idx="4">
                  <c:v>1461.6567725849382</c:v>
                </c:pt>
                <c:pt idx="5">
                  <c:v>1989.4772737961662</c:v>
                </c:pt>
              </c:numCache>
            </c:numRef>
          </c:yVal>
          <c:smooth val="0"/>
          <c:extLst>
            <c:ext xmlns:c16="http://schemas.microsoft.com/office/drawing/2014/chart" uri="{C3380CC4-5D6E-409C-BE32-E72D297353CC}">
              <c16:uniqueId val="{0000000C-F2B6-4D72-936A-14A28C912AE1}"/>
            </c:ext>
          </c:extLst>
        </c:ser>
        <c:dLbls>
          <c:showLegendKey val="0"/>
          <c:showVal val="0"/>
          <c:showCatName val="0"/>
          <c:showSerName val="0"/>
          <c:showPercent val="0"/>
          <c:showBubbleSize val="0"/>
        </c:dLbls>
        <c:axId val="487476744"/>
        <c:axId val="1139900936"/>
      </c:scatterChart>
      <c:valAx>
        <c:axId val="487476744"/>
        <c:scaling>
          <c:orientation val="minMax"/>
          <c:max val="1000"/>
          <c:min val="2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r>
                  <a:rPr lang="en-US"/>
                  <a:t>Cruise Velocity (ft/s)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crossAx val="1139900936"/>
        <c:crosses val="autoZero"/>
        <c:crossBetween val="midCat"/>
      </c:valAx>
      <c:valAx>
        <c:axId val="1139900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r>
                  <a:rPr lang="en-US"/>
                  <a:t>Total Drag Force (lb)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crossAx val="4874767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r>
              <a:rPr lang="en-US"/>
              <a:t>Cruise Drag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endParaRPr lang="en-US"/>
        </a:p>
      </c:txPr>
    </c:title>
    <c:autoTitleDeleted val="0"/>
    <c:plotArea>
      <c:layout>
        <c:manualLayout>
          <c:layoutTarget val="inner"/>
          <c:xMode val="edge"/>
          <c:yMode val="edge"/>
          <c:x val="0.13039370078740156"/>
          <c:y val="0.14454454454454455"/>
          <c:w val="0.82417756553854959"/>
          <c:h val="0.69458655505899602"/>
        </c:manualLayout>
      </c:layout>
      <c:scatterChart>
        <c:scatterStyle val="lineMarker"/>
        <c:varyColors val="0"/>
        <c:ser>
          <c:idx val="0"/>
          <c:order val="0"/>
          <c:tx>
            <c:strRef>
              <c:f>Drag!$S$45</c:f>
              <c:strCache>
                <c:ptCount val="1"/>
                <c:pt idx="0">
                  <c:v>10,000 ft</c:v>
                </c:pt>
              </c:strCache>
            </c:strRef>
          </c:tx>
          <c:spPr>
            <a:ln w="19050" cap="rnd">
              <a:solidFill>
                <a:srgbClr val="92D050"/>
              </a:solidFill>
              <a:prstDash val="solid"/>
              <a:round/>
            </a:ln>
            <a:effectLst/>
          </c:spPr>
          <c:marker>
            <c:symbol val="none"/>
          </c:marker>
          <c:xVal>
            <c:numRef>
              <c:f>Drag!$R$5:$R$15</c:f>
              <c:numCache>
                <c:formatCode>General</c:formatCode>
                <c:ptCount val="11"/>
                <c:pt idx="0">
                  <c:v>0</c:v>
                </c:pt>
                <c:pt idx="1">
                  <c:v>100</c:v>
                </c:pt>
                <c:pt idx="2">
                  <c:v>200</c:v>
                </c:pt>
                <c:pt idx="3">
                  <c:v>300</c:v>
                </c:pt>
                <c:pt idx="4">
                  <c:v>400</c:v>
                </c:pt>
                <c:pt idx="5">
                  <c:v>500</c:v>
                </c:pt>
                <c:pt idx="6">
                  <c:v>600</c:v>
                </c:pt>
                <c:pt idx="7">
                  <c:v>700</c:v>
                </c:pt>
                <c:pt idx="8">
                  <c:v>800</c:v>
                </c:pt>
                <c:pt idx="9">
                  <c:v>900</c:v>
                </c:pt>
                <c:pt idx="10">
                  <c:v>1000</c:v>
                </c:pt>
              </c:numCache>
            </c:numRef>
          </c:xVal>
          <c:yVal>
            <c:numRef>
              <c:f>Drag!$S$5:$S$15</c:f>
              <c:numCache>
                <c:formatCode>_(* #,##0_);_(* \(#,##0\);_(* "-"??_);_(@_)</c:formatCode>
                <c:ptCount val="11"/>
                <c:pt idx="0">
                  <c:v>0</c:v>
                </c:pt>
                <c:pt idx="1">
                  <c:v>80.138639031451717</c:v>
                </c:pt>
                <c:pt idx="2">
                  <c:v>320.55455612580687</c:v>
                </c:pt>
                <c:pt idx="3">
                  <c:v>721.24775128306544</c:v>
                </c:pt>
                <c:pt idx="4">
                  <c:v>1282.2182245032275</c:v>
                </c:pt>
                <c:pt idx="5">
                  <c:v>2003.4659757862933</c:v>
                </c:pt>
                <c:pt idx="6">
                  <c:v>2884.9910051322618</c:v>
                </c:pt>
                <c:pt idx="7">
                  <c:v>3926.7933125411346</c:v>
                </c:pt>
                <c:pt idx="8">
                  <c:v>5128.8728980129099</c:v>
                </c:pt>
                <c:pt idx="9">
                  <c:v>6491.2297615475909</c:v>
                </c:pt>
                <c:pt idx="10">
                  <c:v>8013.863903145173</c:v>
                </c:pt>
              </c:numCache>
            </c:numRef>
          </c:yVal>
          <c:smooth val="0"/>
          <c:extLst>
            <c:ext xmlns:c16="http://schemas.microsoft.com/office/drawing/2014/chart" uri="{C3380CC4-5D6E-409C-BE32-E72D297353CC}">
              <c16:uniqueId val="{00000000-2E6B-4195-A3DB-7E0B6A890668}"/>
            </c:ext>
          </c:extLst>
        </c:ser>
        <c:ser>
          <c:idx val="1"/>
          <c:order val="1"/>
          <c:tx>
            <c:strRef>
              <c:f>Drag!$U$45</c:f>
              <c:strCache>
                <c:ptCount val="1"/>
                <c:pt idx="0">
                  <c:v>15,000 ft</c:v>
                </c:pt>
              </c:strCache>
            </c:strRef>
          </c:tx>
          <c:spPr>
            <a:ln w="19050" cap="rnd">
              <a:solidFill>
                <a:srgbClr val="186C24"/>
              </a:solidFill>
              <a:prstDash val="solid"/>
              <a:round/>
            </a:ln>
            <a:effectLst/>
          </c:spPr>
          <c:marker>
            <c:symbol val="none"/>
          </c:marker>
          <c:xVal>
            <c:numRef>
              <c:f>Drag!$R$5:$R$15</c:f>
              <c:numCache>
                <c:formatCode>General</c:formatCode>
                <c:ptCount val="11"/>
                <c:pt idx="0">
                  <c:v>0</c:v>
                </c:pt>
                <c:pt idx="1">
                  <c:v>100</c:v>
                </c:pt>
                <c:pt idx="2">
                  <c:v>200</c:v>
                </c:pt>
                <c:pt idx="3">
                  <c:v>300</c:v>
                </c:pt>
                <c:pt idx="4">
                  <c:v>400</c:v>
                </c:pt>
                <c:pt idx="5">
                  <c:v>500</c:v>
                </c:pt>
                <c:pt idx="6">
                  <c:v>600</c:v>
                </c:pt>
                <c:pt idx="7">
                  <c:v>700</c:v>
                </c:pt>
                <c:pt idx="8">
                  <c:v>800</c:v>
                </c:pt>
                <c:pt idx="9">
                  <c:v>900</c:v>
                </c:pt>
                <c:pt idx="10">
                  <c:v>1000</c:v>
                </c:pt>
              </c:numCache>
            </c:numRef>
          </c:xVal>
          <c:yVal>
            <c:numRef>
              <c:f>Drag!$U$5:$U$15</c:f>
              <c:numCache>
                <c:formatCode>_(* #,##0_);_(* \(#,##0\);_(* "-"??_);_(@_)</c:formatCode>
                <c:ptCount val="11"/>
                <c:pt idx="0">
                  <c:v>0</c:v>
                </c:pt>
                <c:pt idx="1">
                  <c:v>68.284362912430609</c:v>
                </c:pt>
                <c:pt idx="2">
                  <c:v>273.13745164972244</c:v>
                </c:pt>
                <c:pt idx="3">
                  <c:v>614.55926621187541</c:v>
                </c:pt>
                <c:pt idx="4">
                  <c:v>1092.5498065988897</c:v>
                </c:pt>
                <c:pt idx="5">
                  <c:v>1707.1090728107654</c:v>
                </c:pt>
                <c:pt idx="6">
                  <c:v>2458.2370648475016</c:v>
                </c:pt>
                <c:pt idx="7">
                  <c:v>3345.9337827090999</c:v>
                </c:pt>
                <c:pt idx="8">
                  <c:v>4370.199226395559</c:v>
                </c:pt>
                <c:pt idx="9">
                  <c:v>5531.0333959068794</c:v>
                </c:pt>
                <c:pt idx="10">
                  <c:v>6828.4362912430615</c:v>
                </c:pt>
              </c:numCache>
            </c:numRef>
          </c:yVal>
          <c:smooth val="0"/>
          <c:extLst>
            <c:ext xmlns:c16="http://schemas.microsoft.com/office/drawing/2014/chart" uri="{C3380CC4-5D6E-409C-BE32-E72D297353CC}">
              <c16:uniqueId val="{00000001-2E6B-4195-A3DB-7E0B6A890668}"/>
            </c:ext>
          </c:extLst>
        </c:ser>
        <c:ser>
          <c:idx val="2"/>
          <c:order val="2"/>
          <c:tx>
            <c:strRef>
              <c:f>Drag!$V$45</c:f>
              <c:strCache>
                <c:ptCount val="1"/>
                <c:pt idx="0">
                  <c:v>20,000 ft</c:v>
                </c:pt>
              </c:strCache>
            </c:strRef>
          </c:tx>
          <c:spPr>
            <a:ln w="19050" cap="rnd">
              <a:solidFill>
                <a:srgbClr val="00B0F0"/>
              </a:solidFill>
              <a:prstDash val="solid"/>
              <a:round/>
            </a:ln>
            <a:effectLst/>
          </c:spPr>
          <c:marker>
            <c:symbol val="none"/>
          </c:marker>
          <c:xVal>
            <c:numRef>
              <c:f>Drag!$R$5:$R$15</c:f>
              <c:numCache>
                <c:formatCode>General</c:formatCode>
                <c:ptCount val="11"/>
                <c:pt idx="0">
                  <c:v>0</c:v>
                </c:pt>
                <c:pt idx="1">
                  <c:v>100</c:v>
                </c:pt>
                <c:pt idx="2">
                  <c:v>200</c:v>
                </c:pt>
                <c:pt idx="3">
                  <c:v>300</c:v>
                </c:pt>
                <c:pt idx="4">
                  <c:v>400</c:v>
                </c:pt>
                <c:pt idx="5">
                  <c:v>500</c:v>
                </c:pt>
                <c:pt idx="6">
                  <c:v>600</c:v>
                </c:pt>
                <c:pt idx="7">
                  <c:v>700</c:v>
                </c:pt>
                <c:pt idx="8">
                  <c:v>800</c:v>
                </c:pt>
                <c:pt idx="9">
                  <c:v>900</c:v>
                </c:pt>
                <c:pt idx="10">
                  <c:v>1000</c:v>
                </c:pt>
              </c:numCache>
            </c:numRef>
          </c:xVal>
          <c:yVal>
            <c:numRef>
              <c:f>Drag!$V$5:$V$15</c:f>
              <c:numCache>
                <c:formatCode>_(* #,##0_);_(* \(#,##0\);_(* "-"??_);_(@_)</c:formatCode>
                <c:ptCount val="11"/>
                <c:pt idx="0">
                  <c:v>0</c:v>
                </c:pt>
                <c:pt idx="1">
                  <c:v>57.820689377574261</c:v>
                </c:pt>
                <c:pt idx="2">
                  <c:v>231.28275751029705</c:v>
                </c:pt>
                <c:pt idx="3">
                  <c:v>520.38620439816827</c:v>
                </c:pt>
                <c:pt idx="4">
                  <c:v>925.13103004118818</c:v>
                </c:pt>
                <c:pt idx="5">
                  <c:v>1445.5172344393566</c:v>
                </c:pt>
                <c:pt idx="6">
                  <c:v>2081.5448175926731</c:v>
                </c:pt>
                <c:pt idx="7">
                  <c:v>2833.2137795011386</c:v>
                </c:pt>
                <c:pt idx="8">
                  <c:v>3700.5241201647527</c:v>
                </c:pt>
                <c:pt idx="9">
                  <c:v>4683.4758395835152</c:v>
                </c:pt>
                <c:pt idx="10">
                  <c:v>5782.0689377574263</c:v>
                </c:pt>
              </c:numCache>
            </c:numRef>
          </c:yVal>
          <c:smooth val="0"/>
          <c:extLst>
            <c:ext xmlns:c16="http://schemas.microsoft.com/office/drawing/2014/chart" uri="{C3380CC4-5D6E-409C-BE32-E72D297353CC}">
              <c16:uniqueId val="{00000002-2E6B-4195-A3DB-7E0B6A890668}"/>
            </c:ext>
          </c:extLst>
        </c:ser>
        <c:ser>
          <c:idx val="3"/>
          <c:order val="3"/>
          <c:tx>
            <c:strRef>
              <c:f>Drag!$W$45</c:f>
              <c:strCache>
                <c:ptCount val="1"/>
                <c:pt idx="0">
                  <c:v>30,000 ft</c:v>
                </c:pt>
              </c:strCache>
            </c:strRef>
          </c:tx>
          <c:spPr>
            <a:ln w="19050" cap="rnd">
              <a:solidFill>
                <a:srgbClr val="7030A0"/>
              </a:solidFill>
              <a:prstDash val="solid"/>
              <a:round/>
            </a:ln>
            <a:effectLst/>
          </c:spPr>
          <c:marker>
            <c:symbol val="none"/>
          </c:marker>
          <c:xVal>
            <c:numRef>
              <c:f>Drag!$R$5:$R$15</c:f>
              <c:numCache>
                <c:formatCode>General</c:formatCode>
                <c:ptCount val="11"/>
                <c:pt idx="0">
                  <c:v>0</c:v>
                </c:pt>
                <c:pt idx="1">
                  <c:v>100</c:v>
                </c:pt>
                <c:pt idx="2">
                  <c:v>200</c:v>
                </c:pt>
                <c:pt idx="3">
                  <c:v>300</c:v>
                </c:pt>
                <c:pt idx="4">
                  <c:v>400</c:v>
                </c:pt>
                <c:pt idx="5">
                  <c:v>500</c:v>
                </c:pt>
                <c:pt idx="6">
                  <c:v>600</c:v>
                </c:pt>
                <c:pt idx="7">
                  <c:v>700</c:v>
                </c:pt>
                <c:pt idx="8">
                  <c:v>800</c:v>
                </c:pt>
                <c:pt idx="9">
                  <c:v>900</c:v>
                </c:pt>
                <c:pt idx="10">
                  <c:v>1000</c:v>
                </c:pt>
              </c:numCache>
            </c:numRef>
          </c:xVal>
          <c:yVal>
            <c:numRef>
              <c:f>Drag!$W$5:$W$15</c:f>
              <c:numCache>
                <c:formatCode>_(* #,##0_);_(* \(#,##0\);_(* "-"??_);_(@_)</c:formatCode>
                <c:ptCount val="11"/>
                <c:pt idx="0">
                  <c:v>0</c:v>
                </c:pt>
                <c:pt idx="1">
                  <c:v>40.601577016248285</c:v>
                </c:pt>
                <c:pt idx="2">
                  <c:v>162.40630806499314</c:v>
                </c:pt>
                <c:pt idx="3">
                  <c:v>365.41419314623454</c:v>
                </c:pt>
                <c:pt idx="4">
                  <c:v>649.62523225997256</c:v>
                </c:pt>
                <c:pt idx="5">
                  <c:v>1015.0394254062072</c:v>
                </c:pt>
                <c:pt idx="6">
                  <c:v>1461.6567725849382</c:v>
                </c:pt>
                <c:pt idx="7">
                  <c:v>1989.4772737961662</c:v>
                </c:pt>
                <c:pt idx="8">
                  <c:v>2598.5009290398903</c:v>
                </c:pt>
                <c:pt idx="9">
                  <c:v>3288.7277383161108</c:v>
                </c:pt>
                <c:pt idx="10">
                  <c:v>4060.1577016248289</c:v>
                </c:pt>
              </c:numCache>
            </c:numRef>
          </c:yVal>
          <c:smooth val="0"/>
          <c:extLst>
            <c:ext xmlns:c16="http://schemas.microsoft.com/office/drawing/2014/chart" uri="{C3380CC4-5D6E-409C-BE32-E72D297353CC}">
              <c16:uniqueId val="{00000003-2E6B-4195-A3DB-7E0B6A890668}"/>
            </c:ext>
          </c:extLst>
        </c:ser>
        <c:ser>
          <c:idx val="4"/>
          <c:order val="4"/>
          <c:tx>
            <c:strRef>
              <c:f>Drag!$N$4</c:f>
              <c:strCache>
                <c:ptCount val="1"/>
                <c:pt idx="0">
                  <c:v>Selected Airspeed</c:v>
                </c:pt>
              </c:strCache>
            </c:strRef>
          </c:tx>
          <c:spPr>
            <a:ln w="19050" cap="rnd">
              <a:solidFill>
                <a:srgbClr val="C00000"/>
              </a:solidFill>
              <a:round/>
            </a:ln>
            <a:effectLst/>
          </c:spPr>
          <c:marker>
            <c:symbol val="none"/>
          </c:marker>
          <c:xVal>
            <c:numRef>
              <c:f>Drag!$N$5:$N$15</c:f>
              <c:numCache>
                <c:formatCode>0.0</c:formatCode>
                <c:ptCount val="11"/>
                <c:pt idx="0">
                  <c:v>531.92740930825562</c:v>
                </c:pt>
                <c:pt idx="1">
                  <c:v>531.92740930825562</c:v>
                </c:pt>
                <c:pt idx="2">
                  <c:v>531.92740930825562</c:v>
                </c:pt>
                <c:pt idx="3">
                  <c:v>531.92740930825562</c:v>
                </c:pt>
                <c:pt idx="4">
                  <c:v>531.92740930825562</c:v>
                </c:pt>
                <c:pt idx="5">
                  <c:v>531.92740930825562</c:v>
                </c:pt>
                <c:pt idx="6">
                  <c:v>531.92740930825562</c:v>
                </c:pt>
                <c:pt idx="7">
                  <c:v>531.92740930825562</c:v>
                </c:pt>
                <c:pt idx="8">
                  <c:v>531.92740930825562</c:v>
                </c:pt>
                <c:pt idx="9">
                  <c:v>531.92740930825562</c:v>
                </c:pt>
                <c:pt idx="10">
                  <c:v>531.92740930825562</c:v>
                </c:pt>
              </c:numCache>
            </c:numRef>
          </c:xVal>
          <c:yVal>
            <c:numRef>
              <c:f>Drag!$M$5:$M$15</c:f>
              <c:numCache>
                <c:formatCode>General</c:formatCode>
                <c:ptCount val="11"/>
                <c:pt idx="0">
                  <c:v>0</c:v>
                </c:pt>
                <c:pt idx="1">
                  <c:v>700</c:v>
                </c:pt>
                <c:pt idx="2">
                  <c:v>1400</c:v>
                </c:pt>
                <c:pt idx="3">
                  <c:v>2100</c:v>
                </c:pt>
                <c:pt idx="4">
                  <c:v>2800</c:v>
                </c:pt>
                <c:pt idx="5">
                  <c:v>3500</c:v>
                </c:pt>
                <c:pt idx="6">
                  <c:v>4200</c:v>
                </c:pt>
                <c:pt idx="7">
                  <c:v>4900</c:v>
                </c:pt>
                <c:pt idx="8">
                  <c:v>5600</c:v>
                </c:pt>
                <c:pt idx="9">
                  <c:v>6300</c:v>
                </c:pt>
                <c:pt idx="10">
                  <c:v>7000</c:v>
                </c:pt>
              </c:numCache>
            </c:numRef>
          </c:yVal>
          <c:smooth val="0"/>
          <c:extLst>
            <c:ext xmlns:c16="http://schemas.microsoft.com/office/drawing/2014/chart" uri="{C3380CC4-5D6E-409C-BE32-E72D297353CC}">
              <c16:uniqueId val="{00000000-6836-47BC-AAB5-7CE9EEDC6F36}"/>
            </c:ext>
          </c:extLst>
        </c:ser>
        <c:dLbls>
          <c:showLegendKey val="0"/>
          <c:showVal val="0"/>
          <c:showCatName val="0"/>
          <c:showSerName val="0"/>
          <c:showPercent val="0"/>
          <c:showBubbleSize val="0"/>
        </c:dLbls>
        <c:axId val="487476744"/>
        <c:axId val="1139900936"/>
      </c:scatterChart>
      <c:valAx>
        <c:axId val="487476744"/>
        <c:scaling>
          <c:orientation val="minMax"/>
          <c:max val="1000"/>
          <c:min val="2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r>
                  <a:rPr lang="en-US"/>
                  <a:t>Cruise Velocity (ft/s)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crossAx val="1139900936"/>
        <c:crosses val="autoZero"/>
        <c:crossBetween val="midCat"/>
      </c:valAx>
      <c:valAx>
        <c:axId val="11399009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r>
                  <a:rPr lang="en-US"/>
                  <a:t>Total Drag Force (lb)</a:t>
                </a:r>
              </a:p>
            </c:rich>
          </c:tx>
          <c:layout>
            <c:manualLayout>
              <c:xMode val="edge"/>
              <c:yMode val="edge"/>
              <c:x val="2.2714366837024418E-2"/>
              <c:y val="0.255981966218186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crossAx val="487476744"/>
        <c:crosses val="autoZero"/>
        <c:crossBetween val="midCat"/>
      </c:valAx>
      <c:spPr>
        <a:noFill/>
        <a:ln>
          <a:noFill/>
        </a:ln>
        <a:effectLst/>
      </c:spPr>
    </c:plotArea>
    <c:legend>
      <c:legendPos val="b"/>
      <c:legendEntry>
        <c:idx val="4"/>
        <c:delete val="1"/>
      </c:legendEntry>
      <c:layout>
        <c:manualLayout>
          <c:xMode val="edge"/>
          <c:yMode val="edge"/>
          <c:x val="0.17064159143650484"/>
          <c:y val="0.15569427695411944"/>
          <c:w val="0.58277167488326598"/>
          <c:h val="7.16268818542151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r>
              <a:rPr lang="en-US"/>
              <a:t>Aircraft Drag Polar</a:t>
            </a:r>
          </a:p>
        </c:rich>
      </c:tx>
      <c:layout>
        <c:manualLayout>
          <c:xMode val="edge"/>
          <c:yMode val="edge"/>
          <c:x val="0.33044404976643527"/>
          <c:y val="2.16802168021680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endParaRPr lang="en-US"/>
        </a:p>
      </c:txPr>
    </c:title>
    <c:autoTitleDeleted val="0"/>
    <c:plotArea>
      <c:layout/>
      <c:scatterChart>
        <c:scatterStyle val="lineMarker"/>
        <c:varyColors val="0"/>
        <c:ser>
          <c:idx val="0"/>
          <c:order val="0"/>
          <c:spPr>
            <a:ln w="25400" cap="rnd">
              <a:solidFill>
                <a:srgbClr val="145F82"/>
              </a:solidFill>
              <a:prstDash val="solid"/>
              <a:round/>
            </a:ln>
            <a:effectLst/>
          </c:spPr>
          <c:marker>
            <c:symbol val="none"/>
          </c:marker>
          <c:xVal>
            <c:numRef>
              <c:f>Drag!$Q$113:$Q$139</c:f>
              <c:numCache>
                <c:formatCode>0.000</c:formatCode>
                <c:ptCount val="27"/>
                <c:pt idx="0">
                  <c:v>2.4085945854788138</c:v>
                </c:pt>
                <c:pt idx="1">
                  <c:v>2.289838461212546</c:v>
                </c:pt>
                <c:pt idx="2">
                  <c:v>2.1710823369462777</c:v>
                </c:pt>
                <c:pt idx="3">
                  <c:v>2.0523262126800099</c:v>
                </c:pt>
                <c:pt idx="4">
                  <c:v>1.9335700884137421</c:v>
                </c:pt>
                <c:pt idx="5">
                  <c:v>1.8148139641474739</c:v>
                </c:pt>
                <c:pt idx="6">
                  <c:v>1.6960578398812061</c:v>
                </c:pt>
                <c:pt idx="7">
                  <c:v>1.5773017156149378</c:v>
                </c:pt>
                <c:pt idx="8">
                  <c:v>1.45854559134867</c:v>
                </c:pt>
                <c:pt idx="9">
                  <c:v>1.3397894670824022</c:v>
                </c:pt>
                <c:pt idx="10">
                  <c:v>1.2210333428161344</c:v>
                </c:pt>
                <c:pt idx="11">
                  <c:v>1.1022772185498662</c:v>
                </c:pt>
                <c:pt idx="12">
                  <c:v>0.98352109428359824</c:v>
                </c:pt>
                <c:pt idx="13">
                  <c:v>0.86476497001733033</c:v>
                </c:pt>
                <c:pt idx="14">
                  <c:v>0.74600884575106241</c:v>
                </c:pt>
                <c:pt idx="15">
                  <c:v>0.6272527214847945</c:v>
                </c:pt>
                <c:pt idx="16">
                  <c:v>0.50849659721852647</c:v>
                </c:pt>
                <c:pt idx="17">
                  <c:v>0.38974047295225855</c:v>
                </c:pt>
                <c:pt idx="18">
                  <c:v>0.27098434868599058</c:v>
                </c:pt>
                <c:pt idx="19">
                  <c:v>0.15222822441972264</c:v>
                </c:pt>
                <c:pt idx="20">
                  <c:v>3.3472100153454698E-2</c:v>
                </c:pt>
                <c:pt idx="21">
                  <c:v>-8.5284024112813273E-2</c:v>
                </c:pt>
                <c:pt idx="22">
                  <c:v>-0.20404014837908113</c:v>
                </c:pt>
                <c:pt idx="23">
                  <c:v>-0.32279627264534916</c:v>
                </c:pt>
                <c:pt idx="24">
                  <c:v>-0.44155239691161718</c:v>
                </c:pt>
                <c:pt idx="25">
                  <c:v>-0.5603085211778851</c:v>
                </c:pt>
                <c:pt idx="26">
                  <c:v>-0.67906464544415301</c:v>
                </c:pt>
              </c:numCache>
            </c:numRef>
          </c:xVal>
          <c:yVal>
            <c:numRef>
              <c:f>Drag!$S$113:$S$139</c:f>
              <c:numCache>
                <c:formatCode>0.00E+00</c:formatCode>
                <c:ptCount val="27"/>
                <c:pt idx="0">
                  <c:v>0.26111036884739003</c:v>
                </c:pt>
                <c:pt idx="1">
                  <c:v>0.23763659477289573</c:v>
                </c:pt>
                <c:pt idx="2">
                  <c:v>0.21534945224269975</c:v>
                </c:pt>
                <c:pt idx="3">
                  <c:v>0.19424894125680225</c:v>
                </c:pt>
                <c:pt idx="4">
                  <c:v>0.17433506181520314</c:v>
                </c:pt>
                <c:pt idx="5">
                  <c:v>0.15560781391790229</c:v>
                </c:pt>
                <c:pt idx="6">
                  <c:v>0.13806719756489991</c:v>
                </c:pt>
                <c:pt idx="7">
                  <c:v>0.12171321275619583</c:v>
                </c:pt>
                <c:pt idx="8">
                  <c:v>0.1065458594917902</c:v>
                </c:pt>
                <c:pt idx="9">
                  <c:v>9.2565137771682918E-2</c:v>
                </c:pt>
                <c:pt idx="10">
                  <c:v>7.9771047595874015E-2</c:v>
                </c:pt>
                <c:pt idx="11">
                  <c:v>6.8163588964363447E-2</c:v>
                </c:pt>
                <c:pt idx="12">
                  <c:v>5.7742761877151293E-2</c:v>
                </c:pt>
                <c:pt idx="13">
                  <c:v>4.8508566334237509E-2</c:v>
                </c:pt>
                <c:pt idx="14">
                  <c:v>4.0461002335622089E-2</c:v>
                </c:pt>
                <c:pt idx="15">
                  <c:v>3.3600069881305053E-2</c:v>
                </c:pt>
                <c:pt idx="16">
                  <c:v>2.7925768971286381E-2</c:v>
                </c:pt>
                <c:pt idx="17">
                  <c:v>2.3438099605566091E-2</c:v>
                </c:pt>
                <c:pt idx="18">
                  <c:v>2.0137061784144171E-2</c:v>
                </c:pt>
                <c:pt idx="19">
                  <c:v>1.8022655507020625E-2</c:v>
                </c:pt>
                <c:pt idx="20">
                  <c:v>1.7094880774195458E-2</c:v>
                </c:pt>
                <c:pt idx="21">
                  <c:v>1.7353737585668664E-2</c:v>
                </c:pt>
                <c:pt idx="22">
                  <c:v>1.8799225941440241E-2</c:v>
                </c:pt>
                <c:pt idx="23">
                  <c:v>2.1431345841510196E-2</c:v>
                </c:pt>
                <c:pt idx="24">
                  <c:v>2.5250097285878525E-2</c:v>
                </c:pt>
                <c:pt idx="25">
                  <c:v>3.0255480274545228E-2</c:v>
                </c:pt>
                <c:pt idx="26">
                  <c:v>3.6447494807510306E-2</c:v>
                </c:pt>
              </c:numCache>
            </c:numRef>
          </c:yVal>
          <c:smooth val="0"/>
          <c:extLst>
            <c:ext xmlns:c16="http://schemas.microsoft.com/office/drawing/2014/chart" uri="{C3380CC4-5D6E-409C-BE32-E72D297353CC}">
              <c16:uniqueId val="{00000003-AB68-456B-99A9-8FF722ADA01F}"/>
            </c:ext>
          </c:extLst>
        </c:ser>
        <c:dLbls>
          <c:showLegendKey val="0"/>
          <c:showVal val="0"/>
          <c:showCatName val="0"/>
          <c:showSerName val="0"/>
          <c:showPercent val="0"/>
          <c:showBubbleSize val="0"/>
        </c:dLbls>
        <c:axId val="754869768"/>
        <c:axId val="754871816"/>
      </c:scatterChart>
      <c:valAx>
        <c:axId val="7548697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 of Lift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71816"/>
        <c:crosses val="autoZero"/>
        <c:crossBetween val="midCat"/>
      </c:valAx>
      <c:valAx>
        <c:axId val="754871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 of Drag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8697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Lift Model at Cruise Conditions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Calculated</c:v>
          </c:tx>
          <c:spPr>
            <a:ln w="25400" cap="rnd">
              <a:solidFill>
                <a:srgbClr val="145F82"/>
              </a:solidFill>
              <a:prstDash val="solid"/>
              <a:round/>
            </a:ln>
            <a:effectLst/>
          </c:spPr>
          <c:marker>
            <c:symbol val="none"/>
          </c:marker>
          <c:xVal>
            <c:numRef>
              <c:f>Drag!$N$113:$N$139</c:f>
              <c:numCache>
                <c:formatCode>General</c:formatCode>
                <c:ptCount val="27"/>
                <c:pt idx="0">
                  <c:v>17</c:v>
                </c:pt>
                <c:pt idx="1">
                  <c:v>16</c:v>
                </c:pt>
                <c:pt idx="2">
                  <c:v>15</c:v>
                </c:pt>
                <c:pt idx="3">
                  <c:v>14</c:v>
                </c:pt>
                <c:pt idx="4">
                  <c:v>13</c:v>
                </c:pt>
                <c:pt idx="5">
                  <c:v>12</c:v>
                </c:pt>
                <c:pt idx="6">
                  <c:v>11</c:v>
                </c:pt>
                <c:pt idx="7">
                  <c:v>10</c:v>
                </c:pt>
                <c:pt idx="8">
                  <c:v>9</c:v>
                </c:pt>
                <c:pt idx="9">
                  <c:v>8</c:v>
                </c:pt>
                <c:pt idx="10">
                  <c:v>7</c:v>
                </c:pt>
                <c:pt idx="11">
                  <c:v>6</c:v>
                </c:pt>
                <c:pt idx="12">
                  <c:v>5</c:v>
                </c:pt>
                <c:pt idx="13">
                  <c:v>4</c:v>
                </c:pt>
                <c:pt idx="14">
                  <c:v>3</c:v>
                </c:pt>
                <c:pt idx="15">
                  <c:v>2</c:v>
                </c:pt>
                <c:pt idx="16">
                  <c:v>1</c:v>
                </c:pt>
                <c:pt idx="17">
                  <c:v>0</c:v>
                </c:pt>
                <c:pt idx="18">
                  <c:v>-1</c:v>
                </c:pt>
                <c:pt idx="19">
                  <c:v>-2</c:v>
                </c:pt>
                <c:pt idx="20">
                  <c:v>-3</c:v>
                </c:pt>
                <c:pt idx="21">
                  <c:v>-4</c:v>
                </c:pt>
                <c:pt idx="22">
                  <c:v>-5</c:v>
                </c:pt>
                <c:pt idx="23">
                  <c:v>-6</c:v>
                </c:pt>
                <c:pt idx="24">
                  <c:v>-7</c:v>
                </c:pt>
                <c:pt idx="25">
                  <c:v>-8</c:v>
                </c:pt>
                <c:pt idx="26">
                  <c:v>-9</c:v>
                </c:pt>
              </c:numCache>
            </c:numRef>
          </c:xVal>
          <c:yVal>
            <c:numRef>
              <c:f>Drag!$Q$113:$Q$139</c:f>
              <c:numCache>
                <c:formatCode>0.000</c:formatCode>
                <c:ptCount val="27"/>
                <c:pt idx="0">
                  <c:v>2.4085945854788138</c:v>
                </c:pt>
                <c:pt idx="1">
                  <c:v>2.289838461212546</c:v>
                </c:pt>
                <c:pt idx="2">
                  <c:v>2.1710823369462777</c:v>
                </c:pt>
                <c:pt idx="3">
                  <c:v>2.0523262126800099</c:v>
                </c:pt>
                <c:pt idx="4">
                  <c:v>1.9335700884137421</c:v>
                </c:pt>
                <c:pt idx="5">
                  <c:v>1.8148139641474739</c:v>
                </c:pt>
                <c:pt idx="6">
                  <c:v>1.6960578398812061</c:v>
                </c:pt>
                <c:pt idx="7">
                  <c:v>1.5773017156149378</c:v>
                </c:pt>
                <c:pt idx="8">
                  <c:v>1.45854559134867</c:v>
                </c:pt>
                <c:pt idx="9">
                  <c:v>1.3397894670824022</c:v>
                </c:pt>
                <c:pt idx="10">
                  <c:v>1.2210333428161344</c:v>
                </c:pt>
                <c:pt idx="11">
                  <c:v>1.1022772185498662</c:v>
                </c:pt>
                <c:pt idx="12">
                  <c:v>0.98352109428359824</c:v>
                </c:pt>
                <c:pt idx="13">
                  <c:v>0.86476497001733033</c:v>
                </c:pt>
                <c:pt idx="14">
                  <c:v>0.74600884575106241</c:v>
                </c:pt>
                <c:pt idx="15">
                  <c:v>0.6272527214847945</c:v>
                </c:pt>
                <c:pt idx="16">
                  <c:v>0.50849659721852647</c:v>
                </c:pt>
                <c:pt idx="17">
                  <c:v>0.38974047295225855</c:v>
                </c:pt>
                <c:pt idx="18">
                  <c:v>0.27098434868599058</c:v>
                </c:pt>
                <c:pt idx="19">
                  <c:v>0.15222822441972264</c:v>
                </c:pt>
                <c:pt idx="20">
                  <c:v>3.3472100153454698E-2</c:v>
                </c:pt>
                <c:pt idx="21">
                  <c:v>-8.5284024112813273E-2</c:v>
                </c:pt>
                <c:pt idx="22">
                  <c:v>-0.20404014837908113</c:v>
                </c:pt>
                <c:pt idx="23">
                  <c:v>-0.32279627264534916</c:v>
                </c:pt>
                <c:pt idx="24">
                  <c:v>-0.44155239691161718</c:v>
                </c:pt>
                <c:pt idx="25">
                  <c:v>-0.5603085211778851</c:v>
                </c:pt>
                <c:pt idx="26">
                  <c:v>-0.67906464544415301</c:v>
                </c:pt>
              </c:numCache>
            </c:numRef>
          </c:yVal>
          <c:smooth val="0"/>
          <c:extLst>
            <c:ext xmlns:c16="http://schemas.microsoft.com/office/drawing/2014/chart" uri="{C3380CC4-5D6E-409C-BE32-E72D297353CC}">
              <c16:uniqueId val="{00000030-61FF-4877-BFFA-C599326E81A7}"/>
            </c:ext>
          </c:extLst>
        </c:ser>
        <c:ser>
          <c:idx val="1"/>
          <c:order val="1"/>
          <c:tx>
            <c:v>XFLR5</c:v>
          </c:tx>
          <c:spPr>
            <a:ln w="19050" cap="rnd">
              <a:solidFill>
                <a:srgbClr val="E87331"/>
              </a:solidFill>
              <a:prstDash val="solid"/>
              <a:round/>
            </a:ln>
            <a:effectLst/>
          </c:spPr>
          <c:marker>
            <c:symbol val="none"/>
          </c:marker>
          <c:xVal>
            <c:numRef>
              <c:f>Drag!$N$113:$N$139</c:f>
              <c:numCache>
                <c:formatCode>General</c:formatCode>
                <c:ptCount val="27"/>
                <c:pt idx="0">
                  <c:v>17</c:v>
                </c:pt>
                <c:pt idx="1">
                  <c:v>16</c:v>
                </c:pt>
                <c:pt idx="2">
                  <c:v>15</c:v>
                </c:pt>
                <c:pt idx="3">
                  <c:v>14</c:v>
                </c:pt>
                <c:pt idx="4">
                  <c:v>13</c:v>
                </c:pt>
                <c:pt idx="5">
                  <c:v>12</c:v>
                </c:pt>
                <c:pt idx="6">
                  <c:v>11</c:v>
                </c:pt>
                <c:pt idx="7">
                  <c:v>10</c:v>
                </c:pt>
                <c:pt idx="8">
                  <c:v>9</c:v>
                </c:pt>
                <c:pt idx="9">
                  <c:v>8</c:v>
                </c:pt>
                <c:pt idx="10">
                  <c:v>7</c:v>
                </c:pt>
                <c:pt idx="11">
                  <c:v>6</c:v>
                </c:pt>
                <c:pt idx="12">
                  <c:v>5</c:v>
                </c:pt>
                <c:pt idx="13">
                  <c:v>4</c:v>
                </c:pt>
                <c:pt idx="14">
                  <c:v>3</c:v>
                </c:pt>
                <c:pt idx="15">
                  <c:v>2</c:v>
                </c:pt>
                <c:pt idx="16">
                  <c:v>1</c:v>
                </c:pt>
                <c:pt idx="17">
                  <c:v>0</c:v>
                </c:pt>
                <c:pt idx="18">
                  <c:v>-1</c:v>
                </c:pt>
                <c:pt idx="19">
                  <c:v>-2</c:v>
                </c:pt>
                <c:pt idx="20">
                  <c:v>-3</c:v>
                </c:pt>
                <c:pt idx="21">
                  <c:v>-4</c:v>
                </c:pt>
                <c:pt idx="22">
                  <c:v>-5</c:v>
                </c:pt>
                <c:pt idx="23">
                  <c:v>-6</c:v>
                </c:pt>
                <c:pt idx="24">
                  <c:v>-7</c:v>
                </c:pt>
                <c:pt idx="25">
                  <c:v>-8</c:v>
                </c:pt>
                <c:pt idx="26">
                  <c:v>-9</c:v>
                </c:pt>
              </c:numCache>
            </c:numRef>
          </c:xVal>
          <c:yVal>
            <c:numRef>
              <c:f>Drag!$R$113:$R$139</c:f>
              <c:numCache>
                <c:formatCode>General</c:formatCode>
                <c:ptCount val="27"/>
                <c:pt idx="0">
                  <c:v>1.307272</c:v>
                </c:pt>
                <c:pt idx="1">
                  <c:v>1.2422040000000001</c:v>
                </c:pt>
                <c:pt idx="2">
                  <c:v>1.176296</c:v>
                </c:pt>
                <c:pt idx="3">
                  <c:v>1.109586</c:v>
                </c:pt>
                <c:pt idx="4">
                  <c:v>1.0421130000000001</c:v>
                </c:pt>
                <c:pt idx="5">
                  <c:v>0.97392080000000003</c:v>
                </c:pt>
                <c:pt idx="6">
                  <c:v>0.90505060000000004</c:v>
                </c:pt>
                <c:pt idx="7">
                  <c:v>0.83554669999999998</c:v>
                </c:pt>
                <c:pt idx="8">
                  <c:v>0.76545450000000004</c:v>
                </c:pt>
                <c:pt idx="9">
                  <c:v>0.69482010000000005</c:v>
                </c:pt>
                <c:pt idx="10">
                  <c:v>0.623691</c:v>
                </c:pt>
                <c:pt idx="11">
                  <c:v>0.55211540000000003</c:v>
                </c:pt>
                <c:pt idx="12">
                  <c:v>0.48014240000000002</c:v>
                </c:pt>
                <c:pt idx="13">
                  <c:v>0.40782170000000001</c:v>
                </c:pt>
                <c:pt idx="14">
                  <c:v>0.335204</c:v>
                </c:pt>
                <c:pt idx="15">
                  <c:v>0.26234020000000002</c:v>
                </c:pt>
                <c:pt idx="16">
                  <c:v>0.1892819</c:v>
                </c:pt>
                <c:pt idx="17">
                  <c:v>0.116081</c:v>
                </c:pt>
                <c:pt idx="18">
                  <c:v>4.27897E-2</c:v>
                </c:pt>
                <c:pt idx="19">
                  <c:v>-3.0539719999999999E-2</c:v>
                </c:pt>
                <c:pt idx="20">
                  <c:v>-0.1038548</c:v>
                </c:pt>
                <c:pt idx="21">
                  <c:v>-0.17710310000000001</c:v>
                </c:pt>
                <c:pt idx="22">
                  <c:v>-0.25023230000000002</c:v>
                </c:pt>
                <c:pt idx="23">
                  <c:v>-0.32319039999999999</c:v>
                </c:pt>
                <c:pt idx="24">
                  <c:v>-0.39592549999999999</c:v>
                </c:pt>
                <c:pt idx="25">
                  <c:v>-0.46838629999999998</c:v>
                </c:pt>
                <c:pt idx="26">
                  <c:v>-0.54052199999999995</c:v>
                </c:pt>
              </c:numCache>
            </c:numRef>
          </c:yVal>
          <c:smooth val="0"/>
          <c:extLst>
            <c:ext xmlns:c16="http://schemas.microsoft.com/office/drawing/2014/chart" uri="{C3380CC4-5D6E-409C-BE32-E72D297353CC}">
              <c16:uniqueId val="{00000001-A9AB-4682-896A-58598418AFDE}"/>
            </c:ext>
          </c:extLst>
        </c:ser>
        <c:dLbls>
          <c:showLegendKey val="0"/>
          <c:showVal val="0"/>
          <c:showCatName val="0"/>
          <c:showSerName val="0"/>
          <c:showPercent val="0"/>
          <c:showBubbleSize val="0"/>
        </c:dLbls>
        <c:axId val="1158648839"/>
        <c:axId val="1158650887"/>
      </c:scatterChart>
      <c:valAx>
        <c:axId val="1158648839"/>
        <c:scaling>
          <c:orientation val="minMax"/>
          <c:max val="18"/>
          <c:min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Angle of Attack, in degrees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650887"/>
        <c:crosses val="autoZero"/>
        <c:crossBetween val="midCat"/>
      </c:valAx>
      <c:valAx>
        <c:axId val="1158650887"/>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 of Lift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648839"/>
        <c:crosses val="autoZero"/>
        <c:crossBetween val="midCat"/>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Drag Model at Cruise Conditions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Calculated</c:v>
          </c:tx>
          <c:spPr>
            <a:ln w="25400" cap="rnd">
              <a:solidFill>
                <a:srgbClr val="145F82"/>
              </a:solidFill>
              <a:prstDash val="solid"/>
              <a:round/>
            </a:ln>
            <a:effectLst/>
          </c:spPr>
          <c:marker>
            <c:symbol val="none"/>
          </c:marker>
          <c:xVal>
            <c:numRef>
              <c:f>Drag!$N$113:$N$139</c:f>
              <c:numCache>
                <c:formatCode>General</c:formatCode>
                <c:ptCount val="27"/>
                <c:pt idx="0">
                  <c:v>17</c:v>
                </c:pt>
                <c:pt idx="1">
                  <c:v>16</c:v>
                </c:pt>
                <c:pt idx="2">
                  <c:v>15</c:v>
                </c:pt>
                <c:pt idx="3">
                  <c:v>14</c:v>
                </c:pt>
                <c:pt idx="4">
                  <c:v>13</c:v>
                </c:pt>
                <c:pt idx="5">
                  <c:v>12</c:v>
                </c:pt>
                <c:pt idx="6">
                  <c:v>11</c:v>
                </c:pt>
                <c:pt idx="7">
                  <c:v>10</c:v>
                </c:pt>
                <c:pt idx="8">
                  <c:v>9</c:v>
                </c:pt>
                <c:pt idx="9">
                  <c:v>8</c:v>
                </c:pt>
                <c:pt idx="10">
                  <c:v>7</c:v>
                </c:pt>
                <c:pt idx="11">
                  <c:v>6</c:v>
                </c:pt>
                <c:pt idx="12">
                  <c:v>5</c:v>
                </c:pt>
                <c:pt idx="13">
                  <c:v>4</c:v>
                </c:pt>
                <c:pt idx="14">
                  <c:v>3</c:v>
                </c:pt>
                <c:pt idx="15">
                  <c:v>2</c:v>
                </c:pt>
                <c:pt idx="16">
                  <c:v>1</c:v>
                </c:pt>
                <c:pt idx="17">
                  <c:v>0</c:v>
                </c:pt>
                <c:pt idx="18">
                  <c:v>-1</c:v>
                </c:pt>
                <c:pt idx="19">
                  <c:v>-2</c:v>
                </c:pt>
                <c:pt idx="20">
                  <c:v>-3</c:v>
                </c:pt>
                <c:pt idx="21">
                  <c:v>-4</c:v>
                </c:pt>
                <c:pt idx="22">
                  <c:v>-5</c:v>
                </c:pt>
                <c:pt idx="23">
                  <c:v>-6</c:v>
                </c:pt>
                <c:pt idx="24">
                  <c:v>-7</c:v>
                </c:pt>
                <c:pt idx="25">
                  <c:v>-8</c:v>
                </c:pt>
                <c:pt idx="26">
                  <c:v>-9</c:v>
                </c:pt>
              </c:numCache>
            </c:numRef>
          </c:xVal>
          <c:yVal>
            <c:numRef>
              <c:f>Drag!$S$113:$S$139</c:f>
              <c:numCache>
                <c:formatCode>0.00E+00</c:formatCode>
                <c:ptCount val="27"/>
                <c:pt idx="0">
                  <c:v>0.26111036884739003</c:v>
                </c:pt>
                <c:pt idx="1">
                  <c:v>0.23763659477289573</c:v>
                </c:pt>
                <c:pt idx="2">
                  <c:v>0.21534945224269975</c:v>
                </c:pt>
                <c:pt idx="3">
                  <c:v>0.19424894125680225</c:v>
                </c:pt>
                <c:pt idx="4">
                  <c:v>0.17433506181520314</c:v>
                </c:pt>
                <c:pt idx="5">
                  <c:v>0.15560781391790229</c:v>
                </c:pt>
                <c:pt idx="6">
                  <c:v>0.13806719756489991</c:v>
                </c:pt>
                <c:pt idx="7">
                  <c:v>0.12171321275619583</c:v>
                </c:pt>
                <c:pt idx="8">
                  <c:v>0.1065458594917902</c:v>
                </c:pt>
                <c:pt idx="9">
                  <c:v>9.2565137771682918E-2</c:v>
                </c:pt>
                <c:pt idx="10">
                  <c:v>7.9771047595874015E-2</c:v>
                </c:pt>
                <c:pt idx="11">
                  <c:v>6.8163588964363447E-2</c:v>
                </c:pt>
                <c:pt idx="12">
                  <c:v>5.7742761877151293E-2</c:v>
                </c:pt>
                <c:pt idx="13">
                  <c:v>4.8508566334237509E-2</c:v>
                </c:pt>
                <c:pt idx="14">
                  <c:v>4.0461002335622089E-2</c:v>
                </c:pt>
                <c:pt idx="15">
                  <c:v>3.3600069881305053E-2</c:v>
                </c:pt>
                <c:pt idx="16">
                  <c:v>2.7925768971286381E-2</c:v>
                </c:pt>
                <c:pt idx="17">
                  <c:v>2.3438099605566091E-2</c:v>
                </c:pt>
                <c:pt idx="18">
                  <c:v>2.0137061784144171E-2</c:v>
                </c:pt>
                <c:pt idx="19">
                  <c:v>1.8022655507020625E-2</c:v>
                </c:pt>
                <c:pt idx="20">
                  <c:v>1.7094880774195458E-2</c:v>
                </c:pt>
                <c:pt idx="21">
                  <c:v>1.7353737585668664E-2</c:v>
                </c:pt>
                <c:pt idx="22">
                  <c:v>1.8799225941440241E-2</c:v>
                </c:pt>
                <c:pt idx="23">
                  <c:v>2.1431345841510196E-2</c:v>
                </c:pt>
                <c:pt idx="24">
                  <c:v>2.5250097285878525E-2</c:v>
                </c:pt>
                <c:pt idx="25">
                  <c:v>3.0255480274545228E-2</c:v>
                </c:pt>
                <c:pt idx="26">
                  <c:v>3.6447494807510306E-2</c:v>
                </c:pt>
              </c:numCache>
            </c:numRef>
          </c:yVal>
          <c:smooth val="0"/>
          <c:extLst>
            <c:ext xmlns:c16="http://schemas.microsoft.com/office/drawing/2014/chart" uri="{C3380CC4-5D6E-409C-BE32-E72D297353CC}">
              <c16:uniqueId val="{00000004-301E-4713-AFFE-0311AD37FE62}"/>
            </c:ext>
          </c:extLst>
        </c:ser>
        <c:ser>
          <c:idx val="1"/>
          <c:order val="1"/>
          <c:tx>
            <c:v>XFLR5</c:v>
          </c:tx>
          <c:spPr>
            <a:ln w="19050" cap="rnd">
              <a:solidFill>
                <a:schemeClr val="accent2"/>
              </a:solidFill>
              <a:round/>
            </a:ln>
            <a:effectLst/>
          </c:spPr>
          <c:marker>
            <c:symbol val="none"/>
          </c:marker>
          <c:xVal>
            <c:numRef>
              <c:f>Drag!$N$113:$N$139</c:f>
              <c:numCache>
                <c:formatCode>General</c:formatCode>
                <c:ptCount val="27"/>
                <c:pt idx="0">
                  <c:v>17</c:v>
                </c:pt>
                <c:pt idx="1">
                  <c:v>16</c:v>
                </c:pt>
                <c:pt idx="2">
                  <c:v>15</c:v>
                </c:pt>
                <c:pt idx="3">
                  <c:v>14</c:v>
                </c:pt>
                <c:pt idx="4">
                  <c:v>13</c:v>
                </c:pt>
                <c:pt idx="5">
                  <c:v>12</c:v>
                </c:pt>
                <c:pt idx="6">
                  <c:v>11</c:v>
                </c:pt>
                <c:pt idx="7">
                  <c:v>10</c:v>
                </c:pt>
                <c:pt idx="8">
                  <c:v>9</c:v>
                </c:pt>
                <c:pt idx="9">
                  <c:v>8</c:v>
                </c:pt>
                <c:pt idx="10">
                  <c:v>7</c:v>
                </c:pt>
                <c:pt idx="11">
                  <c:v>6</c:v>
                </c:pt>
                <c:pt idx="12">
                  <c:v>5</c:v>
                </c:pt>
                <c:pt idx="13">
                  <c:v>4</c:v>
                </c:pt>
                <c:pt idx="14">
                  <c:v>3</c:v>
                </c:pt>
                <c:pt idx="15">
                  <c:v>2</c:v>
                </c:pt>
                <c:pt idx="16">
                  <c:v>1</c:v>
                </c:pt>
                <c:pt idx="17">
                  <c:v>0</c:v>
                </c:pt>
                <c:pt idx="18">
                  <c:v>-1</c:v>
                </c:pt>
                <c:pt idx="19">
                  <c:v>-2</c:v>
                </c:pt>
                <c:pt idx="20">
                  <c:v>-3</c:v>
                </c:pt>
                <c:pt idx="21">
                  <c:v>-4</c:v>
                </c:pt>
                <c:pt idx="22">
                  <c:v>-5</c:v>
                </c:pt>
                <c:pt idx="23">
                  <c:v>-6</c:v>
                </c:pt>
                <c:pt idx="24">
                  <c:v>-7</c:v>
                </c:pt>
                <c:pt idx="25">
                  <c:v>-8</c:v>
                </c:pt>
                <c:pt idx="26">
                  <c:v>-9</c:v>
                </c:pt>
              </c:numCache>
            </c:numRef>
          </c:xVal>
          <c:yVal>
            <c:numRef>
              <c:f>Drag!$T$113:$T$139</c:f>
              <c:numCache>
                <c:formatCode>0.00E+00</c:formatCode>
                <c:ptCount val="27"/>
                <c:pt idx="0">
                  <c:v>0.1006611297881089</c:v>
                </c:pt>
                <c:pt idx="1">
                  <c:v>9.1487330864612151E-2</c:v>
                </c:pt>
                <c:pt idx="2">
                  <c:v>8.2657355531835799E-2</c:v>
                </c:pt>
                <c:pt idx="3">
                  <c:v>7.4235689244520564E-2</c:v>
                </c:pt>
                <c:pt idx="4">
                  <c:v>6.6203272831458521E-2</c:v>
                </c:pt>
                <c:pt idx="5">
                  <c:v>5.8582301292704954E-2</c:v>
                </c:pt>
                <c:pt idx="6">
                  <c:v>5.140437418247476E-2</c:v>
                </c:pt>
                <c:pt idx="7">
                  <c:v>4.4680829332514806E-2</c:v>
                </c:pt>
                <c:pt idx="8">
                  <c:v>3.8459754787531768E-2</c:v>
                </c:pt>
                <c:pt idx="9">
                  <c:v>3.2759451309208591E-2</c:v>
                </c:pt>
                <c:pt idx="10">
                  <c:v>2.7593430571679362E-2</c:v>
                </c:pt>
                <c:pt idx="11">
                  <c:v>2.2980315147438687E-2</c:v>
                </c:pt>
                <c:pt idx="12">
                  <c:v>1.890934124034482E-2</c:v>
                </c:pt>
                <c:pt idx="13">
                  <c:v>1.5420315468196062E-2</c:v>
                </c:pt>
                <c:pt idx="14">
                  <c:v>1.2511673565672439E-2</c:v>
                </c:pt>
                <c:pt idx="15">
                  <c:v>1.0169143182310651E-2</c:v>
                </c:pt>
                <c:pt idx="16">
                  <c:v>8.4234419258728543E-3</c:v>
                </c:pt>
                <c:pt idx="17">
                  <c:v>7.260612330550165E-3</c:v>
                </c:pt>
                <c:pt idx="18">
                  <c:v>6.6830868612152558E-3</c:v>
                </c:pt>
                <c:pt idx="19">
                  <c:v>6.6724521333471421E-3</c:v>
                </c:pt>
                <c:pt idx="20">
                  <c:v>7.2542285273234633E-3</c:v>
                </c:pt>
                <c:pt idx="21">
                  <c:v>8.4329830048130508E-3</c:v>
                </c:pt>
                <c:pt idx="22">
                  <c:v>1.0186641427248396E-2</c:v>
                </c:pt>
                <c:pt idx="23">
                  <c:v>1.250253481722817E-2</c:v>
                </c:pt>
                <c:pt idx="24">
                  <c:v>1.541596678246392E-2</c:v>
                </c:pt>
                <c:pt idx="25">
                  <c:v>1.8902077594410243E-2</c:v>
                </c:pt>
                <c:pt idx="26">
                  <c:v>2.2934066288422011E-2</c:v>
                </c:pt>
              </c:numCache>
            </c:numRef>
          </c:yVal>
          <c:smooth val="0"/>
          <c:extLst>
            <c:ext xmlns:c16="http://schemas.microsoft.com/office/drawing/2014/chart" uri="{C3380CC4-5D6E-409C-BE32-E72D297353CC}">
              <c16:uniqueId val="{00000001-75CC-4AE6-AA91-A3670AB3571F}"/>
            </c:ext>
          </c:extLst>
        </c:ser>
        <c:dLbls>
          <c:showLegendKey val="0"/>
          <c:showVal val="0"/>
          <c:showCatName val="0"/>
          <c:showSerName val="0"/>
          <c:showPercent val="0"/>
          <c:showBubbleSize val="0"/>
        </c:dLbls>
        <c:axId val="839794695"/>
        <c:axId val="839797255"/>
      </c:scatterChart>
      <c:valAx>
        <c:axId val="8397946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Angle of Attack, in degrees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797255"/>
        <c:crosses val="autoZero"/>
        <c:crossBetween val="midCat"/>
      </c:valAx>
      <c:valAx>
        <c:axId val="839797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Coefficient of Drag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7946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Takeoff Max Drag at SL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Drag!$J$144:$J$243</c:f>
              <c:numCache>
                <c:formatCode>General</c:formatCode>
                <c:ptCount val="100"/>
                <c:pt idx="0">
                  <c:v>0</c:v>
                </c:pt>
                <c:pt idx="1">
                  <c:v>0.252</c:v>
                </c:pt>
                <c:pt idx="2">
                  <c:v>1.008</c:v>
                </c:pt>
                <c:pt idx="3">
                  <c:v>2.2679999999999998</c:v>
                </c:pt>
                <c:pt idx="4">
                  <c:v>4.032</c:v>
                </c:pt>
                <c:pt idx="5">
                  <c:v>6.3</c:v>
                </c:pt>
                <c:pt idx="6">
                  <c:v>9.0719999999999992</c:v>
                </c:pt>
                <c:pt idx="7">
                  <c:v>12.348000000000001</c:v>
                </c:pt>
                <c:pt idx="8">
                  <c:v>16.128</c:v>
                </c:pt>
                <c:pt idx="9">
                  <c:v>20.411999999999999</c:v>
                </c:pt>
                <c:pt idx="10">
                  <c:v>25.2</c:v>
                </c:pt>
                <c:pt idx="11">
                  <c:v>30.492000000000001</c:v>
                </c:pt>
                <c:pt idx="12">
                  <c:v>36.287999999999997</c:v>
                </c:pt>
                <c:pt idx="13">
                  <c:v>42.588000000000001</c:v>
                </c:pt>
                <c:pt idx="14">
                  <c:v>49.392000000000003</c:v>
                </c:pt>
                <c:pt idx="15">
                  <c:v>56.7</c:v>
                </c:pt>
                <c:pt idx="16">
                  <c:v>64.512</c:v>
                </c:pt>
                <c:pt idx="17">
                  <c:v>72.828000000000003</c:v>
                </c:pt>
                <c:pt idx="18">
                  <c:v>81.647999999999996</c:v>
                </c:pt>
                <c:pt idx="19">
                  <c:v>90.971999999999994</c:v>
                </c:pt>
                <c:pt idx="20">
                  <c:v>100.8</c:v>
                </c:pt>
                <c:pt idx="21">
                  <c:v>111.13200000000001</c:v>
                </c:pt>
                <c:pt idx="22">
                  <c:v>121.968</c:v>
                </c:pt>
                <c:pt idx="23">
                  <c:v>133.30799999999999</c:v>
                </c:pt>
                <c:pt idx="24">
                  <c:v>145.15199999999999</c:v>
                </c:pt>
                <c:pt idx="25">
                  <c:v>157.5</c:v>
                </c:pt>
                <c:pt idx="26">
                  <c:v>170.352</c:v>
                </c:pt>
                <c:pt idx="27">
                  <c:v>183.708</c:v>
                </c:pt>
                <c:pt idx="28">
                  <c:v>197.56800000000001</c:v>
                </c:pt>
                <c:pt idx="29">
                  <c:v>211.93199999999999</c:v>
                </c:pt>
                <c:pt idx="30">
                  <c:v>226.8</c:v>
                </c:pt>
                <c:pt idx="31">
                  <c:v>242.172</c:v>
                </c:pt>
                <c:pt idx="32">
                  <c:v>258.048</c:v>
                </c:pt>
                <c:pt idx="33">
                  <c:v>274.428</c:v>
                </c:pt>
                <c:pt idx="34">
                  <c:v>291.31200000000001</c:v>
                </c:pt>
                <c:pt idx="35">
                  <c:v>308.7</c:v>
                </c:pt>
                <c:pt idx="36">
                  <c:v>326.59199999999998</c:v>
                </c:pt>
                <c:pt idx="37">
                  <c:v>344.988</c:v>
                </c:pt>
                <c:pt idx="38">
                  <c:v>363.88799999999998</c:v>
                </c:pt>
                <c:pt idx="39">
                  <c:v>383.29200000000003</c:v>
                </c:pt>
                <c:pt idx="40">
                  <c:v>403.2</c:v>
                </c:pt>
                <c:pt idx="41">
                  <c:v>423.61200000000002</c:v>
                </c:pt>
                <c:pt idx="42">
                  <c:v>444.52800000000002</c:v>
                </c:pt>
                <c:pt idx="43">
                  <c:v>465.94799999999998</c:v>
                </c:pt>
                <c:pt idx="44">
                  <c:v>487.87200000000001</c:v>
                </c:pt>
                <c:pt idx="45">
                  <c:v>510.3</c:v>
                </c:pt>
                <c:pt idx="46">
                  <c:v>533.23199999999997</c:v>
                </c:pt>
                <c:pt idx="47">
                  <c:v>556.66800000000001</c:v>
                </c:pt>
                <c:pt idx="48">
                  <c:v>580.60799999999995</c:v>
                </c:pt>
                <c:pt idx="49">
                  <c:v>605.05200000000002</c:v>
                </c:pt>
                <c:pt idx="50">
                  <c:v>630</c:v>
                </c:pt>
                <c:pt idx="51">
                  <c:v>655.452</c:v>
                </c:pt>
                <c:pt idx="52">
                  <c:v>681.40800000000002</c:v>
                </c:pt>
                <c:pt idx="53">
                  <c:v>707.86800000000005</c:v>
                </c:pt>
                <c:pt idx="54">
                  <c:v>734.83199999999999</c:v>
                </c:pt>
                <c:pt idx="55">
                  <c:v>762.3</c:v>
                </c:pt>
                <c:pt idx="56">
                  <c:v>790.27200000000005</c:v>
                </c:pt>
                <c:pt idx="57">
                  <c:v>818.74800000000005</c:v>
                </c:pt>
                <c:pt idx="58">
                  <c:v>847.72799999999995</c:v>
                </c:pt>
                <c:pt idx="59">
                  <c:v>877.21199999999999</c:v>
                </c:pt>
                <c:pt idx="60">
                  <c:v>907.2</c:v>
                </c:pt>
                <c:pt idx="61">
                  <c:v>937.69200000000001</c:v>
                </c:pt>
                <c:pt idx="62">
                  <c:v>968.68799999999999</c:v>
                </c:pt>
                <c:pt idx="63">
                  <c:v>1000.188</c:v>
                </c:pt>
                <c:pt idx="64">
                  <c:v>1032.192</c:v>
                </c:pt>
                <c:pt idx="65">
                  <c:v>1064.7</c:v>
                </c:pt>
                <c:pt idx="66">
                  <c:v>1097.712</c:v>
                </c:pt>
                <c:pt idx="67">
                  <c:v>1131.2280000000001</c:v>
                </c:pt>
                <c:pt idx="68">
                  <c:v>1165.248</c:v>
                </c:pt>
                <c:pt idx="69">
                  <c:v>1199.7719999999999</c:v>
                </c:pt>
                <c:pt idx="70">
                  <c:v>1234.8</c:v>
                </c:pt>
                <c:pt idx="71">
                  <c:v>1270.3320000000001</c:v>
                </c:pt>
                <c:pt idx="72">
                  <c:v>1306.3679999999999</c:v>
                </c:pt>
                <c:pt idx="73">
                  <c:v>1342.9079999999999</c:v>
                </c:pt>
                <c:pt idx="74">
                  <c:v>1379.952</c:v>
                </c:pt>
                <c:pt idx="75">
                  <c:v>1417.5</c:v>
                </c:pt>
                <c:pt idx="76">
                  <c:v>1455.5519999999999</c:v>
                </c:pt>
                <c:pt idx="77">
                  <c:v>1494.1079999999999</c:v>
                </c:pt>
                <c:pt idx="78">
                  <c:v>1533.1680000000001</c:v>
                </c:pt>
                <c:pt idx="79">
                  <c:v>1572.732</c:v>
                </c:pt>
                <c:pt idx="80">
                  <c:v>1612.8</c:v>
                </c:pt>
                <c:pt idx="81">
                  <c:v>1653.3720000000001</c:v>
                </c:pt>
                <c:pt idx="82">
                  <c:v>1694.4480000000001</c:v>
                </c:pt>
                <c:pt idx="83">
                  <c:v>1791.14</c:v>
                </c:pt>
                <c:pt idx="84">
                  <c:v>2116.7999999999997</c:v>
                </c:pt>
                <c:pt idx="85">
                  <c:v>2456.5</c:v>
                </c:pt>
                <c:pt idx="86">
                  <c:v>2810.48</c:v>
                </c:pt>
                <c:pt idx="87">
                  <c:v>3178.9800000000005</c:v>
                </c:pt>
                <c:pt idx="88">
                  <c:v>3562.2400000000002</c:v>
                </c:pt>
                <c:pt idx="89">
                  <c:v>3960.5</c:v>
                </c:pt>
                <c:pt idx="90">
                  <c:v>4374</c:v>
                </c:pt>
                <c:pt idx="91">
                  <c:v>4802.9800000000005</c:v>
                </c:pt>
                <c:pt idx="92">
                  <c:v>5247.68</c:v>
                </c:pt>
                <c:pt idx="93">
                  <c:v>5708.34</c:v>
                </c:pt>
                <c:pt idx="94">
                  <c:v>6185.2</c:v>
                </c:pt>
                <c:pt idx="95">
                  <c:v>6678.5</c:v>
                </c:pt>
                <c:pt idx="96">
                  <c:v>7188.4800000000005</c:v>
                </c:pt>
                <c:pt idx="97">
                  <c:v>7715.380000000001</c:v>
                </c:pt>
                <c:pt idx="98">
                  <c:v>8259.44</c:v>
                </c:pt>
                <c:pt idx="99">
                  <c:v>8820.9</c:v>
                </c:pt>
              </c:numCache>
            </c:numRef>
          </c:xVal>
          <c:yVal>
            <c:numRef>
              <c:f>Drag!$M$144:$M$243</c:f>
              <c:numCache>
                <c:formatCode>0.00</c:formatCode>
                <c:ptCount val="100"/>
                <c:pt idx="0" formatCode="0">
                  <c:v>0</c:v>
                </c:pt>
                <c:pt idx="1">
                  <c:v>0.30249725202481381</c:v>
                </c:pt>
                <c:pt idx="2">
                  <c:v>1.2099890080992552</c:v>
                </c:pt>
                <c:pt idx="3">
                  <c:v>2.7224752682233242</c:v>
                </c:pt>
                <c:pt idx="4">
                  <c:v>4.839956032397021</c:v>
                </c:pt>
                <c:pt idx="5">
                  <c:v>7.5624313006203456</c:v>
                </c:pt>
                <c:pt idx="6">
                  <c:v>10.889901072893297</c:v>
                </c:pt>
                <c:pt idx="7">
                  <c:v>14.822365349215877</c:v>
                </c:pt>
                <c:pt idx="8">
                  <c:v>19.359824129588084</c:v>
                </c:pt>
                <c:pt idx="9">
                  <c:v>24.502277414009917</c:v>
                </c:pt>
                <c:pt idx="10">
                  <c:v>30.249725202481383</c:v>
                </c:pt>
                <c:pt idx="11">
                  <c:v>36.602167495002476</c:v>
                </c:pt>
                <c:pt idx="12">
                  <c:v>43.559604291573187</c:v>
                </c:pt>
                <c:pt idx="13">
                  <c:v>51.122035592193527</c:v>
                </c:pt>
                <c:pt idx="14">
                  <c:v>59.289461396863508</c:v>
                </c:pt>
                <c:pt idx="15">
                  <c:v>68.061881705583119</c:v>
                </c:pt>
                <c:pt idx="16">
                  <c:v>77.439296518352336</c:v>
                </c:pt>
                <c:pt idx="17">
                  <c:v>87.421705835171196</c:v>
                </c:pt>
                <c:pt idx="18">
                  <c:v>98.009109656039669</c:v>
                </c:pt>
                <c:pt idx="19">
                  <c:v>109.20150798095779</c:v>
                </c:pt>
                <c:pt idx="20">
                  <c:v>120.99890080992553</c:v>
                </c:pt>
                <c:pt idx="21">
                  <c:v>133.40128814294286</c:v>
                </c:pt>
                <c:pt idx="22">
                  <c:v>146.4086699800099</c:v>
                </c:pt>
                <c:pt idx="23">
                  <c:v>160.02104632112653</c:v>
                </c:pt>
                <c:pt idx="24">
                  <c:v>174.23841716629275</c:v>
                </c:pt>
                <c:pt idx="25">
                  <c:v>189.06078251550861</c:v>
                </c:pt>
                <c:pt idx="26">
                  <c:v>204.48814236877411</c:v>
                </c:pt>
                <c:pt idx="27">
                  <c:v>220.52049672608925</c:v>
                </c:pt>
                <c:pt idx="28">
                  <c:v>237.15784558745403</c:v>
                </c:pt>
                <c:pt idx="29">
                  <c:v>254.40018895286843</c:v>
                </c:pt>
                <c:pt idx="30">
                  <c:v>272.24752682233247</c:v>
                </c:pt>
                <c:pt idx="31">
                  <c:v>290.69985919584605</c:v>
                </c:pt>
                <c:pt idx="32">
                  <c:v>309.75718607340934</c:v>
                </c:pt>
                <c:pt idx="33">
                  <c:v>329.41950745502226</c:v>
                </c:pt>
                <c:pt idx="34">
                  <c:v>349.68682334068478</c:v>
                </c:pt>
                <c:pt idx="35">
                  <c:v>370.55913373039687</c:v>
                </c:pt>
                <c:pt idx="36">
                  <c:v>392.03643862415868</c:v>
                </c:pt>
                <c:pt idx="37">
                  <c:v>414.1187380219701</c:v>
                </c:pt>
                <c:pt idx="38">
                  <c:v>436.80603192383114</c:v>
                </c:pt>
                <c:pt idx="39">
                  <c:v>460.0983203297418</c:v>
                </c:pt>
                <c:pt idx="40">
                  <c:v>483.99560323970212</c:v>
                </c:pt>
                <c:pt idx="41">
                  <c:v>508.497880653712</c:v>
                </c:pt>
                <c:pt idx="42">
                  <c:v>533.60515257177144</c:v>
                </c:pt>
                <c:pt idx="43">
                  <c:v>559.31741899388078</c:v>
                </c:pt>
                <c:pt idx="44">
                  <c:v>585.63467992003962</c:v>
                </c:pt>
                <c:pt idx="45">
                  <c:v>612.55693535024795</c:v>
                </c:pt>
                <c:pt idx="46">
                  <c:v>640.08418528450613</c:v>
                </c:pt>
                <c:pt idx="47">
                  <c:v>668.21642972281359</c:v>
                </c:pt>
                <c:pt idx="48">
                  <c:v>696.95366866517099</c:v>
                </c:pt>
                <c:pt idx="49">
                  <c:v>726.2959021115779</c:v>
                </c:pt>
                <c:pt idx="50">
                  <c:v>756.24313006203442</c:v>
                </c:pt>
                <c:pt idx="51">
                  <c:v>786.79535251654067</c:v>
                </c:pt>
                <c:pt idx="52">
                  <c:v>817.95256947509642</c:v>
                </c:pt>
                <c:pt idx="53">
                  <c:v>849.7147809377019</c:v>
                </c:pt>
                <c:pt idx="54">
                  <c:v>882.081986904357</c:v>
                </c:pt>
                <c:pt idx="55">
                  <c:v>915.0541873750617</c:v>
                </c:pt>
                <c:pt idx="56">
                  <c:v>948.63138234981614</c:v>
                </c:pt>
                <c:pt idx="57">
                  <c:v>982.81357182862007</c:v>
                </c:pt>
                <c:pt idx="58">
                  <c:v>1017.6007558114737</c:v>
                </c:pt>
                <c:pt idx="59">
                  <c:v>1052.9929342983769</c:v>
                </c:pt>
                <c:pt idx="60">
                  <c:v>1088.9901072893299</c:v>
                </c:pt>
                <c:pt idx="61">
                  <c:v>1125.5922747843322</c:v>
                </c:pt>
                <c:pt idx="62">
                  <c:v>1162.7994367833842</c:v>
                </c:pt>
                <c:pt idx="63">
                  <c:v>1200.6115932864859</c:v>
                </c:pt>
                <c:pt idx="64">
                  <c:v>1239.0287442936374</c:v>
                </c:pt>
                <c:pt idx="65">
                  <c:v>1278.0508898048383</c:v>
                </c:pt>
                <c:pt idx="66">
                  <c:v>1317.678029820089</c:v>
                </c:pt>
                <c:pt idx="67">
                  <c:v>1357.9101643393892</c:v>
                </c:pt>
                <c:pt idx="68">
                  <c:v>1398.7472933627391</c:v>
                </c:pt>
                <c:pt idx="69">
                  <c:v>1440.1894168901385</c:v>
                </c:pt>
                <c:pt idx="70">
                  <c:v>1482.2365349215875</c:v>
                </c:pt>
                <c:pt idx="71">
                  <c:v>1524.8886474570863</c:v>
                </c:pt>
                <c:pt idx="72">
                  <c:v>1568.1457544966347</c:v>
                </c:pt>
                <c:pt idx="73">
                  <c:v>1612.0078560402328</c:v>
                </c:pt>
                <c:pt idx="74">
                  <c:v>1656.4749520878804</c:v>
                </c:pt>
                <c:pt idx="75">
                  <c:v>1701.5470426395775</c:v>
                </c:pt>
                <c:pt idx="76">
                  <c:v>1747.2241276953246</c:v>
                </c:pt>
                <c:pt idx="77">
                  <c:v>1793.5062072551209</c:v>
                </c:pt>
                <c:pt idx="78">
                  <c:v>1840.3932813189672</c:v>
                </c:pt>
                <c:pt idx="79">
                  <c:v>1887.885349886863</c:v>
                </c:pt>
                <c:pt idx="80">
                  <c:v>1935.9824129588085</c:v>
                </c:pt>
                <c:pt idx="81">
                  <c:v>1984.6844705348035</c:v>
                </c:pt>
                <c:pt idx="82">
                  <c:v>2033.991522614848</c:v>
                </c:pt>
                <c:pt idx="83">
                  <c:v>2083.903569198942</c:v>
                </c:pt>
                <c:pt idx="84">
                  <c:v>2134.4206102870858</c:v>
                </c:pt>
                <c:pt idx="85">
                  <c:v>2185.5426458792799</c:v>
                </c:pt>
                <c:pt idx="86">
                  <c:v>2237.2696759755231</c:v>
                </c:pt>
                <c:pt idx="87">
                  <c:v>2289.6017005758158</c:v>
                </c:pt>
                <c:pt idx="88">
                  <c:v>2342.5387196801585</c:v>
                </c:pt>
                <c:pt idx="89">
                  <c:v>2396.0807332885502</c:v>
                </c:pt>
                <c:pt idx="90">
                  <c:v>2450.2277414009918</c:v>
                </c:pt>
                <c:pt idx="91">
                  <c:v>2504.9797440174834</c:v>
                </c:pt>
                <c:pt idx="92">
                  <c:v>2560.3367411380245</c:v>
                </c:pt>
                <c:pt idx="93">
                  <c:v>2616.2987327626147</c:v>
                </c:pt>
                <c:pt idx="94">
                  <c:v>2672.8657188912543</c:v>
                </c:pt>
                <c:pt idx="95">
                  <c:v>2730.0376995239449</c:v>
                </c:pt>
                <c:pt idx="96">
                  <c:v>2787.814674660684</c:v>
                </c:pt>
                <c:pt idx="97">
                  <c:v>2846.196644301473</c:v>
                </c:pt>
                <c:pt idx="98">
                  <c:v>2905.1836084463116</c:v>
                </c:pt>
                <c:pt idx="99">
                  <c:v>2964.7755670951997</c:v>
                </c:pt>
              </c:numCache>
            </c:numRef>
          </c:yVal>
          <c:smooth val="0"/>
          <c:extLst>
            <c:ext xmlns:c16="http://schemas.microsoft.com/office/drawing/2014/chart" uri="{C3380CC4-5D6E-409C-BE32-E72D297353CC}">
              <c16:uniqueId val="{0000009C-D8F1-420F-8DB3-B0FC72B9C1C0}"/>
            </c:ext>
          </c:extLst>
        </c:ser>
        <c:dLbls>
          <c:showLegendKey val="0"/>
          <c:showVal val="0"/>
          <c:showCatName val="0"/>
          <c:showSerName val="0"/>
          <c:showPercent val="0"/>
          <c:showBubbleSize val="0"/>
        </c:dLbls>
        <c:axId val="28286984"/>
        <c:axId val="1947960839"/>
      </c:scatterChart>
      <c:valAx>
        <c:axId val="282869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 in KCAS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960839"/>
        <c:crosses val="autoZero"/>
        <c:crossBetween val="midCat"/>
      </c:valAx>
      <c:valAx>
        <c:axId val="1947960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Drag Force, in lb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86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Drag Polar for Cruise</a:t>
            </a:r>
          </a:p>
        </c:rich>
      </c:tx>
      <c:layout>
        <c:manualLayout>
          <c:xMode val="edge"/>
          <c:yMode val="edge"/>
          <c:x val="0.36332708406730752"/>
          <c:y val="3.82488305504958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939841006632853E-2"/>
          <c:y val="0.24608509561302891"/>
          <c:w val="0.88216079789309398"/>
          <c:h val="0.65871735098365558"/>
        </c:manualLayout>
      </c:layout>
      <c:scatterChart>
        <c:scatterStyle val="smoothMarker"/>
        <c:varyColors val="0"/>
        <c:ser>
          <c:idx val="0"/>
          <c:order val="0"/>
          <c:tx>
            <c:v>Parabolic Drag Polar</c:v>
          </c:tx>
          <c:spPr>
            <a:ln w="25400" cap="rnd">
              <a:solidFill>
                <a:schemeClr val="accent1"/>
              </a:solidFill>
              <a:round/>
            </a:ln>
            <a:effectLst>
              <a:outerShdw blurRad="50800" dist="38100" dir="2700000" algn="tl" rotWithShape="0">
                <a:prstClr val="black">
                  <a:alpha val="40000"/>
                </a:prstClr>
              </a:outerShdw>
            </a:effectLst>
          </c:spPr>
          <c:marker>
            <c:symbol val="none"/>
          </c:marker>
          <c:dPt>
            <c:idx val="12"/>
            <c:marker>
              <c:symbol val="none"/>
            </c:marker>
            <c:bubble3D val="0"/>
            <c:extLst>
              <c:ext xmlns:c16="http://schemas.microsoft.com/office/drawing/2014/chart" uri="{C3380CC4-5D6E-409C-BE32-E72D297353CC}">
                <c16:uniqueId val="{00000000-3E2B-2142-8BB9-D26F3FF2C598}"/>
              </c:ext>
            </c:extLst>
          </c:dPt>
          <c:dPt>
            <c:idx val="16"/>
            <c:marker>
              <c:symbol val="none"/>
            </c:marker>
            <c:bubble3D val="0"/>
            <c:extLst>
              <c:ext xmlns:c16="http://schemas.microsoft.com/office/drawing/2014/chart" uri="{C3380CC4-5D6E-409C-BE32-E72D297353CC}">
                <c16:uniqueId val="{00000002-1475-412F-AF3E-D4EFD621EFCF}"/>
              </c:ext>
            </c:extLst>
          </c:dPt>
          <c:xVal>
            <c:numRef>
              <c:f>Drag!$S$116:$S$139</c:f>
              <c:numCache>
                <c:formatCode>0.00E+00</c:formatCode>
                <c:ptCount val="24"/>
                <c:pt idx="0">
                  <c:v>0.19424894125680225</c:v>
                </c:pt>
                <c:pt idx="1">
                  <c:v>0.17433506181520314</c:v>
                </c:pt>
                <c:pt idx="2">
                  <c:v>0.15560781391790229</c:v>
                </c:pt>
                <c:pt idx="3">
                  <c:v>0.13806719756489991</c:v>
                </c:pt>
                <c:pt idx="4">
                  <c:v>0.12171321275619583</c:v>
                </c:pt>
                <c:pt idx="5">
                  <c:v>0.1065458594917902</c:v>
                </c:pt>
                <c:pt idx="6">
                  <c:v>9.2565137771682918E-2</c:v>
                </c:pt>
                <c:pt idx="7">
                  <c:v>7.9771047595874015E-2</c:v>
                </c:pt>
                <c:pt idx="8">
                  <c:v>6.8163588964363447E-2</c:v>
                </c:pt>
                <c:pt idx="9">
                  <c:v>5.7742761877151293E-2</c:v>
                </c:pt>
                <c:pt idx="10">
                  <c:v>4.8508566334237509E-2</c:v>
                </c:pt>
                <c:pt idx="11">
                  <c:v>4.0461002335622089E-2</c:v>
                </c:pt>
                <c:pt idx="12">
                  <c:v>3.3600069881305053E-2</c:v>
                </c:pt>
                <c:pt idx="13">
                  <c:v>2.7925768971286381E-2</c:v>
                </c:pt>
                <c:pt idx="14">
                  <c:v>2.3438099605566091E-2</c:v>
                </c:pt>
                <c:pt idx="15">
                  <c:v>2.0137061784144171E-2</c:v>
                </c:pt>
                <c:pt idx="16">
                  <c:v>1.8022655507020625E-2</c:v>
                </c:pt>
                <c:pt idx="17">
                  <c:v>1.7094880774195458E-2</c:v>
                </c:pt>
                <c:pt idx="18">
                  <c:v>1.7353737585668664E-2</c:v>
                </c:pt>
                <c:pt idx="19">
                  <c:v>1.8799225941440241E-2</c:v>
                </c:pt>
                <c:pt idx="20">
                  <c:v>2.1431345841510196E-2</c:v>
                </c:pt>
                <c:pt idx="21">
                  <c:v>2.5250097285878525E-2</c:v>
                </c:pt>
                <c:pt idx="22">
                  <c:v>3.0255480274545228E-2</c:v>
                </c:pt>
                <c:pt idx="23">
                  <c:v>3.6447494807510306E-2</c:v>
                </c:pt>
              </c:numCache>
            </c:numRef>
          </c:xVal>
          <c:yVal>
            <c:numRef>
              <c:f>Drag!$Q$116:$Q$139</c:f>
              <c:numCache>
                <c:formatCode>0.000</c:formatCode>
                <c:ptCount val="24"/>
                <c:pt idx="0">
                  <c:v>2.0523262126800099</c:v>
                </c:pt>
                <c:pt idx="1">
                  <c:v>1.9335700884137421</c:v>
                </c:pt>
                <c:pt idx="2">
                  <c:v>1.8148139641474739</c:v>
                </c:pt>
                <c:pt idx="3">
                  <c:v>1.6960578398812061</c:v>
                </c:pt>
                <c:pt idx="4">
                  <c:v>1.5773017156149378</c:v>
                </c:pt>
                <c:pt idx="5">
                  <c:v>1.45854559134867</c:v>
                </c:pt>
                <c:pt idx="6">
                  <c:v>1.3397894670824022</c:v>
                </c:pt>
                <c:pt idx="7">
                  <c:v>1.2210333428161344</c:v>
                </c:pt>
                <c:pt idx="8">
                  <c:v>1.1022772185498662</c:v>
                </c:pt>
                <c:pt idx="9">
                  <c:v>0.98352109428359824</c:v>
                </c:pt>
                <c:pt idx="10">
                  <c:v>0.86476497001733033</c:v>
                </c:pt>
                <c:pt idx="11">
                  <c:v>0.74600884575106241</c:v>
                </c:pt>
                <c:pt idx="12">
                  <c:v>0.6272527214847945</c:v>
                </c:pt>
                <c:pt idx="13">
                  <c:v>0.50849659721852647</c:v>
                </c:pt>
                <c:pt idx="14">
                  <c:v>0.38974047295225855</c:v>
                </c:pt>
                <c:pt idx="15">
                  <c:v>0.27098434868599058</c:v>
                </c:pt>
                <c:pt idx="16">
                  <c:v>0.15222822441972264</c:v>
                </c:pt>
                <c:pt idx="17">
                  <c:v>3.3472100153454698E-2</c:v>
                </c:pt>
                <c:pt idx="18">
                  <c:v>-8.5284024112813273E-2</c:v>
                </c:pt>
                <c:pt idx="19">
                  <c:v>-0.20404014837908113</c:v>
                </c:pt>
                <c:pt idx="20">
                  <c:v>-0.32279627264534916</c:v>
                </c:pt>
                <c:pt idx="21">
                  <c:v>-0.44155239691161718</c:v>
                </c:pt>
                <c:pt idx="22">
                  <c:v>-0.5603085211778851</c:v>
                </c:pt>
                <c:pt idx="23">
                  <c:v>-0.67906464544415301</c:v>
                </c:pt>
              </c:numCache>
            </c:numRef>
          </c:yVal>
          <c:smooth val="1"/>
          <c:extLst>
            <c:ext xmlns:c16="http://schemas.microsoft.com/office/drawing/2014/chart" uri="{C3380CC4-5D6E-409C-BE32-E72D297353CC}">
              <c16:uniqueId val="{00000002-5C87-4EC8-9164-1281A0E45D3E}"/>
            </c:ext>
          </c:extLst>
        </c:ser>
        <c:ser>
          <c:idx val="1"/>
          <c:order val="1"/>
          <c:tx>
            <c:v>Actual Drag Polar</c:v>
          </c:tx>
          <c:spPr>
            <a:ln w="19050" cap="rnd">
              <a:solidFill>
                <a:schemeClr val="accent2"/>
              </a:solidFill>
              <a:round/>
            </a:ln>
            <a:effectLst/>
          </c:spPr>
          <c:marker>
            <c:symbol val="none"/>
          </c:marker>
          <c:xVal>
            <c:numRef>
              <c:f>Drag!$M$116:$M$139</c:f>
              <c:numCache>
                <c:formatCode>0.00E+00</c:formatCode>
                <c:ptCount val="24"/>
                <c:pt idx="0">
                  <c:v>0.15752500712401368</c:v>
                </c:pt>
                <c:pt idx="1">
                  <c:v>0.13985936623951417</c:v>
                </c:pt>
                <c:pt idx="2">
                  <c:v>0.12338035689931294</c:v>
                </c:pt>
                <c:pt idx="3">
                  <c:v>0.10808797910341014</c:v>
                </c:pt>
                <c:pt idx="4">
                  <c:v>9.3982232851805667E-2</c:v>
                </c:pt>
                <c:pt idx="5">
                  <c:v>8.106311814449961E-2</c:v>
                </c:pt>
                <c:pt idx="6">
                  <c:v>6.9330634981491931E-2</c:v>
                </c:pt>
                <c:pt idx="7">
                  <c:v>5.8784783362782637E-2</c:v>
                </c:pt>
                <c:pt idx="8">
                  <c:v>4.9425563288371673E-2</c:v>
                </c:pt>
                <c:pt idx="9">
                  <c:v>4.1252974758259099E-2</c:v>
                </c:pt>
                <c:pt idx="10">
                  <c:v>3.426701777244491E-2</c:v>
                </c:pt>
                <c:pt idx="11">
                  <c:v>2.8467692330929086E-2</c:v>
                </c:pt>
                <c:pt idx="12">
                  <c:v>2.3854998433711638E-2</c:v>
                </c:pt>
                <c:pt idx="13">
                  <c:v>2.0428936080792562E-2</c:v>
                </c:pt>
                <c:pt idx="14">
                  <c:v>1.8189505272171863E-2</c:v>
                </c:pt>
                <c:pt idx="15">
                  <c:v>1.7136706007849539E-2</c:v>
                </c:pt>
                <c:pt idx="16">
                  <c:v>1.7270538287825588E-2</c:v>
                </c:pt>
                <c:pt idx="17">
                  <c:v>1.8591002112100012E-2</c:v>
                </c:pt>
                <c:pt idx="18">
                  <c:v>2.109809748067281E-2</c:v>
                </c:pt>
                <c:pt idx="19">
                  <c:v>2.4791824393543979E-2</c:v>
                </c:pt>
                <c:pt idx="20">
                  <c:v>2.9672182850713526E-2</c:v>
                </c:pt>
                <c:pt idx="21">
                  <c:v>3.573917285218145E-2</c:v>
                </c:pt>
                <c:pt idx="22">
                  <c:v>4.2992794397947745E-2</c:v>
                </c:pt>
                <c:pt idx="23">
                  <c:v>5.1433047488012411E-2</c:v>
                </c:pt>
              </c:numCache>
            </c:numRef>
          </c:xVal>
          <c:yVal>
            <c:numRef>
              <c:f>Drag!$Q$116:$Q$139</c:f>
              <c:numCache>
                <c:formatCode>0.000</c:formatCode>
                <c:ptCount val="24"/>
                <c:pt idx="0">
                  <c:v>2.0523262126800099</c:v>
                </c:pt>
                <c:pt idx="1">
                  <c:v>1.9335700884137421</c:v>
                </c:pt>
                <c:pt idx="2">
                  <c:v>1.8148139641474739</c:v>
                </c:pt>
                <c:pt idx="3">
                  <c:v>1.6960578398812061</c:v>
                </c:pt>
                <c:pt idx="4">
                  <c:v>1.5773017156149378</c:v>
                </c:pt>
                <c:pt idx="5">
                  <c:v>1.45854559134867</c:v>
                </c:pt>
                <c:pt idx="6">
                  <c:v>1.3397894670824022</c:v>
                </c:pt>
                <c:pt idx="7">
                  <c:v>1.2210333428161344</c:v>
                </c:pt>
                <c:pt idx="8">
                  <c:v>1.1022772185498662</c:v>
                </c:pt>
                <c:pt idx="9">
                  <c:v>0.98352109428359824</c:v>
                </c:pt>
                <c:pt idx="10">
                  <c:v>0.86476497001733033</c:v>
                </c:pt>
                <c:pt idx="11">
                  <c:v>0.74600884575106241</c:v>
                </c:pt>
                <c:pt idx="12">
                  <c:v>0.6272527214847945</c:v>
                </c:pt>
                <c:pt idx="13">
                  <c:v>0.50849659721852647</c:v>
                </c:pt>
                <c:pt idx="14">
                  <c:v>0.38974047295225855</c:v>
                </c:pt>
                <c:pt idx="15">
                  <c:v>0.27098434868599058</c:v>
                </c:pt>
                <c:pt idx="16">
                  <c:v>0.15222822441972264</c:v>
                </c:pt>
                <c:pt idx="17">
                  <c:v>3.3472100153454698E-2</c:v>
                </c:pt>
                <c:pt idx="18">
                  <c:v>-8.5284024112813273E-2</c:v>
                </c:pt>
                <c:pt idx="19">
                  <c:v>-0.20404014837908113</c:v>
                </c:pt>
                <c:pt idx="20">
                  <c:v>-0.32279627264534916</c:v>
                </c:pt>
                <c:pt idx="21">
                  <c:v>-0.44155239691161718</c:v>
                </c:pt>
                <c:pt idx="22">
                  <c:v>-0.5603085211778851</c:v>
                </c:pt>
                <c:pt idx="23">
                  <c:v>-0.67906464544415301</c:v>
                </c:pt>
              </c:numCache>
            </c:numRef>
          </c:yVal>
          <c:smooth val="1"/>
          <c:extLst>
            <c:ext xmlns:c16="http://schemas.microsoft.com/office/drawing/2014/chart" uri="{C3380CC4-5D6E-409C-BE32-E72D297353CC}">
              <c16:uniqueId val="{00000003-1475-412F-AF3E-D4EFD621EFCF}"/>
            </c:ext>
          </c:extLst>
        </c:ser>
        <c:dLbls>
          <c:showLegendKey val="0"/>
          <c:showVal val="0"/>
          <c:showCatName val="0"/>
          <c:showSerName val="0"/>
          <c:showPercent val="0"/>
          <c:showBubbleSize val="0"/>
        </c:dLbls>
        <c:axId val="901573343"/>
        <c:axId val="901571423"/>
      </c:scatterChart>
      <c:valAx>
        <c:axId val="9015733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a:t>Drag Coefficient (CD)</a:t>
                </a:r>
              </a:p>
            </c:rich>
          </c:tx>
          <c:layout>
            <c:manualLayout>
              <c:xMode val="edge"/>
              <c:yMode val="edge"/>
              <c:x val="0.42137326863051111"/>
              <c:y val="0.920701655012002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01571423"/>
        <c:crosses val="autoZero"/>
        <c:crossBetween val="midCat"/>
      </c:valAx>
      <c:valAx>
        <c:axId val="901571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a:t>Lift Coefficient (CL)</a:t>
                </a:r>
              </a:p>
            </c:rich>
          </c:tx>
          <c:layout>
            <c:manualLayout>
              <c:xMode val="edge"/>
              <c:yMode val="edge"/>
              <c:x val="1.2903986214072051E-2"/>
              <c:y val="0.3187621461663556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57334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Drag Polar at Cruise Conditions</a:t>
            </a:r>
          </a:p>
        </c:rich>
      </c:tx>
      <c:layout>
        <c:manualLayout>
          <c:xMode val="edge"/>
          <c:yMode val="edge"/>
          <c:x val="0.34934487560185884"/>
          <c:y val="3.82488305504958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939841006632853E-2"/>
          <c:y val="0.24608509561302891"/>
          <c:w val="0.88216079789309398"/>
          <c:h val="0.65871735098365558"/>
        </c:manualLayout>
      </c:layout>
      <c:scatterChart>
        <c:scatterStyle val="smoothMarker"/>
        <c:varyColors val="0"/>
        <c:ser>
          <c:idx val="0"/>
          <c:order val="0"/>
          <c:tx>
            <c:v>Parabolic Drag Polar</c:v>
          </c:tx>
          <c:spPr>
            <a:ln w="25400" cap="rnd">
              <a:solidFill>
                <a:schemeClr val="accent1"/>
              </a:solidFill>
              <a:round/>
            </a:ln>
            <a:effectLst>
              <a:outerShdw blurRad="50800" dist="38100" dir="2700000" algn="tl" rotWithShape="0">
                <a:prstClr val="black">
                  <a:alpha val="40000"/>
                </a:prstClr>
              </a:outerShdw>
            </a:effectLst>
          </c:spPr>
          <c:marker>
            <c:symbol val="none"/>
          </c:marker>
          <c:dPt>
            <c:idx val="12"/>
            <c:marker>
              <c:symbol val="circle"/>
              <c:size val="5"/>
              <c:spPr>
                <a:solidFill>
                  <a:schemeClr val="tx1"/>
                </a:solidFill>
                <a:ln w="9525">
                  <a:solidFill>
                    <a:schemeClr val="tx1"/>
                  </a:solidFill>
                </a:ln>
                <a:effectLst/>
              </c:spPr>
            </c:marker>
            <c:bubble3D val="0"/>
            <c:extLst>
              <c:ext xmlns:c16="http://schemas.microsoft.com/office/drawing/2014/chart" uri="{C3380CC4-5D6E-409C-BE32-E72D297353CC}">
                <c16:uniqueId val="{00000000-2820-4D0E-99BE-882BEC0E7842}"/>
              </c:ext>
            </c:extLst>
          </c:dPt>
          <c:dPt>
            <c:idx val="16"/>
            <c:marker>
              <c:symbol val="circle"/>
              <c:size val="5"/>
              <c:spPr>
                <a:solidFill>
                  <a:schemeClr val="tx1"/>
                </a:solidFill>
                <a:ln w="9525">
                  <a:solidFill>
                    <a:schemeClr val="tx1"/>
                  </a:solidFill>
                </a:ln>
                <a:effectLst/>
              </c:spPr>
            </c:marker>
            <c:bubble3D val="0"/>
            <c:extLst>
              <c:ext xmlns:c16="http://schemas.microsoft.com/office/drawing/2014/chart" uri="{C3380CC4-5D6E-409C-BE32-E72D297353CC}">
                <c16:uniqueId val="{00000000-798F-4F6D-ADBA-1FCD016F147F}"/>
              </c:ext>
            </c:extLst>
          </c:dPt>
          <c:xVal>
            <c:numRef>
              <c:f>Drag!$S$116:$S$139</c:f>
              <c:numCache>
                <c:formatCode>0.00E+00</c:formatCode>
                <c:ptCount val="24"/>
                <c:pt idx="0">
                  <c:v>0.19424894125680225</c:v>
                </c:pt>
                <c:pt idx="1">
                  <c:v>0.17433506181520314</c:v>
                </c:pt>
                <c:pt idx="2">
                  <c:v>0.15560781391790229</c:v>
                </c:pt>
                <c:pt idx="3">
                  <c:v>0.13806719756489991</c:v>
                </c:pt>
                <c:pt idx="4">
                  <c:v>0.12171321275619583</c:v>
                </c:pt>
                <c:pt idx="5">
                  <c:v>0.1065458594917902</c:v>
                </c:pt>
                <c:pt idx="6">
                  <c:v>9.2565137771682918E-2</c:v>
                </c:pt>
                <c:pt idx="7">
                  <c:v>7.9771047595874015E-2</c:v>
                </c:pt>
                <c:pt idx="8">
                  <c:v>6.8163588964363447E-2</c:v>
                </c:pt>
                <c:pt idx="9">
                  <c:v>5.7742761877151293E-2</c:v>
                </c:pt>
                <c:pt idx="10">
                  <c:v>4.8508566334237509E-2</c:v>
                </c:pt>
                <c:pt idx="11">
                  <c:v>4.0461002335622089E-2</c:v>
                </c:pt>
                <c:pt idx="12">
                  <c:v>3.3600069881305053E-2</c:v>
                </c:pt>
                <c:pt idx="13">
                  <c:v>2.7925768971286381E-2</c:v>
                </c:pt>
                <c:pt idx="14">
                  <c:v>2.3438099605566091E-2</c:v>
                </c:pt>
                <c:pt idx="15">
                  <c:v>2.0137061784144171E-2</c:v>
                </c:pt>
                <c:pt idx="16">
                  <c:v>1.8022655507020625E-2</c:v>
                </c:pt>
                <c:pt idx="17">
                  <c:v>1.7094880774195458E-2</c:v>
                </c:pt>
                <c:pt idx="18">
                  <c:v>1.7353737585668664E-2</c:v>
                </c:pt>
                <c:pt idx="19">
                  <c:v>1.8799225941440241E-2</c:v>
                </c:pt>
                <c:pt idx="20">
                  <c:v>2.1431345841510196E-2</c:v>
                </c:pt>
                <c:pt idx="21">
                  <c:v>2.5250097285878525E-2</c:v>
                </c:pt>
                <c:pt idx="22">
                  <c:v>3.0255480274545228E-2</c:v>
                </c:pt>
                <c:pt idx="23">
                  <c:v>3.6447494807510306E-2</c:v>
                </c:pt>
              </c:numCache>
            </c:numRef>
          </c:xVal>
          <c:yVal>
            <c:numRef>
              <c:f>Drag!$Q$116:$Q$139</c:f>
              <c:numCache>
                <c:formatCode>0.000</c:formatCode>
                <c:ptCount val="24"/>
                <c:pt idx="0">
                  <c:v>2.0523262126800099</c:v>
                </c:pt>
                <c:pt idx="1">
                  <c:v>1.9335700884137421</c:v>
                </c:pt>
                <c:pt idx="2">
                  <c:v>1.8148139641474739</c:v>
                </c:pt>
                <c:pt idx="3">
                  <c:v>1.6960578398812061</c:v>
                </c:pt>
                <c:pt idx="4">
                  <c:v>1.5773017156149378</c:v>
                </c:pt>
                <c:pt idx="5">
                  <c:v>1.45854559134867</c:v>
                </c:pt>
                <c:pt idx="6">
                  <c:v>1.3397894670824022</c:v>
                </c:pt>
                <c:pt idx="7">
                  <c:v>1.2210333428161344</c:v>
                </c:pt>
                <c:pt idx="8">
                  <c:v>1.1022772185498662</c:v>
                </c:pt>
                <c:pt idx="9">
                  <c:v>0.98352109428359824</c:v>
                </c:pt>
                <c:pt idx="10">
                  <c:v>0.86476497001733033</c:v>
                </c:pt>
                <c:pt idx="11">
                  <c:v>0.74600884575106241</c:v>
                </c:pt>
                <c:pt idx="12">
                  <c:v>0.6272527214847945</c:v>
                </c:pt>
                <c:pt idx="13">
                  <c:v>0.50849659721852647</c:v>
                </c:pt>
                <c:pt idx="14">
                  <c:v>0.38974047295225855</c:v>
                </c:pt>
                <c:pt idx="15">
                  <c:v>0.27098434868599058</c:v>
                </c:pt>
                <c:pt idx="16">
                  <c:v>0.15222822441972264</c:v>
                </c:pt>
                <c:pt idx="17">
                  <c:v>3.3472100153454698E-2</c:v>
                </c:pt>
                <c:pt idx="18">
                  <c:v>-8.5284024112813273E-2</c:v>
                </c:pt>
                <c:pt idx="19">
                  <c:v>-0.20404014837908113</c:v>
                </c:pt>
                <c:pt idx="20">
                  <c:v>-0.32279627264534916</c:v>
                </c:pt>
                <c:pt idx="21">
                  <c:v>-0.44155239691161718</c:v>
                </c:pt>
                <c:pt idx="22">
                  <c:v>-0.5603085211778851</c:v>
                </c:pt>
                <c:pt idx="23">
                  <c:v>-0.67906464544415301</c:v>
                </c:pt>
              </c:numCache>
            </c:numRef>
          </c:yVal>
          <c:smooth val="1"/>
          <c:extLst>
            <c:ext xmlns:c16="http://schemas.microsoft.com/office/drawing/2014/chart" uri="{C3380CC4-5D6E-409C-BE32-E72D297353CC}">
              <c16:uniqueId val="{00000001-798F-4F6D-ADBA-1FCD016F147F}"/>
            </c:ext>
          </c:extLst>
        </c:ser>
        <c:ser>
          <c:idx val="1"/>
          <c:order val="1"/>
          <c:tx>
            <c:v>Actual Drag Polar</c:v>
          </c:tx>
          <c:spPr>
            <a:ln w="19050" cap="rnd">
              <a:solidFill>
                <a:schemeClr val="accent2"/>
              </a:solidFill>
              <a:round/>
            </a:ln>
            <a:effectLst/>
          </c:spPr>
          <c:marker>
            <c:symbol val="none"/>
          </c:marker>
          <c:xVal>
            <c:numRef>
              <c:f>Drag!$M$116:$M$139</c:f>
              <c:numCache>
                <c:formatCode>0.00E+00</c:formatCode>
                <c:ptCount val="24"/>
                <c:pt idx="0">
                  <c:v>0.15752500712401368</c:v>
                </c:pt>
                <c:pt idx="1">
                  <c:v>0.13985936623951417</c:v>
                </c:pt>
                <c:pt idx="2">
                  <c:v>0.12338035689931294</c:v>
                </c:pt>
                <c:pt idx="3">
                  <c:v>0.10808797910341014</c:v>
                </c:pt>
                <c:pt idx="4">
                  <c:v>9.3982232851805667E-2</c:v>
                </c:pt>
                <c:pt idx="5">
                  <c:v>8.106311814449961E-2</c:v>
                </c:pt>
                <c:pt idx="6">
                  <c:v>6.9330634981491931E-2</c:v>
                </c:pt>
                <c:pt idx="7">
                  <c:v>5.8784783362782637E-2</c:v>
                </c:pt>
                <c:pt idx="8">
                  <c:v>4.9425563288371673E-2</c:v>
                </c:pt>
                <c:pt idx="9">
                  <c:v>4.1252974758259099E-2</c:v>
                </c:pt>
                <c:pt idx="10">
                  <c:v>3.426701777244491E-2</c:v>
                </c:pt>
                <c:pt idx="11">
                  <c:v>2.8467692330929086E-2</c:v>
                </c:pt>
                <c:pt idx="12">
                  <c:v>2.3854998433711638E-2</c:v>
                </c:pt>
                <c:pt idx="13">
                  <c:v>2.0428936080792562E-2</c:v>
                </c:pt>
                <c:pt idx="14">
                  <c:v>1.8189505272171863E-2</c:v>
                </c:pt>
                <c:pt idx="15">
                  <c:v>1.7136706007849539E-2</c:v>
                </c:pt>
                <c:pt idx="16">
                  <c:v>1.7270538287825588E-2</c:v>
                </c:pt>
                <c:pt idx="17">
                  <c:v>1.8591002112100012E-2</c:v>
                </c:pt>
                <c:pt idx="18">
                  <c:v>2.109809748067281E-2</c:v>
                </c:pt>
                <c:pt idx="19">
                  <c:v>2.4791824393543979E-2</c:v>
                </c:pt>
                <c:pt idx="20">
                  <c:v>2.9672182850713526E-2</c:v>
                </c:pt>
                <c:pt idx="21">
                  <c:v>3.573917285218145E-2</c:v>
                </c:pt>
                <c:pt idx="22">
                  <c:v>4.2992794397947745E-2</c:v>
                </c:pt>
                <c:pt idx="23">
                  <c:v>5.1433047488012411E-2</c:v>
                </c:pt>
              </c:numCache>
            </c:numRef>
          </c:xVal>
          <c:yVal>
            <c:numRef>
              <c:f>Drag!$Q$116:$Q$139</c:f>
              <c:numCache>
                <c:formatCode>0.000</c:formatCode>
                <c:ptCount val="24"/>
                <c:pt idx="0">
                  <c:v>2.0523262126800099</c:v>
                </c:pt>
                <c:pt idx="1">
                  <c:v>1.9335700884137421</c:v>
                </c:pt>
                <c:pt idx="2">
                  <c:v>1.8148139641474739</c:v>
                </c:pt>
                <c:pt idx="3">
                  <c:v>1.6960578398812061</c:v>
                </c:pt>
                <c:pt idx="4">
                  <c:v>1.5773017156149378</c:v>
                </c:pt>
                <c:pt idx="5">
                  <c:v>1.45854559134867</c:v>
                </c:pt>
                <c:pt idx="6">
                  <c:v>1.3397894670824022</c:v>
                </c:pt>
                <c:pt idx="7">
                  <c:v>1.2210333428161344</c:v>
                </c:pt>
                <c:pt idx="8">
                  <c:v>1.1022772185498662</c:v>
                </c:pt>
                <c:pt idx="9">
                  <c:v>0.98352109428359824</c:v>
                </c:pt>
                <c:pt idx="10">
                  <c:v>0.86476497001733033</c:v>
                </c:pt>
                <c:pt idx="11">
                  <c:v>0.74600884575106241</c:v>
                </c:pt>
                <c:pt idx="12">
                  <c:v>0.6272527214847945</c:v>
                </c:pt>
                <c:pt idx="13">
                  <c:v>0.50849659721852647</c:v>
                </c:pt>
                <c:pt idx="14">
                  <c:v>0.38974047295225855</c:v>
                </c:pt>
                <c:pt idx="15">
                  <c:v>0.27098434868599058</c:v>
                </c:pt>
                <c:pt idx="16">
                  <c:v>0.15222822441972264</c:v>
                </c:pt>
                <c:pt idx="17">
                  <c:v>3.3472100153454698E-2</c:v>
                </c:pt>
                <c:pt idx="18">
                  <c:v>-8.5284024112813273E-2</c:v>
                </c:pt>
                <c:pt idx="19">
                  <c:v>-0.20404014837908113</c:v>
                </c:pt>
                <c:pt idx="20">
                  <c:v>-0.32279627264534916</c:v>
                </c:pt>
                <c:pt idx="21">
                  <c:v>-0.44155239691161718</c:v>
                </c:pt>
                <c:pt idx="22">
                  <c:v>-0.5603085211778851</c:v>
                </c:pt>
                <c:pt idx="23">
                  <c:v>-0.67906464544415301</c:v>
                </c:pt>
              </c:numCache>
            </c:numRef>
          </c:yVal>
          <c:smooth val="1"/>
          <c:extLst>
            <c:ext xmlns:c16="http://schemas.microsoft.com/office/drawing/2014/chart" uri="{C3380CC4-5D6E-409C-BE32-E72D297353CC}">
              <c16:uniqueId val="{00000003-798F-4F6D-ADBA-1FCD016F147F}"/>
            </c:ext>
          </c:extLst>
        </c:ser>
        <c:dLbls>
          <c:showLegendKey val="0"/>
          <c:showVal val="0"/>
          <c:showCatName val="0"/>
          <c:showSerName val="0"/>
          <c:showPercent val="0"/>
          <c:showBubbleSize val="0"/>
        </c:dLbls>
        <c:axId val="901573343"/>
        <c:axId val="901571423"/>
      </c:scatterChart>
      <c:valAx>
        <c:axId val="9015733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Drag Coefficient (CD)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571423"/>
        <c:crosses val="autoZero"/>
        <c:crossBetween val="midCat"/>
        <c:majorUnit val="0.02"/>
      </c:valAx>
      <c:valAx>
        <c:axId val="901571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Lift Coefficient (CL)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57334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Drag Polar at Cruise Conditions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Calculated</c:v>
          </c:tx>
          <c:spPr>
            <a:ln w="19050" cap="rnd">
              <a:solidFill>
                <a:srgbClr val="0E2841"/>
              </a:solidFill>
              <a:prstDash val="solid"/>
              <a:round/>
            </a:ln>
            <a:effectLst/>
          </c:spPr>
          <c:marker>
            <c:symbol val="none"/>
          </c:marker>
          <c:xVal>
            <c:numRef>
              <c:f>Drag!$N$113:$N$139</c:f>
              <c:numCache>
                <c:formatCode>General</c:formatCode>
                <c:ptCount val="27"/>
                <c:pt idx="0">
                  <c:v>17</c:v>
                </c:pt>
                <c:pt idx="1">
                  <c:v>16</c:v>
                </c:pt>
                <c:pt idx="2">
                  <c:v>15</c:v>
                </c:pt>
                <c:pt idx="3">
                  <c:v>14</c:v>
                </c:pt>
                <c:pt idx="4">
                  <c:v>13</c:v>
                </c:pt>
                <c:pt idx="5">
                  <c:v>12</c:v>
                </c:pt>
                <c:pt idx="6">
                  <c:v>11</c:v>
                </c:pt>
                <c:pt idx="7">
                  <c:v>10</c:v>
                </c:pt>
                <c:pt idx="8">
                  <c:v>9</c:v>
                </c:pt>
                <c:pt idx="9">
                  <c:v>8</c:v>
                </c:pt>
                <c:pt idx="10">
                  <c:v>7</c:v>
                </c:pt>
                <c:pt idx="11">
                  <c:v>6</c:v>
                </c:pt>
                <c:pt idx="12">
                  <c:v>5</c:v>
                </c:pt>
                <c:pt idx="13">
                  <c:v>4</c:v>
                </c:pt>
                <c:pt idx="14">
                  <c:v>3</c:v>
                </c:pt>
                <c:pt idx="15">
                  <c:v>2</c:v>
                </c:pt>
                <c:pt idx="16">
                  <c:v>1</c:v>
                </c:pt>
                <c:pt idx="17">
                  <c:v>0</c:v>
                </c:pt>
                <c:pt idx="18">
                  <c:v>-1</c:v>
                </c:pt>
                <c:pt idx="19">
                  <c:v>-2</c:v>
                </c:pt>
                <c:pt idx="20">
                  <c:v>-3</c:v>
                </c:pt>
                <c:pt idx="21">
                  <c:v>-4</c:v>
                </c:pt>
                <c:pt idx="22">
                  <c:v>-5</c:v>
                </c:pt>
                <c:pt idx="23">
                  <c:v>-6</c:v>
                </c:pt>
                <c:pt idx="24">
                  <c:v>-7</c:v>
                </c:pt>
                <c:pt idx="25">
                  <c:v>-8</c:v>
                </c:pt>
                <c:pt idx="26">
                  <c:v>-9</c:v>
                </c:pt>
              </c:numCache>
            </c:numRef>
          </c:xVal>
          <c:yVal>
            <c:numRef>
              <c:f>Drag!$O$113:$O$139</c:f>
              <c:numCache>
                <c:formatCode>0.00E+00</c:formatCode>
                <c:ptCount val="27"/>
                <c:pt idx="0">
                  <c:v>9.2244310178526607</c:v>
                </c:pt>
                <c:pt idx="1">
                  <c:v>9.6358831576462212</c:v>
                </c:pt>
                <c:pt idx="2">
                  <c:v>10.081671043673976</c:v>
                </c:pt>
                <c:pt idx="3">
                  <c:v>10.56544349431887</c:v>
                </c:pt>
                <c:pt idx="4">
                  <c:v>11.091114250232378</c:v>
                </c:pt>
                <c:pt idx="5">
                  <c:v>11.662743139010733</c:v>
                </c:pt>
                <c:pt idx="6">
                  <c:v>12.284292502453065</c:v>
                </c:pt>
                <c:pt idx="7">
                  <c:v>12.959165894128819</c:v>
                </c:pt>
                <c:pt idx="8">
                  <c:v>13.689369050151189</c:v>
                </c:pt>
                <c:pt idx="9">
                  <c:v>14.474017965457662</c:v>
                </c:pt>
                <c:pt idx="10">
                  <c:v>15.306723173575191</c:v>
                </c:pt>
                <c:pt idx="11">
                  <c:v>16.171056062293712</c:v>
                </c:pt>
                <c:pt idx="12">
                  <c:v>17.03280311350635</c:v>
                </c:pt>
                <c:pt idx="13">
                  <c:v>17.827056855460523</c:v>
                </c:pt>
                <c:pt idx="14">
                  <c:v>18.437725283297596</c:v>
                </c:pt>
                <c:pt idx="15">
                  <c:v>18.668196932346127</c:v>
                </c:pt>
                <c:pt idx="16">
                  <c:v>18.208866432339569</c:v>
                </c:pt>
                <c:pt idx="17">
                  <c:v>16.628501436170311</c:v>
                </c:pt>
                <c:pt idx="18">
                  <c:v>13.456995444060384</c:v>
                </c:pt>
                <c:pt idx="19">
                  <c:v>8.4464924916543502</c:v>
                </c:pt>
                <c:pt idx="20">
                  <c:v>1.958018929502011</c:v>
                </c:pt>
                <c:pt idx="21">
                  <c:v>-4.9144470285896142</c:v>
                </c:pt>
                <c:pt idx="22">
                  <c:v>-10.853646262599749</c:v>
                </c:pt>
                <c:pt idx="23">
                  <c:v>-15.061875956484624</c:v>
                </c:pt>
                <c:pt idx="24">
                  <c:v>-17.487156263693354</c:v>
                </c:pt>
                <c:pt idx="25">
                  <c:v>-18.519240682795843</c:v>
                </c:pt>
                <c:pt idx="26">
                  <c:v>-18.631311946966136</c:v>
                </c:pt>
              </c:numCache>
            </c:numRef>
          </c:yVal>
          <c:smooth val="0"/>
          <c:extLst>
            <c:ext xmlns:c16="http://schemas.microsoft.com/office/drawing/2014/chart" uri="{C3380CC4-5D6E-409C-BE32-E72D297353CC}">
              <c16:uniqueId val="{00000002-8EC9-41DF-A6C1-D3DF72CAD089}"/>
            </c:ext>
          </c:extLst>
        </c:ser>
        <c:ser>
          <c:idx val="1"/>
          <c:order val="1"/>
          <c:tx>
            <c:v>XFLR5</c:v>
          </c:tx>
          <c:spPr>
            <a:ln w="19050" cap="rnd">
              <a:solidFill>
                <a:srgbClr val="E87331"/>
              </a:solidFill>
              <a:prstDash val="solid"/>
              <a:round/>
            </a:ln>
            <a:effectLst/>
          </c:spPr>
          <c:marker>
            <c:symbol val="none"/>
          </c:marker>
          <c:xVal>
            <c:numRef>
              <c:f>Drag!$N$113:$N$139</c:f>
              <c:numCache>
                <c:formatCode>General</c:formatCode>
                <c:ptCount val="27"/>
                <c:pt idx="0">
                  <c:v>17</c:v>
                </c:pt>
                <c:pt idx="1">
                  <c:v>16</c:v>
                </c:pt>
                <c:pt idx="2">
                  <c:v>15</c:v>
                </c:pt>
                <c:pt idx="3">
                  <c:v>14</c:v>
                </c:pt>
                <c:pt idx="4">
                  <c:v>13</c:v>
                </c:pt>
                <c:pt idx="5">
                  <c:v>12</c:v>
                </c:pt>
                <c:pt idx="6">
                  <c:v>11</c:v>
                </c:pt>
                <c:pt idx="7">
                  <c:v>10</c:v>
                </c:pt>
                <c:pt idx="8">
                  <c:v>9</c:v>
                </c:pt>
                <c:pt idx="9">
                  <c:v>8</c:v>
                </c:pt>
                <c:pt idx="10">
                  <c:v>7</c:v>
                </c:pt>
                <c:pt idx="11">
                  <c:v>6</c:v>
                </c:pt>
                <c:pt idx="12">
                  <c:v>5</c:v>
                </c:pt>
                <c:pt idx="13">
                  <c:v>4</c:v>
                </c:pt>
                <c:pt idx="14">
                  <c:v>3</c:v>
                </c:pt>
                <c:pt idx="15">
                  <c:v>2</c:v>
                </c:pt>
                <c:pt idx="16">
                  <c:v>1</c:v>
                </c:pt>
                <c:pt idx="17">
                  <c:v>0</c:v>
                </c:pt>
                <c:pt idx="18">
                  <c:v>-1</c:v>
                </c:pt>
                <c:pt idx="19">
                  <c:v>-2</c:v>
                </c:pt>
                <c:pt idx="20">
                  <c:v>-3</c:v>
                </c:pt>
                <c:pt idx="21">
                  <c:v>-4</c:v>
                </c:pt>
                <c:pt idx="22">
                  <c:v>-5</c:v>
                </c:pt>
                <c:pt idx="23">
                  <c:v>-6</c:v>
                </c:pt>
                <c:pt idx="24">
                  <c:v>-7</c:v>
                </c:pt>
                <c:pt idx="25">
                  <c:v>-8</c:v>
                </c:pt>
                <c:pt idx="26">
                  <c:v>-9</c:v>
                </c:pt>
              </c:numCache>
            </c:numRef>
          </c:xVal>
          <c:yVal>
            <c:numRef>
              <c:f>Drag!$P$113:$P$139</c:f>
              <c:numCache>
                <c:formatCode>0.00E+00</c:formatCode>
                <c:ptCount val="27"/>
                <c:pt idx="0">
                  <c:v>12.98686</c:v>
                </c:pt>
                <c:pt idx="1">
                  <c:v>13.57788</c:v>
                </c:pt>
                <c:pt idx="2">
                  <c:v>14.23099</c:v>
                </c:pt>
                <c:pt idx="3">
                  <c:v>14.9468</c:v>
                </c:pt>
                <c:pt idx="4">
                  <c:v>15.741110000000001</c:v>
                </c:pt>
                <c:pt idx="5">
                  <c:v>16.624829999999999</c:v>
                </c:pt>
                <c:pt idx="6">
                  <c:v>17.606490000000001</c:v>
                </c:pt>
                <c:pt idx="7">
                  <c:v>18.700340000000001</c:v>
                </c:pt>
                <c:pt idx="8">
                  <c:v>19.902740000000001</c:v>
                </c:pt>
                <c:pt idx="9">
                  <c:v>21.209759999999999</c:v>
                </c:pt>
                <c:pt idx="10">
                  <c:v>22.602879999999999</c:v>
                </c:pt>
                <c:pt idx="11">
                  <c:v>24.025580000000001</c:v>
                </c:pt>
                <c:pt idx="12">
                  <c:v>25.39181</c:v>
                </c:pt>
                <c:pt idx="13">
                  <c:v>26.447040000000001</c:v>
                </c:pt>
                <c:pt idx="14">
                  <c:v>26.7913</c:v>
                </c:pt>
                <c:pt idx="15">
                  <c:v>25.79767</c:v>
                </c:pt>
                <c:pt idx="16">
                  <c:v>22.470849999999999</c:v>
                </c:pt>
                <c:pt idx="17">
                  <c:v>15.987769999999999</c:v>
                </c:pt>
                <c:pt idx="18">
                  <c:v>6.402685</c:v>
                </c:pt>
                <c:pt idx="19">
                  <c:v>-4.5769859999999998</c:v>
                </c:pt>
                <c:pt idx="20">
                  <c:v>-14.31645</c:v>
                </c:pt>
                <c:pt idx="21">
                  <c:v>-21.001239999999999</c:v>
                </c:pt>
                <c:pt idx="22">
                  <c:v>-24.56475</c:v>
                </c:pt>
                <c:pt idx="23">
                  <c:v>-25.849989999999998</c:v>
                </c:pt>
                <c:pt idx="24" formatCode="General">
                  <c:v>-25.68282</c:v>
                </c:pt>
                <c:pt idx="25" formatCode="General">
                  <c:v>-24.779620000000001</c:v>
                </c:pt>
                <c:pt idx="26" formatCode="General">
                  <c:v>-23.568519999999999</c:v>
                </c:pt>
              </c:numCache>
            </c:numRef>
          </c:yVal>
          <c:smooth val="0"/>
          <c:extLst>
            <c:ext xmlns:c16="http://schemas.microsoft.com/office/drawing/2014/chart" uri="{C3380CC4-5D6E-409C-BE32-E72D297353CC}">
              <c16:uniqueId val="{00000004-8EC9-41DF-A6C1-D3DF72CAD089}"/>
            </c:ext>
          </c:extLst>
        </c:ser>
        <c:dLbls>
          <c:showLegendKey val="0"/>
          <c:showVal val="0"/>
          <c:showCatName val="0"/>
          <c:showSerName val="0"/>
          <c:showPercent val="0"/>
          <c:showBubbleSize val="0"/>
        </c:dLbls>
        <c:axId val="1821560840"/>
        <c:axId val="1821562888"/>
      </c:scatterChart>
      <c:valAx>
        <c:axId val="18215608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Angle of Attack, in degrees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562888"/>
        <c:crosses val="autoZero"/>
        <c:crossBetween val="midCat"/>
      </c:valAx>
      <c:valAx>
        <c:axId val="1821562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CL/CD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560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dLbls>
          <c:showLegendKey val="0"/>
          <c:showVal val="0"/>
          <c:showCatName val="0"/>
          <c:showSerName val="0"/>
          <c:showPercent val="0"/>
          <c:showBubbleSize val="0"/>
        </c:dLbls>
        <c:axId val="2107168496"/>
        <c:axId val="2107169936"/>
      </c:scatterChart>
      <c:valAx>
        <c:axId val="210716849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169936"/>
        <c:crosses val="autoZero"/>
        <c:crossBetween val="midCat"/>
      </c:valAx>
      <c:valAx>
        <c:axId val="2107169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16849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Constraint Analysis</a:t>
            </a:r>
            <a:r>
              <a:rPr lang="en-US" baseline="0"/>
              <a:t> </a:t>
            </a:r>
            <a:r>
              <a:rPr lang="en-US"/>
              <a:t>Diagram:</a:t>
            </a:r>
          </a:p>
          <a:p>
            <a:pPr>
              <a:defRPr/>
            </a:pPr>
            <a:r>
              <a:rPr lang="en-US" baseline="0"/>
              <a:t>Thrust to Weight Ratio (T/W) vs Wing Loading (W/S)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864424195358837"/>
          <c:y val="0.18485506273003249"/>
          <c:w val="0.81861588864366241"/>
          <c:h val="0.66391961959003842"/>
        </c:manualLayout>
      </c:layout>
      <c:scatterChart>
        <c:scatterStyle val="lineMarker"/>
        <c:varyColors val="0"/>
        <c:ser>
          <c:idx val="0"/>
          <c:order val="0"/>
          <c:tx>
            <c:strRef>
              <c:f>'Constraint Diagrams (2)'!$I$2</c:f>
              <c:strCache>
                <c:ptCount val="1"/>
                <c:pt idx="0">
                  <c:v>Constant Velocity Turn</c:v>
                </c:pt>
              </c:strCache>
            </c:strRef>
          </c:tx>
          <c:spPr>
            <a:ln w="19050" cap="rnd">
              <a:solidFill>
                <a:schemeClr val="accent1"/>
              </a:solidFill>
              <a:round/>
            </a:ln>
            <a:effectLst/>
          </c:spPr>
          <c:marker>
            <c:symbol val="none"/>
          </c:marker>
          <c:xVal>
            <c:numRef>
              <c:f>'Constraint Diagrams (2)'!$H$3:$H$86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 (2)'!$I$3:$I$86</c:f>
              <c:numCache>
                <c:formatCode>0.00000</c:formatCode>
                <c:ptCount val="84"/>
                <c:pt idx="0">
                  <c:v>3.3945569824670359</c:v>
                </c:pt>
                <c:pt idx="1">
                  <c:v>1.6983976944160193</c:v>
                </c:pt>
                <c:pt idx="2">
                  <c:v>1.1335086887023476</c:v>
                </c:pt>
                <c:pt idx="3">
                  <c:v>0.85143725357301236</c:v>
                </c:pt>
                <c:pt idx="4">
                  <c:v>0.6824928466774115</c:v>
                </c:pt>
                <c:pt idx="5">
                  <c:v>0.57011195389867797</c:v>
                </c:pt>
                <c:pt idx="6">
                  <c:v>0.49005306918672559</c:v>
                </c:pt>
                <c:pt idx="7">
                  <c:v>0.43019543951651162</c:v>
                </c:pt>
                <c:pt idx="8">
                  <c:v>0.38380531320745653</c:v>
                </c:pt>
                <c:pt idx="9">
                  <c:v>0.34684243925121255</c:v>
                </c:pt>
                <c:pt idx="10">
                  <c:v>0.3167357488242859</c:v>
                </c:pt>
                <c:pt idx="11">
                  <c:v>0.2917711960443472</c:v>
                </c:pt>
                <c:pt idx="12">
                  <c:v>0.27076213376209146</c:v>
                </c:pt>
                <c:pt idx="13">
                  <c:v>0.2528609568708724</c:v>
                </c:pt>
                <c:pt idx="14">
                  <c:v>0.23744608829248268</c:v>
                </c:pt>
                <c:pt idx="15">
                  <c:v>0.22405134521826678</c:v>
                </c:pt>
                <c:pt idx="16">
                  <c:v>0.21232023491219404</c:v>
                </c:pt>
                <c:pt idx="17">
                  <c:v>0.20197548524624057</c:v>
                </c:pt>
                <c:pt idx="18">
                  <c:v>0.19279819717196653</c:v>
                </c:pt>
                <c:pt idx="19">
                  <c:v>0.18461325145061999</c:v>
                </c:pt>
                <c:pt idx="20">
                  <c:v>0.17727888488892557</c:v>
                </c:pt>
                <c:pt idx="21">
                  <c:v>0.17067910941965803</c:v>
                </c:pt>
                <c:pt idx="22">
                  <c:v>0.16471810881337032</c:v>
                </c:pt>
                <c:pt idx="23">
                  <c:v>0.15931603621219001</c:v>
                </c:pt>
                <c:pt idx="24">
                  <c:v>0.15440582025550417</c:v>
                </c:pt>
                <c:pt idx="25">
                  <c:v>0.14993070825356353</c:v>
                </c:pt>
                <c:pt idx="26">
                  <c:v>0.14584235532250739</c:v>
                </c:pt>
                <c:pt idx="27">
                  <c:v>0.14209932299045533</c:v>
                </c:pt>
                <c:pt idx="28">
                  <c:v>0.13866588843682073</c:v>
                </c:pt>
                <c:pt idx="29">
                  <c:v>0.13551109188376184</c:v>
                </c:pt>
                <c:pt idx="30">
                  <c:v>0.13260796836348102</c:v>
                </c:pt>
                <c:pt idx="31">
                  <c:v>0.12993292352915528</c:v>
                </c:pt>
                <c:pt idx="32">
                  <c:v>0.12746522295478874</c:v>
                </c:pt>
                <c:pt idx="33">
                  <c:v>0.12518657155862029</c:v>
                </c:pt>
                <c:pt idx="34">
                  <c:v>0.12308076512537577</c:v>
                </c:pt>
                <c:pt idx="35">
                  <c:v>0.1211333999081449</c:v>
                </c:pt>
                <c:pt idx="36">
                  <c:v>0.1193316293218455</c:v>
                </c:pt>
                <c:pt idx="37">
                  <c:v>0.11766395905350925</c:v>
                </c:pt>
                <c:pt idx="38">
                  <c:v>0.1161200736940621</c:v>
                </c:pt>
                <c:pt idx="39">
                  <c:v>0.11469068937533734</c:v>
                </c:pt>
                <c:pt idx="40">
                  <c:v>0.11336742797240408</c:v>
                </c:pt>
                <c:pt idx="41">
                  <c:v>0.11214270927699152</c:v>
                </c:pt>
                <c:pt idx="42">
                  <c:v>0.11100965821648189</c:v>
                </c:pt>
                <c:pt idx="43">
                  <c:v>0.10996202472485909</c:v>
                </c:pt>
                <c:pt idx="44">
                  <c:v>0.10899411429753071</c:v>
                </c:pt>
                <c:pt idx="45">
                  <c:v>0.10810072760421661</c:v>
                </c:pt>
                <c:pt idx="46">
                  <c:v>0.10727710781083084</c:v>
                </c:pt>
                <c:pt idx="47">
                  <c:v>0.10651889448612784</c:v>
                </c:pt>
                <c:pt idx="48">
                  <c:v>0.10582208315243315</c:v>
                </c:pt>
                <c:pt idx="49">
                  <c:v>0.10518298969028629</c:v>
                </c:pt>
                <c:pt idx="50">
                  <c:v>0.10459821893077269</c:v>
                </c:pt>
                <c:pt idx="51">
                  <c:v>0.10406463687181733</c:v>
                </c:pt>
                <c:pt idx="52">
                  <c:v>0.10357934603980372</c:v>
                </c:pt>
                <c:pt idx="53">
                  <c:v>0.10313966358879063</c:v>
                </c:pt>
                <c:pt idx="54">
                  <c:v>0.10274310178890533</c:v>
                </c:pt>
                <c:pt idx="55">
                  <c:v>0.10238735060526598</c:v>
                </c:pt>
                <c:pt idx="56">
                  <c:v>0.10207026211070171</c:v>
                </c:pt>
                <c:pt idx="57">
                  <c:v>0.10178983651095004</c:v>
                </c:pt>
                <c:pt idx="58">
                  <c:v>0.10154420959102051</c:v>
                </c:pt>
                <c:pt idx="59">
                  <c:v>0.10133164141692196</c:v>
                </c:pt>
                <c:pt idx="60">
                  <c:v>0.10115050614869553</c:v>
                </c:pt>
                <c:pt idx="61">
                  <c:v>0.10099928283928292</c:v>
                </c:pt>
                <c:pt idx="62">
                  <c:v>0.10087654710969293</c:v>
                </c:pt>
                <c:pt idx="63">
                  <c:v>0.10078096360462141</c:v>
                </c:pt>
                <c:pt idx="64">
                  <c:v>0.1007112791444752</c:v>
                </c:pt>
                <c:pt idx="65">
                  <c:v>0.1006663164999395</c:v>
                </c:pt>
                <c:pt idx="66">
                  <c:v>0.1006449687240467</c:v>
                </c:pt>
                <c:pt idx="67">
                  <c:v>0.10064619398435665</c:v>
                </c:pt>
                <c:pt idx="68">
                  <c:v>0.1006690108445127</c:v>
                </c:pt>
                <c:pt idx="69">
                  <c:v>0.10071249395023577</c:v>
                </c:pt>
                <c:pt idx="70">
                  <c:v>0.10077577007988214</c:v>
                </c:pt>
                <c:pt idx="71">
                  <c:v>0.1008580145241217</c:v>
                </c:pt>
                <c:pt idx="72">
                  <c:v>0.10095844776317664</c:v>
                </c:pt>
                <c:pt idx="73">
                  <c:v>0.10107633241347336</c:v>
                </c:pt>
                <c:pt idx="74">
                  <c:v>0.10121097041856221</c:v>
                </c:pt>
                <c:pt idx="75">
                  <c:v>0.10136170046180662</c:v>
                </c:pt>
                <c:pt idx="76">
                  <c:v>0.10152789558068105</c:v>
                </c:pt>
                <c:pt idx="77">
                  <c:v>0.1017089609645844</c:v>
                </c:pt>
                <c:pt idx="78">
                  <c:v>0.10190433191990793</c:v>
                </c:pt>
                <c:pt idx="79">
                  <c:v>0.10211347198772339</c:v>
                </c:pt>
                <c:pt idx="80">
                  <c:v>0.10233587120090144</c:v>
                </c:pt>
                <c:pt idx="81">
                  <c:v>0.10257104446875814</c:v>
                </c:pt>
                <c:pt idx="82">
                  <c:v>0.1028185300784737</c:v>
                </c:pt>
                <c:pt idx="83">
                  <c:v>0.1030778883035532</c:v>
                </c:pt>
              </c:numCache>
            </c:numRef>
          </c:yVal>
          <c:smooth val="0"/>
          <c:extLst>
            <c:ext xmlns:c16="http://schemas.microsoft.com/office/drawing/2014/chart" uri="{C3380CC4-5D6E-409C-BE32-E72D297353CC}">
              <c16:uniqueId val="{00000000-E1FF-418E-836A-F2BEAD0AA3DE}"/>
            </c:ext>
          </c:extLst>
        </c:ser>
        <c:ser>
          <c:idx val="1"/>
          <c:order val="1"/>
          <c:tx>
            <c:strRef>
              <c:f>'Constraint Diagrams (2)'!$J$2</c:f>
              <c:strCache>
                <c:ptCount val="1"/>
                <c:pt idx="0">
                  <c:v>Rate of Climb</c:v>
                </c:pt>
              </c:strCache>
            </c:strRef>
          </c:tx>
          <c:spPr>
            <a:ln w="19050" cap="rnd">
              <a:solidFill>
                <a:schemeClr val="accent2"/>
              </a:solidFill>
              <a:round/>
            </a:ln>
            <a:effectLst/>
          </c:spPr>
          <c:marker>
            <c:symbol val="none"/>
          </c:marker>
          <c:xVal>
            <c:numRef>
              <c:f>'Constraint Diagrams (2)'!$H$3:$H$86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 (2)'!$J$3:$J$86</c:f>
              <c:numCache>
                <c:formatCode>0.00000</c:formatCode>
                <c:ptCount val="84"/>
                <c:pt idx="0">
                  <c:v>2.7081837639857977</c:v>
                </c:pt>
                <c:pt idx="1">
                  <c:v>1.4041163962370733</c:v>
                </c:pt>
                <c:pt idx="2">
                  <c:v>0.96958906050617111</c:v>
                </c:pt>
                <c:pt idx="3">
                  <c:v>0.75244673277972451</c:v>
                </c:pt>
                <c:pt idx="4">
                  <c:v>0.62225840825506029</c:v>
                </c:pt>
                <c:pt idx="5">
                  <c:v>0.53554708533128736</c:v>
                </c:pt>
                <c:pt idx="6">
                  <c:v>0.47367976332230916</c:v>
                </c:pt>
                <c:pt idx="7">
                  <c:v>0.42733994188507785</c:v>
                </c:pt>
                <c:pt idx="8">
                  <c:v>0.39135178749567773</c:v>
                </c:pt>
                <c:pt idx="9">
                  <c:v>0.36260980003975951</c:v>
                </c:pt>
                <c:pt idx="10">
                  <c:v>0.33913775217182812</c:v>
                </c:pt>
                <c:pt idx="11">
                  <c:v>0.31961815899488683</c:v>
                </c:pt>
                <c:pt idx="12">
                  <c:v>0.30313891558024553</c:v>
                </c:pt>
                <c:pt idx="13">
                  <c:v>0.28904851840741147</c:v>
                </c:pt>
                <c:pt idx="14">
                  <c:v>0.27686919822802319</c:v>
                </c:pt>
                <c:pt idx="15">
                  <c:v>0.26624262810580956</c:v>
                </c:pt>
                <c:pt idx="16">
                  <c:v>0.25689479332479864</c:v>
                </c:pt>
                <c:pt idx="17">
                  <c:v>0.24861257132812331</c:v>
                </c:pt>
                <c:pt idx="18">
                  <c:v>0.24122770746562527</c:v>
                </c:pt>
                <c:pt idx="19">
                  <c:v>0.23460559801717795</c:v>
                </c:pt>
                <c:pt idx="20">
                  <c:v>0.22863727806648843</c:v>
                </c:pt>
                <c:pt idx="21">
                  <c:v>0.22323359450022603</c:v>
                </c:pt>
                <c:pt idx="22">
                  <c:v>0.21832089909433505</c:v>
                </c:pt>
                <c:pt idx="23">
                  <c:v>0.21383781832876914</c:v>
                </c:pt>
                <c:pt idx="24">
                  <c:v>0.20973279844668918</c:v>
                </c:pt>
                <c:pt idx="25">
                  <c:v>0.20596221703846226</c:v>
                </c:pt>
                <c:pt idx="26">
                  <c:v>0.20248891427366023</c:v>
                </c:pt>
                <c:pt idx="27">
                  <c:v>0.19928103886905901</c:v>
                </c:pt>
                <c:pt idx="28">
                  <c:v>0.19631113282187918</c:v>
                </c:pt>
                <c:pt idx="29">
                  <c:v>0.19355539919637865</c:v>
                </c:pt>
                <c:pt idx="30">
                  <c:v>0.19099311162916902</c:v>
                </c:pt>
                <c:pt idx="31">
                  <c:v>0.18860613455228559</c:v>
                </c:pt>
                <c:pt idx="32">
                  <c:v>0.18637853064842597</c:v>
                </c:pt>
                <c:pt idx="33">
                  <c:v>0.18429623757879388</c:v>
                </c:pt>
                <c:pt idx="34">
                  <c:v>0.18234680012902707</c:v>
                </c:pt>
                <c:pt idx="35">
                  <c:v>0.18051914699746999</c:v>
                </c:pt>
                <c:pt idx="36">
                  <c:v>0.17880340377994353</c:v>
                </c:pt>
                <c:pt idx="37">
                  <c:v>0.17719073548323475</c:v>
                </c:pt>
                <c:pt idx="38">
                  <c:v>0.17567321326728072</c:v>
                </c:pt>
                <c:pt idx="39">
                  <c:v>0.17424370117602486</c:v>
                </c:pt>
                <c:pt idx="40">
                  <c:v>0.17289575944424534</c:v>
                </c:pt>
                <c:pt idx="41">
                  <c:v>0.17162356161769385</c:v>
                </c:pt>
                <c:pt idx="42">
                  <c:v>0.17042182323786612</c:v>
                </c:pt>
                <c:pt idx="43">
                  <c:v>0.16928574025157642</c:v>
                </c:pt>
                <c:pt idx="44">
                  <c:v>0.16821093563258893</c:v>
                </c:pt>
                <c:pt idx="45">
                  <c:v>0.16719341296564472</c:v>
                </c:pt>
                <c:pt idx="46">
                  <c:v>0.16622951595593261</c:v>
                </c:pt>
                <c:pt idx="47">
                  <c:v>0.16531589299987551</c:v>
                </c:pt>
                <c:pt idx="48">
                  <c:v>0.16444946609418851</c:v>
                </c:pt>
                <c:pt idx="49">
                  <c:v>0.16362740347584931</c:v>
                </c:pt>
                <c:pt idx="50">
                  <c:v>0.16284709548089638</c:v>
                </c:pt>
                <c:pt idx="51">
                  <c:v>0.16210613318874964</c:v>
                </c:pt>
                <c:pt idx="52">
                  <c:v>0.16140228948415597</c:v>
                </c:pt>
                <c:pt idx="53">
                  <c:v>0.16073350222336238</c:v>
                </c:pt>
                <c:pt idx="54">
                  <c:v>0.16009785923670711</c:v>
                </c:pt>
                <c:pt idx="55">
                  <c:v>0.15949358493807556</c:v>
                </c:pt>
                <c:pt idx="56">
                  <c:v>0.15891902834388755</c:v>
                </c:pt>
                <c:pt idx="57">
                  <c:v>0.15837265233149941</c:v>
                </c:pt>
                <c:pt idx="58">
                  <c:v>0.15785302398997222</c:v>
                </c:pt>
                <c:pt idx="59">
                  <c:v>0.1573588059357629</c:v>
                </c:pt>
                <c:pt idx="60">
                  <c:v>0.15688874848260995</c:v>
                </c:pt>
                <c:pt idx="61">
                  <c:v>0.15644168256917187</c:v>
                </c:pt>
                <c:pt idx="62">
                  <c:v>0.15601651336022421</c:v>
                </c:pt>
                <c:pt idx="63">
                  <c:v>0.15561221444774392</c:v>
                </c:pt>
                <c:pt idx="64">
                  <c:v>0.15522782258727869</c:v>
                </c:pt>
                <c:pt idx="65">
                  <c:v>0.15486243291282786</c:v>
                </c:pt>
                <c:pt idx="66">
                  <c:v>0.15451519458024154</c:v>
                </c:pt>
                <c:pt idx="67">
                  <c:v>0.15418530679502562</c:v>
                </c:pt>
                <c:pt idx="68">
                  <c:v>0.15387201518555535</c:v>
                </c:pt>
                <c:pt idx="69">
                  <c:v>0.15357460848715598</c:v>
                </c:pt>
                <c:pt idx="70">
                  <c:v>0.15329241550640185</c:v>
                </c:pt>
                <c:pt idx="71">
                  <c:v>0.15302480233839119</c:v>
                </c:pt>
                <c:pt idx="72">
                  <c:v>0.15277116981273722</c:v>
                </c:pt>
                <c:pt idx="73">
                  <c:v>0.15253095114664175</c:v>
                </c:pt>
                <c:pt idx="74">
                  <c:v>0.15230360978572235</c:v>
                </c:pt>
                <c:pt idx="75">
                  <c:v>0.15208863741530113</c:v>
                </c:pt>
                <c:pt idx="76">
                  <c:v>0.15188555212665728</c:v>
                </c:pt>
                <c:pt idx="77">
                  <c:v>0.15169389672433789</c:v>
                </c:pt>
                <c:pt idx="78">
                  <c:v>0.15151323716202678</c:v>
                </c:pt>
                <c:pt idx="79">
                  <c:v>0.15134316109572371</c:v>
                </c:pt>
                <c:pt idx="80">
                  <c:v>0.151183276544095</c:v>
                </c:pt>
                <c:pt idx="81">
                  <c:v>0.15103321064684774</c:v>
                </c:pt>
                <c:pt idx="82">
                  <c:v>0.15089260851285963</c:v>
                </c:pt>
                <c:pt idx="83">
                  <c:v>0.15076113215058576</c:v>
                </c:pt>
              </c:numCache>
            </c:numRef>
          </c:yVal>
          <c:smooth val="0"/>
          <c:extLst>
            <c:ext xmlns:c16="http://schemas.microsoft.com/office/drawing/2014/chart" uri="{C3380CC4-5D6E-409C-BE32-E72D297353CC}">
              <c16:uniqueId val="{00000001-E1FF-418E-836A-F2BEAD0AA3DE}"/>
            </c:ext>
          </c:extLst>
        </c:ser>
        <c:ser>
          <c:idx val="2"/>
          <c:order val="2"/>
          <c:tx>
            <c:strRef>
              <c:f>'Constraint Diagrams (2)'!$K$2</c:f>
              <c:strCache>
                <c:ptCount val="1"/>
                <c:pt idx="0">
                  <c:v> T-O Distance</c:v>
                </c:pt>
              </c:strCache>
            </c:strRef>
          </c:tx>
          <c:spPr>
            <a:ln w="19050" cap="rnd">
              <a:solidFill>
                <a:schemeClr val="accent3"/>
              </a:solidFill>
              <a:prstDash val="sysDash"/>
              <a:round/>
            </a:ln>
            <a:effectLst/>
          </c:spPr>
          <c:marker>
            <c:symbol val="none"/>
          </c:marker>
          <c:dPt>
            <c:idx val="36"/>
            <c:marker>
              <c:symbol val="circle"/>
              <c:size val="7"/>
              <c:spPr>
                <a:solidFill>
                  <a:schemeClr val="accent3"/>
                </a:solidFill>
                <a:ln w="9525">
                  <a:solidFill>
                    <a:schemeClr val="accent3"/>
                  </a:solidFill>
                </a:ln>
                <a:effectLst/>
              </c:spPr>
            </c:marker>
            <c:bubble3D val="0"/>
            <c:extLst>
              <c:ext xmlns:c16="http://schemas.microsoft.com/office/drawing/2014/chart" uri="{C3380CC4-5D6E-409C-BE32-E72D297353CC}">
                <c16:uniqueId val="{00000002-E1FF-418E-836A-F2BEAD0AA3DE}"/>
              </c:ext>
            </c:extLst>
          </c:dPt>
          <c:dLbls>
            <c:dLbl>
              <c:idx val="36"/>
              <c:layout>
                <c:manualLayout>
                  <c:x val="-5.7643156394366409E-2"/>
                  <c:y val="-7.321901594050309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1FF-418E-836A-F2BEAD0AA3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'Constraint Diagrams (2)'!$H$3:$H$86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 (2)'!$K$3:$K$86</c:f>
              <c:numCache>
                <c:formatCode>0.00000</c:formatCode>
                <c:ptCount val="84"/>
                <c:pt idx="0">
                  <c:v>3.9047098708411825E-2</c:v>
                </c:pt>
                <c:pt idx="1">
                  <c:v>4.3639964487915524E-2</c:v>
                </c:pt>
                <c:pt idx="2">
                  <c:v>4.823283026741923E-2</c:v>
                </c:pt>
                <c:pt idx="3">
                  <c:v>5.2825696046922929E-2</c:v>
                </c:pt>
                <c:pt idx="4">
                  <c:v>5.7418561826426628E-2</c:v>
                </c:pt>
                <c:pt idx="5">
                  <c:v>6.2011427605930328E-2</c:v>
                </c:pt>
                <c:pt idx="6">
                  <c:v>6.6604293385434027E-2</c:v>
                </c:pt>
                <c:pt idx="7">
                  <c:v>7.1197159164937726E-2</c:v>
                </c:pt>
                <c:pt idx="8">
                  <c:v>7.5790024944441425E-2</c:v>
                </c:pt>
                <c:pt idx="9">
                  <c:v>8.0382890723945125E-2</c:v>
                </c:pt>
                <c:pt idx="10">
                  <c:v>8.4975756503448824E-2</c:v>
                </c:pt>
                <c:pt idx="11">
                  <c:v>8.9568622282952537E-2</c:v>
                </c:pt>
                <c:pt idx="12">
                  <c:v>9.4161488062456222E-2</c:v>
                </c:pt>
                <c:pt idx="13">
                  <c:v>9.8754353841959908E-2</c:v>
                </c:pt>
                <c:pt idx="14">
                  <c:v>0.10334721962146362</c:v>
                </c:pt>
                <c:pt idx="15">
                  <c:v>0.10794008540096733</c:v>
                </c:pt>
                <c:pt idx="16">
                  <c:v>0.11253295118047102</c:v>
                </c:pt>
                <c:pt idx="17">
                  <c:v>0.11712581695997473</c:v>
                </c:pt>
                <c:pt idx="18">
                  <c:v>0.12171868273947842</c:v>
                </c:pt>
                <c:pt idx="19">
                  <c:v>0.12631154851898213</c:v>
                </c:pt>
                <c:pt idx="20">
                  <c:v>0.13090441429848584</c:v>
                </c:pt>
                <c:pt idx="21">
                  <c:v>0.13549728007798953</c:v>
                </c:pt>
                <c:pt idx="22">
                  <c:v>0.14009014585749321</c:v>
                </c:pt>
                <c:pt idx="23">
                  <c:v>0.14468301163699693</c:v>
                </c:pt>
                <c:pt idx="24">
                  <c:v>0.14927587741650064</c:v>
                </c:pt>
                <c:pt idx="25">
                  <c:v>0.15386874319600433</c:v>
                </c:pt>
                <c:pt idx="26">
                  <c:v>0.15846160897550804</c:v>
                </c:pt>
                <c:pt idx="27">
                  <c:v>0.1630544747550117</c:v>
                </c:pt>
                <c:pt idx="28">
                  <c:v>0.16764734053451541</c:v>
                </c:pt>
                <c:pt idx="29">
                  <c:v>0.17224020631401912</c:v>
                </c:pt>
                <c:pt idx="30">
                  <c:v>0.17683307209352281</c:v>
                </c:pt>
                <c:pt idx="31">
                  <c:v>0.18142593787302652</c:v>
                </c:pt>
                <c:pt idx="32">
                  <c:v>0.18601880365253023</c:v>
                </c:pt>
                <c:pt idx="33">
                  <c:v>0.19061166943203392</c:v>
                </c:pt>
                <c:pt idx="34">
                  <c:v>0.19520453521153763</c:v>
                </c:pt>
                <c:pt idx="35">
                  <c:v>0.19979740099104135</c:v>
                </c:pt>
                <c:pt idx="36">
                  <c:v>0.204390266770545</c:v>
                </c:pt>
                <c:pt idx="37">
                  <c:v>0.20898313255004872</c:v>
                </c:pt>
                <c:pt idx="38">
                  <c:v>0.21357599832955243</c:v>
                </c:pt>
                <c:pt idx="39">
                  <c:v>0.21816886410905612</c:v>
                </c:pt>
                <c:pt idx="40">
                  <c:v>0.22276172988855983</c:v>
                </c:pt>
                <c:pt idx="41">
                  <c:v>0.22735459566806354</c:v>
                </c:pt>
                <c:pt idx="42">
                  <c:v>0.23194746144756723</c:v>
                </c:pt>
                <c:pt idx="43">
                  <c:v>0.23654032722707091</c:v>
                </c:pt>
                <c:pt idx="44">
                  <c:v>0.24113319300657463</c:v>
                </c:pt>
                <c:pt idx="45">
                  <c:v>0.24572605878607831</c:v>
                </c:pt>
                <c:pt idx="46">
                  <c:v>0.25031892456558202</c:v>
                </c:pt>
                <c:pt idx="47">
                  <c:v>0.25491179034508576</c:v>
                </c:pt>
                <c:pt idx="48">
                  <c:v>0.25950465612458945</c:v>
                </c:pt>
                <c:pt idx="49">
                  <c:v>0.26409752190409314</c:v>
                </c:pt>
                <c:pt idx="50">
                  <c:v>0.26869038768359682</c:v>
                </c:pt>
                <c:pt idx="51">
                  <c:v>0.27328325346310056</c:v>
                </c:pt>
                <c:pt idx="52">
                  <c:v>0.27787611924260425</c:v>
                </c:pt>
                <c:pt idx="53">
                  <c:v>0.28246898502210793</c:v>
                </c:pt>
                <c:pt idx="54">
                  <c:v>0.28706185080161167</c:v>
                </c:pt>
                <c:pt idx="55">
                  <c:v>0.2916547165811153</c:v>
                </c:pt>
                <c:pt idx="56">
                  <c:v>0.29624758236061904</c:v>
                </c:pt>
                <c:pt idx="57">
                  <c:v>0.30084044814012273</c:v>
                </c:pt>
                <c:pt idx="58">
                  <c:v>0.30543331391962647</c:v>
                </c:pt>
                <c:pt idx="59">
                  <c:v>0.31002617969913016</c:v>
                </c:pt>
                <c:pt idx="60">
                  <c:v>0.3146190454786339</c:v>
                </c:pt>
                <c:pt idx="61">
                  <c:v>0.31921191125813753</c:v>
                </c:pt>
                <c:pt idx="62">
                  <c:v>0.32380477703764127</c:v>
                </c:pt>
                <c:pt idx="63">
                  <c:v>0.32839764281714495</c:v>
                </c:pt>
                <c:pt idx="64">
                  <c:v>0.33299050859664864</c:v>
                </c:pt>
                <c:pt idx="65">
                  <c:v>0.33758337437615238</c:v>
                </c:pt>
                <c:pt idx="66">
                  <c:v>0.34217624015565606</c:v>
                </c:pt>
                <c:pt idx="67">
                  <c:v>0.34676910593515975</c:v>
                </c:pt>
                <c:pt idx="68">
                  <c:v>0.35136197171466343</c:v>
                </c:pt>
                <c:pt idx="69">
                  <c:v>0.35595483749416718</c:v>
                </c:pt>
                <c:pt idx="70">
                  <c:v>0.36054770327367086</c:v>
                </c:pt>
                <c:pt idx="71">
                  <c:v>0.3651405690531746</c:v>
                </c:pt>
                <c:pt idx="72">
                  <c:v>0.36973343483267823</c:v>
                </c:pt>
                <c:pt idx="73">
                  <c:v>0.37432630061218192</c:v>
                </c:pt>
                <c:pt idx="74">
                  <c:v>0.37891916639168566</c:v>
                </c:pt>
                <c:pt idx="75">
                  <c:v>0.38351203217118934</c:v>
                </c:pt>
                <c:pt idx="76">
                  <c:v>0.38810489795069308</c:v>
                </c:pt>
                <c:pt idx="77">
                  <c:v>0.39269776373019677</c:v>
                </c:pt>
                <c:pt idx="78">
                  <c:v>0.39729062950970045</c:v>
                </c:pt>
                <c:pt idx="79">
                  <c:v>0.40188349528920414</c:v>
                </c:pt>
                <c:pt idx="80">
                  <c:v>0.40647636106870783</c:v>
                </c:pt>
                <c:pt idx="81">
                  <c:v>0.41106922684821157</c:v>
                </c:pt>
                <c:pt idx="82">
                  <c:v>0.41566209262771525</c:v>
                </c:pt>
                <c:pt idx="83">
                  <c:v>0.42025495840721899</c:v>
                </c:pt>
              </c:numCache>
            </c:numRef>
          </c:yVal>
          <c:smooth val="0"/>
          <c:extLst>
            <c:ext xmlns:c16="http://schemas.microsoft.com/office/drawing/2014/chart" uri="{C3380CC4-5D6E-409C-BE32-E72D297353CC}">
              <c16:uniqueId val="{00000003-E1FF-418E-836A-F2BEAD0AA3DE}"/>
            </c:ext>
          </c:extLst>
        </c:ser>
        <c:ser>
          <c:idx val="3"/>
          <c:order val="3"/>
          <c:tx>
            <c:strRef>
              <c:f>'Constraint Diagrams (2)'!$L$2</c:f>
              <c:strCache>
                <c:ptCount val="1"/>
                <c:pt idx="0">
                  <c:v>Cruise Airspeed</c:v>
                </c:pt>
              </c:strCache>
            </c:strRef>
          </c:tx>
          <c:spPr>
            <a:ln w="19050" cap="rnd">
              <a:solidFill>
                <a:schemeClr val="accent4"/>
              </a:solidFill>
              <a:round/>
            </a:ln>
            <a:effectLst/>
          </c:spPr>
          <c:marker>
            <c:symbol val="none"/>
          </c:marker>
          <c:xVal>
            <c:numRef>
              <c:f>'Constraint Diagrams (2)'!$H$3:$H$86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 (2)'!$L$3:$L$86</c:f>
              <c:numCache>
                <c:formatCode>0.00000</c:formatCode>
                <c:ptCount val="84"/>
                <c:pt idx="0">
                  <c:v>5.6380682414771082</c:v>
                </c:pt>
                <c:pt idx="1">
                  <c:v>2.819202548974356</c:v>
                </c:pt>
                <c:pt idx="2">
                  <c:v>1.8796555084671283</c:v>
                </c:pt>
                <c:pt idx="3">
                  <c:v>1.4099381309587817</c:v>
                </c:pt>
                <c:pt idx="4">
                  <c:v>1.1281526186499877</c:v>
                </c:pt>
                <c:pt idx="5">
                  <c:v>0.94033303894096987</c:v>
                </c:pt>
                <c:pt idx="6">
                  <c:v>0.80620827786039562</c:v>
                </c:pt>
                <c:pt idx="7">
                  <c:v>0.7056427784225987</c:v>
                </c:pt>
                <c:pt idx="8">
                  <c:v>0.62745012007998646</c:v>
                </c:pt>
                <c:pt idx="9">
                  <c:v>0.56491845050400358</c:v>
                </c:pt>
                <c:pt idx="10">
                  <c:v>0.51377659094011485</c:v>
                </c:pt>
                <c:pt idx="11">
                  <c:v>0.47117708888529664</c:v>
                </c:pt>
                <c:pt idx="12">
                  <c:v>0.43514863106822504</c:v>
                </c:pt>
                <c:pt idx="13">
                  <c:v>0.40428313658081144</c:v>
                </c:pt>
                <c:pt idx="14">
                  <c:v>0.3775480127571243</c:v>
                </c:pt>
                <c:pt idx="15">
                  <c:v>0.35416881509771492</c:v>
                </c:pt>
                <c:pt idx="16">
                  <c:v>0.3335533213382989</c:v>
                </c:pt>
                <c:pt idx="17">
                  <c:v>0.31524091416221073</c:v>
                </c:pt>
                <c:pt idx="18">
                  <c:v>0.29886794831945124</c:v>
                </c:pt>
                <c:pt idx="19">
                  <c:v>0.28414350761002127</c:v>
                </c:pt>
                <c:pt idx="20">
                  <c:v>0.27083208844344497</c:v>
                </c:pt>
                <c:pt idx="21">
                  <c:v>0.25874100606387884</c:v>
                </c:pt>
                <c:pt idx="22">
                  <c:v>0.24771108610779966</c:v>
                </c:pt>
                <c:pt idx="23">
                  <c:v>0.23760968327227164</c:v>
                </c:pt>
                <c:pt idx="24">
                  <c:v>0.22832537550282866</c:v>
                </c:pt>
                <c:pt idx="25">
                  <c:v>0.2197638825995378</c:v>
                </c:pt>
                <c:pt idx="26">
                  <c:v>0.21184489179949326</c:v>
                </c:pt>
                <c:pt idx="27">
                  <c:v>0.20449956359163293</c:v>
                </c:pt>
                <c:pt idx="28">
                  <c:v>0.19766855356986884</c:v>
                </c:pt>
                <c:pt idx="29">
                  <c:v>0.19130042991559132</c:v>
                </c:pt>
                <c:pt idx="30">
                  <c:v>0.18535039717388233</c:v>
                </c:pt>
                <c:pt idx="31">
                  <c:v>0.17977925932168856</c:v>
                </c:pt>
                <c:pt idx="32">
                  <c:v>0.17455257136905408</c:v>
                </c:pt>
                <c:pt idx="33">
                  <c:v>0.16963994067778251</c:v>
                </c:pt>
                <c:pt idx="34">
                  <c:v>0.1650144480540427</c:v>
                </c:pt>
                <c:pt idx="35">
                  <c:v>0.16065216532554036</c:v>
                </c:pt>
                <c:pt idx="36">
                  <c:v>0.15653175114941842</c:v>
                </c:pt>
                <c:pt idx="37">
                  <c:v>0.15263411063996257</c:v>
                </c:pt>
                <c:pt idx="38">
                  <c:v>0.1489421073612755</c:v>
                </c:pt>
                <c:pt idx="39">
                  <c:v>0.14544031852104952</c:v>
                </c:pt>
                <c:pt idx="40">
                  <c:v>0.14211482598964112</c:v>
                </c:pt>
                <c:pt idx="41">
                  <c:v>0.13895303717356333</c:v>
                </c:pt>
                <c:pt idx="42">
                  <c:v>0.13594353088337449</c:v>
                </c:pt>
                <c:pt idx="43">
                  <c:v>0.1330759242195822</c:v>
                </c:pt>
                <c:pt idx="44">
                  <c:v>0.13034075720709332</c:v>
                </c:pt>
                <c:pt idx="45">
                  <c:v>0.12772939247734455</c:v>
                </c:pt>
                <c:pt idx="46">
                  <c:v>0.12523392775696957</c:v>
                </c:pt>
                <c:pt idx="47">
                  <c:v>0.12284711929538249</c:v>
                </c:pt>
                <c:pt idx="48">
                  <c:v>0.12056231466857589</c:v>
                </c:pt>
                <c:pt idx="49">
                  <c:v>0.11837339364646295</c:v>
                </c:pt>
                <c:pt idx="50">
                  <c:v>0.11627471601700284</c:v>
                </c:pt>
                <c:pt idx="51">
                  <c:v>0.11426107543061946</c:v>
                </c:pt>
                <c:pt idx="52">
                  <c:v>0.11232765846978014</c:v>
                </c:pt>
                <c:pt idx="53">
                  <c:v>0.11047000826639913</c:v>
                </c:pt>
                <c:pt idx="54">
                  <c:v>0.10868399208825141</c:v>
                </c:pt>
                <c:pt idx="55">
                  <c:v>0.1069657723982709</c:v>
                </c:pt>
                <c:pt idx="56">
                  <c:v>0.10531178096023831</c:v>
                </c:pt>
                <c:pt idx="57">
                  <c:v>0.1037186956231908</c:v>
                </c:pt>
                <c:pt idx="58">
                  <c:v>0.1021834194667393</c:v>
                </c:pt>
                <c:pt idx="59">
                  <c:v>0.10070306203185399</c:v>
                </c:pt>
                <c:pt idx="60">
                  <c:v>9.9274922397802126E-2</c:v>
                </c:pt>
                <c:pt idx="61">
                  <c:v>9.7896473896801436E-2</c:v>
                </c:pt>
                <c:pt idx="62">
                  <c:v>9.6565350284420912E-2</c:v>
                </c:pt>
                <c:pt idx="63">
                  <c:v>9.52793332065065E-2</c:v>
                </c:pt>
                <c:pt idx="64">
                  <c:v>9.4036340823005896E-2</c:v>
                </c:pt>
                <c:pt idx="65">
                  <c:v>9.2834417465991206E-2</c:v>
                </c:pt>
                <c:pt idx="66">
                  <c:v>9.1671724223828743E-2</c:v>
                </c:pt>
                <c:pt idx="67">
                  <c:v>9.0546530356157368E-2</c:v>
                </c:pt>
                <c:pt idx="68">
                  <c:v>8.9457205455390501E-2</c:v>
                </c:pt>
                <c:pt idx="69">
                  <c:v>8.8402212280089404E-2</c:v>
                </c:pt>
                <c:pt idx="70">
                  <c:v>8.7380100193966775E-2</c:v>
                </c:pt>
                <c:pt idx="71">
                  <c:v>8.6389499151640181E-2</c:v>
                </c:pt>
                <c:pt idx="72">
                  <c:v>8.542911417870705E-2</c:v>
                </c:pt>
                <c:pt idx="73">
                  <c:v>8.4497720299381143E-2</c:v>
                </c:pt>
                <c:pt idx="74">
                  <c:v>8.3594157869918195E-2</c:v>
                </c:pt>
                <c:pt idx="75">
                  <c:v>8.2717328280455166E-2</c:v>
                </c:pt>
                <c:pt idx="76">
                  <c:v>8.1866189991771324E-2</c:v>
                </c:pt>
                <c:pt idx="77">
                  <c:v>8.1039754876913575E-2</c:v>
                </c:pt>
                <c:pt idx="78">
                  <c:v>8.0237084840673364E-2</c:v>
                </c:pt>
                <c:pt idx="79">
                  <c:v>7.9457288692602532E-2</c:v>
                </c:pt>
                <c:pt idx="80">
                  <c:v>7.8699519251657746E-2</c:v>
                </c:pt>
                <c:pt idx="81">
                  <c:v>7.7962970662700276E-2</c:v>
                </c:pt>
                <c:pt idx="82">
                  <c:v>7.7246875906983578E-2</c:v>
                </c:pt>
                <c:pt idx="83">
                  <c:v>7.6550504490463328E-2</c:v>
                </c:pt>
              </c:numCache>
            </c:numRef>
          </c:yVal>
          <c:smooth val="0"/>
          <c:extLst>
            <c:ext xmlns:c16="http://schemas.microsoft.com/office/drawing/2014/chart" uri="{C3380CC4-5D6E-409C-BE32-E72D297353CC}">
              <c16:uniqueId val="{00000004-E1FF-418E-836A-F2BEAD0AA3DE}"/>
            </c:ext>
          </c:extLst>
        </c:ser>
        <c:ser>
          <c:idx val="4"/>
          <c:order val="4"/>
          <c:tx>
            <c:strRef>
              <c:f>'Constraint Diagrams (2)'!$M$2</c:f>
              <c:strCache>
                <c:ptCount val="1"/>
                <c:pt idx="0">
                  <c:v>Service Ceiling</c:v>
                </c:pt>
              </c:strCache>
            </c:strRef>
          </c:tx>
          <c:spPr>
            <a:ln w="19050" cap="rnd">
              <a:solidFill>
                <a:schemeClr val="accent5"/>
              </a:solidFill>
              <a:round/>
            </a:ln>
            <a:effectLst/>
          </c:spPr>
          <c:marker>
            <c:symbol val="none"/>
          </c:marker>
          <c:xVal>
            <c:numRef>
              <c:f>'Constraint Diagrams (2)'!$H$3:$H$86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 (2)'!$M$3:$M$86</c:f>
              <c:numCache>
                <c:formatCode>0.00000</c:formatCode>
                <c:ptCount val="84"/>
                <c:pt idx="0">
                  <c:v>0.11849760112177413</c:v>
                </c:pt>
                <c:pt idx="1">
                  <c:v>0.10080935158834972</c:v>
                </c:pt>
                <c:pt idx="2">
                  <c:v>9.297316619598614E-2</c:v>
                </c:pt>
                <c:pt idx="3">
                  <c:v>8.8301870395945545E-2</c:v>
                </c:pt>
                <c:pt idx="4">
                  <c:v>8.5114022283409668E-2</c:v>
                </c:pt>
                <c:pt idx="5">
                  <c:v>8.2760850566370281E-2</c:v>
                </c:pt>
                <c:pt idx="6">
                  <c:v>8.0931966571949621E-2</c:v>
                </c:pt>
                <c:pt idx="7">
                  <c:v>7.9457745629233342E-2</c:v>
                </c:pt>
                <c:pt idx="8">
                  <c:v>7.8236626820669342E-2</c:v>
                </c:pt>
                <c:pt idx="9">
                  <c:v>7.7203596611466488E-2</c:v>
                </c:pt>
                <c:pt idx="10">
                  <c:v>7.6314850413422286E-2</c:v>
                </c:pt>
                <c:pt idx="11">
                  <c:v>7.5539652933051551E-2</c:v>
                </c:pt>
                <c:pt idx="12">
                  <c:v>7.4855717428898252E-2</c:v>
                </c:pt>
                <c:pt idx="13">
                  <c:v>7.4246436658593151E-2</c:v>
                </c:pt>
                <c:pt idx="14">
                  <c:v>7.3699147967143316E-2</c:v>
                </c:pt>
                <c:pt idx="15">
                  <c:v>7.3204005033031247E-2</c:v>
                </c:pt>
                <c:pt idx="16">
                  <c:v>7.2753220520152234E-2</c:v>
                </c:pt>
                <c:pt idx="17">
                  <c:v>7.2340543642861216E-2</c:v>
                </c:pt>
                <c:pt idx="18">
                  <c:v>7.1960891118564629E-2</c:v>
                </c:pt>
                <c:pt idx="19">
                  <c:v>7.1610080976763316E-2</c:v>
                </c:pt>
                <c:pt idx="20">
                  <c:v>7.1284636976365848E-2</c:v>
                </c:pt>
                <c:pt idx="21">
                  <c:v>7.0981642513372495E-2</c:v>
                </c:pt>
                <c:pt idx="22">
                  <c:v>7.0698629868759674E-2</c:v>
                </c:pt>
                <c:pt idx="23">
                  <c:v>7.0433495118243622E-2</c:v>
                </c:pt>
                <c:pt idx="24">
                  <c:v>7.0184431960448393E-2</c:v>
                </c:pt>
                <c:pt idx="25">
                  <c:v>6.9949879685362593E-2</c:v>
                </c:pt>
                <c:pt idx="26">
                  <c:v>6.9728481845406684E-2</c:v>
                </c:pt>
                <c:pt idx="27">
                  <c:v>6.9519053121033292E-2</c:v>
                </c:pt>
                <c:pt idx="28">
                  <c:v>6.9320552527388835E-2</c:v>
                </c:pt>
                <c:pt idx="29">
                  <c:v>6.9132061576042403E-2</c:v>
                </c:pt>
                <c:pt idx="30">
                  <c:v>6.8952766343980176E-2</c:v>
                </c:pt>
                <c:pt idx="31">
                  <c:v>6.878194264967516E-2</c:v>
                </c:pt>
                <c:pt idx="32">
                  <c:v>6.8618943719360323E-2</c:v>
                </c:pt>
                <c:pt idx="33">
                  <c:v>6.8463189863764526E-2</c:v>
                </c:pt>
                <c:pt idx="34">
                  <c:v>6.8314159789145207E-2</c:v>
                </c:pt>
                <c:pt idx="35">
                  <c:v>6.8171383245393152E-2</c:v>
                </c:pt>
                <c:pt idx="36">
                  <c:v>6.8034434774659924E-2</c:v>
                </c:pt>
                <c:pt idx="37">
                  <c:v>6.7902928370968452E-2</c:v>
                </c:pt>
                <c:pt idx="38">
                  <c:v>6.777651289796191E-2</c:v>
                </c:pt>
                <c:pt idx="39">
                  <c:v>6.7654868140791719E-2</c:v>
                </c:pt>
                <c:pt idx="40">
                  <c:v>6.7537701390972996E-2</c:v>
                </c:pt>
                <c:pt idx="41">
                  <c:v>6.7424744481214202E-2</c:v>
                </c:pt>
                <c:pt idx="42">
                  <c:v>6.7315751201791285E-2</c:v>
                </c:pt>
                <c:pt idx="43">
                  <c:v>6.7210495041769625E-2</c:v>
                </c:pt>
                <c:pt idx="44">
                  <c:v>6.7108767207881198E-2</c:v>
                </c:pt>
                <c:pt idx="45">
                  <c:v>6.7010374881602358E-2</c:v>
                </c:pt>
                <c:pt idx="46">
                  <c:v>6.6915139681308355E-2</c:v>
                </c:pt>
                <c:pt idx="47">
                  <c:v>6.682289630158425E-2</c:v>
                </c:pt>
                <c:pt idx="48">
                  <c:v>6.6733491306067982E-2</c:v>
                </c:pt>
                <c:pt idx="49">
                  <c:v>6.6646782053763509E-2</c:v>
                </c:pt>
                <c:pt idx="50">
                  <c:v>6.656263574172705E-2</c:v>
                </c:pt>
                <c:pt idx="51">
                  <c:v>6.6480928549507615E-2</c:v>
                </c:pt>
                <c:pt idx="52">
                  <c:v>6.6401544872802101E-2</c:v>
                </c:pt>
                <c:pt idx="53">
                  <c:v>6.632437663553474E-2</c:v>
                </c:pt>
                <c:pt idx="54">
                  <c:v>6.6249322671049257E-2</c:v>
                </c:pt>
                <c:pt idx="55">
                  <c:v>6.6176288164355057E-2</c:v>
                </c:pt>
                <c:pt idx="56">
                  <c:v>6.6105184148433582E-2</c:v>
                </c:pt>
                <c:pt idx="57">
                  <c:v>6.6035927048519502E-2</c:v>
                </c:pt>
                <c:pt idx="58">
                  <c:v>6.5968438269048607E-2</c:v>
                </c:pt>
                <c:pt idx="59">
                  <c:v>6.5902643818630147E-2</c:v>
                </c:pt>
                <c:pt idx="60">
                  <c:v>6.5838473968974909E-2</c:v>
                </c:pt>
                <c:pt idx="61">
                  <c:v>6.5775862944204538E-2</c:v>
                </c:pt>
                <c:pt idx="62">
                  <c:v>6.5714748637394516E-2</c:v>
                </c:pt>
                <c:pt idx="63">
                  <c:v>6.5655072351574112E-2</c:v>
                </c:pt>
                <c:pt idx="64">
                  <c:v>6.5596778562727678E-2</c:v>
                </c:pt>
                <c:pt idx="65">
                  <c:v>6.5539814702622337E-2</c:v>
                </c:pt>
                <c:pt idx="66">
                  <c:v>6.548413095953115E-2</c:v>
                </c:pt>
                <c:pt idx="67">
                  <c:v>6.5429680095134599E-2</c:v>
                </c:pt>
                <c:pt idx="68">
                  <c:v>6.5376417276071061E-2</c:v>
                </c:pt>
                <c:pt idx="69">
                  <c:v>6.5324299918770548E-2</c:v>
                </c:pt>
                <c:pt idx="70">
                  <c:v>6.5273287546351755E-2</c:v>
                </c:pt>
                <c:pt idx="71">
                  <c:v>6.5223341656489089E-2</c:v>
                </c:pt>
                <c:pt idx="72">
                  <c:v>6.5174425599269808E-2</c:v>
                </c:pt>
                <c:pt idx="73">
                  <c:v>6.512650446416049E-2</c:v>
                </c:pt>
                <c:pt idx="74">
                  <c:v>6.5079544975290796E-2</c:v>
                </c:pt>
                <c:pt idx="75">
                  <c:v>6.5033515394340796E-2</c:v>
                </c:pt>
                <c:pt idx="76">
                  <c:v>6.4988385430387818E-2</c:v>
                </c:pt>
                <c:pt idx="77">
                  <c:v>6.4944126156130974E-2</c:v>
                </c:pt>
                <c:pt idx="78">
                  <c:v>6.4900709929966952E-2</c:v>
                </c:pt>
                <c:pt idx="79">
                  <c:v>6.4858110323440146E-2</c:v>
                </c:pt>
                <c:pt idx="80">
                  <c:v>6.4816302053634423E-2</c:v>
                </c:pt>
                <c:pt idx="81">
                  <c:v>6.4775260920113736E-2</c:v>
                </c:pt>
                <c:pt idx="82">
                  <c:v>6.4734963746054017E-2</c:v>
                </c:pt>
                <c:pt idx="83">
                  <c:v>6.4695388323241412E-2</c:v>
                </c:pt>
              </c:numCache>
            </c:numRef>
          </c:yVal>
          <c:smooth val="0"/>
          <c:extLst>
            <c:ext xmlns:c16="http://schemas.microsoft.com/office/drawing/2014/chart" uri="{C3380CC4-5D6E-409C-BE32-E72D297353CC}">
              <c16:uniqueId val="{00000005-E1FF-418E-836A-F2BEAD0AA3DE}"/>
            </c:ext>
          </c:extLst>
        </c:ser>
        <c:dLbls>
          <c:showLegendKey val="0"/>
          <c:showVal val="0"/>
          <c:showCatName val="0"/>
          <c:showSerName val="0"/>
          <c:showPercent val="0"/>
          <c:showBubbleSize val="0"/>
        </c:dLbls>
        <c:axId val="1038744872"/>
        <c:axId val="1038745232"/>
      </c:scatterChart>
      <c:valAx>
        <c:axId val="10387448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Loading (W / S), lbf/ft</a:t>
                </a:r>
                <a:r>
                  <a:rPr lang="en-US" baseline="30000"/>
                  <a:t>2</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745232"/>
        <c:crosses val="autoZero"/>
        <c:crossBetween val="midCat"/>
      </c:valAx>
      <c:valAx>
        <c:axId val="103874523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Thrust to Weight Ratio</a:t>
                </a:r>
                <a:r>
                  <a:rPr lang="en-US" baseline="0"/>
                  <a:t> </a:t>
                </a:r>
                <a:r>
                  <a:rPr lang="en-US"/>
                  <a:t>(T / 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744872"/>
        <c:crosses val="autoZero"/>
        <c:crossBetween val="midCat"/>
      </c:valAx>
      <c:spPr>
        <a:noFill/>
        <a:ln>
          <a:noFill/>
        </a:ln>
        <a:effectLst/>
      </c:spPr>
    </c:plotArea>
    <c:legend>
      <c:legendPos val="r"/>
      <c:layout>
        <c:manualLayout>
          <c:xMode val="edge"/>
          <c:yMode val="edge"/>
          <c:x val="0.71148279764578437"/>
          <c:y val="0.1943040593181635"/>
          <c:w val="0.22998475012555256"/>
          <c:h val="0.28923203990412644"/>
        </c:manualLayout>
      </c:layout>
      <c:overlay val="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018077765918451"/>
          <c:y val="0.17301333807393129"/>
          <c:w val="0.83482206841595286"/>
          <c:h val="0.67452872538614217"/>
        </c:manualLayout>
      </c:layout>
      <c:scatterChart>
        <c:scatterStyle val="lineMarker"/>
        <c:varyColors val="0"/>
        <c:ser>
          <c:idx val="0"/>
          <c:order val="0"/>
          <c:tx>
            <c:strRef>
              <c:f>'Constraint Diagrams (2)'!$P$2</c:f>
              <c:strCache>
                <c:ptCount val="1"/>
                <c:pt idx="0">
                  <c:v>Constant Velocity Turn</c:v>
                </c:pt>
              </c:strCache>
            </c:strRef>
          </c:tx>
          <c:spPr>
            <a:ln w="19050" cap="rnd">
              <a:solidFill>
                <a:schemeClr val="accent1"/>
              </a:solidFill>
              <a:round/>
            </a:ln>
            <a:effectLst/>
          </c:spPr>
          <c:marker>
            <c:symbol val="none"/>
          </c:marker>
          <c:xVal>
            <c:numRef>
              <c:f>'Constraint Diagrams (2)'!$O$3:$O$86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 (2)'!$P$3:$P$86</c:f>
              <c:numCache>
                <c:formatCode>General</c:formatCode>
                <c:ptCount val="84"/>
                <c:pt idx="0">
                  <c:v>2.8190434286053518</c:v>
                </c:pt>
                <c:pt idx="1">
                  <c:v>1.4104511676579152</c:v>
                </c:pt>
                <c:pt idx="2">
                  <c:v>0.94133350438887564</c:v>
                </c:pt>
                <c:pt idx="3">
                  <c:v>0.70708449053943589</c:v>
                </c:pt>
                <c:pt idx="4">
                  <c:v>0.56678293645783573</c:v>
                </c:pt>
                <c:pt idx="5">
                  <c:v>0.47345511226015558</c:v>
                </c:pt>
                <c:pt idx="6">
                  <c:v>0.40696941942471515</c:v>
                </c:pt>
                <c:pt idx="7">
                  <c:v>0.35726005869067479</c:v>
                </c:pt>
                <c:pt idx="8">
                  <c:v>0.3187349193575677</c:v>
                </c:pt>
                <c:pt idx="9">
                  <c:v>0.2880387350051139</c:v>
                </c:pt>
                <c:pt idx="10">
                  <c:v>0.26303633609313531</c:v>
                </c:pt>
                <c:pt idx="11">
                  <c:v>0.24230427626151302</c:v>
                </c:pt>
                <c:pt idx="12">
                  <c:v>0.22485709264554948</c:v>
                </c:pt>
                <c:pt idx="13">
                  <c:v>0.20999088319903209</c:v>
                </c:pt>
                <c:pt idx="14">
                  <c:v>0.19718945308807159</c:v>
                </c:pt>
                <c:pt idx="15">
                  <c:v>0.18606565618725113</c:v>
                </c:pt>
                <c:pt idx="16">
                  <c:v>0.17632343957713414</c:v>
                </c:pt>
                <c:pt idx="17">
                  <c:v>0.16773253987593675</c:v>
                </c:pt>
                <c:pt idx="18">
                  <c:v>0.16011117020330329</c:v>
                </c:pt>
                <c:pt idx="19">
                  <c:v>0.15331390105494908</c:v>
                </c:pt>
                <c:pt idx="20">
                  <c:v>0.14722300378454858</c:v>
                </c:pt>
                <c:pt idx="21">
                  <c:v>0.14174215495419898</c:v>
                </c:pt>
                <c:pt idx="22">
                  <c:v>0.13679178302824149</c:v>
                </c:pt>
                <c:pt idx="23">
                  <c:v>0.13230557839362703</c:v>
                </c:pt>
                <c:pt idx="24">
                  <c:v>0.12822784097539452</c:v>
                </c:pt>
                <c:pt idx="25">
                  <c:v>0.1245114399408845</c:v>
                </c:pt>
                <c:pt idx="26">
                  <c:v>0.12111622680301661</c:v>
                </c:pt>
                <c:pt idx="27">
                  <c:v>0.11800778857286498</c:v>
                </c:pt>
                <c:pt idx="28">
                  <c:v>0.11515645888066584</c:v>
                </c:pt>
                <c:pt idx="29">
                  <c:v>0.11253652687262394</c:v>
                </c:pt>
                <c:pt idx="30">
                  <c:v>0.11012559922446603</c:v>
                </c:pt>
                <c:pt idx="31">
                  <c:v>0.10790408177745293</c:v>
                </c:pt>
                <c:pt idx="32">
                  <c:v>0.10585475542238967</c:v>
                </c:pt>
                <c:pt idx="33">
                  <c:v>0.10396242682763367</c:v>
                </c:pt>
                <c:pt idx="34">
                  <c:v>0.10221363904230137</c:v>
                </c:pt>
                <c:pt idx="35">
                  <c:v>0.10059643033227417</c:v>
                </c:pt>
                <c:pt idx="36">
                  <c:v>9.9100132123878706E-2</c:v>
                </c:pt>
                <c:pt idx="37">
                  <c:v>9.7715198851196644E-2</c:v>
                </c:pt>
                <c:pt idx="38">
                  <c:v>9.6433063980711595E-2</c:v>
                </c:pt>
                <c:pt idx="39">
                  <c:v>9.5246017632258748E-2</c:v>
                </c:pt>
                <c:pt idx="40">
                  <c:v>9.4147102109104083E-2</c:v>
                </c:pt>
                <c:pt idx="41">
                  <c:v>9.3130022352297726E-2</c:v>
                </c:pt>
                <c:pt idx="42">
                  <c:v>9.2189068889768813E-2</c:v>
                </c:pt>
                <c:pt idx="43">
                  <c:v>9.1319051292362119E-2</c:v>
                </c:pt>
                <c:pt idx="44">
                  <c:v>9.0515240502402824E-2</c:v>
                </c:pt>
                <c:pt idx="45">
                  <c:v>8.9773318684622586E-2</c:v>
                </c:pt>
                <c:pt idx="46">
                  <c:v>8.9089335479095103E-2</c:v>
                </c:pt>
                <c:pt idx="47">
                  <c:v>8.8459669722554576E-2</c:v>
                </c:pt>
                <c:pt idx="48">
                  <c:v>8.7880995856899763E-2</c:v>
                </c:pt>
                <c:pt idx="49">
                  <c:v>8.7350254368677535E-2</c:v>
                </c:pt>
                <c:pt idx="50">
                  <c:v>8.6864625706274193E-2</c:v>
                </c:pt>
                <c:pt idx="51">
                  <c:v>8.6421507206661738E-2</c:v>
                </c:pt>
                <c:pt idx="52">
                  <c:v>8.6018492634210478E-2</c:v>
                </c:pt>
                <c:pt idx="53">
                  <c:v>8.5653353992967002E-2</c:v>
                </c:pt>
                <c:pt idx="54">
                  <c:v>8.5324025323047295E-2</c:v>
                </c:pt>
                <c:pt idx="55">
                  <c:v>8.5028588233130406E-2</c:v>
                </c:pt>
                <c:pt idx="56">
                  <c:v>8.4765258955847772E-2</c:v>
                </c:pt>
                <c:pt idx="57">
                  <c:v>8.4532376742270043E-2</c:v>
                </c:pt>
                <c:pt idx="58">
                  <c:v>8.432839343661562E-2</c:v>
                </c:pt>
                <c:pt idx="59">
                  <c:v>8.4151864093488293E-2</c:v>
                </c:pt>
                <c:pt idx="60">
                  <c:v>8.400143851800973E-2</c:v>
                </c:pt>
                <c:pt idx="61">
                  <c:v>8.3875853624648555E-2</c:v>
                </c:pt>
                <c:pt idx="62">
                  <c:v>8.3773926523780073E-2</c:v>
                </c:pt>
                <c:pt idx="63">
                  <c:v>8.3694548256381215E-2</c:v>
                </c:pt>
                <c:pt idx="64">
                  <c:v>8.3636678107061074E-2</c:v>
                </c:pt>
                <c:pt idx="65">
                  <c:v>8.3599338434088788E-2</c:v>
                </c:pt>
                <c:pt idx="66">
                  <c:v>8.3581609962404046E-2</c:v>
                </c:pt>
                <c:pt idx="67">
                  <c:v>8.3582627491949987E-2</c:v>
                </c:pt>
                <c:pt idx="68">
                  <c:v>8.3601575979194889E-2</c:v>
                </c:pt>
                <c:pt idx="69">
                  <c:v>8.3637686954523074E-2</c:v>
                </c:pt>
                <c:pt idx="70">
                  <c:v>8.36902352423817E-2</c:v>
                </c:pt>
                <c:pt idx="71">
                  <c:v>8.3758535954748678E-2</c:v>
                </c:pt>
                <c:pt idx="72">
                  <c:v>8.3841941731712721E-2</c:v>
                </c:pt>
                <c:pt idx="73">
                  <c:v>8.3939840205790164E-2</c:v>
                </c:pt>
                <c:pt idx="74">
                  <c:v>8.405165166909645E-2</c:v>
                </c:pt>
                <c:pt idx="75">
                  <c:v>8.4176826924688336E-2</c:v>
                </c:pt>
                <c:pt idx="76">
                  <c:v>8.4314845305333924E-2</c:v>
                </c:pt>
                <c:pt idx="77">
                  <c:v>8.4465212844685028E-2</c:v>
                </c:pt>
                <c:pt idx="78">
                  <c:v>8.4627460587347714E-2</c:v>
                </c:pt>
                <c:pt idx="79">
                  <c:v>8.4801143025697814E-2</c:v>
                </c:pt>
                <c:pt idx="80">
                  <c:v>8.4985836652487642E-2</c:v>
                </c:pt>
                <c:pt idx="81">
                  <c:v>8.5181138619359706E-2</c:v>
                </c:pt>
                <c:pt idx="82">
                  <c:v>8.5386665492335048E-2</c:v>
                </c:pt>
                <c:pt idx="83">
                  <c:v>8.5602052096195702E-2</c:v>
                </c:pt>
              </c:numCache>
            </c:numRef>
          </c:yVal>
          <c:smooth val="0"/>
          <c:extLst>
            <c:ext xmlns:c16="http://schemas.microsoft.com/office/drawing/2014/chart" uri="{C3380CC4-5D6E-409C-BE32-E72D297353CC}">
              <c16:uniqueId val="{00000000-30C4-4596-B6F9-F053FF0AA7A0}"/>
            </c:ext>
          </c:extLst>
        </c:ser>
        <c:ser>
          <c:idx val="1"/>
          <c:order val="1"/>
          <c:tx>
            <c:strRef>
              <c:f>'Constraint Diagrams (2)'!$Q$2</c:f>
              <c:strCache>
                <c:ptCount val="1"/>
                <c:pt idx="0">
                  <c:v>Rate of Climb</c:v>
                </c:pt>
              </c:strCache>
            </c:strRef>
          </c:tx>
          <c:spPr>
            <a:ln w="19050" cap="rnd">
              <a:solidFill>
                <a:schemeClr val="accent2"/>
              </a:solidFill>
              <a:round/>
            </a:ln>
            <a:effectLst/>
          </c:spPr>
          <c:marker>
            <c:symbol val="none"/>
          </c:marker>
          <c:xVal>
            <c:numRef>
              <c:f>'Constraint Diagrams (2)'!$O$3:$O$86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 (2)'!$Q$3:$Q$86</c:f>
              <c:numCache>
                <c:formatCode>General</c:formatCode>
                <c:ptCount val="84"/>
                <c:pt idx="0">
                  <c:v>2.6401750422976842</c:v>
                </c:pt>
                <c:pt idx="1">
                  <c:v>1.3688558048107133</c:v>
                </c:pt>
                <c:pt idx="2">
                  <c:v>0.94524044966051879</c:v>
                </c:pt>
                <c:pt idx="3">
                  <c:v>0.73355106509451817</c:v>
                </c:pt>
                <c:pt idx="4">
                  <c:v>0.60663206876219522</c:v>
                </c:pt>
                <c:pt idx="5">
                  <c:v>0.52209826654671132</c:v>
                </c:pt>
                <c:pt idx="6">
                  <c:v>0.461784575255135</c:v>
                </c:pt>
                <c:pt idx="7">
                  <c:v>0.41660845329100121</c:v>
                </c:pt>
                <c:pt idx="8">
                  <c:v>0.38152404421182906</c:v>
                </c:pt>
                <c:pt idx="9">
                  <c:v>0.35350383415213005</c:v>
                </c:pt>
                <c:pt idx="10">
                  <c:v>0.33062122337932059</c:v>
                </c:pt>
                <c:pt idx="11">
                  <c:v>0.31159181207167835</c:v>
                </c:pt>
                <c:pt idx="12">
                  <c:v>0.29552640035262612</c:v>
                </c:pt>
                <c:pt idx="13">
                  <c:v>0.28178984545318042</c:v>
                </c:pt>
                <c:pt idx="14">
                  <c:v>0.26991637600941998</c:v>
                </c:pt>
                <c:pt idx="15">
                  <c:v>0.25955666349840378</c:v>
                </c:pt>
                <c:pt idx="16">
                  <c:v>0.25044357434376519</c:v>
                </c:pt>
                <c:pt idx="17">
                  <c:v>0.24236933798610794</c:v>
                </c:pt>
                <c:pt idx="18">
                  <c:v>0.23516992503643502</c:v>
                </c:pt>
                <c:pt idx="19">
                  <c:v>0.22871411198354871</c:v>
                </c:pt>
                <c:pt idx="20">
                  <c:v>0.22289567027076526</c:v>
                </c:pt>
                <c:pt idx="21">
                  <c:v>0.21762768562443424</c:v>
                </c:pt>
                <c:pt idx="22">
                  <c:v>0.21283835929675751</c:v>
                </c:pt>
                <c:pt idx="23">
                  <c:v>0.20846785899790335</c:v>
                </c:pt>
                <c:pt idx="24">
                  <c:v>0.20446592560441298</c:v>
                </c:pt>
                <c:pt idx="25">
                  <c:v>0.20079003216566751</c:v>
                </c:pt>
                <c:pt idx="26">
                  <c:v>0.19740395202002864</c:v>
                </c:pt>
                <c:pt idx="27">
                  <c:v>0.19427663374323492</c:v>
                </c:pt>
                <c:pt idx="28">
                  <c:v>0.1913813088660955</c:v>
                </c:pt>
                <c:pt idx="29">
                  <c:v>0.18869477804864498</c:v>
                </c:pt>
                <c:pt idx="30">
                  <c:v>0.18619683541413914</c:v>
                </c:pt>
                <c:pt idx="31">
                  <c:v>0.18386980082042712</c:v>
                </c:pt>
                <c:pt idx="32">
                  <c:v>0.18169813717289116</c:v>
                </c:pt>
                <c:pt idx="33">
                  <c:v>0.17966813527039804</c:v>
                </c:pt>
                <c:pt idx="34">
                  <c:v>0.17776765267765857</c:v>
                </c:pt>
                <c:pt idx="35">
                  <c:v>0.1759858961188597</c:v>
                </c:pt>
                <c:pt idx="36">
                  <c:v>0.17431323915881722</c:v>
                </c:pt>
                <c:pt idx="37">
                  <c:v>0.17274106867131353</c:v>
                </c:pt>
                <c:pt idx="38">
                  <c:v>0.17126165492769169</c:v>
                </c:pt>
                <c:pt idx="39">
                  <c:v>0.16986804117216064</c:v>
                </c:pt>
                <c:pt idx="40">
                  <c:v>0.16855394935681123</c:v>
                </c:pt>
                <c:pt idx="41">
                  <c:v>0.16731369934305912</c:v>
                </c:pt>
                <c:pt idx="42">
                  <c:v>0.16614213937730449</c:v>
                </c:pt>
                <c:pt idx="43">
                  <c:v>0.16503458604718388</c:v>
                </c:pt>
                <c:pt idx="44">
                  <c:v>0.16398677224365502</c:v>
                </c:pt>
                <c:pt idx="45">
                  <c:v>0.16299480191063578</c:v>
                </c:pt>
                <c:pt idx="46">
                  <c:v>0.16205511057128522</c:v>
                </c:pt>
                <c:pt idx="47">
                  <c:v>0.16116443078849896</c:v>
                </c:pt>
                <c:pt idx="48">
                  <c:v>0.16031976185473229</c:v>
                </c:pt>
                <c:pt idx="49">
                  <c:v>0.15951834311904403</c:v>
                </c:pt>
                <c:pt idx="50">
                  <c:v>0.15875763045213548</c:v>
                </c:pt>
                <c:pt idx="51">
                  <c:v>0.15803527542696158</c:v>
                </c:pt>
                <c:pt idx="52">
                  <c:v>0.15734910685625439</c:v>
                </c:pt>
                <c:pt idx="53">
                  <c:v>0.15669711438143238</c:v>
                </c:pt>
                <c:pt idx="54">
                  <c:v>0.15607743385181097</c:v>
                </c:pt>
                <c:pt idx="55">
                  <c:v>0.1554883342703258</c:v>
                </c:pt>
                <c:pt idx="56">
                  <c:v>0.15492820611339078</c:v>
                </c:pt>
                <c:pt idx="57">
                  <c:v>0.15439555085904635</c:v>
                </c:pt>
                <c:pt idx="58">
                  <c:v>0.15388897158004222</c:v>
                </c:pt>
                <c:pt idx="59">
                  <c:v>0.15340716447761132</c:v>
                </c:pt>
                <c:pt idx="60">
                  <c:v>0.15294891124798782</c:v>
                </c:pt>
                <c:pt idx="61">
                  <c:v>0.1525130721876487</c:v>
                </c:pt>
                <c:pt idx="62">
                  <c:v>0.15209857995519954</c:v>
                </c:pt>
                <c:pt idx="63">
                  <c:v>0.15170443391808294</c:v>
                </c:pt>
                <c:pt idx="64">
                  <c:v>0.1513296950211297</c:v>
                </c:pt>
                <c:pt idx="65">
                  <c:v>0.15097348112160519</c:v>
                </c:pt>
                <c:pt idx="66">
                  <c:v>0.1506349627420126</c:v>
                </c:pt>
                <c:pt idx="67">
                  <c:v>0.15031335919764893</c:v>
                </c:pt>
                <c:pt idx="68">
                  <c:v>0.1500079350608956</c:v>
                </c:pt>
                <c:pt idx="69">
                  <c:v>0.14971799692856941</c:v>
                </c:pt>
                <c:pt idx="70">
                  <c:v>0.14944289046245501</c:v>
                </c:pt>
                <c:pt idx="71">
                  <c:v>0.14918199767646023</c:v>
                </c:pt>
                <c:pt idx="72">
                  <c:v>0.14893473444674463</c:v>
                </c:pt>
                <c:pt idx="73">
                  <c:v>0.14870054822372927</c:v>
                </c:pt>
                <c:pt idx="74">
                  <c:v>0.14847891592714613</c:v>
                </c:pt>
                <c:pt idx="75">
                  <c:v>0.14826934200726768</c:v>
                </c:pt>
                <c:pt idx="76">
                  <c:v>0.14807135665720925</c:v>
                </c:pt>
                <c:pt idx="77">
                  <c:v>0.14788451416274703</c:v>
                </c:pt>
                <c:pt idx="78">
                  <c:v>0.14770839137746591</c:v>
                </c:pt>
                <c:pt idx="79">
                  <c:v>0.14754258631227174</c:v>
                </c:pt>
                <c:pt idx="80">
                  <c:v>0.14738671682938337</c:v>
                </c:pt>
                <c:pt idx="81">
                  <c:v>0.14724041943188731</c:v>
                </c:pt>
                <c:pt idx="82">
                  <c:v>0.14710334814079337</c:v>
                </c:pt>
                <c:pt idx="83">
                  <c:v>0.14697517345230154</c:v>
                </c:pt>
              </c:numCache>
            </c:numRef>
          </c:yVal>
          <c:smooth val="0"/>
          <c:extLst>
            <c:ext xmlns:c16="http://schemas.microsoft.com/office/drawing/2014/chart" uri="{C3380CC4-5D6E-409C-BE32-E72D297353CC}">
              <c16:uniqueId val="{00000001-30C4-4596-B6F9-F053FF0AA7A0}"/>
            </c:ext>
          </c:extLst>
        </c:ser>
        <c:ser>
          <c:idx val="2"/>
          <c:order val="2"/>
          <c:tx>
            <c:strRef>
              <c:f>'Constraint Diagrams (2)'!$R$2</c:f>
              <c:strCache>
                <c:ptCount val="1"/>
                <c:pt idx="0">
                  <c:v> T-O Distance</c:v>
                </c:pt>
              </c:strCache>
            </c:strRef>
          </c:tx>
          <c:spPr>
            <a:ln w="19050" cap="rnd">
              <a:solidFill>
                <a:schemeClr val="accent3"/>
              </a:solidFill>
              <a:prstDash val="sysDash"/>
              <a:round/>
            </a:ln>
            <a:effectLst/>
          </c:spPr>
          <c:marker>
            <c:symbol val="none"/>
          </c:marker>
          <c:xVal>
            <c:numRef>
              <c:f>'Constraint Diagrams (2)'!$O$3:$O$86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 (2)'!$R$3:$R$86</c:f>
              <c:numCache>
                <c:formatCode>General</c:formatCode>
                <c:ptCount val="84"/>
                <c:pt idx="0">
                  <c:v>3.2427049417227398E-2</c:v>
                </c:pt>
                <c:pt idx="1">
                  <c:v>3.6241240241258438E-2</c:v>
                </c:pt>
                <c:pt idx="2">
                  <c:v>4.0055431065289498E-2</c:v>
                </c:pt>
                <c:pt idx="3">
                  <c:v>4.3869621889320545E-2</c:v>
                </c:pt>
                <c:pt idx="4">
                  <c:v>4.7683812713351606E-2</c:v>
                </c:pt>
                <c:pt idx="5">
                  <c:v>5.1498003537382653E-2</c:v>
                </c:pt>
                <c:pt idx="6">
                  <c:v>5.53121943614137E-2</c:v>
                </c:pt>
                <c:pt idx="7">
                  <c:v>5.9126385185444746E-2</c:v>
                </c:pt>
                <c:pt idx="8">
                  <c:v>6.2940576009475807E-2</c:v>
                </c:pt>
                <c:pt idx="9">
                  <c:v>6.6754766833506854E-2</c:v>
                </c:pt>
                <c:pt idx="10">
                  <c:v>7.0568957657537901E-2</c:v>
                </c:pt>
                <c:pt idx="11">
                  <c:v>7.4383148481568961E-2</c:v>
                </c:pt>
                <c:pt idx="12">
                  <c:v>7.8197339305599994E-2</c:v>
                </c:pt>
                <c:pt idx="13">
                  <c:v>8.2011530129631041E-2</c:v>
                </c:pt>
                <c:pt idx="14">
                  <c:v>8.5825720953662102E-2</c:v>
                </c:pt>
                <c:pt idx="15">
                  <c:v>8.9639911777693176E-2</c:v>
                </c:pt>
                <c:pt idx="16">
                  <c:v>9.3454102601724209E-2</c:v>
                </c:pt>
                <c:pt idx="17">
                  <c:v>9.726829342575527E-2</c:v>
                </c:pt>
                <c:pt idx="18">
                  <c:v>0.1010824842497863</c:v>
                </c:pt>
                <c:pt idx="19">
                  <c:v>0.10489667507381738</c:v>
                </c:pt>
                <c:pt idx="20">
                  <c:v>0.10871086589784842</c:v>
                </c:pt>
                <c:pt idx="21">
                  <c:v>0.11252505672187947</c:v>
                </c:pt>
                <c:pt idx="22">
                  <c:v>0.1163392475459105</c:v>
                </c:pt>
                <c:pt idx="23">
                  <c:v>0.12015343836994156</c:v>
                </c:pt>
                <c:pt idx="24">
                  <c:v>0.12396762919397264</c:v>
                </c:pt>
                <c:pt idx="25">
                  <c:v>0.12778182001800367</c:v>
                </c:pt>
                <c:pt idx="26">
                  <c:v>0.13159601084203473</c:v>
                </c:pt>
                <c:pt idx="27">
                  <c:v>0.13541020166606577</c:v>
                </c:pt>
                <c:pt idx="28">
                  <c:v>0.13922439249009683</c:v>
                </c:pt>
                <c:pt idx="29">
                  <c:v>0.14303858331412786</c:v>
                </c:pt>
                <c:pt idx="30">
                  <c:v>0.14685277413815892</c:v>
                </c:pt>
                <c:pt idx="31">
                  <c:v>0.15066696496218998</c:v>
                </c:pt>
                <c:pt idx="32">
                  <c:v>0.15448115578622104</c:v>
                </c:pt>
                <c:pt idx="33">
                  <c:v>0.15829534661025207</c:v>
                </c:pt>
                <c:pt idx="34">
                  <c:v>0.16210953743428314</c:v>
                </c:pt>
                <c:pt idx="35">
                  <c:v>0.16592372825831422</c:v>
                </c:pt>
                <c:pt idx="36">
                  <c:v>0.16973791908234523</c:v>
                </c:pt>
                <c:pt idx="37">
                  <c:v>0.17355210990637626</c:v>
                </c:pt>
                <c:pt idx="38">
                  <c:v>0.17736630073040735</c:v>
                </c:pt>
                <c:pt idx="39">
                  <c:v>0.18118049155443838</c:v>
                </c:pt>
                <c:pt idx="40">
                  <c:v>0.18499468237846944</c:v>
                </c:pt>
                <c:pt idx="41">
                  <c:v>0.1888088732025005</c:v>
                </c:pt>
                <c:pt idx="42">
                  <c:v>0.19262306402653154</c:v>
                </c:pt>
                <c:pt idx="43">
                  <c:v>0.19643725485056257</c:v>
                </c:pt>
                <c:pt idx="44">
                  <c:v>0.20025144567459363</c:v>
                </c:pt>
                <c:pt idx="45">
                  <c:v>0.20406563649862466</c:v>
                </c:pt>
                <c:pt idx="46">
                  <c:v>0.20787982732265572</c:v>
                </c:pt>
                <c:pt idx="47">
                  <c:v>0.21169401814668681</c:v>
                </c:pt>
                <c:pt idx="48">
                  <c:v>0.21550820897071785</c:v>
                </c:pt>
                <c:pt idx="49">
                  <c:v>0.21932239979474888</c:v>
                </c:pt>
                <c:pt idx="50">
                  <c:v>0.22313659061877994</c:v>
                </c:pt>
                <c:pt idx="51">
                  <c:v>0.22695078144281106</c:v>
                </c:pt>
                <c:pt idx="52">
                  <c:v>0.23076497226684206</c:v>
                </c:pt>
                <c:pt idx="53">
                  <c:v>0.23457916309087312</c:v>
                </c:pt>
                <c:pt idx="54">
                  <c:v>0.23839335391490424</c:v>
                </c:pt>
                <c:pt idx="55">
                  <c:v>0.24220754473893519</c:v>
                </c:pt>
                <c:pt idx="56">
                  <c:v>0.24602173556296628</c:v>
                </c:pt>
                <c:pt idx="57">
                  <c:v>0.24983592638699734</c:v>
                </c:pt>
                <c:pt idx="58">
                  <c:v>0.25365011721102837</c:v>
                </c:pt>
                <c:pt idx="59">
                  <c:v>0.25746430803505943</c:v>
                </c:pt>
                <c:pt idx="60">
                  <c:v>0.26127849885909055</c:v>
                </c:pt>
                <c:pt idx="61">
                  <c:v>0.2650926896831215</c:v>
                </c:pt>
                <c:pt idx="62">
                  <c:v>0.26890688050715261</c:v>
                </c:pt>
                <c:pt idx="63">
                  <c:v>0.27272107133118367</c:v>
                </c:pt>
                <c:pt idx="64">
                  <c:v>0.27653526215521468</c:v>
                </c:pt>
                <c:pt idx="65">
                  <c:v>0.28034945297924574</c:v>
                </c:pt>
                <c:pt idx="66">
                  <c:v>0.2841636438032768</c:v>
                </c:pt>
                <c:pt idx="67">
                  <c:v>0.2879778346273078</c:v>
                </c:pt>
                <c:pt idx="68">
                  <c:v>0.29179202545133887</c:v>
                </c:pt>
                <c:pt idx="69">
                  <c:v>0.29560621627536998</c:v>
                </c:pt>
                <c:pt idx="70">
                  <c:v>0.29942040709940099</c:v>
                </c:pt>
                <c:pt idx="71">
                  <c:v>0.3032345979234321</c:v>
                </c:pt>
                <c:pt idx="72">
                  <c:v>0.30704878874746311</c:v>
                </c:pt>
                <c:pt idx="73">
                  <c:v>0.31086297957149411</c:v>
                </c:pt>
                <c:pt idx="74">
                  <c:v>0.31467717039552517</c:v>
                </c:pt>
                <c:pt idx="75">
                  <c:v>0.31849136121955623</c:v>
                </c:pt>
                <c:pt idx="76">
                  <c:v>0.3223055520435873</c:v>
                </c:pt>
                <c:pt idx="77">
                  <c:v>0.32611974286761836</c:v>
                </c:pt>
                <c:pt idx="78">
                  <c:v>0.32993393369164942</c:v>
                </c:pt>
                <c:pt idx="79">
                  <c:v>0.33374812451568048</c:v>
                </c:pt>
                <c:pt idx="80">
                  <c:v>0.33756231533971148</c:v>
                </c:pt>
                <c:pt idx="81">
                  <c:v>0.34137650616374254</c:v>
                </c:pt>
                <c:pt idx="82">
                  <c:v>0.3451906969877736</c:v>
                </c:pt>
                <c:pt idx="83">
                  <c:v>0.34900488781180466</c:v>
                </c:pt>
              </c:numCache>
            </c:numRef>
          </c:yVal>
          <c:smooth val="0"/>
          <c:extLst>
            <c:ext xmlns:c16="http://schemas.microsoft.com/office/drawing/2014/chart" uri="{C3380CC4-5D6E-409C-BE32-E72D297353CC}">
              <c16:uniqueId val="{00000002-30C4-4596-B6F9-F053FF0AA7A0}"/>
            </c:ext>
          </c:extLst>
        </c:ser>
        <c:ser>
          <c:idx val="3"/>
          <c:order val="3"/>
          <c:tx>
            <c:strRef>
              <c:f>'Constraint Diagrams (2)'!$S$2</c:f>
              <c:strCache>
                <c:ptCount val="1"/>
                <c:pt idx="0">
                  <c:v>Cruise Airspeed</c:v>
                </c:pt>
              </c:strCache>
            </c:strRef>
          </c:tx>
          <c:spPr>
            <a:ln w="19050" cap="rnd">
              <a:solidFill>
                <a:schemeClr val="accent4"/>
              </a:solidFill>
              <a:round/>
            </a:ln>
            <a:effectLst/>
          </c:spPr>
          <c:marker>
            <c:symbol val="none"/>
          </c:marker>
          <c:dPt>
            <c:idx val="46"/>
            <c:marker>
              <c:symbol val="circle"/>
              <c:size val="10"/>
              <c:spPr>
                <a:solidFill>
                  <a:schemeClr val="accent4"/>
                </a:solidFill>
                <a:ln w="9525">
                  <a:solidFill>
                    <a:schemeClr val="accent4"/>
                  </a:solidFill>
                </a:ln>
                <a:effectLst/>
              </c:spPr>
            </c:marker>
            <c:bubble3D val="0"/>
            <c:extLst>
              <c:ext xmlns:c16="http://schemas.microsoft.com/office/drawing/2014/chart" uri="{C3380CC4-5D6E-409C-BE32-E72D297353CC}">
                <c16:uniqueId val="{00000003-30C4-4596-B6F9-F053FF0AA7A0}"/>
              </c:ext>
            </c:extLst>
          </c:dPt>
          <c:dLbls>
            <c:dLbl>
              <c:idx val="46"/>
              <c:layout>
                <c:manualLayout>
                  <c:x val="-8.7109510401534376E-2"/>
                  <c:y val="-9.8387293301311129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C4-4596-B6F9-F053FF0AA7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'Constraint Diagrams (2)'!$O$3:$O$86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 (2)'!$S$3:$S$86</c:f>
              <c:numCache>
                <c:formatCode>General</c:formatCode>
                <c:ptCount val="84"/>
                <c:pt idx="0">
                  <c:v>6.1072037593240802</c:v>
                </c:pt>
                <c:pt idx="1">
                  <c:v>3.0537843225681582</c:v>
                </c:pt>
                <c:pt idx="2">
                  <c:v>2.0360589293855695</c:v>
                </c:pt>
                <c:pt idx="3">
                  <c:v>1.5272570470963147</c:v>
                </c:pt>
                <c:pt idx="4">
                  <c:v>1.2220245691643932</c:v>
                </c:pt>
                <c:pt idx="5">
                  <c:v>1.0185767934111383</c:v>
                </c:pt>
                <c:pt idx="6">
                  <c:v>0.87329170461712158</c:v>
                </c:pt>
                <c:pt idx="7">
                  <c:v>0.76435829517262888</c:v>
                </c:pt>
                <c:pt idx="8">
                  <c:v>0.67965933862781858</c:v>
                </c:pt>
                <c:pt idx="9">
                  <c:v>0.6119244991127859</c:v>
                </c:pt>
                <c:pt idx="10">
                  <c:v>0.55652719925577365</c:v>
                </c:pt>
                <c:pt idx="11">
                  <c:v>0.51038305414227647</c:v>
                </c:pt>
                <c:pt idx="12">
                  <c:v>0.47135672036994469</c:v>
                </c:pt>
                <c:pt idx="13">
                  <c:v>0.43792295265138587</c:v>
                </c:pt>
                <c:pt idx="14">
                  <c:v>0.40896323777584537</c:v>
                </c:pt>
                <c:pt idx="15">
                  <c:v>0.38363869083525742</c:v>
                </c:pt>
                <c:pt idx="16">
                  <c:v>0.36130781160580655</c:v>
                </c:pt>
                <c:pt idx="17">
                  <c:v>0.34147165546897007</c:v>
                </c:pt>
                <c:pt idx="18">
                  <c:v>0.3237363187785457</c:v>
                </c:pt>
                <c:pt idx="19">
                  <c:v>0.3077866786175717</c:v>
                </c:pt>
                <c:pt idx="20">
                  <c:v>0.29336763548184069</c:v>
                </c:pt>
                <c:pt idx="21">
                  <c:v>0.28027047159518337</c:v>
                </c:pt>
                <c:pt idx="22">
                  <c:v>0.26832276792511173</c:v>
                </c:pt>
                <c:pt idx="23">
                  <c:v>0.25738084194455263</c:v>
                </c:pt>
                <c:pt idx="24">
                  <c:v>0.24732400033076457</c:v>
                </c:pt>
                <c:pt idx="25">
                  <c:v>0.23805011796450468</c:v>
                </c:pt>
                <c:pt idx="26">
                  <c:v>0.22947219937382543</c:v>
                </c:pt>
                <c:pt idx="27">
                  <c:v>0.22151567701134314</c:v>
                </c:pt>
                <c:pt idx="28">
                  <c:v>0.2141162685086237</c:v>
                </c:pt>
                <c:pt idx="29">
                  <c:v>0.20721826247969077</c:v>
                </c:pt>
                <c:pt idx="30">
                  <c:v>0.20077313610450057</c:v>
                </c:pt>
                <c:pt idx="31">
                  <c:v>0.19473843191551463</c:v>
                </c:pt>
                <c:pt idx="32">
                  <c:v>0.18907683880489623</c:v>
                </c:pt>
                <c:pt idx="33">
                  <c:v>0.1837554352069071</c:v>
                </c:pt>
                <c:pt idx="34">
                  <c:v>0.17874506202046464</c:v>
                </c:pt>
                <c:pt idx="35">
                  <c:v>0.17401980004460668</c:v>
                </c:pt>
                <c:pt idx="36">
                  <c:v>0.16955653215415076</c:v>
                </c:pt>
                <c:pt idx="37">
                  <c:v>0.16533457460551237</c:v>
                </c:pt>
                <c:pt idx="38">
                  <c:v>0.16133536506470569</c:v>
                </c:pt>
                <c:pt idx="39">
                  <c:v>0.15754219743114325</c:v>
                </c:pt>
                <c:pt idx="40">
                  <c:v>0.15393999546770967</c:v>
                </c:pt>
                <c:pt idx="41">
                  <c:v>0.15051511876939563</c:v>
                </c:pt>
                <c:pt idx="42">
                  <c:v>0.14725519580607668</c:v>
                </c:pt>
                <c:pt idx="43">
                  <c:v>0.14414897973218485</c:v>
                </c:pt>
                <c:pt idx="44">
                  <c:v>0.14118622342175841</c:v>
                </c:pt>
                <c:pt idx="45">
                  <c:v>0.13835757080326694</c:v>
                </c:pt>
                <c:pt idx="46">
                  <c:v>0.13565446206658693</c:v>
                </c:pt>
                <c:pt idx="47">
                  <c:v>0.13306905071910521</c:v>
                </c:pt>
                <c:pt idx="48">
                  <c:v>0.13059413079821783</c:v>
                </c:pt>
                <c:pt idx="49">
                  <c:v>0.12822307281832906</c:v>
                </c:pt>
                <c:pt idx="50">
                  <c:v>0.12594976725349782</c:v>
                </c:pt>
                <c:pt idx="51">
                  <c:v>0.12376857454131698</c:v>
                </c:pt>
                <c:pt idx="52">
                  <c:v>0.12167428074673083</c:v>
                </c:pt>
                <c:pt idx="53">
                  <c:v>0.11966205815209523</c:v>
                </c:pt>
                <c:pt idx="54">
                  <c:v>0.11772743014650378</c:v>
                </c:pt>
                <c:pt idx="55">
                  <c:v>0.11586623987697195</c:v>
                </c:pt>
                <c:pt idx="56">
                  <c:v>0.11407462219949664</c:v>
                </c:pt>
                <c:pt idx="57">
                  <c:v>0.11234897853173009</c:v>
                </c:pt>
                <c:pt idx="58">
                  <c:v>0.11068595426300916</c:v>
                </c:pt>
                <c:pt idx="59">
                  <c:v>0.10908241842338151</c:v>
                </c:pt>
                <c:pt idx="60">
                  <c:v>0.10753544535239999</c:v>
                </c:pt>
                <c:pt idx="61">
                  <c:v>0.10604229814190427</c:v>
                </c:pt>
                <c:pt idx="62">
                  <c:v>0.10460041365568074</c:v>
                </c:pt>
                <c:pt idx="63">
                  <c:v>0.10320738895352918</c:v>
                </c:pt>
                <c:pt idx="64">
                  <c:v>0.10186096896849237</c:v>
                </c:pt>
                <c:pt idx="65">
                  <c:v>0.10055903530433784</c:v>
                </c:pt>
                <c:pt idx="66">
                  <c:v>9.9299596036249993E-2</c:v>
                </c:pt>
                <c:pt idx="67">
                  <c:v>9.8080776411461151E-2</c:v>
                </c:pt>
                <c:pt idx="68">
                  <c:v>9.6900810358523534E-2</c:v>
                </c:pt>
                <c:pt idx="69">
                  <c:v>9.5758032724357803E-2</c:v>
                </c:pt>
                <c:pt idx="70">
                  <c:v>9.4650872167325734E-2</c:v>
                </c:pt>
                <c:pt idx="71">
                  <c:v>9.3577844642546704E-2</c:v>
                </c:pt>
                <c:pt idx="72">
                  <c:v>9.2537547422667912E-2</c:v>
                </c:pt>
                <c:pt idx="73">
                  <c:v>9.1528653603436608E-2</c:v>
                </c:pt>
                <c:pt idx="74">
                  <c:v>9.05499070488269E-2</c:v>
                </c:pt>
                <c:pt idx="75">
                  <c:v>8.9600117735235282E-2</c:v>
                </c:pt>
                <c:pt idx="76">
                  <c:v>8.8678157458466314E-2</c:v>
                </c:pt>
                <c:pt idx="77">
                  <c:v>8.7782955870949808E-2</c:v>
                </c:pt>
                <c:pt idx="78">
                  <c:v>8.6913496819929381E-2</c:v>
                </c:pt>
                <c:pt idx="79">
                  <c:v>8.6068814960286455E-2</c:v>
                </c:pt>
                <c:pt idx="80">
                  <c:v>8.5247992618266266E-2</c:v>
                </c:pt>
                <c:pt idx="81">
                  <c:v>8.445015688468753E-2</c:v>
                </c:pt>
                <c:pt idx="82">
                  <c:v>8.367447691828124E-2</c:v>
                </c:pt>
                <c:pt idx="83">
                  <c:v>8.2920161441648405E-2</c:v>
                </c:pt>
              </c:numCache>
            </c:numRef>
          </c:yVal>
          <c:smooth val="0"/>
          <c:extLst>
            <c:ext xmlns:c16="http://schemas.microsoft.com/office/drawing/2014/chart" uri="{C3380CC4-5D6E-409C-BE32-E72D297353CC}">
              <c16:uniqueId val="{00000004-30C4-4596-B6F9-F053FF0AA7A0}"/>
            </c:ext>
          </c:extLst>
        </c:ser>
        <c:ser>
          <c:idx val="4"/>
          <c:order val="4"/>
          <c:tx>
            <c:strRef>
              <c:f>'Constraint Diagrams (2)'!$T$2</c:f>
              <c:strCache>
                <c:ptCount val="1"/>
                <c:pt idx="0">
                  <c:v>Service Ceiling</c:v>
                </c:pt>
              </c:strCache>
            </c:strRef>
          </c:tx>
          <c:spPr>
            <a:ln w="19050" cap="rnd">
              <a:solidFill>
                <a:schemeClr val="accent5"/>
              </a:solidFill>
              <a:round/>
            </a:ln>
            <a:effectLst/>
          </c:spPr>
          <c:marker>
            <c:symbol val="none"/>
          </c:marker>
          <c:xVal>
            <c:numRef>
              <c:f>'Constraint Diagrams (2)'!$O$3:$O$86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 (2)'!$T$3:$T$86</c:f>
              <c:numCache>
                <c:formatCode>General</c:formatCode>
                <c:ptCount val="84"/>
                <c:pt idx="0">
                  <c:v>0.12835761541832388</c:v>
                </c:pt>
                <c:pt idx="1">
                  <c:v>0.10919755218040705</c:v>
                </c:pt>
                <c:pt idx="2">
                  <c:v>0.10070932911582328</c:v>
                </c:pt>
                <c:pt idx="3">
                  <c:v>9.5649341536912999E-2</c:v>
                </c:pt>
                <c:pt idx="4">
                  <c:v>9.2196237185708366E-2</c:v>
                </c:pt>
                <c:pt idx="5">
                  <c:v>8.9647261447721727E-2</c:v>
                </c:pt>
                <c:pt idx="6">
                  <c:v>8.7666198656759967E-2</c:v>
                </c:pt>
                <c:pt idx="7">
                  <c:v>8.6069309917954584E-2</c:v>
                </c:pt>
                <c:pt idx="8">
                  <c:v>8.4746583576442686E-2</c:v>
                </c:pt>
                <c:pt idx="9">
                  <c:v>8.3627596415073002E-2</c:v>
                </c:pt>
                <c:pt idx="10">
                  <c:v>8.2664898929105973E-2</c:v>
                </c:pt>
                <c:pt idx="11">
                  <c:v>8.1825198385662684E-2</c:v>
                </c:pt>
                <c:pt idx="12">
                  <c:v>8.1084353595709258E-2</c:v>
                </c:pt>
                <c:pt idx="13">
                  <c:v>8.0424375452217256E-2</c:v>
                </c:pt>
                <c:pt idx="14">
                  <c:v>7.983154765895481E-2</c:v>
                </c:pt>
                <c:pt idx="15">
                  <c:v>7.9295204596207536E-2</c:v>
                </c:pt>
                <c:pt idx="16">
                  <c:v>7.8806910954877199E-2</c:v>
                </c:pt>
                <c:pt idx="17">
                  <c:v>7.8359895830470414E-2</c:v>
                </c:pt>
                <c:pt idx="18">
                  <c:v>7.7948652967788509E-2</c:v>
                </c:pt>
                <c:pt idx="19">
                  <c:v>7.7568652420605219E-2</c:v>
                </c:pt>
                <c:pt idx="20">
                  <c:v>7.721612869482708E-2</c:v>
                </c:pt>
                <c:pt idx="21">
                  <c:v>7.6887922500046696E-2</c:v>
                </c:pt>
                <c:pt idx="22">
                  <c:v>7.6581360781903515E-2</c:v>
                </c:pt>
                <c:pt idx="23">
                  <c:v>7.6294164551611907E-2</c:v>
                </c:pt>
                <c:pt idx="24">
                  <c:v>7.6024377208066457E-2</c:v>
                </c:pt>
                <c:pt idx="25">
                  <c:v>7.5770308176829143E-2</c:v>
                </c:pt>
                <c:pt idx="26">
                  <c:v>7.5530488142275809E-2</c:v>
                </c:pt>
                <c:pt idx="27">
                  <c:v>7.5303633156131033E-2</c:v>
                </c:pt>
                <c:pt idx="28">
                  <c:v>7.5088615614694543E-2</c:v>
                </c:pt>
                <c:pt idx="29">
                  <c:v>7.4884440603439309E-2</c:v>
                </c:pt>
                <c:pt idx="30">
                  <c:v>7.4690226473992649E-2</c:v>
                </c:pt>
                <c:pt idx="31">
                  <c:v>7.4505188786728335E-2</c:v>
                </c:pt>
                <c:pt idx="32">
                  <c:v>7.4328626950768056E-2</c:v>
                </c:pt>
                <c:pt idx="33">
                  <c:v>7.4159913041733375E-2</c:v>
                </c:pt>
                <c:pt idx="34">
                  <c:v>7.39984823897821E-2</c:v>
                </c:pt>
                <c:pt idx="35">
                  <c:v>7.3843825615972386E-2</c:v>
                </c:pt>
                <c:pt idx="36">
                  <c:v>7.3695481860722542E-2</c:v>
                </c:pt>
                <c:pt idx="37">
                  <c:v>7.355303299905544E-2</c:v>
                </c:pt>
                <c:pt idx="38">
                  <c:v>7.3416098677065042E-2</c:v>
                </c:pt>
                <c:pt idx="39">
                  <c:v>7.328433203528753E-2</c:v>
                </c:pt>
                <c:pt idx="40">
                  <c:v>7.3157416009387646E-2</c:v>
                </c:pt>
                <c:pt idx="41">
                  <c:v>7.3035060118260692E-2</c:v>
                </c:pt>
                <c:pt idx="42">
                  <c:v>7.2916997665426961E-2</c:v>
                </c:pt>
                <c:pt idx="43">
                  <c:v>7.2802983292304044E-2</c:v>
                </c:pt>
                <c:pt idx="44">
                  <c:v>7.2692790832237508E-2</c:v>
                </c:pt>
                <c:pt idx="45">
                  <c:v>7.2586211422552796E-2</c:v>
                </c:pt>
                <c:pt idx="46">
                  <c:v>7.2483051838747703E-2</c:v>
                </c:pt>
                <c:pt idx="47">
                  <c:v>7.2383133020582371E-2</c:v>
                </c:pt>
                <c:pt idx="48">
                  <c:v>7.2286288764476625E-2</c:v>
                </c:pt>
                <c:pt idx="49">
                  <c:v>7.2192364560483085E-2</c:v>
                </c:pt>
                <c:pt idx="50">
                  <c:v>7.2101216555316747E-2</c:v>
                </c:pt>
                <c:pt idx="51">
                  <c:v>7.2012710625605672E-2</c:v>
                </c:pt>
                <c:pt idx="52">
                  <c:v>7.192672154777964E-2</c:v>
                </c:pt>
                <c:pt idx="53">
                  <c:v>7.1843132252908642E-2</c:v>
                </c:pt>
                <c:pt idx="54">
                  <c:v>7.1761833156405011E-2</c:v>
                </c:pt>
                <c:pt idx="55">
                  <c:v>7.1682721553859671E-2</c:v>
                </c:pt>
                <c:pt idx="56">
                  <c:v>7.1605701075436928E-2</c:v>
                </c:pt>
                <c:pt idx="57">
                  <c:v>7.1530681192235893E-2</c:v>
                </c:pt>
                <c:pt idx="58">
                  <c:v>7.1457576768868908E-2</c:v>
                </c:pt>
                <c:pt idx="59">
                  <c:v>7.1386307657228462E-2</c:v>
                </c:pt>
                <c:pt idx="60">
                  <c:v>7.1316798327035066E-2</c:v>
                </c:pt>
                <c:pt idx="61">
                  <c:v>7.1248977529294502E-2</c:v>
                </c:pt>
                <c:pt idx="62">
                  <c:v>7.1182777989254709E-2</c:v>
                </c:pt>
                <c:pt idx="63">
                  <c:v>7.1118136125854811E-2</c:v>
                </c:pt>
                <c:pt idx="64">
                  <c:v>7.1054991795005976E-2</c:v>
                </c:pt>
                <c:pt idx="65">
                  <c:v>7.0993288054348555E-2</c:v>
                </c:pt>
                <c:pt idx="66">
                  <c:v>7.0932970947393731E-2</c:v>
                </c:pt>
                <c:pt idx="67">
                  <c:v>7.0873989305189636E-2</c:v>
                </c:pt>
                <c:pt idx="68">
                  <c:v>7.0816294563855367E-2</c:v>
                </c:pt>
                <c:pt idx="69">
                  <c:v>7.0759840596503532E-2</c:v>
                </c:pt>
                <c:pt idx="70">
                  <c:v>7.0704583558230019E-2</c:v>
                </c:pt>
                <c:pt idx="71">
                  <c:v>7.0650481742986257E-2</c:v>
                </c:pt>
                <c:pt idx="72">
                  <c:v>7.0597495451273209E-2</c:v>
                </c:pt>
                <c:pt idx="73">
                  <c:v>7.0545586867702403E-2</c:v>
                </c:pt>
                <c:pt idx="74">
                  <c:v>7.0494719947566328E-2</c:v>
                </c:pt>
                <c:pt idx="75">
                  <c:v>7.0444860311645305E-2</c:v>
                </c:pt>
                <c:pt idx="76">
                  <c:v>7.0395975148552697E-2</c:v>
                </c:pt>
                <c:pt idx="77">
                  <c:v>7.0348033123988712E-2</c:v>
                </c:pt>
                <c:pt idx="78">
                  <c:v>7.0301004296332098E-2</c:v>
                </c:pt>
                <c:pt idx="79">
                  <c:v>7.0254860038053674E-2</c:v>
                </c:pt>
                <c:pt idx="80">
                  <c:v>7.0209572962482286E-2</c:v>
                </c:pt>
                <c:pt idx="81">
                  <c:v>7.0165116855498602E-2</c:v>
                </c:pt>
                <c:pt idx="82">
                  <c:v>7.0121466611768449E-2</c:v>
                </c:pt>
                <c:pt idx="83">
                  <c:v>7.0078598175164611E-2</c:v>
                </c:pt>
              </c:numCache>
            </c:numRef>
          </c:yVal>
          <c:smooth val="0"/>
          <c:extLst>
            <c:ext xmlns:c16="http://schemas.microsoft.com/office/drawing/2014/chart" uri="{C3380CC4-5D6E-409C-BE32-E72D297353CC}">
              <c16:uniqueId val="{00000005-30C4-4596-B6F9-F053FF0AA7A0}"/>
            </c:ext>
          </c:extLst>
        </c:ser>
        <c:dLbls>
          <c:showLegendKey val="0"/>
          <c:showVal val="0"/>
          <c:showCatName val="0"/>
          <c:showSerName val="0"/>
          <c:showPercent val="0"/>
          <c:showBubbleSize val="0"/>
        </c:dLbls>
        <c:axId val="1229191560"/>
        <c:axId val="1229191200"/>
      </c:scatterChart>
      <c:valAx>
        <c:axId val="122919156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191200"/>
        <c:crosses val="autoZero"/>
        <c:crossBetween val="midCat"/>
      </c:valAx>
      <c:valAx>
        <c:axId val="1229191200"/>
        <c:scaling>
          <c:orientation val="minMax"/>
          <c:max val="1"/>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191560"/>
        <c:crosses val="autoZero"/>
        <c:crossBetween val="midCat"/>
      </c:valAx>
      <c:spPr>
        <a:noFill/>
        <a:ln>
          <a:noFill/>
        </a:ln>
        <a:effectLst/>
      </c:spPr>
    </c:plotArea>
    <c:legend>
      <c:legendPos val="r"/>
      <c:layout>
        <c:manualLayout>
          <c:xMode val="edge"/>
          <c:yMode val="edge"/>
          <c:x val="0.65011530567402631"/>
          <c:y val="0.17449639322745486"/>
          <c:w val="0.26906711001048705"/>
          <c:h val="0.273540750811510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51083562107184"/>
          <c:y val="0.13329516892983653"/>
          <c:w val="0.85963076293784957"/>
          <c:h val="0.70741438335813167"/>
        </c:manualLayout>
      </c:layout>
      <c:scatterChart>
        <c:scatterStyle val="lineMarker"/>
        <c:varyColors val="0"/>
        <c:ser>
          <c:idx val="0"/>
          <c:order val="0"/>
          <c:tx>
            <c:strRef>
              <c:f>'Constraint Diagrams (2)'!$W$2</c:f>
              <c:strCache>
                <c:ptCount val="1"/>
                <c:pt idx="0">
                  <c:v>Constant Velocity Turn</c:v>
                </c:pt>
              </c:strCache>
            </c:strRef>
          </c:tx>
          <c:spPr>
            <a:ln w="38100" cap="rnd">
              <a:solidFill>
                <a:schemeClr val="accent1"/>
              </a:solidFill>
              <a:round/>
            </a:ln>
            <a:effectLst/>
          </c:spPr>
          <c:marker>
            <c:symbol val="none"/>
          </c:marker>
          <c:xVal>
            <c:numRef>
              <c:f>'Constraint Diagrams (2)'!$V$3:$V$86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 (2)'!$W$3:$W$86</c:f>
              <c:numCache>
                <c:formatCode>General</c:formatCode>
                <c:ptCount val="84"/>
                <c:pt idx="0">
                  <c:v>53209.444714926016</c:v>
                </c:pt>
                <c:pt idx="1">
                  <c:v>26622.265789543151</c:v>
                </c:pt>
                <c:pt idx="2">
                  <c:v>17767.669895340026</c:v>
                </c:pt>
                <c:pt idx="3">
                  <c:v>13346.219758931853</c:v>
                </c:pt>
                <c:pt idx="4">
                  <c:v>10698.027925641649</c:v>
                </c:pt>
                <c:pt idx="5">
                  <c:v>8936.4652439104357</c:v>
                </c:pt>
                <c:pt idx="6">
                  <c:v>7681.5477916414984</c:v>
                </c:pt>
                <c:pt idx="7">
                  <c:v>6743.2836077864868</c:v>
                </c:pt>
                <c:pt idx="8">
                  <c:v>6016.1216028740901</c:v>
                </c:pt>
                <c:pt idx="9">
                  <c:v>5436.7311232215252</c:v>
                </c:pt>
                <c:pt idx="10">
                  <c:v>4964.8108437579294</c:v>
                </c:pt>
                <c:pt idx="11">
                  <c:v>4573.4932144360582</c:v>
                </c:pt>
                <c:pt idx="12">
                  <c:v>4244.1776236847463</c:v>
                </c:pt>
                <c:pt idx="13">
                  <c:v>3963.5779203817306</c:v>
                </c:pt>
                <c:pt idx="14">
                  <c:v>3721.9509270373514</c:v>
                </c:pt>
                <c:pt idx="15">
                  <c:v>3511.9892605343648</c:v>
                </c:pt>
                <c:pt idx="16">
                  <c:v>3328.1049220184068</c:v>
                </c:pt>
                <c:pt idx="17">
                  <c:v>3165.9516901583061</c:v>
                </c:pt>
                <c:pt idx="18">
                  <c:v>3022.0983375873498</c:v>
                </c:pt>
                <c:pt idx="19">
                  <c:v>2893.7998824121637</c:v>
                </c:pt>
                <c:pt idx="20">
                  <c:v>2778.8341964333545</c:v>
                </c:pt>
                <c:pt idx="21">
                  <c:v>2675.3831747605059</c:v>
                </c:pt>
                <c:pt idx="22">
                  <c:v>2581.944904658058</c:v>
                </c:pt>
                <c:pt idx="23">
                  <c:v>2497.2677921797103</c:v>
                </c:pt>
                <c:pt idx="24">
                  <c:v>2420.3004984105714</c:v>
                </c:pt>
                <c:pt idx="25">
                  <c:v>2350.1534288841949</c:v>
                </c:pt>
                <c:pt idx="26">
                  <c:v>2286.0687809069386</c:v>
                </c:pt>
                <c:pt idx="27">
                  <c:v>2227.3970093128264</c:v>
                </c:pt>
                <c:pt idx="28">
                  <c:v>2173.5781613725676</c:v>
                </c:pt>
                <c:pt idx="29">
                  <c:v>2124.1269447207769</c:v>
                </c:pt>
                <c:pt idx="30">
                  <c:v>2078.6206853617964</c:v>
                </c:pt>
                <c:pt idx="31">
                  <c:v>2036.6895435494241</c:v>
                </c:pt>
                <c:pt idx="32">
                  <c:v>1998.008508597605</c:v>
                </c:pt>
                <c:pt idx="33">
                  <c:v>1962.2908063715854</c:v>
                </c:pt>
                <c:pt idx="34">
                  <c:v>1929.2824369234384</c:v>
                </c:pt>
                <c:pt idx="35">
                  <c:v>1898.7576225216749</c:v>
                </c:pt>
                <c:pt idx="36">
                  <c:v>1870.5149938382106</c:v>
                </c:pt>
                <c:pt idx="37">
                  <c:v>1844.3743783163366</c:v>
                </c:pt>
                <c:pt idx="38">
                  <c:v>1820.1740826359314</c:v>
                </c:pt>
                <c:pt idx="39">
                  <c:v>1797.7685828088838</c:v>
                </c:pt>
                <c:pt idx="40">
                  <c:v>1777.0265523093396</c:v>
                </c:pt>
                <c:pt idx="41">
                  <c:v>1757.8291718996195</c:v>
                </c:pt>
                <c:pt idx="42">
                  <c:v>1740.0686752943864</c:v>
                </c:pt>
                <c:pt idx="43">
                  <c:v>1723.647093143335</c:v>
                </c:pt>
                <c:pt idx="44">
                  <c:v>1708.4751644828534</c:v>
                </c:pt>
                <c:pt idx="45">
                  <c:v>1694.4713901722514</c:v>
                </c:pt>
                <c:pt idx="46">
                  <c:v>1681.56120716792</c:v>
                </c:pt>
                <c:pt idx="47">
                  <c:v>1669.6762660132176</c:v>
                </c:pt>
                <c:pt idx="48">
                  <c:v>1658.7537967989831</c:v>
                </c:pt>
                <c:pt idx="49">
                  <c:v>1648.7360512087885</c:v>
                </c:pt>
                <c:pt idx="50">
                  <c:v>1639.5698102059255</c:v>
                </c:pt>
                <c:pt idx="51">
                  <c:v>1631.2059485257403</c:v>
                </c:pt>
                <c:pt idx="52">
                  <c:v>1623.5990484707227</c:v>
                </c:pt>
                <c:pt idx="53">
                  <c:v>1616.7070566172522</c:v>
                </c:pt>
                <c:pt idx="54">
                  <c:v>1610.4909779725176</c:v>
                </c:pt>
                <c:pt idx="55">
                  <c:v>1604.9146029003364</c:v>
                </c:pt>
                <c:pt idx="56">
                  <c:v>1599.9442627916267</c:v>
                </c:pt>
                <c:pt idx="57">
                  <c:v>1595.548611010347</c:v>
                </c:pt>
                <c:pt idx="58">
                  <c:v>1591.6984261161199</c:v>
                </c:pt>
                <c:pt idx="59">
                  <c:v>1588.3664347645915</c:v>
                </c:pt>
                <c:pt idx="60">
                  <c:v>1585.5271520274337</c:v>
                </c:pt>
                <c:pt idx="61">
                  <c:v>1583.1567371652416</c:v>
                </c:pt>
                <c:pt idx="62">
                  <c:v>1581.2328631363489</c:v>
                </c:pt>
                <c:pt idx="63">
                  <c:v>1579.7345983391954</c:v>
                </c:pt>
                <c:pt idx="64">
                  <c:v>1578.6422992707778</c:v>
                </c:pt>
                <c:pt idx="65">
                  <c:v>1577.9375129434259</c:v>
                </c:pt>
                <c:pt idx="66">
                  <c:v>1577.6028880403765</c:v>
                </c:pt>
                <c:pt idx="67">
                  <c:v>1577.622093910556</c:v>
                </c:pt>
                <c:pt idx="68">
                  <c:v>1577.9797466073035</c:v>
                </c:pt>
                <c:pt idx="69">
                  <c:v>1578.6613412666231</c:v>
                </c:pt>
                <c:pt idx="70">
                  <c:v>1579.6531901999547</c:v>
                </c:pt>
                <c:pt idx="71">
                  <c:v>1580.9423661458814</c:v>
                </c:pt>
                <c:pt idx="72">
                  <c:v>1582.5166501860776</c:v>
                </c:pt>
                <c:pt idx="73">
                  <c:v>1584.3644838842893</c:v>
                </c:pt>
                <c:pt idx="74">
                  <c:v>1586.4749252541956</c:v>
                </c:pt>
                <c:pt idx="75">
                  <c:v>1588.8376082034924</c:v>
                </c:pt>
                <c:pt idx="76">
                  <c:v>1591.4427051381779</c:v>
                </c:pt>
                <c:pt idx="77">
                  <c:v>1594.2808924434298</c:v>
                </c:pt>
                <c:pt idx="78">
                  <c:v>1597.3433185861882</c:v>
                </c:pt>
                <c:pt idx="79">
                  <c:v>1600.6215746100463</c:v>
                </c:pt>
                <c:pt idx="80">
                  <c:v>1604.1076668157043</c:v>
                </c:pt>
                <c:pt idx="81">
                  <c:v>1607.7939914404144</c:v>
                </c:pt>
                <c:pt idx="82">
                  <c:v>1611.6733111678241</c:v>
                </c:pt>
                <c:pt idx="83">
                  <c:v>1615.7387333156939</c:v>
                </c:pt>
              </c:numCache>
            </c:numRef>
          </c:yVal>
          <c:smooth val="0"/>
          <c:extLst>
            <c:ext xmlns:c16="http://schemas.microsoft.com/office/drawing/2014/chart" uri="{C3380CC4-5D6E-409C-BE32-E72D297353CC}">
              <c16:uniqueId val="{00000000-0EA4-4456-B281-E8BA15285279}"/>
            </c:ext>
          </c:extLst>
        </c:ser>
        <c:ser>
          <c:idx val="3"/>
          <c:order val="1"/>
          <c:tx>
            <c:strRef>
              <c:f>'Constraint Diagrams (2)'!$Z$2</c:f>
              <c:strCache>
                <c:ptCount val="1"/>
                <c:pt idx="0">
                  <c:v>Cruise Airspeed</c:v>
                </c:pt>
              </c:strCache>
            </c:strRef>
          </c:tx>
          <c:spPr>
            <a:ln w="38100" cap="rnd">
              <a:solidFill>
                <a:schemeClr val="accent4"/>
              </a:solidFill>
              <a:round/>
            </a:ln>
            <a:effectLst/>
          </c:spPr>
          <c:marker>
            <c:symbol val="none"/>
          </c:marker>
          <c:xVal>
            <c:numRef>
              <c:f>'Constraint Diagrams (2)'!$V$3:$V$86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 (2)'!$Z$3:$Z$86</c:f>
              <c:numCache>
                <c:formatCode>General</c:formatCode>
                <c:ptCount val="84"/>
                <c:pt idx="0">
                  <c:v>115273.47095724201</c:v>
                </c:pt>
                <c:pt idx="1">
                  <c:v>57640.179088473989</c:v>
                </c:pt>
                <c:pt idx="2">
                  <c:v>38430.612292152626</c:v>
                </c:pt>
                <c:pt idx="3">
                  <c:v>28826.976763942941</c:v>
                </c:pt>
                <c:pt idx="4">
                  <c:v>23065.713742977921</c:v>
                </c:pt>
                <c:pt idx="5">
                  <c:v>19225.636975635236</c:v>
                </c:pt>
                <c:pt idx="6">
                  <c:v>16483.380924648169</c:v>
                </c:pt>
                <c:pt idx="7">
                  <c:v>14427.26282138337</c:v>
                </c:pt>
                <c:pt idx="8">
                  <c:v>12828.570016600075</c:v>
                </c:pt>
                <c:pt idx="9">
                  <c:v>11550.074920753834</c:v>
                </c:pt>
                <c:pt idx="10">
                  <c:v>10504.450885952727</c:v>
                </c:pt>
                <c:pt idx="11">
                  <c:v>9633.4801469354679</c:v>
                </c:pt>
                <c:pt idx="12">
                  <c:v>8896.8580969827053</c:v>
                </c:pt>
                <c:pt idx="13">
                  <c:v>8265.7957312949075</c:v>
                </c:pt>
                <c:pt idx="14">
                  <c:v>7719.1811130190817</c:v>
                </c:pt>
                <c:pt idx="15">
                  <c:v>7241.1802895154842</c:v>
                </c:pt>
                <c:pt idx="16">
                  <c:v>6819.6849440595988</c:v>
                </c:pt>
                <c:pt idx="17">
                  <c:v>6445.2774969768097</c:v>
                </c:pt>
                <c:pt idx="18">
                  <c:v>6110.5230169450497</c:v>
                </c:pt>
                <c:pt idx="19">
                  <c:v>5809.4735589066659</c:v>
                </c:pt>
                <c:pt idx="20">
                  <c:v>5537.3141197197428</c:v>
                </c:pt>
                <c:pt idx="21">
                  <c:v>5290.1051513590864</c:v>
                </c:pt>
                <c:pt idx="22">
                  <c:v>5064.5922445864835</c:v>
                </c:pt>
                <c:pt idx="23">
                  <c:v>4858.0633917034311</c:v>
                </c:pt>
                <c:pt idx="24">
                  <c:v>4668.2405062431817</c:v>
                </c:pt>
                <c:pt idx="25">
                  <c:v>4493.1959765800257</c:v>
                </c:pt>
                <c:pt idx="26">
                  <c:v>4331.2877631809552</c:v>
                </c:pt>
                <c:pt idx="27">
                  <c:v>4181.1084035891017</c:v>
                </c:pt>
                <c:pt idx="28">
                  <c:v>4041.4445681002721</c:v>
                </c:pt>
                <c:pt idx="29">
                  <c:v>3911.2447043041634</c:v>
                </c:pt>
                <c:pt idx="30">
                  <c:v>3789.5929439724482</c:v>
                </c:pt>
                <c:pt idx="31">
                  <c:v>3675.6879024053387</c:v>
                </c:pt>
                <c:pt idx="32">
                  <c:v>3568.8253324424163</c:v>
                </c:pt>
                <c:pt idx="33">
                  <c:v>3468.3838395303715</c:v>
                </c:pt>
                <c:pt idx="34">
                  <c:v>3373.8130456362701</c:v>
                </c:pt>
                <c:pt idx="35">
                  <c:v>3284.623725841951</c:v>
                </c:pt>
                <c:pt idx="36">
                  <c:v>3200.3795444095954</c:v>
                </c:pt>
                <c:pt idx="37">
                  <c:v>3120.690095679046</c:v>
                </c:pt>
                <c:pt idx="38">
                  <c:v>3045.2050155963198</c:v>
                </c:pt>
                <c:pt idx="39">
                  <c:v>2973.608976512829</c:v>
                </c:pt>
                <c:pt idx="40">
                  <c:v>2905.61741445302</c:v>
                </c:pt>
                <c:pt idx="41">
                  <c:v>2840.9728667723425</c:v>
                </c:pt>
                <c:pt idx="42">
                  <c:v>2779.4418208396974</c:v>
                </c:pt>
                <c:pt idx="43">
                  <c:v>2720.8119924449888</c:v>
                </c:pt>
                <c:pt idx="44">
                  <c:v>2664.8899670856899</c:v>
                </c:pt>
                <c:pt idx="45">
                  <c:v>2611.4991489116633</c:v>
                </c:pt>
                <c:pt idx="46">
                  <c:v>2560.4779715068285</c:v>
                </c:pt>
                <c:pt idx="47">
                  <c:v>2511.6783323231111</c:v>
                </c:pt>
                <c:pt idx="48">
                  <c:v>2464.9642188163616</c:v>
                </c:pt>
                <c:pt idx="49">
                  <c:v>2420.210499445961</c:v>
                </c:pt>
                <c:pt idx="50">
                  <c:v>2377.3018569097712</c:v>
                </c:pt>
                <c:pt idx="51">
                  <c:v>2336.131844467358</c:v>
                </c:pt>
                <c:pt idx="52">
                  <c:v>2296.6020490945443</c:v>
                </c:pt>
                <c:pt idx="53">
                  <c:v>2258.6213476207972</c:v>
                </c:pt>
                <c:pt idx="54">
                  <c:v>2222.1052440152589</c:v>
                </c:pt>
                <c:pt idx="55">
                  <c:v>2186.9752776778455</c:v>
                </c:pt>
                <c:pt idx="56">
                  <c:v>2153.1584940154989</c:v>
                </c:pt>
                <c:pt idx="57">
                  <c:v>2120.5869697864055</c:v>
                </c:pt>
                <c:pt idx="58">
                  <c:v>2089.1973867142979</c:v>
                </c:pt>
                <c:pt idx="59">
                  <c:v>2058.9306477413261</c:v>
                </c:pt>
                <c:pt idx="60">
                  <c:v>2029.7315310265499</c:v>
                </c:pt>
                <c:pt idx="61">
                  <c:v>2001.5483774284432</c:v>
                </c:pt>
                <c:pt idx="62">
                  <c:v>1974.3328077509739</c:v>
                </c:pt>
                <c:pt idx="63">
                  <c:v>1948.0394664978633</c:v>
                </c:pt>
                <c:pt idx="64">
                  <c:v>1922.6257892802935</c:v>
                </c:pt>
                <c:pt idx="65">
                  <c:v>1898.0517913693766</c:v>
                </c:pt>
                <c:pt idx="66">
                  <c:v>1874.2798751842186</c:v>
                </c:pt>
                <c:pt idx="67">
                  <c:v>1851.2746547663291</c:v>
                </c:pt>
                <c:pt idx="68">
                  <c:v>1829.0027955171317</c:v>
                </c:pt>
                <c:pt idx="69">
                  <c:v>1807.4328676722535</c:v>
                </c:pt>
                <c:pt idx="70">
                  <c:v>1786.5352121582732</c:v>
                </c:pt>
                <c:pt idx="71">
                  <c:v>1766.2818176280691</c:v>
                </c:pt>
                <c:pt idx="72">
                  <c:v>1746.6462076028567</c:v>
                </c:pt>
                <c:pt idx="73">
                  <c:v>1727.6033367648661</c:v>
                </c:pt>
                <c:pt idx="74">
                  <c:v>1709.1294955466078</c:v>
                </c:pt>
                <c:pt idx="75">
                  <c:v>1691.2022222525659</c:v>
                </c:pt>
                <c:pt idx="76">
                  <c:v>1673.8002220285516</c:v>
                </c:pt>
                <c:pt idx="77">
                  <c:v>1656.9032920641775</c:v>
                </c:pt>
                <c:pt idx="78">
                  <c:v>1640.4922524761671</c:v>
                </c:pt>
                <c:pt idx="79">
                  <c:v>1624.5488823754069</c:v>
                </c:pt>
                <c:pt idx="80">
                  <c:v>1609.0558606697757</c:v>
                </c:pt>
                <c:pt idx="81">
                  <c:v>1593.9967111984772</c:v>
                </c:pt>
                <c:pt idx="82">
                  <c:v>1579.3557518325583</c:v>
                </c:pt>
                <c:pt idx="83">
                  <c:v>1565.1180472111137</c:v>
                </c:pt>
              </c:numCache>
            </c:numRef>
          </c:yVal>
          <c:smooth val="0"/>
          <c:extLst>
            <c:ext xmlns:c16="http://schemas.microsoft.com/office/drawing/2014/chart" uri="{C3380CC4-5D6E-409C-BE32-E72D297353CC}">
              <c16:uniqueId val="{00000001-0EA4-4456-B281-E8BA15285279}"/>
            </c:ext>
          </c:extLst>
        </c:ser>
        <c:ser>
          <c:idx val="4"/>
          <c:order val="2"/>
          <c:tx>
            <c:strRef>
              <c:f>'Constraint Diagrams (2)'!$AA$2</c:f>
              <c:strCache>
                <c:ptCount val="1"/>
                <c:pt idx="0">
                  <c:v>Service Ceiling</c:v>
                </c:pt>
              </c:strCache>
            </c:strRef>
          </c:tx>
          <c:spPr>
            <a:ln w="38100" cap="rnd">
              <a:solidFill>
                <a:schemeClr val="accent5"/>
              </a:solidFill>
              <a:round/>
            </a:ln>
            <a:effectLst/>
          </c:spPr>
          <c:marker>
            <c:symbol val="none"/>
          </c:marker>
          <c:xVal>
            <c:numRef>
              <c:f>'Constraint Diagrams (2)'!$V$3:$V$86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 (2)'!$AA$3:$AA$86</c:f>
              <c:numCache>
                <c:formatCode>General</c:formatCode>
                <c:ptCount val="84"/>
                <c:pt idx="0">
                  <c:v>2422.7499910208635</c:v>
                </c:pt>
                <c:pt idx="1">
                  <c:v>2061.1037974051833</c:v>
                </c:pt>
                <c:pt idx="2">
                  <c:v>1900.8885870611643</c:v>
                </c:pt>
                <c:pt idx="3">
                  <c:v>1805.3813215092327</c:v>
                </c:pt>
                <c:pt idx="4">
                  <c:v>1740.2039768802454</c:v>
                </c:pt>
                <c:pt idx="5">
                  <c:v>1692.0920598257476</c:v>
                </c:pt>
                <c:pt idx="6">
                  <c:v>1654.6994996463443</c:v>
                </c:pt>
                <c:pt idx="7">
                  <c:v>1624.5582247013929</c:v>
                </c:pt>
                <c:pt idx="8">
                  <c:v>1599.5917650053557</c:v>
                </c:pt>
                <c:pt idx="9">
                  <c:v>1578.4708823345029</c:v>
                </c:pt>
                <c:pt idx="10">
                  <c:v>1560.2999672868752</c:v>
                </c:pt>
                <c:pt idx="11">
                  <c:v>1544.4506195293832</c:v>
                </c:pt>
                <c:pt idx="12">
                  <c:v>1530.4671741190123</c:v>
                </c:pt>
                <c:pt idx="13">
                  <c:v>1518.0100866606008</c:v>
                </c:pt>
                <c:pt idx="14">
                  <c:v>1506.8204620627721</c:v>
                </c:pt>
                <c:pt idx="15">
                  <c:v>1496.6969867534171</c:v>
                </c:pt>
                <c:pt idx="16">
                  <c:v>1487.4804442733071</c:v>
                </c:pt>
                <c:pt idx="17">
                  <c:v>1479.043033800129</c:v>
                </c:pt>
                <c:pt idx="18">
                  <c:v>1471.2808247670082</c:v>
                </c:pt>
                <c:pt idx="19">
                  <c:v>1464.1083144389236</c:v>
                </c:pt>
                <c:pt idx="20">
                  <c:v>1457.4544291148611</c:v>
                </c:pt>
                <c:pt idx="21">
                  <c:v>1451.2595371883813</c:v>
                </c:pt>
                <c:pt idx="22">
                  <c:v>1445.4731847584289</c:v>
                </c:pt>
                <c:pt idx="23">
                  <c:v>1440.0523559116748</c:v>
                </c:pt>
                <c:pt idx="24">
                  <c:v>1434.9601198022544</c:v>
                </c:pt>
                <c:pt idx="25">
                  <c:v>1430.16456683765</c:v>
                </c:pt>
                <c:pt idx="26">
                  <c:v>1425.6379636854558</c:v>
                </c:pt>
                <c:pt idx="27">
                  <c:v>1421.3560758219733</c:v>
                </c:pt>
                <c:pt idx="28">
                  <c:v>1417.2976197273595</c:v>
                </c:pt>
                <c:pt idx="29">
                  <c:v>1413.4438163899169</c:v>
                </c:pt>
                <c:pt idx="30">
                  <c:v>1409.7780246966113</c:v>
                </c:pt>
                <c:pt idx="31">
                  <c:v>1406.2854383494973</c:v>
                </c:pt>
                <c:pt idx="32">
                  <c:v>1402.9528336957471</c:v>
                </c:pt>
                <c:pt idx="33">
                  <c:v>1399.7683586627174</c:v>
                </c:pt>
                <c:pt idx="34">
                  <c:v>1396.7213551071372</c:v>
                </c:pt>
                <c:pt idx="35">
                  <c:v>1393.8022085014788</c:v>
                </c:pt>
                <c:pt idx="36">
                  <c:v>1391.002220121138</c:v>
                </c:pt>
                <c:pt idx="37">
                  <c:v>1388.3134978571713</c:v>
                </c:pt>
                <c:pt idx="38">
                  <c:v>1385.7288625296026</c:v>
                </c:pt>
                <c:pt idx="39">
                  <c:v>1383.2417671660521</c:v>
                </c:pt>
                <c:pt idx="40">
                  <c:v>1380.8462271771918</c:v>
                </c:pt>
                <c:pt idx="41">
                  <c:v>1378.5367597321706</c:v>
                </c:pt>
                <c:pt idx="42">
                  <c:v>1376.3083309349338</c:v>
                </c:pt>
                <c:pt idx="43">
                  <c:v>1374.1563096422387</c:v>
                </c:pt>
                <c:pt idx="44">
                  <c:v>1372.0764269584829</c:v>
                </c:pt>
                <c:pt idx="45">
                  <c:v>1370.064740600684</c:v>
                </c:pt>
                <c:pt idx="46">
                  <c:v>1368.117603456363</c:v>
                </c:pt>
                <c:pt idx="47">
                  <c:v>1366.2316357634922</c:v>
                </c:pt>
                <c:pt idx="48">
                  <c:v>1364.4037004294962</c:v>
                </c:pt>
                <c:pt idx="49">
                  <c:v>1362.6308810791181</c:v>
                </c:pt>
                <c:pt idx="50">
                  <c:v>1360.9104624816036</c:v>
                </c:pt>
                <c:pt idx="51">
                  <c:v>1359.2399130583071</c:v>
                </c:pt>
                <c:pt idx="52">
                  <c:v>1357.6168692143408</c:v>
                </c:pt>
                <c:pt idx="53">
                  <c:v>1356.0391212736506</c:v>
                </c:pt>
                <c:pt idx="54">
                  <c:v>1354.5046008271445</c:v>
                </c:pt>
                <c:pt idx="55">
                  <c:v>1353.0113693291014</c:v>
                </c:pt>
                <c:pt idx="56">
                  <c:v>1351.5576077988719</c:v>
                </c:pt>
                <c:pt idx="57">
                  <c:v>1350.1416075034524</c:v>
                </c:pt>
                <c:pt idx="58">
                  <c:v>1348.7617615124007</c:v>
                </c:pt>
                <c:pt idx="59">
                  <c:v>1347.4165570301873</c:v>
                </c:pt>
                <c:pt idx="60">
                  <c:v>1346.1045684227868</c:v>
                </c:pt>
                <c:pt idx="61">
                  <c:v>1344.8244508654336</c:v>
                </c:pt>
                <c:pt idx="62">
                  <c:v>1343.5749345471827</c:v>
                </c:pt>
                <c:pt idx="63">
                  <c:v>1342.3548193755096</c:v>
                </c:pt>
                <c:pt idx="64">
                  <c:v>1341.1629701307377</c:v>
                </c:pt>
                <c:pt idx="65">
                  <c:v>1339.9983120258289</c:v>
                </c:pt>
                <c:pt idx="66">
                  <c:v>1338.8598266320566</c:v>
                </c:pt>
                <c:pt idx="67">
                  <c:v>1337.7465481354543</c:v>
                </c:pt>
                <c:pt idx="68">
                  <c:v>1336.65755989277</c:v>
                </c:pt>
                <c:pt idx="69">
                  <c:v>1335.5919912590041</c:v>
                </c:pt>
                <c:pt idx="70">
                  <c:v>1334.5490146615916</c:v>
                </c:pt>
                <c:pt idx="71">
                  <c:v>1333.5278428988656</c:v>
                </c:pt>
                <c:pt idx="72">
                  <c:v>1332.5277266427818</c:v>
                </c:pt>
                <c:pt idx="73">
                  <c:v>1331.5479521278828</c:v>
                </c:pt>
                <c:pt idx="74">
                  <c:v>1330.5878390103144</c:v>
                </c:pt>
                <c:pt idx="75">
                  <c:v>1329.6467383823051</c:v>
                </c:pt>
                <c:pt idx="76">
                  <c:v>1328.7240309289321</c:v>
                </c:pt>
                <c:pt idx="77">
                  <c:v>1327.8191252152869</c:v>
                </c:pt>
                <c:pt idx="78">
                  <c:v>1326.9314560932683</c:v>
                </c:pt>
                <c:pt idx="79">
                  <c:v>1326.060483218263</c:v>
                </c:pt>
                <c:pt idx="80">
                  <c:v>1325.2056896668532</c:v>
                </c:pt>
                <c:pt idx="81">
                  <c:v>1324.366580647536</c:v>
                </c:pt>
                <c:pt idx="82">
                  <c:v>1323.5426822971294</c:v>
                </c:pt>
                <c:pt idx="83">
                  <c:v>1322.7335405562321</c:v>
                </c:pt>
              </c:numCache>
            </c:numRef>
          </c:yVal>
          <c:smooth val="0"/>
          <c:extLst>
            <c:ext xmlns:c16="http://schemas.microsoft.com/office/drawing/2014/chart" uri="{C3380CC4-5D6E-409C-BE32-E72D297353CC}">
              <c16:uniqueId val="{00000002-0EA4-4456-B281-E8BA15285279}"/>
            </c:ext>
          </c:extLst>
        </c:ser>
        <c:dLbls>
          <c:showLegendKey val="0"/>
          <c:showVal val="0"/>
          <c:showCatName val="0"/>
          <c:showSerName val="0"/>
          <c:showPercent val="0"/>
          <c:showBubbleSize val="0"/>
        </c:dLbls>
        <c:axId val="779052504"/>
        <c:axId val="779051424"/>
      </c:scatterChart>
      <c:valAx>
        <c:axId val="779052504"/>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51424"/>
        <c:crosses val="autoZero"/>
        <c:crossBetween val="midCat"/>
      </c:valAx>
      <c:valAx>
        <c:axId val="779051424"/>
        <c:scaling>
          <c:orientation val="minMax"/>
          <c:max val="5000"/>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52504"/>
        <c:crosses val="autoZero"/>
        <c:crossBetween val="midCat"/>
      </c:valAx>
      <c:spPr>
        <a:noFill/>
        <a:ln>
          <a:noFill/>
        </a:ln>
        <a:effectLst/>
      </c:spPr>
    </c:plotArea>
    <c:legend>
      <c:legendPos val="r"/>
      <c:layout>
        <c:manualLayout>
          <c:xMode val="edge"/>
          <c:yMode val="edge"/>
          <c:x val="0.75048825190557478"/>
          <c:y val="0.14684249458237145"/>
          <c:w val="0.22066779012847518"/>
          <c:h val="0.180873401953271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Constraint Analysis</a:t>
            </a:r>
            <a:r>
              <a:rPr lang="en-US" baseline="0"/>
              <a:t> </a:t>
            </a:r>
            <a:r>
              <a:rPr lang="en-US"/>
              <a:t>Diagram:</a:t>
            </a:r>
          </a:p>
          <a:p>
            <a:pPr>
              <a:defRPr/>
            </a:pPr>
            <a:r>
              <a:rPr lang="en-US" baseline="0"/>
              <a:t>Thrust to Weight Ratio (T/W) vs Wing Loading (W/S)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864424195358837"/>
          <c:y val="0.18485506273003249"/>
          <c:w val="0.81861588864366241"/>
          <c:h val="0.66391961959003842"/>
        </c:manualLayout>
      </c:layout>
      <c:scatterChart>
        <c:scatterStyle val="lineMarker"/>
        <c:varyColors val="0"/>
        <c:ser>
          <c:idx val="0"/>
          <c:order val="0"/>
          <c:tx>
            <c:strRef>
              <c:f>'Constraint Diagrams'!$I$2</c:f>
              <c:strCache>
                <c:ptCount val="1"/>
                <c:pt idx="0">
                  <c:v>Constant Velocity Turn</c:v>
                </c:pt>
              </c:strCache>
            </c:strRef>
          </c:tx>
          <c:spPr>
            <a:ln w="19050" cap="rnd">
              <a:solidFill>
                <a:schemeClr val="accent1"/>
              </a:solidFill>
              <a:round/>
            </a:ln>
            <a:effectLst/>
          </c:spPr>
          <c:marker>
            <c:symbol val="none"/>
          </c:marker>
          <c:xVal>
            <c:numRef>
              <c:f>'Constraint Diagrams'!$H$3:$H$86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Diagrams'!$I$3:$I$86</c:f>
              <c:numCache>
                <c:formatCode>0.00000</c:formatCode>
                <c:ptCount val="84"/>
                <c:pt idx="0">
                  <c:v>5.0753096715768962</c:v>
                </c:pt>
                <c:pt idx="1">
                  <c:v>2.5387740389709497</c:v>
                </c:pt>
                <c:pt idx="2">
                  <c:v>1.6937595850723013</c:v>
                </c:pt>
                <c:pt idx="3">
                  <c:v>1.2716254258504776</c:v>
                </c:pt>
                <c:pt idx="4">
                  <c:v>1.0186433844993836</c:v>
                </c:pt>
                <c:pt idx="5">
                  <c:v>0.85023740208365473</c:v>
                </c:pt>
                <c:pt idx="6">
                  <c:v>0.73016059620242002</c:v>
                </c:pt>
                <c:pt idx="7">
                  <c:v>0.64028952565524433</c:v>
                </c:pt>
                <c:pt idx="8">
                  <c:v>0.57055561199744109</c:v>
                </c:pt>
                <c:pt idx="9">
                  <c:v>0.51491770816219862</c:v>
                </c:pt>
                <c:pt idx="10">
                  <c:v>0.46953144783427325</c:v>
                </c:pt>
                <c:pt idx="11">
                  <c:v>0.43183392013683558</c:v>
                </c:pt>
                <c:pt idx="12">
                  <c:v>0.40005080215515765</c:v>
                </c:pt>
                <c:pt idx="13">
                  <c:v>0.37291472037871959</c:v>
                </c:pt>
                <c:pt idx="14">
                  <c:v>0.3494962675664734</c:v>
                </c:pt>
                <c:pt idx="15">
                  <c:v>0.32909838828763305</c:v>
                </c:pt>
                <c:pt idx="16">
                  <c:v>0.31118804015395052</c:v>
                </c:pt>
                <c:pt idx="17">
                  <c:v>0.29535063464123285</c:v>
                </c:pt>
                <c:pt idx="18">
                  <c:v>0.28125886501985392</c:v>
                </c:pt>
                <c:pt idx="19">
                  <c:v>0.26865088590611302</c:v>
                </c:pt>
                <c:pt idx="20">
                  <c:v>0.25731472722749044</c:v>
                </c:pt>
                <c:pt idx="21">
                  <c:v>0.24707695892465165</c:v>
                </c:pt>
                <c:pt idx="22">
                  <c:v>0.23779431268771206</c:v>
                </c:pt>
                <c:pt idx="23">
                  <c:v>0.22934739825843423</c:v>
                </c:pt>
                <c:pt idx="24">
                  <c:v>0.22163592781989863</c:v>
                </c:pt>
                <c:pt idx="25">
                  <c:v>0.21457504245009662</c:v>
                </c:pt>
                <c:pt idx="26">
                  <c:v>0.20809245491916889</c:v>
                </c:pt>
                <c:pt idx="27">
                  <c:v>0.20212620474437895</c:v>
                </c:pt>
                <c:pt idx="28">
                  <c:v>0.19662287771647111</c:v>
                </c:pt>
                <c:pt idx="29">
                  <c:v>0.19153618152075721</c:v>
                </c:pt>
                <c:pt idx="30">
                  <c:v>0.18682579704444424</c:v>
                </c:pt>
                <c:pt idx="31">
                  <c:v>0.1824564450638384</c:v>
                </c:pt>
                <c:pt idx="32">
                  <c:v>0.17839712262478452</c:v>
                </c:pt>
                <c:pt idx="33">
                  <c:v>0.17462047417949852</c:v>
                </c:pt>
                <c:pt idx="34">
                  <c:v>0.17110227052851465</c:v>
                </c:pt>
                <c:pt idx="35">
                  <c:v>0.16782097460564105</c:v>
                </c:pt>
                <c:pt idx="36">
                  <c:v>0.16475737767616605</c:v>
                </c:pt>
                <c:pt idx="37">
                  <c:v>0.16189429297745295</c:v>
                </c:pt>
                <c:pt idx="38">
                  <c:v>0.15921629649175081</c:v>
                </c:pt>
                <c:pt idx="39">
                  <c:v>0.15670950660308386</c:v>
                </c:pt>
                <c:pt idx="40">
                  <c:v>0.15436139599947385</c:v>
                </c:pt>
                <c:pt idx="41">
                  <c:v>0.15216063044627393</c:v>
                </c:pt>
                <c:pt idx="42">
                  <c:v>0.15009693005624605</c:v>
                </c:pt>
                <c:pt idx="43">
                  <c:v>0.14816094947735592</c:v>
                </c:pt>
                <c:pt idx="44">
                  <c:v>0.1463441740555276</c:v>
                </c:pt>
                <c:pt idx="45">
                  <c:v>0.14463882954138749</c:v>
                </c:pt>
                <c:pt idx="46">
                  <c:v>0.14303780332380661</c:v>
                </c:pt>
                <c:pt idx="47">
                  <c:v>0.14153457550924994</c:v>
                </c:pt>
                <c:pt idx="48">
                  <c:v>0.14012315844038947</c:v>
                </c:pt>
                <c:pt idx="49">
                  <c:v>0.13879804347248351</c:v>
                </c:pt>
                <c:pt idx="50">
                  <c:v>0.13755415401135818</c:v>
                </c:pt>
                <c:pt idx="51">
                  <c:v>0.13638680397008388</c:v>
                </c:pt>
                <c:pt idx="52">
                  <c:v>0.13529166092866898</c:v>
                </c:pt>
                <c:pt idx="53">
                  <c:v>0.1342647133871214</c:v>
                </c:pt>
                <c:pt idx="54">
                  <c:v>0.13330224159090281</c:v>
                </c:pt>
                <c:pt idx="55">
                  <c:v>0.13240079148222778</c:v>
                </c:pt>
                <c:pt idx="56">
                  <c:v>0.13155715139333085</c:v>
                </c:pt>
                <c:pt idx="57">
                  <c:v>0.13076833115077521</c:v>
                </c:pt>
                <c:pt idx="58">
                  <c:v>0.13003154330474695</c:v>
                </c:pt>
                <c:pt idx="59">
                  <c:v>0.12934418623541963</c:v>
                </c:pt>
                <c:pt idx="60">
                  <c:v>0.12870382892098833</c:v>
                </c:pt>
                <c:pt idx="61">
                  <c:v>0.12810819717976452</c:v>
                </c:pt>
                <c:pt idx="62">
                  <c:v>0.12755516122254787</c:v>
                </c:pt>
                <c:pt idx="63">
                  <c:v>0.12704272437196298</c:v>
                </c:pt>
                <c:pt idx="64">
                  <c:v>0.12656901282308841</c:v>
                </c:pt>
                <c:pt idx="65">
                  <c:v>0.1261322663349374</c:v>
                </c:pt>
                <c:pt idx="66">
                  <c:v>0.12573082975553715</c:v>
                </c:pt>
                <c:pt idx="67">
                  <c:v>0.12536314529479578</c:v>
                </c:pt>
                <c:pt idx="68">
                  <c:v>0.12502774546929329</c:v>
                </c:pt>
                <c:pt idx="69">
                  <c:v>0.1247232466518052</c:v>
                </c:pt>
                <c:pt idx="70">
                  <c:v>0.12444834316593652</c:v>
                </c:pt>
                <c:pt idx="71">
                  <c:v>0.12420180187286976</c:v>
                </c:pt>
                <c:pt idx="72">
                  <c:v>0.12398245720303774</c:v>
                </c:pt>
                <c:pt idx="73">
                  <c:v>0.12378920659063364</c:v>
                </c:pt>
                <c:pt idx="74">
                  <c:v>0.12362100627336035</c:v>
                </c:pt>
                <c:pt idx="75">
                  <c:v>0.12347686742377845</c:v>
                </c:pt>
                <c:pt idx="76">
                  <c:v>0.12335585258210782</c:v>
                </c:pt>
                <c:pt idx="77">
                  <c:v>0.12325707236342877</c:v>
                </c:pt>
                <c:pt idx="78">
                  <c:v>0.12317968241496945</c:v>
                </c:pt>
                <c:pt idx="79">
                  <c:v>0.12312288060159665</c:v>
                </c:pt>
                <c:pt idx="80">
                  <c:v>0.12308590439978863</c:v>
                </c:pt>
                <c:pt idx="81">
                  <c:v>0.12306802848229302</c:v>
                </c:pt>
                <c:pt idx="82">
                  <c:v>0.12306856247738769</c:v>
                </c:pt>
                <c:pt idx="83">
                  <c:v>0.12308684888819441</c:v>
                </c:pt>
              </c:numCache>
            </c:numRef>
          </c:yVal>
          <c:smooth val="0"/>
          <c:extLst>
            <c:ext xmlns:c16="http://schemas.microsoft.com/office/drawing/2014/chart" uri="{C3380CC4-5D6E-409C-BE32-E72D297353CC}">
              <c16:uniqueId val="{00000000-3919-433C-A80B-A601FCD2FBD7}"/>
            </c:ext>
          </c:extLst>
        </c:ser>
        <c:ser>
          <c:idx val="1"/>
          <c:order val="1"/>
          <c:tx>
            <c:strRef>
              <c:f>'Constraint Diagrams'!$J$2</c:f>
              <c:strCache>
                <c:ptCount val="1"/>
                <c:pt idx="0">
                  <c:v>Rate of Climb</c:v>
                </c:pt>
              </c:strCache>
            </c:strRef>
          </c:tx>
          <c:spPr>
            <a:ln w="19050" cap="rnd">
              <a:solidFill>
                <a:schemeClr val="accent2"/>
              </a:solidFill>
              <a:round/>
            </a:ln>
            <a:effectLst/>
          </c:spPr>
          <c:marker>
            <c:symbol val="none"/>
          </c:marker>
          <c:xVal>
            <c:numRef>
              <c:f>'Constraint Diagrams'!$H$3:$H$86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Diagrams'!$J$3:$J$86</c:f>
              <c:numCache>
                <c:formatCode>0.00000</c:formatCode>
                <c:ptCount val="84"/>
                <c:pt idx="0">
                  <c:v>4.0000781679323305</c:v>
                </c:pt>
                <c:pt idx="1">
                  <c:v>2.0500635982103392</c:v>
                </c:pt>
                <c:pt idx="2">
                  <c:v>1.4002205284883487</c:v>
                </c:pt>
                <c:pt idx="3">
                  <c:v>1.0754203337663577</c:v>
                </c:pt>
                <c:pt idx="4">
                  <c:v>0.88063728904436678</c:v>
                </c:pt>
                <c:pt idx="5">
                  <c:v>0.75086281932237608</c:v>
                </c:pt>
                <c:pt idx="6">
                  <c:v>0.65823610674324229</c:v>
                </c:pt>
                <c:pt idx="7">
                  <c:v>0.58882674237839439</c:v>
                </c:pt>
                <c:pt idx="8">
                  <c:v>0.53489561015640363</c:v>
                </c:pt>
                <c:pt idx="9">
                  <c:v>0.4917992404344127</c:v>
                </c:pt>
                <c:pt idx="10">
                  <c:v>0.45658269798514928</c:v>
                </c:pt>
                <c:pt idx="11">
                  <c:v>0.42727602599043119</c:v>
                </c:pt>
                <c:pt idx="12">
                  <c:v>0.40251540819151721</c:v>
                </c:pt>
                <c:pt idx="13">
                  <c:v>0.38132669011787806</c:v>
                </c:pt>
                <c:pt idx="14">
                  <c:v>0.36299549182445873</c:v>
                </c:pt>
                <c:pt idx="15">
                  <c:v>0.34698602835246783</c:v>
                </c:pt>
                <c:pt idx="16">
                  <c:v>0.33288858179224173</c:v>
                </c:pt>
                <c:pt idx="17">
                  <c:v>0.32038448265848618</c:v>
                </c:pt>
                <c:pt idx="18">
                  <c:v>0.30922214977860069</c:v>
                </c:pt>
                <c:pt idx="19">
                  <c:v>0.2992003182145046</c:v>
                </c:pt>
                <c:pt idx="20">
                  <c:v>0.29015605920679949</c:v>
                </c:pt>
                <c:pt idx="21">
                  <c:v>0.28195606740688656</c:v>
                </c:pt>
                <c:pt idx="22">
                  <c:v>0.27449022100505388</c:v>
                </c:pt>
                <c:pt idx="23">
                  <c:v>0.26766675182654132</c:v>
                </c:pt>
                <c:pt idx="24">
                  <c:v>0.26140857460455047</c:v>
                </c:pt>
                <c:pt idx="25">
                  <c:v>0.25565046334409813</c:v>
                </c:pt>
                <c:pt idx="26">
                  <c:v>0.25033685516056886</c:v>
                </c:pt>
                <c:pt idx="27">
                  <c:v>0.24542012472429231</c:v>
                </c:pt>
                <c:pt idx="28">
                  <c:v>0.24085921571658719</c:v>
                </c:pt>
                <c:pt idx="29">
                  <c:v>0.23661854599459639</c:v>
                </c:pt>
                <c:pt idx="30">
                  <c:v>0.23266712465970232</c:v>
                </c:pt>
                <c:pt idx="31">
                  <c:v>0.22897783467561472</c:v>
                </c:pt>
                <c:pt idx="32">
                  <c:v>0.22552684591953301</c:v>
                </c:pt>
                <c:pt idx="33">
                  <c:v>0.22229313181251542</c:v>
                </c:pt>
                <c:pt idx="34">
                  <c:v>0.21925806881321372</c:v>
                </c:pt>
                <c:pt idx="35">
                  <c:v>0.21640510266265145</c:v>
                </c:pt>
                <c:pt idx="36">
                  <c:v>0.21371946875147144</c:v>
                </c:pt>
                <c:pt idx="37">
                  <c:v>0.21118795663972245</c:v>
                </c:pt>
                <c:pt idx="38">
                  <c:v>0.20879871080437132</c:v>
                </c:pt>
                <c:pt idx="39">
                  <c:v>0.20654106127468816</c:v>
                </c:pt>
                <c:pt idx="40">
                  <c:v>0.20440537905269734</c:v>
                </c:pt>
                <c:pt idx="41">
                  <c:v>0.20238295218784941</c:v>
                </c:pt>
                <c:pt idx="42">
                  <c:v>0.20046587914359945</c:v>
                </c:pt>
                <c:pt idx="43">
                  <c:v>0.19864697670490669</c:v>
                </c:pt>
                <c:pt idx="44">
                  <c:v>0.19691970016473409</c:v>
                </c:pt>
                <c:pt idx="45">
                  <c:v>0.1952780739210041</c:v>
                </c:pt>
                <c:pt idx="46">
                  <c:v>0.1937166309335184</c:v>
                </c:pt>
                <c:pt idx="47">
                  <c:v>0.1922303597487616</c:v>
                </c:pt>
                <c:pt idx="48">
                  <c:v>0.19081465801146469</c:v>
                </c:pt>
                <c:pt idx="49">
                  <c:v>0.18946529155477998</c:v>
                </c:pt>
                <c:pt idx="50">
                  <c:v>0.1881783583033774</c:v>
                </c:pt>
                <c:pt idx="51">
                  <c:v>0.18695025634156756</c:v>
                </c:pt>
                <c:pt idx="52">
                  <c:v>0.1857776555963547</c:v>
                </c:pt>
                <c:pt idx="53">
                  <c:v>0.1846574726668167</c:v>
                </c:pt>
                <c:pt idx="54">
                  <c:v>0.18358684839937134</c:v>
                </c:pt>
                <c:pt idx="55">
                  <c:v>0.1825631278656922</c:v>
                </c:pt>
                <c:pt idx="56">
                  <c:v>0.18158384244821266</c:v>
                </c:pt>
                <c:pt idx="57">
                  <c:v>0.1806466937788534</c:v>
                </c:pt>
                <c:pt idx="58">
                  <c:v>0.17974953931109991</c:v>
                </c:pt>
                <c:pt idx="59">
                  <c:v>0.17889037933487176</c:v>
                </c:pt>
                <c:pt idx="60">
                  <c:v>0.17806734526861867</c:v>
                </c:pt>
                <c:pt idx="61">
                  <c:v>0.1772786890844385</c:v>
                </c:pt>
                <c:pt idx="62">
                  <c:v>0.17652277374032788</c:v>
                </c:pt>
                <c:pt idx="63">
                  <c:v>0.17579806450940849</c:v>
                </c:pt>
                <c:pt idx="64">
                  <c:v>0.17510312110953308</c:v>
                </c:pt>
                <c:pt idx="65">
                  <c:v>0.1744365905483814</c:v>
                </c:pt>
                <c:pt idx="66">
                  <c:v>0.17379720060929421</c:v>
                </c:pt>
                <c:pt idx="67">
                  <c:v>0.1731837539118864</c:v>
                </c:pt>
                <c:pt idx="68">
                  <c:v>0.17259512248912828</c:v>
                </c:pt>
                <c:pt idx="69">
                  <c:v>0.17203024282924928</c:v>
                </c:pt>
                <c:pt idx="70">
                  <c:v>0.17148811133663472</c:v>
                </c:pt>
                <c:pt idx="71">
                  <c:v>0.17096778017098194</c:v>
                </c:pt>
                <c:pt idx="72">
                  <c:v>0.17046835342844316</c:v>
                </c:pt>
                <c:pt idx="73">
                  <c:v>0.16998898363240569</c:v>
                </c:pt>
                <c:pt idx="74">
                  <c:v>0.16952886850500945</c:v>
                </c:pt>
                <c:pt idx="75">
                  <c:v>0.16908724799354496</c:v>
                </c:pt>
                <c:pt idx="76">
                  <c:v>0.16866340152856027</c:v>
                </c:pt>
                <c:pt idx="77">
                  <c:v>0.16825664549288316</c:v>
                </c:pt>
                <c:pt idx="78">
                  <c:v>0.16786633088286895</c:v>
                </c:pt>
                <c:pt idx="79">
                  <c:v>0.16749184114505536</c:v>
                </c:pt>
                <c:pt idx="80">
                  <c:v>0.16713259017306456</c:v>
                </c:pt>
                <c:pt idx="81">
                  <c:v>0.16678802045107374</c:v>
                </c:pt>
                <c:pt idx="82">
                  <c:v>0.16645760133149254</c:v>
                </c:pt>
                <c:pt idx="83">
                  <c:v>0.16614082743566352</c:v>
                </c:pt>
              </c:numCache>
            </c:numRef>
          </c:yVal>
          <c:smooth val="0"/>
          <c:extLst>
            <c:ext xmlns:c16="http://schemas.microsoft.com/office/drawing/2014/chart" uri="{C3380CC4-5D6E-409C-BE32-E72D297353CC}">
              <c16:uniqueId val="{00000001-3919-433C-A80B-A601FCD2FBD7}"/>
            </c:ext>
          </c:extLst>
        </c:ser>
        <c:ser>
          <c:idx val="2"/>
          <c:order val="2"/>
          <c:tx>
            <c:strRef>
              <c:f>'Constraint Diagrams'!$K$2</c:f>
              <c:strCache>
                <c:ptCount val="1"/>
                <c:pt idx="0">
                  <c:v> T-O Distance</c:v>
                </c:pt>
              </c:strCache>
            </c:strRef>
          </c:tx>
          <c:spPr>
            <a:ln w="19050" cap="rnd">
              <a:solidFill>
                <a:schemeClr val="accent3"/>
              </a:solidFill>
              <a:prstDash val="sysDash"/>
              <a:round/>
            </a:ln>
            <a:effectLst/>
          </c:spPr>
          <c:marker>
            <c:symbol val="none"/>
          </c:marker>
          <c:dPt>
            <c:idx val="36"/>
            <c:marker>
              <c:symbol val="circle"/>
              <c:size val="7"/>
              <c:spPr>
                <a:solidFill>
                  <a:schemeClr val="accent3"/>
                </a:solidFill>
                <a:ln w="9525">
                  <a:solidFill>
                    <a:schemeClr val="accent3"/>
                  </a:solidFill>
                </a:ln>
                <a:effectLst/>
              </c:spPr>
            </c:marker>
            <c:bubble3D val="0"/>
            <c:extLst>
              <c:ext xmlns:c16="http://schemas.microsoft.com/office/drawing/2014/chart" uri="{C3380CC4-5D6E-409C-BE32-E72D297353CC}">
                <c16:uniqueId val="{00000002-3919-433C-A80B-A601FCD2FBD7}"/>
              </c:ext>
            </c:extLst>
          </c:dPt>
          <c:dLbls>
            <c:dLbl>
              <c:idx val="36"/>
              <c:layout>
                <c:manualLayout>
                  <c:x val="-5.7643156394366409E-2"/>
                  <c:y val="-7.321901594050309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19-433C-A80B-A601FCD2FB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'Constraint Diagrams'!$H$3:$H$86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Diagrams'!$K$3:$K$86</c:f>
              <c:numCache>
                <c:formatCode>0.00000</c:formatCode>
                <c:ptCount val="84"/>
                <c:pt idx="0">
                  <c:v>4.5316313571219617E-2</c:v>
                </c:pt>
                <c:pt idx="1">
                  <c:v>5.0254502142439234E-2</c:v>
                </c:pt>
                <c:pt idx="2">
                  <c:v>5.519269071365885E-2</c:v>
                </c:pt>
                <c:pt idx="3">
                  <c:v>6.0130879284878466E-2</c:v>
                </c:pt>
                <c:pt idx="4">
                  <c:v>6.506906785609809E-2</c:v>
                </c:pt>
                <c:pt idx="5">
                  <c:v>7.0007256427317699E-2</c:v>
                </c:pt>
                <c:pt idx="6">
                  <c:v>7.4945444998537322E-2</c:v>
                </c:pt>
                <c:pt idx="7">
                  <c:v>7.9883633569756946E-2</c:v>
                </c:pt>
                <c:pt idx="8">
                  <c:v>8.4821822140976555E-2</c:v>
                </c:pt>
                <c:pt idx="9">
                  <c:v>8.9760010712196164E-2</c:v>
                </c:pt>
                <c:pt idx="10">
                  <c:v>9.4698199283415788E-2</c:v>
                </c:pt>
                <c:pt idx="11">
                  <c:v>9.9636387854635411E-2</c:v>
                </c:pt>
                <c:pt idx="12">
                  <c:v>0.10457457642585502</c:v>
                </c:pt>
                <c:pt idx="13">
                  <c:v>0.10951276499707463</c:v>
                </c:pt>
                <c:pt idx="14">
                  <c:v>0.11445095356829424</c:v>
                </c:pt>
                <c:pt idx="15">
                  <c:v>0.11938914213951388</c:v>
                </c:pt>
                <c:pt idx="16">
                  <c:v>0.12432733071073349</c:v>
                </c:pt>
                <c:pt idx="17">
                  <c:v>0.12926551928195312</c:v>
                </c:pt>
                <c:pt idx="18">
                  <c:v>0.1342037078531727</c:v>
                </c:pt>
                <c:pt idx="19">
                  <c:v>0.13914189642439234</c:v>
                </c:pt>
                <c:pt idx="20">
                  <c:v>0.14408008499561195</c:v>
                </c:pt>
                <c:pt idx="21">
                  <c:v>0.14901827356683156</c:v>
                </c:pt>
                <c:pt idx="22">
                  <c:v>0.15395646213805117</c:v>
                </c:pt>
                <c:pt idx="23">
                  <c:v>0.15889465070927081</c:v>
                </c:pt>
                <c:pt idx="24">
                  <c:v>0.16383283928049042</c:v>
                </c:pt>
                <c:pt idx="25">
                  <c:v>0.16877102785171005</c:v>
                </c:pt>
                <c:pt idx="26">
                  <c:v>0.17370921642292966</c:v>
                </c:pt>
                <c:pt idx="27">
                  <c:v>0.17864740499414927</c:v>
                </c:pt>
                <c:pt idx="28">
                  <c:v>0.18358559356536888</c:v>
                </c:pt>
                <c:pt idx="29">
                  <c:v>0.18852378213658849</c:v>
                </c:pt>
                <c:pt idx="30">
                  <c:v>0.19346197070780813</c:v>
                </c:pt>
                <c:pt idx="31">
                  <c:v>0.19840015927902774</c:v>
                </c:pt>
                <c:pt idx="32">
                  <c:v>0.20333834785024735</c:v>
                </c:pt>
                <c:pt idx="33">
                  <c:v>0.20827653642146698</c:v>
                </c:pt>
                <c:pt idx="34">
                  <c:v>0.21321472499268659</c:v>
                </c:pt>
                <c:pt idx="35">
                  <c:v>0.21815291356390623</c:v>
                </c:pt>
                <c:pt idx="36">
                  <c:v>0.22309110213512581</c:v>
                </c:pt>
                <c:pt idx="37">
                  <c:v>0.22802929070634542</c:v>
                </c:pt>
                <c:pt idx="38">
                  <c:v>0.23296747927756506</c:v>
                </c:pt>
                <c:pt idx="39">
                  <c:v>0.23790566784878467</c:v>
                </c:pt>
                <c:pt idx="40">
                  <c:v>0.24284385642000428</c:v>
                </c:pt>
                <c:pt idx="41">
                  <c:v>0.24778204499122392</c:v>
                </c:pt>
                <c:pt idx="42">
                  <c:v>0.2527202335624435</c:v>
                </c:pt>
                <c:pt idx="43">
                  <c:v>0.25765842213366313</c:v>
                </c:pt>
                <c:pt idx="44">
                  <c:v>0.26259661070488272</c:v>
                </c:pt>
                <c:pt idx="45">
                  <c:v>0.26753479927610235</c:v>
                </c:pt>
                <c:pt idx="46">
                  <c:v>0.27247298784732199</c:v>
                </c:pt>
                <c:pt idx="47">
                  <c:v>0.27741117641854157</c:v>
                </c:pt>
                <c:pt idx="48">
                  <c:v>0.28234936498976121</c:v>
                </c:pt>
                <c:pt idx="49">
                  <c:v>0.28728755356098085</c:v>
                </c:pt>
                <c:pt idx="50">
                  <c:v>0.29222574213220043</c:v>
                </c:pt>
                <c:pt idx="51">
                  <c:v>0.29716393070342006</c:v>
                </c:pt>
                <c:pt idx="52">
                  <c:v>0.30210211927463965</c:v>
                </c:pt>
                <c:pt idx="53">
                  <c:v>0.30704030784585928</c:v>
                </c:pt>
                <c:pt idx="54">
                  <c:v>0.31197849641707887</c:v>
                </c:pt>
                <c:pt idx="55">
                  <c:v>0.3169166849882985</c:v>
                </c:pt>
                <c:pt idx="56">
                  <c:v>0.32185487355951814</c:v>
                </c:pt>
                <c:pt idx="57">
                  <c:v>0.32679306213073772</c:v>
                </c:pt>
                <c:pt idx="58">
                  <c:v>0.33173125070195736</c:v>
                </c:pt>
                <c:pt idx="59">
                  <c:v>0.33666943927317694</c:v>
                </c:pt>
                <c:pt idx="60">
                  <c:v>0.34160762784439663</c:v>
                </c:pt>
                <c:pt idx="61">
                  <c:v>0.34654581641561621</c:v>
                </c:pt>
                <c:pt idx="62">
                  <c:v>0.35148400498683585</c:v>
                </c:pt>
                <c:pt idx="63">
                  <c:v>0.35642219355805543</c:v>
                </c:pt>
                <c:pt idx="64">
                  <c:v>0.36136038212927502</c:v>
                </c:pt>
                <c:pt idx="65">
                  <c:v>0.36629857070049465</c:v>
                </c:pt>
                <c:pt idx="66">
                  <c:v>0.37123675927171429</c:v>
                </c:pt>
                <c:pt idx="67">
                  <c:v>0.37617494784293393</c:v>
                </c:pt>
                <c:pt idx="68">
                  <c:v>0.38111313641415351</c:v>
                </c:pt>
                <c:pt idx="69">
                  <c:v>0.38605132498537315</c:v>
                </c:pt>
                <c:pt idx="70">
                  <c:v>0.39098951355659273</c:v>
                </c:pt>
                <c:pt idx="71">
                  <c:v>0.39592770212781242</c:v>
                </c:pt>
                <c:pt idx="72">
                  <c:v>0.400865890699032</c:v>
                </c:pt>
                <c:pt idx="73">
                  <c:v>0.40580407927025158</c:v>
                </c:pt>
                <c:pt idx="74">
                  <c:v>0.41074226784147122</c:v>
                </c:pt>
                <c:pt idx="75">
                  <c:v>0.4156804564126908</c:v>
                </c:pt>
                <c:pt idx="76">
                  <c:v>0.42061864498391049</c:v>
                </c:pt>
                <c:pt idx="77">
                  <c:v>0.42555683355513008</c:v>
                </c:pt>
                <c:pt idx="78">
                  <c:v>0.43049502212634971</c:v>
                </c:pt>
                <c:pt idx="79">
                  <c:v>0.4354332106975693</c:v>
                </c:pt>
                <c:pt idx="80">
                  <c:v>0.44037139926878888</c:v>
                </c:pt>
                <c:pt idx="81">
                  <c:v>0.44530958784000851</c:v>
                </c:pt>
                <c:pt idx="82">
                  <c:v>0.45024777641122815</c:v>
                </c:pt>
                <c:pt idx="83">
                  <c:v>0.45518596498244779</c:v>
                </c:pt>
              </c:numCache>
            </c:numRef>
          </c:yVal>
          <c:smooth val="0"/>
          <c:extLst>
            <c:ext xmlns:c16="http://schemas.microsoft.com/office/drawing/2014/chart" uri="{C3380CC4-5D6E-409C-BE32-E72D297353CC}">
              <c16:uniqueId val="{00000003-3919-433C-A80B-A601FCD2FBD7}"/>
            </c:ext>
          </c:extLst>
        </c:ser>
        <c:ser>
          <c:idx val="3"/>
          <c:order val="3"/>
          <c:tx>
            <c:strRef>
              <c:f>'Constraint Diagrams'!$L$2</c:f>
              <c:strCache>
                <c:ptCount val="1"/>
                <c:pt idx="0">
                  <c:v>Cruise Airspeed</c:v>
                </c:pt>
              </c:strCache>
            </c:strRef>
          </c:tx>
          <c:spPr>
            <a:ln w="19050" cap="rnd">
              <a:solidFill>
                <a:schemeClr val="accent4"/>
              </a:solidFill>
              <a:round/>
            </a:ln>
            <a:effectLst/>
          </c:spPr>
          <c:marker>
            <c:symbol val="none"/>
          </c:marker>
          <c:xVal>
            <c:numRef>
              <c:f>'Constraint Diagrams'!$H$3:$H$86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Diagrams'!$L$3:$L$86</c:f>
              <c:numCache>
                <c:formatCode>0.00000</c:formatCode>
                <c:ptCount val="84"/>
                <c:pt idx="0">
                  <c:v>8.4302125480610233</c:v>
                </c:pt>
                <c:pt idx="1">
                  <c:v>4.2152747022663135</c:v>
                </c:pt>
                <c:pt idx="2">
                  <c:v>2.8103702773284334</c:v>
                </c:pt>
                <c:pt idx="3">
                  <c:v>2.107974207604761</c:v>
                </c:pt>
                <c:pt idx="4">
                  <c:v>1.6865814799667711</c:v>
                </c:pt>
                <c:pt idx="5">
                  <c:v>1.4056904233716225</c:v>
                </c:pt>
                <c:pt idx="6">
                  <c:v>1.2050860359438123</c:v>
                </c:pt>
                <c:pt idx="7">
                  <c:v>1.0546608167455882</c:v>
                </c:pt>
                <c:pt idx="8">
                  <c:v>0.93768837636708824</c:v>
                </c:pt>
                <c:pt idx="9">
                  <c:v>0.84413288116239527</c:v>
                </c:pt>
                <c:pt idx="10">
                  <c:v>0.76760789153865272</c:v>
                </c:pt>
                <c:pt idx="11">
                  <c:v>0.70385578110062297</c:v>
                </c:pt>
                <c:pt idx="12">
                  <c:v>0.64992896234391095</c:v>
                </c:pt>
                <c:pt idx="13">
                  <c:v>0.6037220156225197</c:v>
                </c:pt>
                <c:pt idx="14">
                  <c:v>0.56369096652938533</c:v>
                </c:pt>
                <c:pt idx="15">
                  <c:v>0.52867783425920967</c:v>
                </c:pt>
                <c:pt idx="16">
                  <c:v>0.49779710407852923</c:v>
                </c:pt>
                <c:pt idx="17">
                  <c:v>0.47036004230576162</c:v>
                </c:pt>
                <c:pt idx="18">
                  <c:v>0.44582291182386791</c:v>
                </c:pt>
                <c:pt idx="19">
                  <c:v>0.42375072293921712</c:v>
                </c:pt>
                <c:pt idx="20">
                  <c:v>0.40379134113791715</c:v>
                </c:pt>
                <c:pt idx="21">
                  <c:v>0.38565665636314778</c:v>
                </c:pt>
                <c:pt idx="22">
                  <c:v>0.36910866465492642</c:v>
                </c:pt>
                <c:pt idx="23">
                  <c:v>0.35394902937993483</c:v>
                </c:pt>
                <c:pt idx="24">
                  <c:v>0.3400111477661853</c:v>
                </c:pt>
                <c:pt idx="25">
                  <c:v>0.32715404823738076</c:v>
                </c:pt>
                <c:pt idx="26">
                  <c:v>0.31525764389519384</c:v>
                </c:pt>
                <c:pt idx="27">
                  <c:v>0.30421900311248712</c:v>
                </c:pt>
                <c:pt idx="28">
                  <c:v>0.29394939172793494</c:v>
                </c:pt>
                <c:pt idx="29">
                  <c:v>0.28437190680172186</c:v>
                </c:pt>
                <c:pt idx="30">
                  <c:v>0.27541956835400866</c:v>
                </c:pt>
                <c:pt idx="31">
                  <c:v>0.26703376890243591</c:v>
                </c:pt>
                <c:pt idx="32">
                  <c:v>0.25916300490190003</c:v>
                </c:pt>
                <c:pt idx="33">
                  <c:v>0.25176183204789765</c:v>
                </c:pt>
                <c:pt idx="34">
                  <c:v>0.24478999967072601</c:v>
                </c:pt>
                <c:pt idx="35">
                  <c:v>0.2382117293973158</c:v>
                </c:pt>
                <c:pt idx="36">
                  <c:v>0.23199511078682156</c:v>
                </c:pt>
                <c:pt idx="37">
                  <c:v>0.22611159239217091</c:v>
                </c:pt>
                <c:pt idx="38">
                  <c:v>0.22053555111983747</c:v>
                </c:pt>
                <c:pt idx="39">
                  <c:v>0.21524392618564744</c:v>
                </c:pt>
                <c:pt idx="40">
                  <c:v>0.21021590663802933</c:v>
                </c:pt>
                <c:pt idx="41">
                  <c:v>0.20543266352079942</c:v>
                </c:pt>
                <c:pt idx="42">
                  <c:v>0.20087711940858186</c:v>
                </c:pt>
                <c:pt idx="43">
                  <c:v>0.19653374936921666</c:v>
                </c:pt>
                <c:pt idx="44">
                  <c:v>0.19238840846451366</c:v>
                </c:pt>
                <c:pt idx="45">
                  <c:v>0.18842818175090795</c:v>
                </c:pt>
                <c:pt idx="46">
                  <c:v>0.18464125342896778</c:v>
                </c:pt>
                <c:pt idx="47">
                  <c:v>0.18101679234921408</c:v>
                </c:pt>
                <c:pt idx="48">
                  <c:v>0.17754485153763538</c:v>
                </c:pt>
                <c:pt idx="49">
                  <c:v>0.17421627977814125</c:v>
                </c:pt>
                <c:pt idx="50">
                  <c:v>0.17102264359707961</c:v>
                </c:pt>
                <c:pt idx="51">
                  <c:v>0.16795615824954091</c:v>
                </c:pt>
                <c:pt idx="52">
                  <c:v>0.16500962651853326</c:v>
                </c:pt>
                <c:pt idx="53">
                  <c:v>0.16217638431424941</c:v>
                </c:pt>
                <c:pt idx="54">
                  <c:v>0.15945025220795897</c:v>
                </c:pt>
                <c:pt idx="55">
                  <c:v>0.15682549215869798</c:v>
                </c:pt>
                <c:pt idx="56">
                  <c:v>0.15429676879504386</c:v>
                </c:pt>
                <c:pt idx="57">
                  <c:v>0.15185911470222385</c:v>
                </c:pt>
                <c:pt idx="58">
                  <c:v>0.14950789923934804</c:v>
                </c:pt>
                <c:pt idx="59">
                  <c:v>0.14723880047491925</c:v>
                </c:pt>
                <c:pt idx="60">
                  <c:v>0.14504777988278436</c:v>
                </c:pt>
                <c:pt idx="61">
                  <c:v>0.1429310594868646</c:v>
                </c:pt>
                <c:pt idx="62">
                  <c:v>0.1408851011825783</c:v>
                </c:pt>
                <c:pt idx="63">
                  <c:v>0.13890658799688019</c:v>
                </c:pt>
                <c:pt idx="64">
                  <c:v>0.13699240707814309</c:v>
                </c:pt>
                <c:pt idx="65">
                  <c:v>0.13513963423241418</c:v>
                </c:pt>
                <c:pt idx="66">
                  <c:v>0.1333455198444842</c:v>
                </c:pt>
                <c:pt idx="67">
                  <c:v>0.13160747604121495</c:v>
                </c:pt>
                <c:pt idx="68">
                  <c:v>0.12992306497109943</c:v>
                </c:pt>
                <c:pt idx="69">
                  <c:v>0.12828998808843106</c:v>
                </c:pt>
                <c:pt idx="70">
                  <c:v>0.12670607634303602</c:v>
                </c:pt>
                <c:pt idx="71">
                  <c:v>0.1251692811875279</c:v>
                </c:pt>
                <c:pt idx="72">
                  <c:v>0.1236776663236922</c:v>
                </c:pt>
                <c:pt idx="73">
                  <c:v>0.12222940011808271</c:v>
                </c:pt>
                <c:pt idx="74">
                  <c:v>0.12082274862437041</c:v>
                </c:pt>
                <c:pt idx="75">
                  <c:v>0.11945606915655933</c:v>
                </c:pt>
                <c:pt idx="76">
                  <c:v>0.11812780436299102</c:v>
                </c:pt>
                <c:pt idx="77">
                  <c:v>0.11683647675619456</c:v>
                </c:pt>
                <c:pt idx="78">
                  <c:v>0.1155806836581913</c:v>
                </c:pt>
                <c:pt idx="79">
                  <c:v>0.11435909252490149</c:v>
                </c:pt>
                <c:pt idx="80">
                  <c:v>0.11317043661689127</c:v>
                </c:pt>
                <c:pt idx="81">
                  <c:v>0.11201351098689438</c:v>
                </c:pt>
                <c:pt idx="82">
                  <c:v>0.1108871687573922</c:v>
                </c:pt>
                <c:pt idx="83">
                  <c:v>0.10979031766408137</c:v>
                </c:pt>
              </c:numCache>
            </c:numRef>
          </c:yVal>
          <c:smooth val="0"/>
          <c:extLst>
            <c:ext xmlns:c16="http://schemas.microsoft.com/office/drawing/2014/chart" uri="{C3380CC4-5D6E-409C-BE32-E72D297353CC}">
              <c16:uniqueId val="{00000004-3919-433C-A80B-A601FCD2FBD7}"/>
            </c:ext>
          </c:extLst>
        </c:ser>
        <c:ser>
          <c:idx val="4"/>
          <c:order val="4"/>
          <c:tx>
            <c:strRef>
              <c:f>'Constraint Diagrams'!$M$2</c:f>
              <c:strCache>
                <c:ptCount val="1"/>
                <c:pt idx="0">
                  <c:v>Service Ceiling</c:v>
                </c:pt>
              </c:strCache>
            </c:strRef>
          </c:tx>
          <c:spPr>
            <a:ln w="19050" cap="rnd">
              <a:solidFill>
                <a:schemeClr val="accent5"/>
              </a:solidFill>
              <a:round/>
            </a:ln>
            <a:effectLst/>
          </c:spPr>
          <c:marker>
            <c:symbol val="none"/>
          </c:marker>
          <c:xVal>
            <c:numRef>
              <c:f>'Constraint Diagrams'!$H$3:$H$86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Diagrams'!$M$3:$M$86</c:f>
              <c:numCache>
                <c:formatCode>0.00000</c:formatCode>
                <c:ptCount val="84"/>
                <c:pt idx="0">
                  <c:v>0.13783326349749236</c:v>
                </c:pt>
                <c:pt idx="1">
                  <c:v>0.11827354403377696</c:v>
                </c:pt>
                <c:pt idx="2">
                  <c:v>0.10960826668959064</c:v>
                </c:pt>
                <c:pt idx="3">
                  <c:v>0.10444273376287727</c:v>
                </c:pt>
                <c:pt idx="4">
                  <c:v>0.10091760174479313</c:v>
                </c:pt>
                <c:pt idx="5">
                  <c:v>9.8315457391940975E-2</c:v>
                </c:pt>
                <c:pt idx="6">
                  <c:v>9.6293071977547634E-2</c:v>
                </c:pt>
                <c:pt idx="7">
                  <c:v>9.466287403101957E-2</c:v>
                </c:pt>
                <c:pt idx="8">
                  <c:v>9.3312557184672254E-2</c:v>
                </c:pt>
                <c:pt idx="9">
                  <c:v>9.2170229276454449E-2</c:v>
                </c:pt>
                <c:pt idx="10">
                  <c:v>9.1187451061157374E-2</c:v>
                </c:pt>
                <c:pt idx="11">
                  <c:v>9.0330235358926425E-2</c:v>
                </c:pt>
                <c:pt idx="12">
                  <c:v>8.9573937424117525E-2</c:v>
                </c:pt>
                <c:pt idx="13">
                  <c:v>8.8900192918236115E-2</c:v>
                </c:pt>
                <c:pt idx="14">
                  <c:v>8.8294999439356564E-2</c:v>
                </c:pt>
                <c:pt idx="15">
                  <c:v>8.7747468895569739E-2</c:v>
                </c:pt>
                <c:pt idx="16">
                  <c:v>8.7248990027220447E-2</c:v>
                </c:pt>
                <c:pt idx="17">
                  <c:v>8.6792650696767115E-2</c:v>
                </c:pt>
                <c:pt idx="18">
                  <c:v>8.6372829795049261E-2</c:v>
                </c:pt>
                <c:pt idx="19">
                  <c:v>8.5984902886527659E-2</c:v>
                </c:pt>
                <c:pt idx="20">
                  <c:v>8.5625025933361937E-2</c:v>
                </c:pt>
                <c:pt idx="21">
                  <c:v>8.5289973746088682E-2</c:v>
                </c:pt>
                <c:pt idx="22">
                  <c:v>8.4977017513599387E-2</c:v>
                </c:pt>
                <c:pt idx="23">
                  <c:v>8.468383071010159E-2</c:v>
                </c:pt>
                <c:pt idx="24">
                  <c:v>8.4408415922108224E-2</c:v>
                </c:pt>
                <c:pt idx="25">
                  <c:v>8.414904731180084E-2</c:v>
                </c:pt>
                <c:pt idx="26">
                  <c:v>8.3904224915371681E-2</c:v>
                </c:pt>
                <c:pt idx="27">
                  <c:v>8.367263800290492E-2</c:v>
                </c:pt>
                <c:pt idx="28">
                  <c:v>8.3453135450222704E-2</c:v>
                </c:pt>
                <c:pt idx="29">
                  <c:v>8.3244701590059311E-2</c:v>
                </c:pt>
                <c:pt idx="30">
                  <c:v>8.3046436383901287E-2</c:v>
                </c:pt>
                <c:pt idx="31">
                  <c:v>8.2857539029640881E-2</c:v>
                </c:pt>
                <c:pt idx="32">
                  <c:v>8.2677294322903841E-2</c:v>
                </c:pt>
                <c:pt idx="33">
                  <c:v>8.2505061241552907E-2</c:v>
                </c:pt>
                <c:pt idx="34">
                  <c:v>8.2340263337401784E-2</c:v>
                </c:pt>
                <c:pt idx="35">
                  <c:v>8.2182380606467223E-2</c:v>
                </c:pt>
                <c:pt idx="36">
                  <c:v>8.2030942576182472E-2</c:v>
                </c:pt>
                <c:pt idx="37">
                  <c:v>8.1885522399978677E-2</c:v>
                </c:pt>
                <c:pt idx="38">
                  <c:v>8.1745731790217754E-2</c:v>
                </c:pt>
                <c:pt idx="39">
                  <c:v>8.161121665235832E-2</c:v>
                </c:pt>
                <c:pt idx="40">
                  <c:v>8.1481653308478591E-2</c:v>
                </c:pt>
                <c:pt idx="41">
                  <c:v>8.1356745218382084E-2</c:v>
                </c:pt>
                <c:pt idx="42">
                  <c:v>8.1236220122616443E-2</c:v>
                </c:pt>
                <c:pt idx="43">
                  <c:v>8.1119827544709783E-2</c:v>
                </c:pt>
                <c:pt idx="44">
                  <c:v>8.100733660043917E-2</c:v>
                </c:pt>
                <c:pt idx="45">
                  <c:v>8.0898534070502001E-2</c:v>
                </c:pt>
                <c:pt idx="46">
                  <c:v>8.0793222699961836E-2</c:v>
                </c:pt>
                <c:pt idx="47">
                  <c:v>8.0691219693594302E-2</c:v>
                </c:pt>
                <c:pt idx="48">
                  <c:v>8.0592355381009353E-2</c:v>
                </c:pt>
                <c:pt idx="49">
                  <c:v>8.0496472029365149E-2</c:v>
                </c:pt>
                <c:pt idx="50">
                  <c:v>8.0403422784767503E-2</c:v>
                </c:pt>
                <c:pt idx="51">
                  <c:v>8.0313070726189859E-2</c:v>
                </c:pt>
                <c:pt idx="52">
                  <c:v>8.0225288018046584E-2</c:v>
                </c:pt>
                <c:pt idx="53">
                  <c:v>8.0139955149488462E-2</c:v>
                </c:pt>
                <c:pt idx="54">
                  <c:v>8.0056960250123113E-2</c:v>
                </c:pt>
                <c:pt idx="55">
                  <c:v>7.997619847324916E-2</c:v>
                </c:pt>
                <c:pt idx="56">
                  <c:v>7.9897571438870219E-2</c:v>
                </c:pt>
                <c:pt idx="57">
                  <c:v>7.9820986729759805E-2</c:v>
                </c:pt>
                <c:pt idx="58">
                  <c:v>7.9746357434706899E-2</c:v>
                </c:pt>
                <c:pt idx="59">
                  <c:v>7.9673601733809385E-2</c:v>
                </c:pt>
                <c:pt idx="60">
                  <c:v>7.9602642521315603E-2</c:v>
                </c:pt>
                <c:pt idx="61">
                  <c:v>7.9533407062061703E-2</c:v>
                </c:pt>
                <c:pt idx="62">
                  <c:v>7.9465826678024015E-2</c:v>
                </c:pt>
                <c:pt idx="63">
                  <c:v>7.9399836461915965E-2</c:v>
                </c:pt>
                <c:pt idx="64">
                  <c:v>7.9335375015114298E-2</c:v>
                </c:pt>
                <c:pt idx="65">
                  <c:v>7.9272384207509219E-2</c:v>
                </c:pt>
                <c:pt idx="66">
                  <c:v>7.9210808957143414E-2</c:v>
                </c:pt>
                <c:pt idx="67">
                  <c:v>7.9150597027741326E-2</c:v>
                </c:pt>
                <c:pt idx="68">
                  <c:v>7.9091698842436955E-2</c:v>
                </c:pt>
                <c:pt idx="69">
                  <c:v>7.9034067312190731E-2</c:v>
                </c:pt>
                <c:pt idx="70">
                  <c:v>7.8977657677545721E-2</c:v>
                </c:pt>
                <c:pt idx="71">
                  <c:v>7.8922427362514647E-2</c:v>
                </c:pt>
                <c:pt idx="72">
                  <c:v>7.8868335839513914E-2</c:v>
                </c:pt>
                <c:pt idx="73">
                  <c:v>7.8815344504370777E-2</c:v>
                </c:pt>
                <c:pt idx="74">
                  <c:v>7.8763416560527877E-2</c:v>
                </c:pt>
                <c:pt idx="75">
                  <c:v>7.8712516911655719E-2</c:v>
                </c:pt>
                <c:pt idx="76">
                  <c:v>7.8662612061961026E-2</c:v>
                </c:pt>
                <c:pt idx="77">
                  <c:v>7.8613670023547577E-2</c:v>
                </c:pt>
                <c:pt idx="78">
                  <c:v>7.8565660230247414E-2</c:v>
                </c:pt>
                <c:pt idx="79">
                  <c:v>7.8518553457394932E-2</c:v>
                </c:pt>
                <c:pt idx="80">
                  <c:v>7.8472321747065546E-2</c:v>
                </c:pt>
                <c:pt idx="81">
                  <c:v>7.8426938338344368E-2</c:v>
                </c:pt>
                <c:pt idx="82">
                  <c:v>7.8382377602229741E-2</c:v>
                </c:pt>
                <c:pt idx="83">
                  <c:v>7.8338614980812071E-2</c:v>
                </c:pt>
              </c:numCache>
            </c:numRef>
          </c:yVal>
          <c:smooth val="0"/>
          <c:extLst>
            <c:ext xmlns:c16="http://schemas.microsoft.com/office/drawing/2014/chart" uri="{C3380CC4-5D6E-409C-BE32-E72D297353CC}">
              <c16:uniqueId val="{00000005-3919-433C-A80B-A601FCD2FBD7}"/>
            </c:ext>
          </c:extLst>
        </c:ser>
        <c:dLbls>
          <c:showLegendKey val="0"/>
          <c:showVal val="0"/>
          <c:showCatName val="0"/>
          <c:showSerName val="0"/>
          <c:showPercent val="0"/>
          <c:showBubbleSize val="0"/>
        </c:dLbls>
        <c:axId val="1038744872"/>
        <c:axId val="1038745232"/>
      </c:scatterChart>
      <c:valAx>
        <c:axId val="10387448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Wing Loading (W / S), lbf/ft</a:t>
                </a:r>
                <a:r>
                  <a:rPr lang="en-US" baseline="30000"/>
                  <a:t>2</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745232"/>
        <c:crosses val="autoZero"/>
        <c:crossBetween val="midCat"/>
      </c:valAx>
      <c:valAx>
        <c:axId val="103874523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Thrust to Weight Ratio</a:t>
                </a:r>
                <a:r>
                  <a:rPr lang="en-US" baseline="0"/>
                  <a:t> </a:t>
                </a:r>
                <a:r>
                  <a:rPr lang="en-US"/>
                  <a:t>(T / 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744872"/>
        <c:crosses val="autoZero"/>
        <c:crossBetween val="midCat"/>
      </c:valAx>
      <c:spPr>
        <a:noFill/>
        <a:ln>
          <a:noFill/>
        </a:ln>
        <a:effectLst/>
      </c:spPr>
    </c:plotArea>
    <c:legend>
      <c:legendPos val="r"/>
      <c:layout>
        <c:manualLayout>
          <c:xMode val="edge"/>
          <c:yMode val="edge"/>
          <c:x val="0.71148279764578437"/>
          <c:y val="0.1943040593181635"/>
          <c:w val="0.22998475012555256"/>
          <c:h val="0.28923203990412644"/>
        </c:manualLayout>
      </c:layout>
      <c:overlay val="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018077765918451"/>
          <c:y val="0.17301333807393129"/>
          <c:w val="0.83482206841595286"/>
          <c:h val="0.67452872538614217"/>
        </c:manualLayout>
      </c:layout>
      <c:scatterChart>
        <c:scatterStyle val="lineMarker"/>
        <c:varyColors val="0"/>
        <c:ser>
          <c:idx val="0"/>
          <c:order val="0"/>
          <c:tx>
            <c:strRef>
              <c:f>'Constraint Diagrams'!$P$2</c:f>
              <c:strCache>
                <c:ptCount val="1"/>
                <c:pt idx="0">
                  <c:v>Constant Velocity Turn</c:v>
                </c:pt>
              </c:strCache>
            </c:strRef>
          </c:tx>
          <c:spPr>
            <a:ln w="19050" cap="rnd">
              <a:solidFill>
                <a:schemeClr val="accent1"/>
              </a:solidFill>
              <a:round/>
            </a:ln>
            <a:effectLst/>
          </c:spPr>
          <c:marker>
            <c:symbol val="none"/>
          </c:marker>
          <c:xVal>
            <c:numRef>
              <c:f>'Constraint Diagrams'!$O$3:$O$86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Diagrams'!$P$3:$P$86</c:f>
              <c:numCache>
                <c:formatCode>General</c:formatCode>
                <c:ptCount val="84"/>
                <c:pt idx="0">
                  <c:v>4.214841127043881</c:v>
                </c:pt>
                <c:pt idx="1">
                  <c:v>2.1083500168771794</c:v>
                </c:pt>
                <c:pt idx="2">
                  <c:v>1.4065994038683856</c:v>
                </c:pt>
                <c:pt idx="3">
                  <c:v>1.0560339151490683</c:v>
                </c:pt>
                <c:pt idx="4">
                  <c:v>0.84594247614554163</c:v>
                </c:pt>
                <c:pt idx="5">
                  <c:v>0.70608806199991048</c:v>
                </c:pt>
                <c:pt idx="6">
                  <c:v>0.60636909063021938</c:v>
                </c:pt>
                <c:pt idx="7">
                  <c:v>0.53173477099549105</c:v>
                </c:pt>
                <c:pt idx="8">
                  <c:v>0.47382355251740432</c:v>
                </c:pt>
                <c:pt idx="9">
                  <c:v>0.42761850484896685</c:v>
                </c:pt>
                <c:pt idx="10">
                  <c:v>0.38992703595118344</c:v>
                </c:pt>
                <c:pt idx="11">
                  <c:v>0.35862075113139047</c:v>
                </c:pt>
                <c:pt idx="12">
                  <c:v>0.33222614637159015</c:v>
                </c:pt>
                <c:pt idx="13">
                  <c:v>0.30969071880178417</c:v>
                </c:pt>
                <c:pt idx="14">
                  <c:v>0.29024263298397351</c:v>
                </c:pt>
                <c:pt idx="15">
                  <c:v>0.27330301233965915</c:v>
                </c:pt>
                <c:pt idx="16">
                  <c:v>0.2584291865441064</c:v>
                </c:pt>
                <c:pt idx="17">
                  <c:v>0.24527685645585506</c:v>
                </c:pt>
                <c:pt idx="18">
                  <c:v>0.23357420696322584</c:v>
                </c:pt>
                <c:pt idx="19">
                  <c:v>0.22310378597687555</c:v>
                </c:pt>
                <c:pt idx="20">
                  <c:v>0.21368956085305002</c:v>
                </c:pt>
                <c:pt idx="21">
                  <c:v>0.20518750488322302</c:v>
                </c:pt>
                <c:pt idx="22">
                  <c:v>0.19747863948209052</c:v>
                </c:pt>
                <c:pt idx="23">
                  <c:v>0.19046381582856581</c:v>
                </c:pt>
                <c:pt idx="24">
                  <c:v>0.18405974891293569</c:v>
                </c:pt>
                <c:pt idx="25">
                  <c:v>0.17819596680390482</c:v>
                </c:pt>
                <c:pt idx="26">
                  <c:v>0.17281243785629546</c:v>
                </c:pt>
                <c:pt idx="27">
                  <c:v>0.16785770637424102</c:v>
                </c:pt>
                <c:pt idx="28">
                  <c:v>0.16328741399923583</c:v>
                </c:pt>
                <c:pt idx="29">
                  <c:v>0.15906311682057492</c:v>
                </c:pt>
                <c:pt idx="30">
                  <c:v>0.15515133143216051</c:v>
                </c:pt>
                <c:pt idx="31">
                  <c:v>0.15152275985365693</c:v>
                </c:pt>
                <c:pt idx="32">
                  <c:v>0.14815165537507241</c:v>
                </c:pt>
                <c:pt idx="33">
                  <c:v>0.14501530031111981</c:v>
                </c:pt>
                <c:pt idx="34">
                  <c:v>0.14209357328340222</c:v>
                </c:pt>
                <c:pt idx="35">
                  <c:v>0.13936858862223331</c:v>
                </c:pt>
                <c:pt idx="36">
                  <c:v>0.13682439424383894</c:v>
                </c:pt>
                <c:pt idx="37">
                  <c:v>0.13444671723115792</c:v>
                </c:pt>
                <c:pt idx="38">
                  <c:v>0.13222274855605848</c:v>
                </c:pt>
                <c:pt idx="39">
                  <c:v>0.13014096009322199</c:v>
                </c:pt>
                <c:pt idx="40">
                  <c:v>0.12819094841248285</c:v>
                </c:pt>
                <c:pt idx="41">
                  <c:v>0.12636330088654843</c:v>
                </c:pt>
                <c:pt idx="42">
                  <c:v>0.12464948048136248</c:v>
                </c:pt>
                <c:pt idx="43">
                  <c:v>0.12304172625687412</c:v>
                </c:pt>
                <c:pt idx="44">
                  <c:v>0.12153296713437012</c:v>
                </c:pt>
                <c:pt idx="45">
                  <c:v>0.1201167469115471</c:v>
                </c:pt>
                <c:pt idx="46">
                  <c:v>0.11878715885012765</c:v>
                </c:pt>
                <c:pt idx="47">
                  <c:v>0.11753878844002395</c:v>
                </c:pt>
                <c:pt idx="48">
                  <c:v>0.11636666317197179</c:v>
                </c:pt>
                <c:pt idx="49">
                  <c:v>0.11526620833744811</c:v>
                </c:pt>
                <c:pt idx="50">
                  <c:v>0.11423320802859828</c:v>
                </c:pt>
                <c:pt idx="51">
                  <c:v>0.1132637706381719</c:v>
                </c:pt>
                <c:pt idx="52">
                  <c:v>0.11235429826512608</c:v>
                </c:pt>
                <c:pt idx="53">
                  <c:v>0.11150145951960645</c:v>
                </c:pt>
                <c:pt idx="54">
                  <c:v>0.11070216529465692</c:v>
                </c:pt>
                <c:pt idx="55">
                  <c:v>0.10995354713381841</c:v>
                </c:pt>
                <c:pt idx="56">
                  <c:v>0.10925293787582196</c:v>
                </c:pt>
                <c:pt idx="57">
                  <c:v>0.10859785430155501</c:v>
                </c:pt>
                <c:pt idx="58">
                  <c:v>0.10798598154574321</c:v>
                </c:pt>
                <c:pt idx="59">
                  <c:v>0.10741515906746378</c:v>
                </c:pt>
                <c:pt idx="60">
                  <c:v>0.10688336800060858</c:v>
                </c:pt>
                <c:pt idx="61">
                  <c:v>0.10638871972849578</c:v>
                </c:pt>
                <c:pt idx="62">
                  <c:v>0.10592944554661388</c:v>
                </c:pt>
                <c:pt idx="63">
                  <c:v>0.10550388729448322</c:v>
                </c:pt>
                <c:pt idx="64">
                  <c:v>0.10511048885226917</c:v>
                </c:pt>
                <c:pt idx="65">
                  <c:v>0.10474778841043016</c:v>
                </c:pt>
                <c:pt idx="66">
                  <c:v>0.10441441143163581</c:v>
                </c:pt>
                <c:pt idx="67">
                  <c:v>0.10410906423369308</c:v>
                </c:pt>
                <c:pt idx="68">
                  <c:v>0.10383052813047793</c:v>
                </c:pt>
                <c:pt idx="69">
                  <c:v>0.10357765407507348</c:v>
                </c:pt>
                <c:pt idx="70">
                  <c:v>0.10334935775560042</c:v>
                </c:pt>
                <c:pt idx="71">
                  <c:v>0.10314461509972823</c:v>
                </c:pt>
                <c:pt idx="72">
                  <c:v>0.10296245814867887</c:v>
                </c:pt>
                <c:pt idx="73">
                  <c:v>0.10280197126577027</c:v>
                </c:pt>
                <c:pt idx="74">
                  <c:v>0.10266228764827684</c:v>
                </c:pt>
                <c:pt idx="75">
                  <c:v>0.10254258611466897</c:v>
                </c:pt>
                <c:pt idx="76">
                  <c:v>0.10244208814219795</c:v>
                </c:pt>
                <c:pt idx="77">
                  <c:v>0.10236005513235846</c:v>
                </c:pt>
                <c:pt idx="78">
                  <c:v>0.10229578588403793</c:v>
                </c:pt>
                <c:pt idx="79">
                  <c:v>0.10224861425617943</c:v>
                </c:pt>
                <c:pt idx="80">
                  <c:v>0.1022179070035806</c:v>
                </c:pt>
                <c:pt idx="81">
                  <c:v>0.10220306177104907</c:v>
                </c:pt>
                <c:pt idx="82">
                  <c:v>0.10220350523255828</c:v>
                </c:pt>
                <c:pt idx="83">
                  <c:v>0.10221869136332107</c:v>
                </c:pt>
              </c:numCache>
            </c:numRef>
          </c:yVal>
          <c:smooth val="0"/>
          <c:extLst>
            <c:ext xmlns:c16="http://schemas.microsoft.com/office/drawing/2014/chart" uri="{C3380CC4-5D6E-409C-BE32-E72D297353CC}">
              <c16:uniqueId val="{00000000-27EA-4FB4-85D5-FE89C5F711B0}"/>
            </c:ext>
          </c:extLst>
        </c:ser>
        <c:ser>
          <c:idx val="1"/>
          <c:order val="1"/>
          <c:tx>
            <c:strRef>
              <c:f>'Constraint Diagrams'!$Q$2</c:f>
              <c:strCache>
                <c:ptCount val="1"/>
                <c:pt idx="0">
                  <c:v>Rate of Climb</c:v>
                </c:pt>
              </c:strCache>
            </c:strRef>
          </c:tx>
          <c:spPr>
            <a:ln w="19050" cap="rnd">
              <a:solidFill>
                <a:schemeClr val="accent2"/>
              </a:solidFill>
              <a:round/>
            </a:ln>
            <a:effectLst/>
          </c:spPr>
          <c:marker>
            <c:symbol val="none"/>
          </c:marker>
          <c:xVal>
            <c:numRef>
              <c:f>'Constraint Diagrams'!$O$3:$O$86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Diagrams'!$Q$3:$Q$86</c:f>
              <c:numCache>
                <c:formatCode>General</c:formatCode>
                <c:ptCount val="84"/>
                <c:pt idx="0">
                  <c:v>3.8996270070948427</c:v>
                </c:pt>
                <c:pt idx="1">
                  <c:v>1.9985817872092921</c:v>
                </c:pt>
                <c:pt idx="2">
                  <c:v>1.3650577712595717</c:v>
                </c:pt>
                <c:pt idx="3">
                  <c:v>1.0484140562938078</c:v>
                </c:pt>
                <c:pt idx="4">
                  <c:v>0.85852246172162694</c:v>
                </c:pt>
                <c:pt idx="5">
                  <c:v>0.73200692734623762</c:v>
                </c:pt>
                <c:pt idx="6">
                  <c:v>0.64170628451187184</c:v>
                </c:pt>
                <c:pt idx="7">
                  <c:v>0.57403994889064613</c:v>
                </c:pt>
                <c:pt idx="8">
                  <c:v>0.52146315141151334</c:v>
                </c:pt>
                <c:pt idx="9">
                  <c:v>0.47944903063184585</c:v>
                </c:pt>
                <c:pt idx="10">
                  <c:v>0.44511685654269867</c:v>
                </c:pt>
                <c:pt idx="11">
                  <c:v>0.41654614247144156</c:v>
                </c:pt>
                <c:pt idx="12">
                  <c:v>0.3924073207216382</c:v>
                </c:pt>
                <c:pt idx="13">
                  <c:v>0.37175070008154887</c:v>
                </c:pt>
                <c:pt idx="14">
                  <c:v>0.35387984032923059</c:v>
                </c:pt>
                <c:pt idx="15">
                  <c:v>0.33827241129822622</c:v>
                </c:pt>
                <c:pt idx="16">
                  <c:v>0.32452898403771574</c:v>
                </c:pt>
                <c:pt idx="17">
                  <c:v>0.31233889158595002</c:v>
                </c:pt>
                <c:pt idx="18">
                  <c:v>0.30145687055207493</c:v>
                </c:pt>
                <c:pt idx="19">
                  <c:v>0.2916867102234067</c:v>
                </c:pt>
                <c:pt idx="20">
                  <c:v>0.28286957335634422</c:v>
                </c:pt>
                <c:pt idx="21">
                  <c:v>0.27487550220612322</c:v>
                </c:pt>
                <c:pt idx="22">
                  <c:v>0.26759714037489485</c:v>
                </c:pt>
                <c:pt idx="23">
                  <c:v>0.26094502419778492</c:v>
                </c:pt>
                <c:pt idx="24">
                  <c:v>0.25484400419629932</c:v>
                </c:pt>
                <c:pt idx="25">
                  <c:v>0.24923049235017361</c:v>
                </c:pt>
                <c:pt idx="26">
                  <c:v>0.24405032108659008</c:v>
                </c:pt>
                <c:pt idx="27">
                  <c:v>0.23925706105741917</c:v>
                </c:pt>
                <c:pt idx="28">
                  <c:v>0.23481068696254923</c:v>
                </c:pt>
                <c:pt idx="29">
                  <c:v>0.23067651020855026</c:v>
                </c:pt>
                <c:pt idx="30">
                  <c:v>0.22682431814953138</c:v>
                </c:pt>
                <c:pt idx="31">
                  <c:v>0.2232276747203383</c:v>
                </c:pt>
                <c:pt idx="32">
                  <c:v>0.21986334822735051</c:v>
                </c:pt>
                <c:pt idx="33">
                  <c:v>0.21671084011737332</c:v>
                </c:pt>
                <c:pt idx="34">
                  <c:v>0.21375199452900595</c:v>
                </c:pt>
                <c:pt idx="35">
                  <c:v>0.2109706729187808</c:v>
                </c:pt>
                <c:pt idx="36">
                  <c:v>0.20835248145063234</c:v>
                </c:pt>
                <c:pt idx="37">
                  <c:v>0.20588454142913348</c:v>
                </c:pt>
                <c:pt idx="38">
                  <c:v>0.20355529505069578</c:v>
                </c:pt>
                <c:pt idx="39">
                  <c:v>0.20135434029208957</c:v>
                </c:pt>
                <c:pt idx="40">
                  <c:v>0.19927228996162</c:v>
                </c:pt>
                <c:pt idx="41">
                  <c:v>0.19730065088584864</c:v>
                </c:pt>
                <c:pt idx="42">
                  <c:v>0.19543171995398265</c:v>
                </c:pt>
                <c:pt idx="43">
                  <c:v>0.1936584943380284</c:v>
                </c:pt>
                <c:pt idx="44">
                  <c:v>0.19197459368359188</c:v>
                </c:pt>
                <c:pt idx="45">
                  <c:v>0.19037419244970447</c:v>
                </c:pt>
                <c:pt idx="46">
                  <c:v>0.18885196088611836</c:v>
                </c:pt>
                <c:pt idx="47">
                  <c:v>0.18740301338843973</c:v>
                </c:pt>
                <c:pt idx="48">
                  <c:v>0.1860228631771233</c:v>
                </c:pt>
                <c:pt idx="49">
                  <c:v>0.18470738241498719</c:v>
                </c:pt>
                <c:pt idx="50">
                  <c:v>0.18345276701678562</c:v>
                </c:pt>
                <c:pt idx="51">
                  <c:v>0.1822555055192146</c:v>
                </c:pt>
                <c:pt idx="52">
                  <c:v>0.18111235147506868</c:v>
                </c:pt>
                <c:pt idx="53">
                  <c:v>0.18002029891471311</c:v>
                </c:pt>
                <c:pt idx="54">
                  <c:v>0.17897656048448657</c:v>
                </c:pt>
                <c:pt idx="55">
                  <c:v>0.17797854792741793</c:v>
                </c:pt>
                <c:pt idx="56">
                  <c:v>0.17702385461860407</c:v>
                </c:pt>
                <c:pt idx="57">
                  <c:v>0.17611023990727318</c:v>
                </c:pt>
                <c:pt idx="58">
                  <c:v>0.17523561505118052</c:v>
                </c:pt>
                <c:pt idx="59">
                  <c:v>0.17439803055756395</c:v>
                </c:pt>
                <c:pt idx="60">
                  <c:v>0.1735956647692527</c:v>
                </c:pt>
                <c:pt idx="61">
                  <c:v>0.17282681355534479</c:v>
                </c:pt>
                <c:pt idx="62">
                  <c:v>0.17208988098372582</c:v>
                </c:pt>
                <c:pt idx="63">
                  <c:v>0.17138337086803854</c:v>
                </c:pt>
                <c:pt idx="64">
                  <c:v>0.17070587909493218</c:v>
                </c:pt>
                <c:pt idx="65">
                  <c:v>0.17005608664883487</c:v>
                </c:pt>
                <c:pt idx="66">
                  <c:v>0.16943275326137311</c:v>
                </c:pt>
                <c:pt idx="67">
                  <c:v>0.16883471162113656</c:v>
                </c:pt>
                <c:pt idx="68">
                  <c:v>0.16826086208694141</c:v>
                </c:pt>
                <c:pt idx="69">
                  <c:v>0.16771016785424309</c:v>
                </c:pt>
                <c:pt idx="70">
                  <c:v>0.1671816505300206</c:v>
                </c:pt>
                <c:pt idx="71">
                  <c:v>0.16667438607642079</c:v>
                </c:pt>
                <c:pt idx="72">
                  <c:v>0.16618750108780159</c:v>
                </c:pt>
                <c:pt idx="73">
                  <c:v>0.16572016936963682</c:v>
                </c:pt>
                <c:pt idx="74">
                  <c:v>0.16527160879110828</c:v>
                </c:pt>
                <c:pt idx="75">
                  <c:v>0.16484107838617765</c:v>
                </c:pt>
                <c:pt idx="76">
                  <c:v>0.16442787568054892</c:v>
                </c:pt>
                <c:pt idx="77">
                  <c:v>0.16403133422424904</c:v>
                </c:pt>
                <c:pt idx="78">
                  <c:v>0.16365082131160716</c:v>
                </c:pt>
                <c:pt idx="79">
                  <c:v>0.16328573587223622</c:v>
                </c:pt>
                <c:pt idx="80">
                  <c:v>0.16293550651823721</c:v>
                </c:pt>
                <c:pt idx="81">
                  <c:v>0.16259958973429167</c:v>
                </c:pt>
                <c:pt idx="82">
                  <c:v>0.16227746819859046</c:v>
                </c:pt>
                <c:pt idx="83">
                  <c:v>0.1619686492236963</c:v>
                </c:pt>
              </c:numCache>
            </c:numRef>
          </c:yVal>
          <c:smooth val="0"/>
          <c:extLst>
            <c:ext xmlns:c16="http://schemas.microsoft.com/office/drawing/2014/chart" uri="{C3380CC4-5D6E-409C-BE32-E72D297353CC}">
              <c16:uniqueId val="{00000001-27EA-4FB4-85D5-FE89C5F711B0}"/>
            </c:ext>
          </c:extLst>
        </c:ser>
        <c:ser>
          <c:idx val="2"/>
          <c:order val="2"/>
          <c:tx>
            <c:strRef>
              <c:f>'Constraint Diagrams'!$R$2</c:f>
              <c:strCache>
                <c:ptCount val="1"/>
                <c:pt idx="0">
                  <c:v> T-O Distance</c:v>
                </c:pt>
              </c:strCache>
            </c:strRef>
          </c:tx>
          <c:spPr>
            <a:ln w="19050" cap="rnd">
              <a:solidFill>
                <a:schemeClr val="accent3"/>
              </a:solidFill>
              <a:prstDash val="sysDash"/>
              <a:round/>
            </a:ln>
            <a:effectLst/>
          </c:spPr>
          <c:marker>
            <c:symbol val="none"/>
          </c:marker>
          <c:xVal>
            <c:numRef>
              <c:f>'Constraint Diagrams'!$O$3:$O$86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Diagrams'!$R$3:$R$86</c:f>
              <c:numCache>
                <c:formatCode>General</c:formatCode>
                <c:ptCount val="84"/>
                <c:pt idx="0">
                  <c:v>3.7633380921690489E-2</c:v>
                </c:pt>
                <c:pt idx="1">
                  <c:v>4.1734348474397019E-2</c:v>
                </c:pt>
                <c:pt idx="2">
                  <c:v>4.5835316027103556E-2</c:v>
                </c:pt>
                <c:pt idx="3">
                  <c:v>4.993628357981008E-2</c:v>
                </c:pt>
                <c:pt idx="4">
                  <c:v>5.4037251132516624E-2</c:v>
                </c:pt>
                <c:pt idx="5">
                  <c:v>5.8138218685223161E-2</c:v>
                </c:pt>
                <c:pt idx="6">
                  <c:v>6.2239186237929692E-2</c:v>
                </c:pt>
                <c:pt idx="7">
                  <c:v>6.6340153790636222E-2</c:v>
                </c:pt>
                <c:pt idx="8">
                  <c:v>7.0441121343342752E-2</c:v>
                </c:pt>
                <c:pt idx="9">
                  <c:v>7.4542088896049269E-2</c:v>
                </c:pt>
                <c:pt idx="10">
                  <c:v>7.8643056448755813E-2</c:v>
                </c:pt>
                <c:pt idx="11">
                  <c:v>8.2744024001462357E-2</c:v>
                </c:pt>
                <c:pt idx="12">
                  <c:v>8.6844991554168874E-2</c:v>
                </c:pt>
                <c:pt idx="13">
                  <c:v>9.0945959106875418E-2</c:v>
                </c:pt>
                <c:pt idx="14">
                  <c:v>9.5046926659581935E-2</c:v>
                </c:pt>
                <c:pt idx="15">
                  <c:v>9.9147894212288479E-2</c:v>
                </c:pt>
                <c:pt idx="16">
                  <c:v>0.10324886176499502</c:v>
                </c:pt>
                <c:pt idx="17">
                  <c:v>0.10734982931770155</c:v>
                </c:pt>
                <c:pt idx="18">
                  <c:v>0.11145079687040807</c:v>
                </c:pt>
                <c:pt idx="19">
                  <c:v>0.11555176442311463</c:v>
                </c:pt>
                <c:pt idx="20">
                  <c:v>0.11965273197582113</c:v>
                </c:pt>
                <c:pt idx="21">
                  <c:v>0.12375369952852766</c:v>
                </c:pt>
                <c:pt idx="22">
                  <c:v>0.12785466708123419</c:v>
                </c:pt>
                <c:pt idx="23">
                  <c:v>0.13195563463394072</c:v>
                </c:pt>
                <c:pt idx="24">
                  <c:v>0.13605660218664725</c:v>
                </c:pt>
                <c:pt idx="25">
                  <c:v>0.14015756973935381</c:v>
                </c:pt>
                <c:pt idx="26">
                  <c:v>0.14425853729206031</c:v>
                </c:pt>
                <c:pt idx="27">
                  <c:v>0.14835950484476684</c:v>
                </c:pt>
                <c:pt idx="28">
                  <c:v>0.1524604723974734</c:v>
                </c:pt>
                <c:pt idx="29">
                  <c:v>0.15656143995017993</c:v>
                </c:pt>
                <c:pt idx="30">
                  <c:v>0.16066240750288646</c:v>
                </c:pt>
                <c:pt idx="31">
                  <c:v>0.16476337505559299</c:v>
                </c:pt>
                <c:pt idx="32">
                  <c:v>0.16886434260829952</c:v>
                </c:pt>
                <c:pt idx="33">
                  <c:v>0.17296531016100605</c:v>
                </c:pt>
                <c:pt idx="34">
                  <c:v>0.17706627771371261</c:v>
                </c:pt>
                <c:pt idx="35">
                  <c:v>0.18116724526641917</c:v>
                </c:pt>
                <c:pt idx="36">
                  <c:v>0.18526821281912564</c:v>
                </c:pt>
                <c:pt idx="37">
                  <c:v>0.18936918037183217</c:v>
                </c:pt>
                <c:pt idx="38">
                  <c:v>0.19347014792453873</c:v>
                </c:pt>
                <c:pt idx="39">
                  <c:v>0.19757111547724526</c:v>
                </c:pt>
                <c:pt idx="40">
                  <c:v>0.20167208302995177</c:v>
                </c:pt>
                <c:pt idx="41">
                  <c:v>0.20577305058265835</c:v>
                </c:pt>
                <c:pt idx="42">
                  <c:v>0.20987401813536485</c:v>
                </c:pt>
                <c:pt idx="43">
                  <c:v>0.21397498568807138</c:v>
                </c:pt>
                <c:pt idx="44">
                  <c:v>0.21807595324077789</c:v>
                </c:pt>
                <c:pt idx="45">
                  <c:v>0.22217692079348444</c:v>
                </c:pt>
                <c:pt idx="46">
                  <c:v>0.22627788834619098</c:v>
                </c:pt>
                <c:pt idx="47">
                  <c:v>0.23037885589889748</c:v>
                </c:pt>
                <c:pt idx="48">
                  <c:v>0.23447982345160406</c:v>
                </c:pt>
                <c:pt idx="49">
                  <c:v>0.23858079100431059</c:v>
                </c:pt>
                <c:pt idx="50">
                  <c:v>0.2426817585570171</c:v>
                </c:pt>
                <c:pt idx="51">
                  <c:v>0.24678272610972363</c:v>
                </c:pt>
                <c:pt idx="52">
                  <c:v>0.25088369366243013</c:v>
                </c:pt>
                <c:pt idx="53">
                  <c:v>0.25498466121513669</c:v>
                </c:pt>
                <c:pt idx="54">
                  <c:v>0.25908562876784319</c:v>
                </c:pt>
                <c:pt idx="55">
                  <c:v>0.26318659632054975</c:v>
                </c:pt>
                <c:pt idx="56">
                  <c:v>0.26728756387325631</c:v>
                </c:pt>
                <c:pt idx="57">
                  <c:v>0.27138853142596275</c:v>
                </c:pt>
                <c:pt idx="58">
                  <c:v>0.27548949897866937</c:v>
                </c:pt>
                <c:pt idx="59">
                  <c:v>0.27959046653137587</c:v>
                </c:pt>
                <c:pt idx="60">
                  <c:v>0.28369143408408248</c:v>
                </c:pt>
                <c:pt idx="61">
                  <c:v>0.28779240163678899</c:v>
                </c:pt>
                <c:pt idx="62">
                  <c:v>0.29189336918949549</c:v>
                </c:pt>
                <c:pt idx="63">
                  <c:v>0.29599433674220199</c:v>
                </c:pt>
                <c:pt idx="64">
                  <c:v>0.30009530429490855</c:v>
                </c:pt>
                <c:pt idx="65">
                  <c:v>0.30419627184761505</c:v>
                </c:pt>
                <c:pt idx="66">
                  <c:v>0.30829723940032161</c:v>
                </c:pt>
                <c:pt idx="67">
                  <c:v>0.31239820695302817</c:v>
                </c:pt>
                <c:pt idx="68">
                  <c:v>0.31649917450573467</c:v>
                </c:pt>
                <c:pt idx="69">
                  <c:v>0.32060014205844117</c:v>
                </c:pt>
                <c:pt idx="70">
                  <c:v>0.32470110961114768</c:v>
                </c:pt>
                <c:pt idx="71">
                  <c:v>0.32880207716385434</c:v>
                </c:pt>
                <c:pt idx="72">
                  <c:v>0.33290304471656079</c:v>
                </c:pt>
                <c:pt idx="73">
                  <c:v>0.33700401226926735</c:v>
                </c:pt>
                <c:pt idx="74">
                  <c:v>0.34110497982197385</c:v>
                </c:pt>
                <c:pt idx="75">
                  <c:v>0.34520594737468041</c:v>
                </c:pt>
                <c:pt idx="76">
                  <c:v>0.34930691492738697</c:v>
                </c:pt>
                <c:pt idx="77">
                  <c:v>0.35340788248009347</c:v>
                </c:pt>
                <c:pt idx="78">
                  <c:v>0.35750885003279997</c:v>
                </c:pt>
                <c:pt idx="79">
                  <c:v>0.36160981758550653</c:v>
                </c:pt>
                <c:pt idx="80">
                  <c:v>0.36571078513821298</c:v>
                </c:pt>
                <c:pt idx="81">
                  <c:v>0.36981175269091959</c:v>
                </c:pt>
                <c:pt idx="82">
                  <c:v>0.3739127202436261</c:v>
                </c:pt>
                <c:pt idx="83">
                  <c:v>0.37801368779633265</c:v>
                </c:pt>
              </c:numCache>
            </c:numRef>
          </c:yVal>
          <c:smooth val="0"/>
          <c:extLst>
            <c:ext xmlns:c16="http://schemas.microsoft.com/office/drawing/2014/chart" uri="{C3380CC4-5D6E-409C-BE32-E72D297353CC}">
              <c16:uniqueId val="{00000002-27EA-4FB4-85D5-FE89C5F711B0}"/>
            </c:ext>
          </c:extLst>
        </c:ser>
        <c:ser>
          <c:idx val="3"/>
          <c:order val="3"/>
          <c:tx>
            <c:strRef>
              <c:f>'Constraint Diagrams'!$S$2</c:f>
              <c:strCache>
                <c:ptCount val="1"/>
                <c:pt idx="0">
                  <c:v>Cruise Airspeed</c:v>
                </c:pt>
              </c:strCache>
            </c:strRef>
          </c:tx>
          <c:spPr>
            <a:ln w="19050" cap="rnd">
              <a:solidFill>
                <a:schemeClr val="accent4"/>
              </a:solidFill>
              <a:round/>
            </a:ln>
            <a:effectLst/>
          </c:spPr>
          <c:marker>
            <c:symbol val="none"/>
          </c:marker>
          <c:dPt>
            <c:idx val="46"/>
            <c:marker>
              <c:symbol val="circle"/>
              <c:size val="10"/>
              <c:spPr>
                <a:solidFill>
                  <a:schemeClr val="accent4"/>
                </a:solidFill>
                <a:ln w="9525">
                  <a:solidFill>
                    <a:schemeClr val="accent4"/>
                  </a:solidFill>
                </a:ln>
                <a:effectLst/>
              </c:spPr>
            </c:marker>
            <c:bubble3D val="0"/>
            <c:extLst>
              <c:ext xmlns:c16="http://schemas.microsoft.com/office/drawing/2014/chart" uri="{C3380CC4-5D6E-409C-BE32-E72D297353CC}">
                <c16:uniqueId val="{00000003-27EA-4FB4-85D5-FE89C5F711B0}"/>
              </c:ext>
            </c:extLst>
          </c:dPt>
          <c:dLbls>
            <c:dLbl>
              <c:idx val="46"/>
              <c:layout>
                <c:manualLayout>
                  <c:x val="-8.7109510401534376E-2"/>
                  <c:y val="-9.8387293301311129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EA-4FB4-85D5-FE89C5F711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'Constraint Diagrams'!$O$3:$O$86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Diagrams'!$S$3:$S$86</c:f>
              <c:numCache>
                <c:formatCode>General</c:formatCode>
                <c:ptCount val="84"/>
                <c:pt idx="0">
                  <c:v>7.7619266078874585</c:v>
                </c:pt>
                <c:pt idx="1">
                  <c:v>3.88111838041393</c:v>
                </c:pt>
                <c:pt idx="2">
                  <c:v>2.5875845607983972</c:v>
                </c:pt>
                <c:pt idx="3">
                  <c:v>1.9408693431473651</c:v>
                </c:pt>
                <c:pt idx="4">
                  <c:v>1.5528815662821325</c:v>
                </c:pt>
                <c:pt idx="5">
                  <c:v>1.2942575098097993</c:v>
                </c:pt>
                <c:pt idx="6">
                  <c:v>1.1095555792762664</c:v>
                </c:pt>
                <c:pt idx="7">
                  <c:v>0.97105497745448333</c:v>
                </c:pt>
                <c:pt idx="8">
                  <c:v>0.86335526144053354</c:v>
                </c:pt>
                <c:pt idx="9">
                  <c:v>0.77721616549206718</c:v>
                </c:pt>
                <c:pt idx="10">
                  <c:v>0.70675752050031582</c:v>
                </c:pt>
                <c:pt idx="11">
                  <c:v>0.64805921372610076</c:v>
                </c:pt>
                <c:pt idx="12">
                  <c:v>0.59840732096537541</c:v>
                </c:pt>
                <c:pt idx="13">
                  <c:v>0.5558633249295345</c:v>
                </c:pt>
                <c:pt idx="14">
                  <c:v>0.51900564627360124</c:v>
                </c:pt>
                <c:pt idx="15">
                  <c:v>0.48676810048884323</c:v>
                </c:pt>
                <c:pt idx="16">
                  <c:v>0.45833537000975855</c:v>
                </c:pt>
                <c:pt idx="17">
                  <c:v>0.43307331895206846</c:v>
                </c:pt>
                <c:pt idx="18">
                  <c:v>0.41048131372292124</c:v>
                </c:pt>
                <c:pt idx="19">
                  <c:v>0.39015884744803553</c:v>
                </c:pt>
                <c:pt idx="20">
                  <c:v>0.37178170027680224</c:v>
                </c:pt>
                <c:pt idx="21">
                  <c:v>0.35508460142236004</c:v>
                </c:pt>
                <c:pt idx="22">
                  <c:v>0.33984841414773587</c:v>
                </c:pt>
                <c:pt idx="23">
                  <c:v>0.32589052450545269</c:v>
                </c:pt>
                <c:pt idx="24">
                  <c:v>0.31305753677962955</c:v>
                </c:pt>
                <c:pt idx="25">
                  <c:v>0.30121965459529021</c:v>
                </c:pt>
                <c:pt idx="26">
                  <c:v>0.2902663106700476</c:v>
                </c:pt>
                <c:pt idx="27">
                  <c:v>0.28010273304756994</c:v>
                </c:pt>
                <c:pt idx="28">
                  <c:v>0.27064722176550232</c:v>
                </c:pt>
                <c:pt idx="29">
                  <c:v>0.26182897018980356</c:v>
                </c:pt>
                <c:pt idx="30">
                  <c:v>0.2535863080263091</c:v>
                </c:pt>
                <c:pt idx="31">
                  <c:v>0.2458652737676246</c:v>
                </c:pt>
                <c:pt idx="32">
                  <c:v>0.23861844669513119</c:v>
                </c:pt>
                <c:pt idx="33">
                  <c:v>0.23180398499828248</c:v>
                </c:pt>
                <c:pt idx="34">
                  <c:v>0.22538482878773755</c:v>
                </c:pt>
                <c:pt idx="35">
                  <c:v>0.21932803593963768</c:v>
                </c:pt>
                <c:pt idx="36">
                  <c:v>0.21360422564081169</c:v>
                </c:pt>
                <c:pt idx="37">
                  <c:v>0.20818710979526425</c:v>
                </c:pt>
                <c:pt idx="38">
                  <c:v>0.20305309652197398</c:v>
                </c:pt>
                <c:pt idx="39">
                  <c:v>0.19818095312802159</c:v>
                </c:pt>
                <c:pt idx="40">
                  <c:v>0.19355151840272372</c:v>
                </c:pt>
                <c:pt idx="41">
                  <c:v>0.18914745601260513</c:v>
                </c:pt>
                <c:pt idx="42">
                  <c:v>0.18495304230637427</c:v>
                </c:pt>
                <c:pt idx="43">
                  <c:v>0.18095398305558422</c:v>
                </c:pt>
                <c:pt idx="44">
                  <c:v>0.1771372546298722</c:v>
                </c:pt>
                <c:pt idx="45">
                  <c:v>0.17349096588847235</c:v>
                </c:pt>
                <c:pt idx="46">
                  <c:v>0.1700042377025987</c:v>
                </c:pt>
                <c:pt idx="47">
                  <c:v>0.16666709753753092</c:v>
                </c:pt>
                <c:pt idx="48">
                  <c:v>0.16347038694301555</c:v>
                </c:pt>
                <c:pt idx="49">
                  <c:v>0.16040568014481951</c:v>
                </c:pt>
                <c:pt idx="50">
                  <c:v>0.15746521221374749</c:v>
                </c:pt>
                <c:pt idx="51">
                  <c:v>0.15464181552285003</c:v>
                </c:pt>
                <c:pt idx="52">
                  <c:v>0.15192886339815498</c:v>
                </c:pt>
                <c:pt idx="53">
                  <c:v>0.14932022003042889</c:v>
                </c:pt>
                <c:pt idx="54">
                  <c:v>0.14681019585110985</c:v>
                </c:pt>
                <c:pt idx="55">
                  <c:v>0.1443935076893903</c:v>
                </c:pt>
                <c:pt idx="56">
                  <c:v>0.1420652431232913</c:v>
                </c:pt>
                <c:pt idx="57">
                  <c:v>0.13982082851855665</c:v>
                </c:pt>
                <c:pt idx="58">
                  <c:v>0.13765600031782879</c:v>
                </c:pt>
                <c:pt idx="59">
                  <c:v>0.13556677920090746</c:v>
                </c:pt>
                <c:pt idx="60">
                  <c:v>0.13354944678662181</c:v>
                </c:pt>
                <c:pt idx="61">
                  <c:v>0.13160052458936042</c:v>
                </c:pt>
                <c:pt idx="62">
                  <c:v>0.12971675497974117</c:v>
                </c:pt>
                <c:pt idx="63">
                  <c:v>0.12789508393021842</c:v>
                </c:pt>
                <c:pt idx="64">
                  <c:v>0.12613264535340302</c:v>
                </c:pt>
                <c:pt idx="65">
                  <c:v>0.12442674686417191</c:v>
                </c:pt>
                <c:pt idx="66">
                  <c:v>0.12277485681681237</c:v>
                </c:pt>
                <c:pt idx="67">
                  <c:v>0.12117459248594772</c:v>
                </c:pt>
                <c:pt idx="68">
                  <c:v>0.11962370927520864</c:v>
                </c:pt>
                <c:pt idx="69">
                  <c:v>0.11812009085087544</c:v>
                </c:pt>
                <c:pt idx="70">
                  <c:v>0.11666174010929718</c:v>
                </c:pt>
                <c:pt idx="71">
                  <c:v>0.11524677089702567</c:v>
                </c:pt>
                <c:pt idx="72">
                  <c:v>0.11387340041148679</c:v>
                </c:pt>
                <c:pt idx="73">
                  <c:v>0.11253994221781288</c:v>
                </c:pt>
                <c:pt idx="74">
                  <c:v>0.11124479982432942</c:v>
                </c:pt>
                <c:pt idx="75">
                  <c:v>0.10998646076523937</c:v>
                </c:pt>
                <c:pt idx="76">
                  <c:v>0.10876349114439755</c:v>
                </c:pt>
                <c:pt idx="77">
                  <c:v>0.1075745305987944</c:v>
                </c:pt>
                <c:pt idx="78">
                  <c:v>0.10641828764456013</c:v>
                </c:pt>
                <c:pt idx="79">
                  <c:v>0.10529353537201838</c:v>
                </c:pt>
                <c:pt idx="80">
                  <c:v>0.10419910745962496</c:v>
                </c:pt>
                <c:pt idx="81">
                  <c:v>0.10313389447956967</c:v>
                </c:pt>
                <c:pt idx="82">
                  <c:v>0.10209684047044257</c:v>
                </c:pt>
                <c:pt idx="83">
                  <c:v>0.10108693975471054</c:v>
                </c:pt>
              </c:numCache>
            </c:numRef>
          </c:yVal>
          <c:smooth val="0"/>
          <c:extLst>
            <c:ext xmlns:c16="http://schemas.microsoft.com/office/drawing/2014/chart" uri="{C3380CC4-5D6E-409C-BE32-E72D297353CC}">
              <c16:uniqueId val="{00000004-27EA-4FB4-85D5-FE89C5F711B0}"/>
            </c:ext>
          </c:extLst>
        </c:ser>
        <c:ser>
          <c:idx val="4"/>
          <c:order val="4"/>
          <c:tx>
            <c:strRef>
              <c:f>'Constraint Diagrams'!$T$2</c:f>
              <c:strCache>
                <c:ptCount val="1"/>
                <c:pt idx="0">
                  <c:v>Service Ceiling</c:v>
                </c:pt>
              </c:strCache>
            </c:strRef>
          </c:tx>
          <c:spPr>
            <a:ln w="19050" cap="rnd">
              <a:solidFill>
                <a:schemeClr val="accent5"/>
              </a:solidFill>
              <a:round/>
            </a:ln>
            <a:effectLst/>
          </c:spPr>
          <c:marker>
            <c:symbol val="none"/>
          </c:marker>
          <c:xVal>
            <c:numRef>
              <c:f>'Constraint Diagrams'!$O$3:$O$86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Diagrams'!$T$3:$T$86</c:f>
              <c:numCache>
                <c:formatCode>General</c:formatCode>
                <c:ptCount val="84"/>
                <c:pt idx="0">
                  <c:v>0.14930217034252433</c:v>
                </c:pt>
                <c:pt idx="1">
                  <c:v>0.12811491486353938</c:v>
                </c:pt>
                <c:pt idx="2">
                  <c:v>0.11872861230290632</c:v>
                </c:pt>
                <c:pt idx="3">
                  <c:v>0.11313326283961722</c:v>
                </c:pt>
                <c:pt idx="4">
                  <c:v>0.10931480967607109</c:v>
                </c:pt>
                <c:pt idx="5">
                  <c:v>0.10649614464872494</c:v>
                </c:pt>
                <c:pt idx="6">
                  <c:v>0.10430547946402165</c:v>
                </c:pt>
                <c:pt idx="7">
                  <c:v>0.10253963510012473</c:v>
                </c:pt>
                <c:pt idx="8">
                  <c:v>0.10107696033864819</c:v>
                </c:pt>
                <c:pt idx="9">
                  <c:v>9.9839580974538031E-2</c:v>
                </c:pt>
                <c:pt idx="10">
                  <c:v>9.8775027202930687E-2</c:v>
                </c:pt>
                <c:pt idx="11">
                  <c:v>9.7846483819808205E-2</c:v>
                </c:pt>
                <c:pt idx="12">
                  <c:v>9.702725542582484E-2</c:v>
                </c:pt>
                <c:pt idx="13">
                  <c:v>9.6297449612395239E-2</c:v>
                </c:pt>
                <c:pt idx="14">
                  <c:v>9.5641898857946869E-2</c:v>
                </c:pt>
                <c:pt idx="15">
                  <c:v>9.5048809088163669E-2</c:v>
                </c:pt>
                <c:pt idx="16">
                  <c:v>9.4508852512907887E-2</c:v>
                </c:pt>
                <c:pt idx="17">
                  <c:v>9.4014541845653193E-2</c:v>
                </c:pt>
                <c:pt idx="18">
                  <c:v>9.3559788252861917E-2</c:v>
                </c:pt>
                <c:pt idx="19">
                  <c:v>9.3139582506390595E-2</c:v>
                </c:pt>
                <c:pt idx="20">
                  <c:v>9.2749760711560394E-2</c:v>
                </c:pt>
                <c:pt idx="21">
                  <c:v>9.2386829315549326E-2</c:v>
                </c:pt>
                <c:pt idx="22">
                  <c:v>9.2047832446816538E-2</c:v>
                </c:pt>
                <c:pt idx="23">
                  <c:v>9.1730249992717533E-2</c:v>
                </c:pt>
                <c:pt idx="24">
                  <c:v>9.1431918337872939E-2</c:v>
                </c:pt>
                <c:pt idx="25">
                  <c:v>9.1150968039991315E-2</c:v>
                </c:pt>
                <c:pt idx="26">
                  <c:v>9.0885774325442176E-2</c:v>
                </c:pt>
                <c:pt idx="27">
                  <c:v>9.0634917400365889E-2</c:v>
                </c:pt>
                <c:pt idx="28">
                  <c:v>9.039715035720379E-2</c:v>
                </c:pt>
                <c:pt idx="29">
                  <c:v>9.0171373016483494E-2</c:v>
                </c:pt>
                <c:pt idx="30">
                  <c:v>8.9956610448786334E-2</c:v>
                </c:pt>
                <c:pt idx="31">
                  <c:v>8.975199521841741E-2</c:v>
                </c:pt>
                <c:pt idx="32">
                  <c:v>8.9556752609879151E-2</c:v>
                </c:pt>
                <c:pt idx="33">
                  <c:v>8.9370188262507783E-2</c:v>
                </c:pt>
                <c:pt idx="34">
                  <c:v>8.9191677762695751E-2</c:v>
                </c:pt>
                <c:pt idx="35">
                  <c:v>8.9020657837679151E-2</c:v>
                </c:pt>
                <c:pt idx="36">
                  <c:v>8.885661886754824E-2</c:v>
                </c:pt>
                <c:pt idx="37">
                  <c:v>8.8699098488447495E-2</c:v>
                </c:pt>
                <c:pt idx="38">
                  <c:v>8.8547676103885073E-2</c:v>
                </c:pt>
                <c:pt idx="39">
                  <c:v>8.8401968155624081E-2</c:v>
                </c:pt>
                <c:pt idx="40">
                  <c:v>8.8261624032970165E-2</c:v>
                </c:pt>
                <c:pt idx="41">
                  <c:v>8.8126322521045325E-2</c:v>
                </c:pt>
                <c:pt idx="42">
                  <c:v>8.7995768706081209E-2</c:v>
                </c:pt>
                <c:pt idx="43">
                  <c:v>8.7869691269820388E-2</c:v>
                </c:pt>
                <c:pt idx="44">
                  <c:v>8.7747840116497097E-2</c:v>
                </c:pt>
                <c:pt idx="45">
                  <c:v>8.7629984285138421E-2</c:v>
                </c:pt>
                <c:pt idx="46">
                  <c:v>8.7515910107509462E-2</c:v>
                </c:pt>
                <c:pt idx="47">
                  <c:v>8.7405419578259147E-2</c:v>
                </c:pt>
                <c:pt idx="48">
                  <c:v>8.7298328908969283E-2</c:v>
                </c:pt>
                <c:pt idx="49">
                  <c:v>8.7194467242075954E-2</c:v>
                </c:pt>
                <c:pt idx="50">
                  <c:v>8.7093675504184509E-2</c:v>
                </c:pt>
                <c:pt idx="51">
                  <c:v>8.6995805381267485E-2</c:v>
                </c:pt>
                <c:pt idx="52">
                  <c:v>8.6900718400724677E-2</c:v>
                </c:pt>
                <c:pt idx="53">
                  <c:v>8.6808285107381727E-2</c:v>
                </c:pt>
                <c:pt idx="54">
                  <c:v>8.6718384322272399E-2</c:v>
                </c:pt>
                <c:pt idx="55">
                  <c:v>8.6630902474552671E-2</c:v>
                </c:pt>
                <c:pt idx="56">
                  <c:v>8.6545732998168728E-2</c:v>
                </c:pt>
                <c:pt idx="57">
                  <c:v>8.6462775785990084E-2</c:v>
                </c:pt>
                <c:pt idx="58">
                  <c:v>8.6381936695049344E-2</c:v>
                </c:pt>
                <c:pt idx="59">
                  <c:v>8.6303127097328486E-2</c:v>
                </c:pt>
                <c:pt idx="60">
                  <c:v>8.6226263471217576E-2</c:v>
                </c:pt>
                <c:pt idx="61">
                  <c:v>8.6151267029364792E-2</c:v>
                </c:pt>
                <c:pt idx="62">
                  <c:v>8.6078063379147293E-2</c:v>
                </c:pt>
                <c:pt idx="63">
                  <c:v>8.6006582212436886E-2</c:v>
                </c:pt>
                <c:pt idx="64">
                  <c:v>8.5936757021719518E-2</c:v>
                </c:pt>
                <c:pt idx="65">
                  <c:v>8.5868524839962934E-2</c:v>
                </c:pt>
                <c:pt idx="66">
                  <c:v>8.5801826001919615E-2</c:v>
                </c:pt>
                <c:pt idx="67">
                  <c:v>8.5736603924808988E-2</c:v>
                </c:pt>
                <c:pt idx="68">
                  <c:v>8.5672804906545622E-2</c:v>
                </c:pt>
                <c:pt idx="69">
                  <c:v>8.5610377939878898E-2</c:v>
                </c:pt>
                <c:pt idx="70">
                  <c:v>8.5549274540982143E-2</c:v>
                </c:pt>
                <c:pt idx="71">
                  <c:v>8.5489448591181641E-2</c:v>
                </c:pt>
                <c:pt idx="72">
                  <c:v>8.5430856190652063E-2</c:v>
                </c:pt>
                <c:pt idx="73">
                  <c:v>8.5373455523023223E-2</c:v>
                </c:pt>
                <c:pt idx="74">
                  <c:v>8.531720672994933E-2</c:v>
                </c:pt>
                <c:pt idx="75">
                  <c:v>8.526207179478601E-2</c:v>
                </c:pt>
                <c:pt idx="76">
                  <c:v>8.5208014434603338E-2</c:v>
                </c:pt>
                <c:pt idx="77">
                  <c:v>8.5154999999838499E-2</c:v>
                </c:pt>
                <c:pt idx="78">
                  <c:v>8.5102995380956781E-2</c:v>
                </c:pt>
                <c:pt idx="79">
                  <c:v>8.5051968921550355E-2</c:v>
                </c:pt>
                <c:pt idx="80">
                  <c:v>8.5001890337356126E-2</c:v>
                </c:pt>
                <c:pt idx="81">
                  <c:v>8.4952730640722118E-2</c:v>
                </c:pt>
                <c:pt idx="82">
                  <c:v>8.4904462070094416E-2</c:v>
                </c:pt>
                <c:pt idx="83">
                  <c:v>8.4857058024135262E-2</c:v>
                </c:pt>
              </c:numCache>
            </c:numRef>
          </c:yVal>
          <c:smooth val="0"/>
          <c:extLst>
            <c:ext xmlns:c16="http://schemas.microsoft.com/office/drawing/2014/chart" uri="{C3380CC4-5D6E-409C-BE32-E72D297353CC}">
              <c16:uniqueId val="{00000005-27EA-4FB4-85D5-FE89C5F711B0}"/>
            </c:ext>
          </c:extLst>
        </c:ser>
        <c:dLbls>
          <c:showLegendKey val="0"/>
          <c:showVal val="0"/>
          <c:showCatName val="0"/>
          <c:showSerName val="0"/>
          <c:showPercent val="0"/>
          <c:showBubbleSize val="0"/>
        </c:dLbls>
        <c:axId val="1229191560"/>
        <c:axId val="1229191200"/>
      </c:scatterChart>
      <c:valAx>
        <c:axId val="122919156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191200"/>
        <c:crosses val="autoZero"/>
        <c:crossBetween val="midCat"/>
      </c:valAx>
      <c:valAx>
        <c:axId val="1229191200"/>
        <c:scaling>
          <c:orientation val="minMax"/>
          <c:max val="1"/>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191560"/>
        <c:crosses val="autoZero"/>
        <c:crossBetween val="midCat"/>
      </c:valAx>
      <c:spPr>
        <a:noFill/>
        <a:ln>
          <a:noFill/>
        </a:ln>
        <a:effectLst/>
      </c:spPr>
    </c:plotArea>
    <c:legend>
      <c:legendPos val="r"/>
      <c:layout>
        <c:manualLayout>
          <c:xMode val="edge"/>
          <c:yMode val="edge"/>
          <c:x val="0.65011530567402631"/>
          <c:y val="0.17449639322745486"/>
          <c:w val="0.26906711001048705"/>
          <c:h val="0.273540750811510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751083562107184"/>
          <c:y val="0.13329516892983653"/>
          <c:w val="0.85963076293784957"/>
          <c:h val="0.70741438335813167"/>
        </c:manualLayout>
      </c:layout>
      <c:scatterChart>
        <c:scatterStyle val="lineMarker"/>
        <c:varyColors val="0"/>
        <c:ser>
          <c:idx val="0"/>
          <c:order val="0"/>
          <c:tx>
            <c:strRef>
              <c:f>'Constraint Diagrams'!$W$2</c:f>
              <c:strCache>
                <c:ptCount val="1"/>
                <c:pt idx="0">
                  <c:v>Constant Velocity Turn</c:v>
                </c:pt>
              </c:strCache>
            </c:strRef>
          </c:tx>
          <c:spPr>
            <a:ln w="38100" cap="rnd">
              <a:solidFill>
                <a:schemeClr val="accent1"/>
              </a:solidFill>
              <a:round/>
            </a:ln>
            <a:effectLst/>
          </c:spPr>
          <c:marker>
            <c:symbol val="none"/>
          </c:marker>
          <c:xVal>
            <c:numRef>
              <c:f>'Constraint Diagrams'!$V$3:$V$86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Diagrams'!$W$3:$W$86</c:f>
              <c:numCache>
                <c:formatCode>General</c:formatCode>
                <c:ptCount val="84"/>
                <c:pt idx="0">
                  <c:v>79555.126272953261</c:v>
                </c:pt>
                <c:pt idx="1">
                  <c:v>39795.106568556759</c:v>
                </c:pt>
                <c:pt idx="2">
                  <c:v>26549.563748015778</c:v>
                </c:pt>
                <c:pt idx="3">
                  <c:v>19932.640148438662</c:v>
                </c:pt>
                <c:pt idx="4">
                  <c:v>15967.164237247098</c:v>
                </c:pt>
                <c:pt idx="5">
                  <c:v>13327.41217024831</c:v>
                </c:pt>
                <c:pt idx="6">
                  <c:v>11445.21658564539</c:v>
                </c:pt>
                <c:pt idx="7">
                  <c:v>10036.493802539893</c:v>
                </c:pt>
                <c:pt idx="8">
                  <c:v>8943.4195537660071</c:v>
                </c:pt>
                <c:pt idx="9">
                  <c:v>8071.2992790242497</c:v>
                </c:pt>
                <c:pt idx="10">
                  <c:v>7359.8728035785871</c:v>
                </c:pt>
                <c:pt idx="11">
                  <c:v>6768.9666776049953</c:v>
                </c:pt>
                <c:pt idx="12">
                  <c:v>6270.7685127637642</c:v>
                </c:pt>
                <c:pt idx="13">
                  <c:v>5845.4123173836761</c:v>
                </c:pt>
                <c:pt idx="14">
                  <c:v>5478.3296975724998</c:v>
                </c:pt>
                <c:pt idx="15">
                  <c:v>5158.5943579110663</c:v>
                </c:pt>
                <c:pt idx="16">
                  <c:v>4877.8508960200088</c:v>
                </c:pt>
                <c:pt idx="17">
                  <c:v>4629.6006656042646</c:v>
                </c:pt>
                <c:pt idx="18">
                  <c:v>4408.7131564308875</c:v>
                </c:pt>
                <c:pt idx="19">
                  <c:v>4211.0839603135264</c:v>
                </c:pt>
                <c:pt idx="20">
                  <c:v>4033.390461101319</c:v>
                </c:pt>
                <c:pt idx="21">
                  <c:v>3872.9141546708343</c:v>
                </c:pt>
                <c:pt idx="22">
                  <c:v>3727.4093202244585</c:v>
                </c:pt>
                <c:pt idx="23">
                  <c:v>3595.0045237641798</c:v>
                </c:pt>
                <c:pt idx="24">
                  <c:v>3474.1277607316611</c:v>
                </c:pt>
                <c:pt idx="25">
                  <c:v>3363.4488734237034</c:v>
                </c:pt>
                <c:pt idx="26">
                  <c:v>3261.834764537577</c:v>
                </c:pt>
                <c:pt idx="27">
                  <c:v>3168.3142078137994</c:v>
                </c:pt>
                <c:pt idx="28">
                  <c:v>3082.0499392355764</c:v>
                </c:pt>
                <c:pt idx="29">
                  <c:v>3002.3163299883518</c:v>
                </c:pt>
                <c:pt idx="30">
                  <c:v>2928.4813807820296</c:v>
                </c:pt>
                <c:pt idx="31">
                  <c:v>2859.9920922377746</c:v>
                </c:pt>
                <c:pt idx="32">
                  <c:v>2796.3624952044916</c:v>
                </c:pt>
                <c:pt idx="33">
                  <c:v>2737.1637933723864</c:v>
                </c:pt>
                <c:pt idx="34">
                  <c:v>2682.0161957242167</c:v>
                </c:pt>
                <c:pt idx="35">
                  <c:v>2630.5821102446539</c:v>
                </c:pt>
                <c:pt idx="36">
                  <c:v>2582.5604413524597</c:v>
                </c:pt>
                <c:pt idx="37">
                  <c:v>2537.6817877381059</c:v>
                </c:pt>
                <c:pt idx="38">
                  <c:v>2495.7043789956037</c:v>
                </c:pt>
                <c:pt idx="39">
                  <c:v>2456.4106217595649</c:v>
                </c:pt>
                <c:pt idx="40">
                  <c:v>2419.6041512856136</c:v>
                </c:pt>
                <c:pt idx="41">
                  <c:v>2385.1073042336016</c:v>
                </c:pt>
                <c:pt idx="42">
                  <c:v>2352.7589440857168</c:v>
                </c:pt>
                <c:pt idx="43">
                  <c:v>2322.412583098499</c:v>
                </c:pt>
                <c:pt idx="44">
                  <c:v>2293.9347546612362</c:v>
                </c:pt>
                <c:pt idx="45">
                  <c:v>2267.2035979554516</c:v>
                </c:pt>
                <c:pt idx="46">
                  <c:v>2242.1076232961595</c:v>
                </c:pt>
                <c:pt idx="47">
                  <c:v>2218.5446318054519</c:v>
                </c:pt>
                <c:pt idx="48">
                  <c:v>2196.4207673709675</c:v>
                </c:pt>
                <c:pt idx="49">
                  <c:v>2175.6496823693328</c:v>
                </c:pt>
                <c:pt idx="50">
                  <c:v>2156.1518015397924</c:v>
                </c:pt>
                <c:pt idx="51">
                  <c:v>2137.8536707954945</c:v>
                </c:pt>
                <c:pt idx="52">
                  <c:v>2120.6873797542548</c:v>
                </c:pt>
                <c:pt idx="53">
                  <c:v>2104.5900484325716</c:v>
                </c:pt>
                <c:pt idx="54">
                  <c:v>2089.5033699366491</c:v>
                </c:pt>
                <c:pt idx="55">
                  <c:v>2075.3732021508226</c:v>
                </c:pt>
                <c:pt idx="56">
                  <c:v>2062.1492024061395</c:v>
                </c:pt>
                <c:pt idx="57">
                  <c:v>2049.7844999418508</c:v>
                </c:pt>
                <c:pt idx="58">
                  <c:v>2038.2354016759032</c:v>
                </c:pt>
                <c:pt idx="59">
                  <c:v>2027.4611273983789</c:v>
                </c:pt>
                <c:pt idx="60">
                  <c:v>2017.423571011487</c:v>
                </c:pt>
                <c:pt idx="61">
                  <c:v>2008.087084875358</c:v>
                </c:pt>
                <c:pt idx="62">
                  <c:v>1999.418284692337</c:v>
                </c:pt>
                <c:pt idx="63">
                  <c:v>1991.3858726833707</c:v>
                </c:pt>
                <c:pt idx="64">
                  <c:v>1983.9604770865806</c:v>
                </c:pt>
                <c:pt idx="65">
                  <c:v>1977.1145062468693</c:v>
                </c:pt>
                <c:pt idx="66">
                  <c:v>1970.822015772126</c:v>
                </c:pt>
                <c:pt idx="67">
                  <c:v>1965.058587410957</c:v>
                </c:pt>
                <c:pt idx="68">
                  <c:v>1959.8012184627707</c:v>
                </c:pt>
                <c:pt idx="69">
                  <c:v>1955.028220667012</c:v>
                </c:pt>
                <c:pt idx="70">
                  <c:v>1950.7191276369579</c:v>
                </c:pt>
                <c:pt idx="71">
                  <c:v>1946.8546100073704</c:v>
                </c:pt>
                <c:pt idx="72">
                  <c:v>1943.4163975563135</c:v>
                </c:pt>
                <c:pt idx="73">
                  <c:v>1940.3872076414139</c:v>
                </c:pt>
                <c:pt idx="74">
                  <c:v>1937.7506793612254</c:v>
                </c:pt>
                <c:pt idx="75">
                  <c:v>1935.491312914377</c:v>
                </c:pt>
                <c:pt idx="76">
                  <c:v>1933.5944136839862</c:v>
                </c:pt>
                <c:pt idx="77">
                  <c:v>1932.046040623266</c:v>
                </c:pt>
                <c:pt idx="78">
                  <c:v>1930.8329585612159</c:v>
                </c:pt>
                <c:pt idx="79">
                  <c:v>1929.9425940853866</c:v>
                </c:pt>
                <c:pt idx="80">
                  <c:v>1929.3629946925839</c:v>
                </c:pt>
                <c:pt idx="81">
                  <c:v>1929.0827909285513</c:v>
                </c:pt>
                <c:pt idx="82">
                  <c:v>1929.0911612645375</c:v>
                </c:pt>
                <c:pt idx="83">
                  <c:v>1929.3777994826851</c:v>
                </c:pt>
              </c:numCache>
            </c:numRef>
          </c:yVal>
          <c:smooth val="0"/>
          <c:extLst>
            <c:ext xmlns:c16="http://schemas.microsoft.com/office/drawing/2014/chart" uri="{C3380CC4-5D6E-409C-BE32-E72D297353CC}">
              <c16:uniqueId val="{00000000-E762-4254-8D05-C959C77DCBAB}"/>
            </c:ext>
          </c:extLst>
        </c:ser>
        <c:ser>
          <c:idx val="3"/>
          <c:order val="1"/>
          <c:tx>
            <c:strRef>
              <c:f>'Constraint Diagrams'!$Z$2</c:f>
              <c:strCache>
                <c:ptCount val="1"/>
                <c:pt idx="0">
                  <c:v>Cruise Airspeed</c:v>
                </c:pt>
              </c:strCache>
            </c:strRef>
          </c:tx>
          <c:spPr>
            <a:ln w="38100" cap="rnd">
              <a:solidFill>
                <a:schemeClr val="accent4"/>
              </a:solidFill>
              <a:round/>
            </a:ln>
            <a:effectLst/>
          </c:spPr>
          <c:marker>
            <c:symbol val="none"/>
          </c:marker>
          <c:xVal>
            <c:numRef>
              <c:f>'Constraint Diagrams'!$V$3:$V$86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Diagrams'!$Z$3:$Z$86</c:f>
              <c:numCache>
                <c:formatCode>General</c:formatCode>
                <c:ptCount val="84"/>
                <c:pt idx="0">
                  <c:v>146506.36472387577</c:v>
                </c:pt>
                <c:pt idx="1">
                  <c:v>73256.109430312921</c:v>
                </c:pt>
                <c:pt idx="2">
                  <c:v>48840.658585069745</c:v>
                </c:pt>
                <c:pt idx="3">
                  <c:v>36633.908851906519</c:v>
                </c:pt>
                <c:pt idx="4">
                  <c:v>29310.639563575249</c:v>
                </c:pt>
                <c:pt idx="5">
                  <c:v>24429.11049765996</c:v>
                </c:pt>
                <c:pt idx="6">
                  <c:v>20942.861558839526</c:v>
                </c:pt>
                <c:pt idx="7">
                  <c:v>18328.662699453373</c:v>
                </c:pt>
                <c:pt idx="8">
                  <c:v>16295.83055969007</c:v>
                </c:pt>
                <c:pt idx="9">
                  <c:v>14669.955123662769</c:v>
                </c:pt>
                <c:pt idx="10">
                  <c:v>13340.048199443461</c:v>
                </c:pt>
                <c:pt idx="11">
                  <c:v>12232.117659080151</c:v>
                </c:pt>
                <c:pt idx="12">
                  <c:v>11294.93818322146</c:v>
                </c:pt>
                <c:pt idx="13">
                  <c:v>10491.920258044964</c:v>
                </c:pt>
                <c:pt idx="14">
                  <c:v>9796.231573414223</c:v>
                </c:pt>
                <c:pt idx="15">
                  <c:v>9187.7478967269162</c:v>
                </c:pt>
                <c:pt idx="16">
                  <c:v>8651.080108934193</c:v>
                </c:pt>
                <c:pt idx="17">
                  <c:v>8174.2588952202923</c:v>
                </c:pt>
                <c:pt idx="18">
                  <c:v>7747.8347965201383</c:v>
                </c:pt>
                <c:pt idx="19">
                  <c:v>7364.2482455816707</c:v>
                </c:pt>
                <c:pt idx="20">
                  <c:v>7017.379592724642</c:v>
                </c:pt>
                <c:pt idx="21">
                  <c:v>6702.2218518470454</c:v>
                </c:pt>
                <c:pt idx="22">
                  <c:v>6414.6388170385144</c:v>
                </c:pt>
                <c:pt idx="23">
                  <c:v>6151.1836500404197</c:v>
                </c:pt>
                <c:pt idx="24">
                  <c:v>5908.9610067155081</c:v>
                </c:pt>
                <c:pt idx="25">
                  <c:v>5685.5209804861024</c:v>
                </c:pt>
                <c:pt idx="26">
                  <c:v>5478.7766138971483</c:v>
                </c:pt>
                <c:pt idx="27">
                  <c:v>5286.9390862728824</c:v>
                </c:pt>
                <c:pt idx="28">
                  <c:v>5108.4663108238565</c:v>
                </c:pt>
                <c:pt idx="29">
                  <c:v>4942.0218123325421</c:v>
                </c:pt>
                <c:pt idx="30">
                  <c:v>4786.4415639965846</c:v>
                </c:pt>
                <c:pt idx="31">
                  <c:v>4640.7070423639143</c:v>
                </c:pt>
                <c:pt idx="32">
                  <c:v>4503.923181370601</c:v>
                </c:pt>
                <c:pt idx="33">
                  <c:v>4375.3002168425819</c:v>
                </c:pt>
                <c:pt idx="34">
                  <c:v>4254.1386433685466</c:v>
                </c:pt>
                <c:pt idx="35">
                  <c:v>4139.8166783606612</c:v>
                </c:pt>
                <c:pt idx="36">
                  <c:v>4031.7797589703205</c:v>
                </c:pt>
                <c:pt idx="37">
                  <c:v>3929.5316973856129</c:v>
                </c:pt>
                <c:pt idx="38">
                  <c:v>3832.6271968522587</c:v>
                </c:pt>
                <c:pt idx="39">
                  <c:v>3740.6654902914074</c:v>
                </c:pt>
                <c:pt idx="40">
                  <c:v>3653.2849098514102</c:v>
                </c:pt>
                <c:pt idx="41">
                  <c:v>3570.1582322379218</c:v>
                </c:pt>
                <c:pt idx="42">
                  <c:v>3490.9886735328146</c:v>
                </c:pt>
                <c:pt idx="43">
                  <c:v>3415.5064301741522</c:v>
                </c:pt>
                <c:pt idx="44">
                  <c:v>3343.4656811388377</c:v>
                </c:pt>
                <c:pt idx="45">
                  <c:v>3274.6419811449155</c:v>
                </c:pt>
                <c:pt idx="46">
                  <c:v>3208.8299866365505</c:v>
                </c:pt>
                <c:pt idx="47">
                  <c:v>3145.841466020896</c:v>
                </c:pt>
                <c:pt idx="48">
                  <c:v>3085.5035535494185</c:v>
                </c:pt>
                <c:pt idx="49">
                  <c:v>3027.6572127334684</c:v>
                </c:pt>
                <c:pt idx="50">
                  <c:v>2972.1558805344839</c:v>
                </c:pt>
                <c:pt idx="51">
                  <c:v>2918.8642679937943</c:v>
                </c:pt>
                <c:pt idx="52">
                  <c:v>2867.6572966401754</c:v>
                </c:pt>
                <c:pt idx="53">
                  <c:v>2818.4191530743451</c:v>
                </c:pt>
                <c:pt idx="54">
                  <c:v>2771.0424466896984</c:v>
                </c:pt>
                <c:pt idx="55">
                  <c:v>2725.4274576372418</c:v>
                </c:pt>
                <c:pt idx="56">
                  <c:v>2681.4814639521232</c:v>
                </c:pt>
                <c:pt idx="57">
                  <c:v>2639.1181382877567</c:v>
                </c:pt>
                <c:pt idx="58">
                  <c:v>2598.2570059990185</c:v>
                </c:pt>
                <c:pt idx="59">
                  <c:v>2558.8229574171282</c:v>
                </c:pt>
                <c:pt idx="60">
                  <c:v>2520.7458080974866</c:v>
                </c:pt>
                <c:pt idx="61">
                  <c:v>2483.9599016241777</c:v>
                </c:pt>
                <c:pt idx="62">
                  <c:v>2448.4037502426145</c:v>
                </c:pt>
                <c:pt idx="63">
                  <c:v>2414.0197091828727</c:v>
                </c:pt>
                <c:pt idx="64">
                  <c:v>2380.7536810454822</c:v>
                </c:pt>
                <c:pt idx="65">
                  <c:v>2348.5548470612448</c:v>
                </c:pt>
                <c:pt idx="66">
                  <c:v>2317.3754224173335</c:v>
                </c:pt>
                <c:pt idx="67">
                  <c:v>2287.1704331722631</c:v>
                </c:pt>
                <c:pt idx="68">
                  <c:v>2257.8975125695633</c:v>
                </c:pt>
                <c:pt idx="69">
                  <c:v>2229.5167148102737</c:v>
                </c:pt>
                <c:pt idx="70">
                  <c:v>2201.9903445629843</c:v>
                </c:pt>
                <c:pt idx="71">
                  <c:v>2175.2828006813597</c:v>
                </c:pt>
                <c:pt idx="72">
                  <c:v>2149.3604327668131</c:v>
                </c:pt>
                <c:pt idx="73">
                  <c:v>2124.1914093612181</c:v>
                </c:pt>
                <c:pt idx="74">
                  <c:v>2099.7455966842176</c:v>
                </c:pt>
                <c:pt idx="75">
                  <c:v>2075.9944469438929</c:v>
                </c:pt>
                <c:pt idx="76">
                  <c:v>2052.9108953505038</c:v>
                </c:pt>
                <c:pt idx="77">
                  <c:v>2030.4692650522443</c:v>
                </c:pt>
                <c:pt idx="78">
                  <c:v>2008.6451792910725</c:v>
                </c:pt>
                <c:pt idx="79">
                  <c:v>1987.4154801468469</c:v>
                </c:pt>
                <c:pt idx="80">
                  <c:v>1966.7581533004211</c:v>
                </c:pt>
                <c:pt idx="81">
                  <c:v>1946.6522583018775</c:v>
                </c:pt>
                <c:pt idx="82">
                  <c:v>1927.0778638796035</c:v>
                </c:pt>
                <c:pt idx="83">
                  <c:v>1908.0159878701616</c:v>
                </c:pt>
              </c:numCache>
            </c:numRef>
          </c:yVal>
          <c:smooth val="0"/>
          <c:extLst>
            <c:ext xmlns:c16="http://schemas.microsoft.com/office/drawing/2014/chart" uri="{C3380CC4-5D6E-409C-BE32-E72D297353CC}">
              <c16:uniqueId val="{00000001-E762-4254-8D05-C959C77DCBAB}"/>
            </c:ext>
          </c:extLst>
        </c:ser>
        <c:ser>
          <c:idx val="4"/>
          <c:order val="2"/>
          <c:tx>
            <c:strRef>
              <c:f>'Constraint Diagrams'!$AA$2</c:f>
              <c:strCache>
                <c:ptCount val="1"/>
                <c:pt idx="0">
                  <c:v>Service Ceiling</c:v>
                </c:pt>
              </c:strCache>
            </c:strRef>
          </c:tx>
          <c:spPr>
            <a:ln w="38100" cap="rnd">
              <a:solidFill>
                <a:schemeClr val="accent5"/>
              </a:solidFill>
              <a:round/>
            </a:ln>
            <a:effectLst/>
          </c:spPr>
          <c:marker>
            <c:symbol val="none"/>
          </c:marker>
          <c:xVal>
            <c:numRef>
              <c:f>'Constraint Diagrams'!$V$3:$V$86</c:f>
              <c:numCache>
                <c:formatCode>General</c:formatCode>
                <c:ptCount val="84"/>
                <c:pt idx="0">
                  <c:v>0.5</c:v>
                </c:pt>
                <c:pt idx="1">
                  <c:v>1</c:v>
                </c:pt>
                <c:pt idx="2">
                  <c:v>1.5</c:v>
                </c:pt>
                <c:pt idx="3">
                  <c:v>2</c:v>
                </c:pt>
                <c:pt idx="4">
                  <c:v>2.5</c:v>
                </c:pt>
                <c:pt idx="5">
                  <c:v>3</c:v>
                </c:pt>
                <c:pt idx="6">
                  <c:v>3.5</c:v>
                </c:pt>
                <c:pt idx="7">
                  <c:v>4</c:v>
                </c:pt>
                <c:pt idx="8">
                  <c:v>4.5</c:v>
                </c:pt>
                <c:pt idx="9">
                  <c:v>5</c:v>
                </c:pt>
                <c:pt idx="10">
                  <c:v>5.5</c:v>
                </c:pt>
                <c:pt idx="11">
                  <c:v>6</c:v>
                </c:pt>
                <c:pt idx="12">
                  <c:v>6.5</c:v>
                </c:pt>
                <c:pt idx="13">
                  <c:v>7</c:v>
                </c:pt>
                <c:pt idx="14">
                  <c:v>7.5</c:v>
                </c:pt>
                <c:pt idx="15">
                  <c:v>8</c:v>
                </c:pt>
                <c:pt idx="16">
                  <c:v>8.5</c:v>
                </c:pt>
                <c:pt idx="17">
                  <c:v>9</c:v>
                </c:pt>
                <c:pt idx="18">
                  <c:v>9.5</c:v>
                </c:pt>
                <c:pt idx="19">
                  <c:v>10</c:v>
                </c:pt>
                <c:pt idx="20">
                  <c:v>10.5</c:v>
                </c:pt>
                <c:pt idx="21">
                  <c:v>11</c:v>
                </c:pt>
                <c:pt idx="22">
                  <c:v>11.5</c:v>
                </c:pt>
                <c:pt idx="23">
                  <c:v>12</c:v>
                </c:pt>
                <c:pt idx="24">
                  <c:v>12.5</c:v>
                </c:pt>
                <c:pt idx="25">
                  <c:v>13</c:v>
                </c:pt>
                <c:pt idx="26">
                  <c:v>13.5</c:v>
                </c:pt>
                <c:pt idx="27">
                  <c:v>14</c:v>
                </c:pt>
                <c:pt idx="28">
                  <c:v>14.5</c:v>
                </c:pt>
                <c:pt idx="29">
                  <c:v>15</c:v>
                </c:pt>
                <c:pt idx="30">
                  <c:v>15.5</c:v>
                </c:pt>
                <c:pt idx="31">
                  <c:v>16</c:v>
                </c:pt>
                <c:pt idx="32">
                  <c:v>16.5</c:v>
                </c:pt>
                <c:pt idx="33">
                  <c:v>17</c:v>
                </c:pt>
                <c:pt idx="34">
                  <c:v>17.5</c:v>
                </c:pt>
                <c:pt idx="35">
                  <c:v>18</c:v>
                </c:pt>
                <c:pt idx="36">
                  <c:v>18.5</c:v>
                </c:pt>
                <c:pt idx="37">
                  <c:v>19</c:v>
                </c:pt>
                <c:pt idx="38">
                  <c:v>19.5</c:v>
                </c:pt>
                <c:pt idx="39">
                  <c:v>20</c:v>
                </c:pt>
                <c:pt idx="40">
                  <c:v>20.5</c:v>
                </c:pt>
                <c:pt idx="41">
                  <c:v>21</c:v>
                </c:pt>
                <c:pt idx="42">
                  <c:v>21.5</c:v>
                </c:pt>
                <c:pt idx="43">
                  <c:v>22</c:v>
                </c:pt>
                <c:pt idx="44">
                  <c:v>22.5</c:v>
                </c:pt>
                <c:pt idx="45">
                  <c:v>23</c:v>
                </c:pt>
                <c:pt idx="46">
                  <c:v>23.5</c:v>
                </c:pt>
                <c:pt idx="47">
                  <c:v>24</c:v>
                </c:pt>
                <c:pt idx="48">
                  <c:v>24.5</c:v>
                </c:pt>
                <c:pt idx="49">
                  <c:v>25</c:v>
                </c:pt>
                <c:pt idx="50">
                  <c:v>25.5</c:v>
                </c:pt>
                <c:pt idx="51">
                  <c:v>26</c:v>
                </c:pt>
                <c:pt idx="52">
                  <c:v>26.5</c:v>
                </c:pt>
                <c:pt idx="53">
                  <c:v>27</c:v>
                </c:pt>
                <c:pt idx="54">
                  <c:v>27.5</c:v>
                </c:pt>
                <c:pt idx="55">
                  <c:v>28</c:v>
                </c:pt>
                <c:pt idx="56">
                  <c:v>28.5</c:v>
                </c:pt>
                <c:pt idx="57">
                  <c:v>29</c:v>
                </c:pt>
                <c:pt idx="58">
                  <c:v>29.5</c:v>
                </c:pt>
                <c:pt idx="59">
                  <c:v>30</c:v>
                </c:pt>
                <c:pt idx="60">
                  <c:v>30.5</c:v>
                </c:pt>
                <c:pt idx="61">
                  <c:v>31</c:v>
                </c:pt>
                <c:pt idx="62">
                  <c:v>31.5</c:v>
                </c:pt>
                <c:pt idx="63">
                  <c:v>32</c:v>
                </c:pt>
                <c:pt idx="64">
                  <c:v>32.5</c:v>
                </c:pt>
                <c:pt idx="65">
                  <c:v>33</c:v>
                </c:pt>
                <c:pt idx="66">
                  <c:v>33.5</c:v>
                </c:pt>
                <c:pt idx="67">
                  <c:v>34</c:v>
                </c:pt>
                <c:pt idx="68">
                  <c:v>34.5</c:v>
                </c:pt>
                <c:pt idx="69">
                  <c:v>35</c:v>
                </c:pt>
                <c:pt idx="70">
                  <c:v>35.5</c:v>
                </c:pt>
                <c:pt idx="71">
                  <c:v>36</c:v>
                </c:pt>
                <c:pt idx="72">
                  <c:v>36.5</c:v>
                </c:pt>
                <c:pt idx="73">
                  <c:v>37</c:v>
                </c:pt>
                <c:pt idx="74">
                  <c:v>37.5</c:v>
                </c:pt>
                <c:pt idx="75">
                  <c:v>38</c:v>
                </c:pt>
                <c:pt idx="76">
                  <c:v>38.5</c:v>
                </c:pt>
                <c:pt idx="77">
                  <c:v>39</c:v>
                </c:pt>
                <c:pt idx="78">
                  <c:v>39.5</c:v>
                </c:pt>
                <c:pt idx="79">
                  <c:v>40</c:v>
                </c:pt>
                <c:pt idx="80">
                  <c:v>40.5</c:v>
                </c:pt>
                <c:pt idx="81">
                  <c:v>41</c:v>
                </c:pt>
                <c:pt idx="82">
                  <c:v>41.5</c:v>
                </c:pt>
                <c:pt idx="83">
                  <c:v>42</c:v>
                </c:pt>
              </c:numCache>
            </c:numRef>
          </c:xVal>
          <c:yVal>
            <c:numRef>
              <c:f>'Constraint Diagrams'!$AA$3:$AA$86</c:f>
              <c:numCache>
                <c:formatCode>General</c:formatCode>
                <c:ptCount val="84"/>
                <c:pt idx="0">
                  <c:v>2818.0784652151465</c:v>
                </c:pt>
                <c:pt idx="1">
                  <c:v>2418.1690180493056</c:v>
                </c:pt>
                <c:pt idx="2">
                  <c:v>2241.0025572173568</c:v>
                </c:pt>
                <c:pt idx="3">
                  <c:v>2135.3903360977752</c:v>
                </c:pt>
                <c:pt idx="4">
                  <c:v>2063.3170326358418</c:v>
                </c:pt>
                <c:pt idx="5">
                  <c:v>2010.1147302446832</c:v>
                </c:pt>
                <c:pt idx="6">
                  <c:v>1968.7659248834086</c:v>
                </c:pt>
                <c:pt idx="7">
                  <c:v>1935.4356125148543</c:v>
                </c:pt>
                <c:pt idx="8">
                  <c:v>1907.8276263919845</c:v>
                </c:pt>
                <c:pt idx="9">
                  <c:v>1884.4720908944053</c:v>
                </c:pt>
                <c:pt idx="10">
                  <c:v>1864.3786384553168</c:v>
                </c:pt>
                <c:pt idx="11">
                  <c:v>1846.8523820988798</c:v>
                </c:pt>
                <c:pt idx="12">
                  <c:v>1831.3894461624438</c:v>
                </c:pt>
                <c:pt idx="13">
                  <c:v>1817.6143614339601</c:v>
                </c:pt>
                <c:pt idx="14">
                  <c:v>1805.2408409437471</c:v>
                </c:pt>
                <c:pt idx="15">
                  <c:v>1794.0462715390893</c:v>
                </c:pt>
                <c:pt idx="16">
                  <c:v>1783.8545911811364</c:v>
                </c:pt>
                <c:pt idx="17">
                  <c:v>1774.524477336704</c:v>
                </c:pt>
                <c:pt idx="18">
                  <c:v>1765.9410032727687</c:v>
                </c:pt>
                <c:pt idx="19">
                  <c:v>1758.0096198081226</c:v>
                </c:pt>
                <c:pt idx="20">
                  <c:v>1750.6517334307025</c:v>
                </c:pt>
                <c:pt idx="21">
                  <c:v>1743.8014033309935</c:v>
                </c:pt>
                <c:pt idx="22">
                  <c:v>1737.4028374336622</c:v>
                </c:pt>
                <c:pt idx="23">
                  <c:v>1731.4084686125434</c:v>
                </c:pt>
                <c:pt idx="24">
                  <c:v>1725.7774586273517</c:v>
                </c:pt>
                <c:pt idx="25">
                  <c:v>1720.4745217548361</c:v>
                </c:pt>
                <c:pt idx="26">
                  <c:v>1715.468990392721</c:v>
                </c:pt>
                <c:pt idx="27">
                  <c:v>1710.7340659319061</c:v>
                </c:pt>
                <c:pt idx="28">
                  <c:v>1706.2462129922214</c:v>
                </c:pt>
                <c:pt idx="29">
                  <c:v>1701.9846656861259</c:v>
                </c:pt>
                <c:pt idx="30">
                  <c:v>1697.9310222208421</c:v>
                </c:pt>
                <c:pt idx="31">
                  <c:v>1694.0689097476286</c:v>
                </c:pt>
                <c:pt idx="32">
                  <c:v>1690.3837055114689</c:v>
                </c:pt>
                <c:pt idx="33">
                  <c:v>1686.8623034548343</c:v>
                </c:pt>
                <c:pt idx="34">
                  <c:v>1683.4929177708823</c:v>
                </c:pt>
                <c:pt idx="35">
                  <c:v>1680.2649166861941</c:v>
                </c:pt>
                <c:pt idx="36">
                  <c:v>1677.1686811249731</c:v>
                </c:pt>
                <c:pt idx="37">
                  <c:v>1674.1954839694465</c:v>
                </c:pt>
                <c:pt idx="38">
                  <c:v>1671.3373864608307</c:v>
                </c:pt>
                <c:pt idx="39">
                  <c:v>1668.5871489374044</c:v>
                </c:pt>
                <c:pt idx="40">
                  <c:v>1665.9381536223118</c:v>
                </c:pt>
                <c:pt idx="41">
                  <c:v>1663.3843375847305</c:v>
                </c:pt>
                <c:pt idx="42">
                  <c:v>1660.9201343272828</c:v>
                </c:pt>
                <c:pt idx="43">
                  <c:v>1658.5404227178599</c:v>
                </c:pt>
                <c:pt idx="44">
                  <c:v>1656.2404821988828</c:v>
                </c:pt>
                <c:pt idx="45">
                  <c:v>1654.0159533819876</c:v>
                </c:pt>
                <c:pt idx="46">
                  <c:v>1651.862803279241</c:v>
                </c:pt>
                <c:pt idx="47">
                  <c:v>1649.7772945396414</c:v>
                </c:pt>
                <c:pt idx="48">
                  <c:v>1647.7559581567953</c:v>
                </c:pt>
                <c:pt idx="49">
                  <c:v>1645.7955691941836</c:v>
                </c:pt>
                <c:pt idx="50">
                  <c:v>1643.8931251414826</c:v>
                </c:pt>
                <c:pt idx="51">
                  <c:v>1642.0458265714237</c:v>
                </c:pt>
                <c:pt idx="52">
                  <c:v>1640.2510598136782</c:v>
                </c:pt>
                <c:pt idx="53">
                  <c:v>1638.5063814018301</c:v>
                </c:pt>
                <c:pt idx="54">
                  <c:v>1636.8095040828916</c:v>
                </c:pt>
                <c:pt idx="55">
                  <c:v>1635.1582842071816</c:v>
                </c:pt>
                <c:pt idx="56">
                  <c:v>1633.5507103404348</c:v>
                </c:pt>
                <c:pt idx="57">
                  <c:v>1631.9848929605628</c:v>
                </c:pt>
                <c:pt idx="58">
                  <c:v>1630.4590551190563</c:v>
                </c:pt>
                <c:pt idx="59">
                  <c:v>1628.9715239620753</c:v>
                </c:pt>
                <c:pt idx="60">
                  <c:v>1627.5207230192318</c:v>
                </c:pt>
                <c:pt idx="61">
                  <c:v>1626.1051651792604</c:v>
                </c:pt>
                <c:pt idx="62">
                  <c:v>1624.7234462814051</c:v>
                </c:pt>
                <c:pt idx="63">
                  <c:v>1623.3742392597462</c:v>
                </c:pt>
                <c:pt idx="64">
                  <c:v>1622.056288784956</c:v>
                </c:pt>
                <c:pt idx="65">
                  <c:v>1620.7684063543004</c:v>
                </c:pt>
                <c:pt idx="66">
                  <c:v>1619.5094657862328</c:v>
                </c:pt>
                <c:pt idx="67">
                  <c:v>1618.2783990807698</c:v>
                </c:pt>
                <c:pt idx="68">
                  <c:v>1617.0741926110486</c:v>
                </c:pt>
                <c:pt idx="69">
                  <c:v>1615.8958836152142</c:v>
                </c:pt>
                <c:pt idx="70">
                  <c:v>1614.742556961038</c:v>
                </c:pt>
                <c:pt idx="71">
                  <c:v>1613.6133421585535</c:v>
                </c:pt>
                <c:pt idx="72">
                  <c:v>1612.5074105985577</c:v>
                </c:pt>
                <c:pt idx="73">
                  <c:v>1611.4239729970634</c:v>
                </c:pt>
                <c:pt idx="74">
                  <c:v>1610.3622770277937</c:v>
                </c:pt>
                <c:pt idx="75">
                  <c:v>1609.3216051265858</c:v>
                </c:pt>
                <c:pt idx="76">
                  <c:v>1608.3012724531379</c:v>
                </c:pt>
                <c:pt idx="77">
                  <c:v>1607.3006249969517</c:v>
                </c:pt>
                <c:pt idx="78">
                  <c:v>1606.3190378155593</c:v>
                </c:pt>
                <c:pt idx="79">
                  <c:v>1605.3559133942629</c:v>
                </c:pt>
                <c:pt idx="80">
                  <c:v>1604.4106801175969</c:v>
                </c:pt>
                <c:pt idx="81">
                  <c:v>1603.48279084363</c:v>
                </c:pt>
                <c:pt idx="82">
                  <c:v>1602.5717215730322</c:v>
                </c:pt>
                <c:pt idx="83">
                  <c:v>1601.6769702055531</c:v>
                </c:pt>
              </c:numCache>
            </c:numRef>
          </c:yVal>
          <c:smooth val="0"/>
          <c:extLst>
            <c:ext xmlns:c16="http://schemas.microsoft.com/office/drawing/2014/chart" uri="{C3380CC4-5D6E-409C-BE32-E72D297353CC}">
              <c16:uniqueId val="{00000002-E762-4254-8D05-C959C77DCBAB}"/>
            </c:ext>
          </c:extLst>
        </c:ser>
        <c:dLbls>
          <c:showLegendKey val="0"/>
          <c:showVal val="0"/>
          <c:showCatName val="0"/>
          <c:showSerName val="0"/>
          <c:showPercent val="0"/>
          <c:showBubbleSize val="0"/>
        </c:dLbls>
        <c:axId val="779052504"/>
        <c:axId val="779051424"/>
      </c:scatterChart>
      <c:valAx>
        <c:axId val="779052504"/>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51424"/>
        <c:crosses val="autoZero"/>
        <c:crossBetween val="midCat"/>
      </c:valAx>
      <c:valAx>
        <c:axId val="779051424"/>
        <c:scaling>
          <c:orientation val="minMax"/>
          <c:max val="5000"/>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52504"/>
        <c:crosses val="autoZero"/>
        <c:crossBetween val="midCat"/>
      </c:valAx>
      <c:spPr>
        <a:noFill/>
        <a:ln>
          <a:noFill/>
        </a:ln>
        <a:effectLst/>
      </c:spPr>
    </c:plotArea>
    <c:legend>
      <c:legendPos val="r"/>
      <c:layout>
        <c:manualLayout>
          <c:xMode val="edge"/>
          <c:yMode val="edge"/>
          <c:x val="0.75048825190557478"/>
          <c:y val="0.14684249458237145"/>
          <c:w val="0.22066779012847518"/>
          <c:h val="0.180873401953271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Fuselage Outline &amp; Centerline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solidFill>
                <a:srgbClr val="145F82"/>
              </a:solidFill>
              <a:prstDash val="solid"/>
              <a:round/>
            </a:ln>
            <a:effectLst/>
          </c:spPr>
          <c:marker>
            <c:symbol val="none"/>
          </c:marker>
          <c:xVal>
            <c:numRef>
              <c:f>Geometry!$N$3:$AR$3</c:f>
              <c:numCache>
                <c:formatCode>General</c:formatCode>
                <c:ptCount val="31"/>
                <c:pt idx="0">
                  <c:v>0</c:v>
                </c:pt>
                <c:pt idx="1">
                  <c:v>3</c:v>
                </c:pt>
                <c:pt idx="2">
                  <c:v>5</c:v>
                </c:pt>
                <c:pt idx="3">
                  <c:v>8</c:v>
                </c:pt>
                <c:pt idx="4">
                  <c:v>10</c:v>
                </c:pt>
                <c:pt idx="5">
                  <c:v>12</c:v>
                </c:pt>
                <c:pt idx="6">
                  <c:v>14</c:v>
                </c:pt>
                <c:pt idx="7">
                  <c:v>16</c:v>
                </c:pt>
                <c:pt idx="8">
                  <c:v>18</c:v>
                </c:pt>
                <c:pt idx="9">
                  <c:v>22</c:v>
                </c:pt>
                <c:pt idx="10">
                  <c:v>26</c:v>
                </c:pt>
                <c:pt idx="11">
                  <c:v>30</c:v>
                </c:pt>
                <c:pt idx="12">
                  <c:v>34</c:v>
                </c:pt>
                <c:pt idx="13">
                  <c:v>38</c:v>
                </c:pt>
                <c:pt idx="14">
                  <c:v>42</c:v>
                </c:pt>
                <c:pt idx="15">
                  <c:v>46</c:v>
                </c:pt>
                <c:pt idx="16">
                  <c:v>50</c:v>
                </c:pt>
                <c:pt idx="17">
                  <c:v>53</c:v>
                </c:pt>
                <c:pt idx="18">
                  <c:v>56</c:v>
                </c:pt>
                <c:pt idx="19">
                  <c:v>59</c:v>
                </c:pt>
                <c:pt idx="20">
                  <c:v>62</c:v>
                </c:pt>
                <c:pt idx="21">
                  <c:v>65</c:v>
                </c:pt>
                <c:pt idx="22">
                  <c:v>68</c:v>
                </c:pt>
              </c:numCache>
            </c:numRef>
          </c:xVal>
          <c:yVal>
            <c:numRef>
              <c:f>Geometry!$N$5:$AR$5</c:f>
              <c:numCache>
                <c:formatCode>General</c:formatCode>
                <c:ptCount val="31"/>
                <c:pt idx="0">
                  <c:v>0</c:v>
                </c:pt>
                <c:pt idx="1">
                  <c:v>1.7829999999999999</c:v>
                </c:pt>
                <c:pt idx="2">
                  <c:v>2.476</c:v>
                </c:pt>
                <c:pt idx="3">
                  <c:v>3.3665000000000003</c:v>
                </c:pt>
                <c:pt idx="4">
                  <c:v>3.867</c:v>
                </c:pt>
                <c:pt idx="5">
                  <c:v>5.4495000000000005</c:v>
                </c:pt>
                <c:pt idx="6">
                  <c:v>6.45</c:v>
                </c:pt>
                <c:pt idx="7">
                  <c:v>7.0145</c:v>
                </c:pt>
                <c:pt idx="8">
                  <c:v>7.1980000000000004</c:v>
                </c:pt>
                <c:pt idx="9">
                  <c:v>7.1980000000000004</c:v>
                </c:pt>
                <c:pt idx="10">
                  <c:v>7.1980000000000004</c:v>
                </c:pt>
                <c:pt idx="11">
                  <c:v>7.1980000000000004</c:v>
                </c:pt>
                <c:pt idx="12">
                  <c:v>7.1980000000000004</c:v>
                </c:pt>
                <c:pt idx="13">
                  <c:v>7.1980000000000004</c:v>
                </c:pt>
                <c:pt idx="14">
                  <c:v>7.1980000000000004</c:v>
                </c:pt>
                <c:pt idx="15">
                  <c:v>7.1980000000000004</c:v>
                </c:pt>
                <c:pt idx="16">
                  <c:v>7.1980000000000004</c:v>
                </c:pt>
                <c:pt idx="17">
                  <c:v>7.1880000000000006</c:v>
                </c:pt>
                <c:pt idx="18">
                  <c:v>7.1280000000000001</c:v>
                </c:pt>
                <c:pt idx="19">
                  <c:v>7.0149999999999997</c:v>
                </c:pt>
                <c:pt idx="20">
                  <c:v>6.851</c:v>
                </c:pt>
                <c:pt idx="21">
                  <c:v>6.6349999999999998</c:v>
                </c:pt>
                <c:pt idx="22">
                  <c:v>6.3660000000000005</c:v>
                </c:pt>
              </c:numCache>
            </c:numRef>
          </c:yVal>
          <c:smooth val="0"/>
          <c:extLst>
            <c:ext xmlns:c16="http://schemas.microsoft.com/office/drawing/2014/chart" uri="{C3380CC4-5D6E-409C-BE32-E72D297353CC}">
              <c16:uniqueId val="{00000000-03DE-4DEC-BE09-0FC6B9CBE622}"/>
            </c:ext>
          </c:extLst>
        </c:ser>
        <c:ser>
          <c:idx val="1"/>
          <c:order val="1"/>
          <c:spPr>
            <a:ln w="19050" cap="rnd">
              <a:solidFill>
                <a:srgbClr val="E87331"/>
              </a:solidFill>
              <a:prstDash val="solid"/>
              <a:round/>
            </a:ln>
            <a:effectLst/>
          </c:spPr>
          <c:marker>
            <c:symbol val="none"/>
          </c:marker>
          <c:xVal>
            <c:numRef>
              <c:f>Geometry!$N$3:$AR$3</c:f>
              <c:numCache>
                <c:formatCode>General</c:formatCode>
                <c:ptCount val="31"/>
                <c:pt idx="0">
                  <c:v>0</c:v>
                </c:pt>
                <c:pt idx="1">
                  <c:v>3</c:v>
                </c:pt>
                <c:pt idx="2">
                  <c:v>5</c:v>
                </c:pt>
                <c:pt idx="3">
                  <c:v>8</c:v>
                </c:pt>
                <c:pt idx="4">
                  <c:v>10</c:v>
                </c:pt>
                <c:pt idx="5">
                  <c:v>12</c:v>
                </c:pt>
                <c:pt idx="6">
                  <c:v>14</c:v>
                </c:pt>
                <c:pt idx="7">
                  <c:v>16</c:v>
                </c:pt>
                <c:pt idx="8">
                  <c:v>18</c:v>
                </c:pt>
                <c:pt idx="9">
                  <c:v>22</c:v>
                </c:pt>
                <c:pt idx="10">
                  <c:v>26</c:v>
                </c:pt>
                <c:pt idx="11">
                  <c:v>30</c:v>
                </c:pt>
                <c:pt idx="12">
                  <c:v>34</c:v>
                </c:pt>
                <c:pt idx="13">
                  <c:v>38</c:v>
                </c:pt>
                <c:pt idx="14">
                  <c:v>42</c:v>
                </c:pt>
                <c:pt idx="15">
                  <c:v>46</c:v>
                </c:pt>
                <c:pt idx="16">
                  <c:v>50</c:v>
                </c:pt>
                <c:pt idx="17">
                  <c:v>53</c:v>
                </c:pt>
                <c:pt idx="18">
                  <c:v>56</c:v>
                </c:pt>
                <c:pt idx="19">
                  <c:v>59</c:v>
                </c:pt>
                <c:pt idx="20">
                  <c:v>62</c:v>
                </c:pt>
                <c:pt idx="21">
                  <c:v>65</c:v>
                </c:pt>
                <c:pt idx="22">
                  <c:v>68</c:v>
                </c:pt>
              </c:numCache>
            </c:numRef>
          </c:xVal>
          <c:yVal>
            <c:numRef>
              <c:f>Geometry!$N$6:$AR$6</c:f>
              <c:numCache>
                <c:formatCode>General</c:formatCode>
                <c:ptCount val="31"/>
                <c:pt idx="0">
                  <c:v>0</c:v>
                </c:pt>
                <c:pt idx="1">
                  <c:v>-0.71699999999999997</c:v>
                </c:pt>
                <c:pt idx="2">
                  <c:v>-0.81400000000000006</c:v>
                </c:pt>
                <c:pt idx="3">
                  <c:v>-0.94850000000000012</c:v>
                </c:pt>
                <c:pt idx="4">
                  <c:v>-1.0149999999999997</c:v>
                </c:pt>
                <c:pt idx="5">
                  <c:v>-1.0675000000000003</c:v>
                </c:pt>
                <c:pt idx="6">
                  <c:v>-1.1040000000000001</c:v>
                </c:pt>
                <c:pt idx="7">
                  <c:v>-1.1265000000000001</c:v>
                </c:pt>
                <c:pt idx="8">
                  <c:v>-1.1320000000000001</c:v>
                </c:pt>
                <c:pt idx="9">
                  <c:v>-1.1320000000000001</c:v>
                </c:pt>
                <c:pt idx="10">
                  <c:v>-1.1320000000000001</c:v>
                </c:pt>
                <c:pt idx="11">
                  <c:v>-1.1320000000000001</c:v>
                </c:pt>
                <c:pt idx="12">
                  <c:v>-1.1320000000000001</c:v>
                </c:pt>
                <c:pt idx="13">
                  <c:v>-1.1320000000000001</c:v>
                </c:pt>
                <c:pt idx="14">
                  <c:v>-1.1320000000000001</c:v>
                </c:pt>
                <c:pt idx="15">
                  <c:v>-1.1320000000000001</c:v>
                </c:pt>
                <c:pt idx="16">
                  <c:v>-1.1320000000000001</c:v>
                </c:pt>
                <c:pt idx="17">
                  <c:v>-0.65799999999999992</c:v>
                </c:pt>
                <c:pt idx="18">
                  <c:v>0.1120000000000001</c:v>
                </c:pt>
                <c:pt idx="19">
                  <c:v>0.94700000000000006</c:v>
                </c:pt>
                <c:pt idx="20">
                  <c:v>1.851</c:v>
                </c:pt>
                <c:pt idx="21">
                  <c:v>2.8230000000000004</c:v>
                </c:pt>
                <c:pt idx="22">
                  <c:v>3.8660000000000005</c:v>
                </c:pt>
              </c:numCache>
            </c:numRef>
          </c:yVal>
          <c:smooth val="0"/>
          <c:extLst>
            <c:ext xmlns:c16="http://schemas.microsoft.com/office/drawing/2014/chart" uri="{C3380CC4-5D6E-409C-BE32-E72D297353CC}">
              <c16:uniqueId val="{00000001-03DE-4DEC-BE09-0FC6B9CBE622}"/>
            </c:ext>
          </c:extLst>
        </c:ser>
        <c:ser>
          <c:idx val="2"/>
          <c:order val="2"/>
          <c:spPr>
            <a:ln w="19050" cap="rnd">
              <a:solidFill>
                <a:srgbClr val="C0F1C8"/>
              </a:solidFill>
              <a:prstDash val="solid"/>
              <a:round/>
            </a:ln>
            <a:effectLst/>
          </c:spPr>
          <c:marker>
            <c:symbol val="none"/>
          </c:marker>
          <c:xVal>
            <c:numRef>
              <c:f>Geometry!$N$3:$AR$3</c:f>
              <c:numCache>
                <c:formatCode>General</c:formatCode>
                <c:ptCount val="31"/>
                <c:pt idx="0">
                  <c:v>0</c:v>
                </c:pt>
                <c:pt idx="1">
                  <c:v>3</c:v>
                </c:pt>
                <c:pt idx="2">
                  <c:v>5</c:v>
                </c:pt>
                <c:pt idx="3">
                  <c:v>8</c:v>
                </c:pt>
                <c:pt idx="4">
                  <c:v>10</c:v>
                </c:pt>
                <c:pt idx="5">
                  <c:v>12</c:v>
                </c:pt>
                <c:pt idx="6">
                  <c:v>14</c:v>
                </c:pt>
                <c:pt idx="7">
                  <c:v>16</c:v>
                </c:pt>
                <c:pt idx="8">
                  <c:v>18</c:v>
                </c:pt>
                <c:pt idx="9">
                  <c:v>22</c:v>
                </c:pt>
                <c:pt idx="10">
                  <c:v>26</c:v>
                </c:pt>
                <c:pt idx="11">
                  <c:v>30</c:v>
                </c:pt>
                <c:pt idx="12">
                  <c:v>34</c:v>
                </c:pt>
                <c:pt idx="13">
                  <c:v>38</c:v>
                </c:pt>
                <c:pt idx="14">
                  <c:v>42</c:v>
                </c:pt>
                <c:pt idx="15">
                  <c:v>46</c:v>
                </c:pt>
                <c:pt idx="16">
                  <c:v>50</c:v>
                </c:pt>
                <c:pt idx="17">
                  <c:v>53</c:v>
                </c:pt>
                <c:pt idx="18">
                  <c:v>56</c:v>
                </c:pt>
                <c:pt idx="19">
                  <c:v>59</c:v>
                </c:pt>
                <c:pt idx="20">
                  <c:v>62</c:v>
                </c:pt>
                <c:pt idx="21">
                  <c:v>65</c:v>
                </c:pt>
                <c:pt idx="22">
                  <c:v>68</c:v>
                </c:pt>
              </c:numCache>
            </c:numRef>
          </c:xVal>
          <c:yVal>
            <c:numRef>
              <c:f>Geometry!$N$9:$AR$9</c:f>
              <c:numCache>
                <c:formatCode>General</c:formatCode>
                <c:ptCount val="31"/>
                <c:pt idx="0">
                  <c:v>0</c:v>
                </c:pt>
                <c:pt idx="1">
                  <c:v>0.53300000000000003</c:v>
                </c:pt>
                <c:pt idx="2">
                  <c:v>0.83099999999999996</c:v>
                </c:pt>
                <c:pt idx="3">
                  <c:v>1.2090000000000001</c:v>
                </c:pt>
                <c:pt idx="4">
                  <c:v>1.4260000000000002</c:v>
                </c:pt>
                <c:pt idx="5">
                  <c:v>2.1909999999999998</c:v>
                </c:pt>
                <c:pt idx="6">
                  <c:v>2.673</c:v>
                </c:pt>
                <c:pt idx="7">
                  <c:v>2.944</c:v>
                </c:pt>
                <c:pt idx="8">
                  <c:v>3.0329999999999999</c:v>
                </c:pt>
                <c:pt idx="9">
                  <c:v>3.0329999999999999</c:v>
                </c:pt>
                <c:pt idx="10">
                  <c:v>3.0329999999999999</c:v>
                </c:pt>
                <c:pt idx="11">
                  <c:v>3.0329999999999999</c:v>
                </c:pt>
                <c:pt idx="12">
                  <c:v>3.0329999999999999</c:v>
                </c:pt>
                <c:pt idx="13">
                  <c:v>3.0329999999999999</c:v>
                </c:pt>
                <c:pt idx="14">
                  <c:v>3.0329999999999999</c:v>
                </c:pt>
                <c:pt idx="15">
                  <c:v>3.0329999999999999</c:v>
                </c:pt>
                <c:pt idx="16">
                  <c:v>3.0329999999999999</c:v>
                </c:pt>
                <c:pt idx="17">
                  <c:v>3.2650000000000001</c:v>
                </c:pt>
                <c:pt idx="18">
                  <c:v>3.62</c:v>
                </c:pt>
                <c:pt idx="19">
                  <c:v>3.9809999999999999</c:v>
                </c:pt>
                <c:pt idx="20">
                  <c:v>4.351</c:v>
                </c:pt>
                <c:pt idx="21">
                  <c:v>4.7290000000000001</c:v>
                </c:pt>
                <c:pt idx="22">
                  <c:v>5.1160000000000005</c:v>
                </c:pt>
              </c:numCache>
            </c:numRef>
          </c:yVal>
          <c:smooth val="0"/>
          <c:extLst>
            <c:ext xmlns:c16="http://schemas.microsoft.com/office/drawing/2014/chart" uri="{C3380CC4-5D6E-409C-BE32-E72D297353CC}">
              <c16:uniqueId val="{00000002-03DE-4DEC-BE09-0FC6B9CBE622}"/>
            </c:ext>
          </c:extLst>
        </c:ser>
        <c:dLbls>
          <c:showLegendKey val="0"/>
          <c:showVal val="0"/>
          <c:showCatName val="0"/>
          <c:showSerName val="0"/>
          <c:showPercent val="0"/>
          <c:showBubbleSize val="0"/>
        </c:dLbls>
        <c:axId val="2014643719"/>
        <c:axId val="2014645767"/>
      </c:scatterChart>
      <c:valAx>
        <c:axId val="20146437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X-Position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645767"/>
        <c:crosses val="autoZero"/>
        <c:crossBetween val="midCat"/>
      </c:valAx>
      <c:valAx>
        <c:axId val="2014645767"/>
        <c:scaling>
          <c:orientation val="minMax"/>
          <c:max val="15"/>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Height from Nose (ft)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643719"/>
        <c:crosses val="autoZero"/>
        <c:crossBetween val="midCat"/>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a:ea typeface="Aptos Narrow"/>
                <a:cs typeface="Aptos Narrow"/>
              </a:defRPr>
            </a:pPr>
            <a:r>
              <a:rPr lang="en-US"/>
              <a:t>Weight Distribution and CG Envelope</a:t>
            </a:r>
          </a:p>
        </c:rich>
      </c:tx>
      <c:layout>
        <c:manualLayout>
          <c:xMode val="edge"/>
          <c:yMode val="edge"/>
          <c:x val="0.23914450997741929"/>
          <c:y val="2.41992773026048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a:ea typeface="Aptos Narrow"/>
              <a:cs typeface="Aptos Narrow"/>
            </a:defRPr>
          </a:pPr>
          <a:endParaRPr lang="en-US"/>
        </a:p>
      </c:txPr>
    </c:title>
    <c:autoTitleDeleted val="0"/>
    <c:plotArea>
      <c:layout/>
      <c:areaChart>
        <c:grouping val="standard"/>
        <c:varyColors val="0"/>
        <c:ser>
          <c:idx val="0"/>
          <c:order val="0"/>
          <c:tx>
            <c:v>Maximum TOW</c:v>
          </c:tx>
          <c:spPr>
            <a:solidFill>
              <a:schemeClr val="accent1"/>
            </a:solidFill>
            <a:ln w="25400">
              <a:noFill/>
            </a:ln>
            <a:effectLst/>
          </c:spPr>
          <c:cat>
            <c:numRef>
              <c:f>Weight!$N$31:$AN$31</c:f>
              <c:numCache>
                <c:formatCode>General</c:formatCode>
                <c:ptCount val="27"/>
                <c:pt idx="0">
                  <c:v>0</c:v>
                </c:pt>
                <c:pt idx="1">
                  <c:v>3</c:v>
                </c:pt>
                <c:pt idx="2">
                  <c:v>5</c:v>
                </c:pt>
                <c:pt idx="3">
                  <c:v>8</c:v>
                </c:pt>
                <c:pt idx="4">
                  <c:v>10</c:v>
                </c:pt>
                <c:pt idx="5">
                  <c:v>12</c:v>
                </c:pt>
                <c:pt idx="6">
                  <c:v>14</c:v>
                </c:pt>
                <c:pt idx="7">
                  <c:v>16</c:v>
                </c:pt>
                <c:pt idx="8">
                  <c:v>18</c:v>
                </c:pt>
                <c:pt idx="9">
                  <c:v>22</c:v>
                </c:pt>
                <c:pt idx="10">
                  <c:v>26</c:v>
                </c:pt>
                <c:pt idx="11">
                  <c:v>30</c:v>
                </c:pt>
                <c:pt idx="12">
                  <c:v>34</c:v>
                </c:pt>
                <c:pt idx="13" formatCode="0.0">
                  <c:v>36.892666886390138</c:v>
                </c:pt>
                <c:pt idx="14">
                  <c:v>38</c:v>
                </c:pt>
                <c:pt idx="15" formatCode="0.0">
                  <c:v>39.094159713945174</c:v>
                </c:pt>
                <c:pt idx="16" formatCode="0.0">
                  <c:v>40.685496002737118</c:v>
                </c:pt>
                <c:pt idx="17">
                  <c:v>42</c:v>
                </c:pt>
                <c:pt idx="18">
                  <c:v>46</c:v>
                </c:pt>
                <c:pt idx="19">
                  <c:v>50</c:v>
                </c:pt>
                <c:pt idx="20">
                  <c:v>53</c:v>
                </c:pt>
                <c:pt idx="21">
                  <c:v>56</c:v>
                </c:pt>
                <c:pt idx="22">
                  <c:v>59</c:v>
                </c:pt>
                <c:pt idx="23">
                  <c:v>62</c:v>
                </c:pt>
                <c:pt idx="24">
                  <c:v>65</c:v>
                </c:pt>
                <c:pt idx="25">
                  <c:v>68</c:v>
                </c:pt>
                <c:pt idx="26">
                  <c:v>69</c:v>
                </c:pt>
              </c:numCache>
            </c:numRef>
          </c:cat>
          <c:val>
            <c:numRef>
              <c:f>Weight!$N$32:$AN$32</c:f>
              <c:numCache>
                <c:formatCode>General</c:formatCode>
                <c:ptCount val="27"/>
                <c:pt idx="0">
                  <c:v>0</c:v>
                </c:pt>
                <c:pt idx="1">
                  <c:v>154.54545454545453</c:v>
                </c:pt>
                <c:pt idx="2">
                  <c:v>309.09090909090907</c:v>
                </c:pt>
                <c:pt idx="3">
                  <c:v>618.18181818181813</c:v>
                </c:pt>
                <c:pt idx="4">
                  <c:v>675.75757575757575</c:v>
                </c:pt>
                <c:pt idx="5">
                  <c:v>1055.7575757575758</c:v>
                </c:pt>
                <c:pt idx="6">
                  <c:v>775.75757575757575</c:v>
                </c:pt>
                <c:pt idx="7">
                  <c:v>499.09090909090907</c:v>
                </c:pt>
                <c:pt idx="8">
                  <c:v>460.59090909090907</c:v>
                </c:pt>
                <c:pt idx="9">
                  <c:v>460.59090909090907</c:v>
                </c:pt>
                <c:pt idx="10">
                  <c:v>560.59090909090901</c:v>
                </c:pt>
                <c:pt idx="11">
                  <c:v>460.59090909090907</c:v>
                </c:pt>
                <c:pt idx="12">
                  <c:v>2630.9088370909089</c:v>
                </c:pt>
                <c:pt idx="13">
                  <c:v>2575.2953276363633</c:v>
                </c:pt>
                <c:pt idx="14">
                  <c:v>2519.681818181818</c:v>
                </c:pt>
                <c:pt idx="15">
                  <c:v>2029.9090909090908</c:v>
                </c:pt>
                <c:pt idx="16">
                  <c:v>1540.1363636363635</c:v>
                </c:pt>
                <c:pt idx="17">
                  <c:v>560.59090909090901</c:v>
                </c:pt>
                <c:pt idx="18">
                  <c:v>460.59090909090907</c:v>
                </c:pt>
                <c:pt idx="19">
                  <c:v>460.59090909090907</c:v>
                </c:pt>
                <c:pt idx="20">
                  <c:v>460.59090909090907</c:v>
                </c:pt>
                <c:pt idx="21">
                  <c:v>718.18181818181813</c:v>
                </c:pt>
                <c:pt idx="22">
                  <c:v>718.18181818181813</c:v>
                </c:pt>
                <c:pt idx="23">
                  <c:v>1318.181818181818</c:v>
                </c:pt>
                <c:pt idx="24">
                  <c:v>906.06060606060601</c:v>
                </c:pt>
                <c:pt idx="25">
                  <c:v>854.5454545454545</c:v>
                </c:pt>
                <c:pt idx="26">
                  <c:v>0</c:v>
                </c:pt>
              </c:numCache>
            </c:numRef>
          </c:val>
          <c:extLst>
            <c:ext xmlns:c16="http://schemas.microsoft.com/office/drawing/2014/chart" uri="{C3380CC4-5D6E-409C-BE32-E72D297353CC}">
              <c16:uniqueId val="{00000004-3291-4347-8FB9-B06064F412A4}"/>
            </c:ext>
          </c:extLst>
        </c:ser>
        <c:ser>
          <c:idx val="1"/>
          <c:order val="1"/>
          <c:tx>
            <c:v>Minimum TOW</c:v>
          </c:tx>
          <c:spPr>
            <a:solidFill>
              <a:schemeClr val="accent2"/>
            </a:solidFill>
            <a:ln w="25400">
              <a:noFill/>
            </a:ln>
            <a:effectLst/>
          </c:spPr>
          <c:cat>
            <c:numRef>
              <c:f>Weight!$N$31:$AN$31</c:f>
              <c:numCache>
                <c:formatCode>General</c:formatCode>
                <c:ptCount val="27"/>
                <c:pt idx="0">
                  <c:v>0</c:v>
                </c:pt>
                <c:pt idx="1">
                  <c:v>3</c:v>
                </c:pt>
                <c:pt idx="2">
                  <c:v>5</c:v>
                </c:pt>
                <c:pt idx="3">
                  <c:v>8</c:v>
                </c:pt>
                <c:pt idx="4">
                  <c:v>10</c:v>
                </c:pt>
                <c:pt idx="5">
                  <c:v>12</c:v>
                </c:pt>
                <c:pt idx="6">
                  <c:v>14</c:v>
                </c:pt>
                <c:pt idx="7">
                  <c:v>16</c:v>
                </c:pt>
                <c:pt idx="8">
                  <c:v>18</c:v>
                </c:pt>
                <c:pt idx="9">
                  <c:v>22</c:v>
                </c:pt>
                <c:pt idx="10">
                  <c:v>26</c:v>
                </c:pt>
                <c:pt idx="11">
                  <c:v>30</c:v>
                </c:pt>
                <c:pt idx="12">
                  <c:v>34</c:v>
                </c:pt>
                <c:pt idx="13" formatCode="0.0">
                  <c:v>36.892666886390138</c:v>
                </c:pt>
                <c:pt idx="14">
                  <c:v>38</c:v>
                </c:pt>
                <c:pt idx="15" formatCode="0.0">
                  <c:v>39.094159713945174</c:v>
                </c:pt>
                <c:pt idx="16" formatCode="0.0">
                  <c:v>40.685496002737118</c:v>
                </c:pt>
                <c:pt idx="17">
                  <c:v>42</c:v>
                </c:pt>
                <c:pt idx="18">
                  <c:v>46</c:v>
                </c:pt>
                <c:pt idx="19">
                  <c:v>50</c:v>
                </c:pt>
                <c:pt idx="20">
                  <c:v>53</c:v>
                </c:pt>
                <c:pt idx="21">
                  <c:v>56</c:v>
                </c:pt>
                <c:pt idx="22">
                  <c:v>59</c:v>
                </c:pt>
                <c:pt idx="23">
                  <c:v>62</c:v>
                </c:pt>
                <c:pt idx="24">
                  <c:v>65</c:v>
                </c:pt>
                <c:pt idx="25">
                  <c:v>68</c:v>
                </c:pt>
                <c:pt idx="26">
                  <c:v>69</c:v>
                </c:pt>
              </c:numCache>
            </c:numRef>
          </c:cat>
          <c:val>
            <c:numRef>
              <c:f>Weight!$N$33:$AN$33</c:f>
              <c:numCache>
                <c:formatCode>General</c:formatCode>
                <c:ptCount val="27"/>
                <c:pt idx="0">
                  <c:v>0</c:v>
                </c:pt>
                <c:pt idx="1">
                  <c:v>154.54545454545453</c:v>
                </c:pt>
                <c:pt idx="2">
                  <c:v>309.09090909090907</c:v>
                </c:pt>
                <c:pt idx="3">
                  <c:v>618.18181818181813</c:v>
                </c:pt>
                <c:pt idx="4">
                  <c:v>675.75757575757575</c:v>
                </c:pt>
                <c:pt idx="5">
                  <c:v>1055.7575757575758</c:v>
                </c:pt>
                <c:pt idx="6">
                  <c:v>775.75757575757575</c:v>
                </c:pt>
                <c:pt idx="7">
                  <c:v>309.09090909090907</c:v>
                </c:pt>
                <c:pt idx="8">
                  <c:v>309.09090909090907</c:v>
                </c:pt>
                <c:pt idx="9">
                  <c:v>309.09090909090907</c:v>
                </c:pt>
                <c:pt idx="10">
                  <c:v>409.09090909090907</c:v>
                </c:pt>
                <c:pt idx="11">
                  <c:v>309.09090909090907</c:v>
                </c:pt>
                <c:pt idx="12">
                  <c:v>1959.090909090909</c:v>
                </c:pt>
                <c:pt idx="13">
                  <c:v>1959.090909090909</c:v>
                </c:pt>
                <c:pt idx="14">
                  <c:v>1959.090909090909</c:v>
                </c:pt>
                <c:pt idx="15">
                  <c:v>1959.090909090909</c:v>
                </c:pt>
                <c:pt idx="16">
                  <c:v>309.09090909090907</c:v>
                </c:pt>
                <c:pt idx="17">
                  <c:v>309.09090909090907</c:v>
                </c:pt>
                <c:pt idx="18">
                  <c:v>309.09090909090907</c:v>
                </c:pt>
                <c:pt idx="19">
                  <c:v>309.09090909090907</c:v>
                </c:pt>
                <c:pt idx="20">
                  <c:v>309.09090909090907</c:v>
                </c:pt>
                <c:pt idx="21">
                  <c:v>618.18181818181813</c:v>
                </c:pt>
                <c:pt idx="22">
                  <c:v>718.18181818181813</c:v>
                </c:pt>
                <c:pt idx="23">
                  <c:v>1318.181818181818</c:v>
                </c:pt>
                <c:pt idx="24">
                  <c:v>906.06060606060601</c:v>
                </c:pt>
                <c:pt idx="25">
                  <c:v>854.5454545454545</c:v>
                </c:pt>
                <c:pt idx="26">
                  <c:v>0</c:v>
                </c:pt>
              </c:numCache>
            </c:numRef>
          </c:val>
          <c:extLst>
            <c:ext xmlns:c16="http://schemas.microsoft.com/office/drawing/2014/chart" uri="{C3380CC4-5D6E-409C-BE32-E72D297353CC}">
              <c16:uniqueId val="{00000006-3291-4347-8FB9-B06064F412A4}"/>
            </c:ext>
          </c:extLst>
        </c:ser>
        <c:dLbls>
          <c:showLegendKey val="0"/>
          <c:showVal val="0"/>
          <c:showCatName val="0"/>
          <c:showSerName val="0"/>
          <c:showPercent val="0"/>
          <c:showBubbleSize val="0"/>
        </c:dLbls>
        <c:axId val="1113699847"/>
        <c:axId val="1257902599"/>
      </c:areaChart>
      <c:barChart>
        <c:barDir val="col"/>
        <c:grouping val="clustered"/>
        <c:varyColors val="0"/>
        <c:ser>
          <c:idx val="2"/>
          <c:order val="2"/>
          <c:tx>
            <c:v>Fwd CG</c:v>
          </c:tx>
          <c:spPr>
            <a:solidFill>
              <a:srgbClr val="C0E4F5"/>
            </a:solidFill>
            <a:ln w="25400">
              <a:noFill/>
            </a:ln>
            <a:effectLst/>
          </c:spPr>
          <c:invertIfNegative val="0"/>
          <c:cat>
            <c:numRef>
              <c:f>Weight!$N$31:$AN$31</c:f>
              <c:numCache>
                <c:formatCode>General</c:formatCode>
                <c:ptCount val="27"/>
                <c:pt idx="0">
                  <c:v>0</c:v>
                </c:pt>
                <c:pt idx="1">
                  <c:v>3</c:v>
                </c:pt>
                <c:pt idx="2">
                  <c:v>5</c:v>
                </c:pt>
                <c:pt idx="3">
                  <c:v>8</c:v>
                </c:pt>
                <c:pt idx="4">
                  <c:v>10</c:v>
                </c:pt>
                <c:pt idx="5">
                  <c:v>12</c:v>
                </c:pt>
                <c:pt idx="6">
                  <c:v>14</c:v>
                </c:pt>
                <c:pt idx="7">
                  <c:v>16</c:v>
                </c:pt>
                <c:pt idx="8">
                  <c:v>18</c:v>
                </c:pt>
                <c:pt idx="9">
                  <c:v>22</c:v>
                </c:pt>
                <c:pt idx="10">
                  <c:v>26</c:v>
                </c:pt>
                <c:pt idx="11">
                  <c:v>30</c:v>
                </c:pt>
                <c:pt idx="12">
                  <c:v>34</c:v>
                </c:pt>
                <c:pt idx="13" formatCode="0.0">
                  <c:v>36.892666886390138</c:v>
                </c:pt>
                <c:pt idx="14">
                  <c:v>38</c:v>
                </c:pt>
                <c:pt idx="15" formatCode="0.0">
                  <c:v>39.094159713945174</c:v>
                </c:pt>
                <c:pt idx="16" formatCode="0.0">
                  <c:v>40.685496002737118</c:v>
                </c:pt>
                <c:pt idx="17">
                  <c:v>42</c:v>
                </c:pt>
                <c:pt idx="18">
                  <c:v>46</c:v>
                </c:pt>
                <c:pt idx="19">
                  <c:v>50</c:v>
                </c:pt>
                <c:pt idx="20">
                  <c:v>53</c:v>
                </c:pt>
                <c:pt idx="21">
                  <c:v>56</c:v>
                </c:pt>
                <c:pt idx="22">
                  <c:v>59</c:v>
                </c:pt>
                <c:pt idx="23">
                  <c:v>62</c:v>
                </c:pt>
                <c:pt idx="24">
                  <c:v>65</c:v>
                </c:pt>
                <c:pt idx="25">
                  <c:v>68</c:v>
                </c:pt>
                <c:pt idx="26">
                  <c:v>69</c:v>
                </c:pt>
              </c:numCache>
            </c:numRef>
          </c:cat>
          <c:val>
            <c:numRef>
              <c:f>Weight!$N$42:$AN$42</c:f>
              <c:numCache>
                <c:formatCode>General</c:formatCode>
                <c:ptCount val="27"/>
                <c:pt idx="13">
                  <c:v>3000</c:v>
                </c:pt>
              </c:numCache>
            </c:numRef>
          </c:val>
          <c:extLst>
            <c:ext xmlns:c16="http://schemas.microsoft.com/office/drawing/2014/chart" uri="{C3380CC4-5D6E-409C-BE32-E72D297353CC}">
              <c16:uniqueId val="{00000007-3291-4347-8FB9-B06064F412A4}"/>
            </c:ext>
          </c:extLst>
        </c:ser>
        <c:ser>
          <c:idx val="4"/>
          <c:order val="3"/>
          <c:tx>
            <c:v>Aft CG</c:v>
          </c:tx>
          <c:spPr>
            <a:solidFill>
              <a:srgbClr val="FFC000"/>
            </a:solidFill>
            <a:ln>
              <a:solidFill>
                <a:srgbClr val="E49EDD"/>
              </a:solidFill>
              <a:prstDash val="solid"/>
            </a:ln>
            <a:effectLst/>
          </c:spPr>
          <c:invertIfNegative val="0"/>
          <c:cat>
            <c:numRef>
              <c:f>Weight!$N$31:$AN$31</c:f>
              <c:numCache>
                <c:formatCode>General</c:formatCode>
                <c:ptCount val="27"/>
                <c:pt idx="0">
                  <c:v>0</c:v>
                </c:pt>
                <c:pt idx="1">
                  <c:v>3</c:v>
                </c:pt>
                <c:pt idx="2">
                  <c:v>5</c:v>
                </c:pt>
                <c:pt idx="3">
                  <c:v>8</c:v>
                </c:pt>
                <c:pt idx="4">
                  <c:v>10</c:v>
                </c:pt>
                <c:pt idx="5">
                  <c:v>12</c:v>
                </c:pt>
                <c:pt idx="6">
                  <c:v>14</c:v>
                </c:pt>
                <c:pt idx="7">
                  <c:v>16</c:v>
                </c:pt>
                <c:pt idx="8">
                  <c:v>18</c:v>
                </c:pt>
                <c:pt idx="9">
                  <c:v>22</c:v>
                </c:pt>
                <c:pt idx="10">
                  <c:v>26</c:v>
                </c:pt>
                <c:pt idx="11">
                  <c:v>30</c:v>
                </c:pt>
                <c:pt idx="12">
                  <c:v>34</c:v>
                </c:pt>
                <c:pt idx="13" formatCode="0.0">
                  <c:v>36.892666886390138</c:v>
                </c:pt>
                <c:pt idx="14">
                  <c:v>38</c:v>
                </c:pt>
                <c:pt idx="15" formatCode="0.0">
                  <c:v>39.094159713945174</c:v>
                </c:pt>
                <c:pt idx="16" formatCode="0.0">
                  <c:v>40.685496002737118</c:v>
                </c:pt>
                <c:pt idx="17">
                  <c:v>42</c:v>
                </c:pt>
                <c:pt idx="18">
                  <c:v>46</c:v>
                </c:pt>
                <c:pt idx="19">
                  <c:v>50</c:v>
                </c:pt>
                <c:pt idx="20">
                  <c:v>53</c:v>
                </c:pt>
                <c:pt idx="21">
                  <c:v>56</c:v>
                </c:pt>
                <c:pt idx="22">
                  <c:v>59</c:v>
                </c:pt>
                <c:pt idx="23">
                  <c:v>62</c:v>
                </c:pt>
                <c:pt idx="24">
                  <c:v>65</c:v>
                </c:pt>
                <c:pt idx="25">
                  <c:v>68</c:v>
                </c:pt>
                <c:pt idx="26">
                  <c:v>69</c:v>
                </c:pt>
              </c:numCache>
            </c:numRef>
          </c:cat>
          <c:val>
            <c:numRef>
              <c:f>Weight!$N$44:$AN$44</c:f>
              <c:numCache>
                <c:formatCode>General</c:formatCode>
                <c:ptCount val="27"/>
                <c:pt idx="15">
                  <c:v>3000</c:v>
                </c:pt>
              </c:numCache>
            </c:numRef>
          </c:val>
          <c:extLst>
            <c:ext xmlns:c16="http://schemas.microsoft.com/office/drawing/2014/chart" uri="{C3380CC4-5D6E-409C-BE32-E72D297353CC}">
              <c16:uniqueId val="{0000000A-3291-4347-8FB9-B06064F412A4}"/>
            </c:ext>
          </c:extLst>
        </c:ser>
        <c:ser>
          <c:idx val="3"/>
          <c:order val="4"/>
          <c:tx>
            <c:v>Neutral Point</c:v>
          </c:tx>
          <c:spPr>
            <a:solidFill>
              <a:srgbClr val="FF0000"/>
            </a:solidFill>
            <a:ln>
              <a:noFill/>
            </a:ln>
            <a:effectLst/>
          </c:spPr>
          <c:invertIfNegative val="0"/>
          <c:cat>
            <c:numRef>
              <c:f>Weight!$N$31:$AN$31</c:f>
              <c:numCache>
                <c:formatCode>General</c:formatCode>
                <c:ptCount val="27"/>
                <c:pt idx="0">
                  <c:v>0</c:v>
                </c:pt>
                <c:pt idx="1">
                  <c:v>3</c:v>
                </c:pt>
                <c:pt idx="2">
                  <c:v>5</c:v>
                </c:pt>
                <c:pt idx="3">
                  <c:v>8</c:v>
                </c:pt>
                <c:pt idx="4">
                  <c:v>10</c:v>
                </c:pt>
                <c:pt idx="5">
                  <c:v>12</c:v>
                </c:pt>
                <c:pt idx="6">
                  <c:v>14</c:v>
                </c:pt>
                <c:pt idx="7">
                  <c:v>16</c:v>
                </c:pt>
                <c:pt idx="8">
                  <c:v>18</c:v>
                </c:pt>
                <c:pt idx="9">
                  <c:v>22</c:v>
                </c:pt>
                <c:pt idx="10">
                  <c:v>26</c:v>
                </c:pt>
                <c:pt idx="11">
                  <c:v>30</c:v>
                </c:pt>
                <c:pt idx="12">
                  <c:v>34</c:v>
                </c:pt>
                <c:pt idx="13" formatCode="0.0">
                  <c:v>36.892666886390138</c:v>
                </c:pt>
                <c:pt idx="14">
                  <c:v>38</c:v>
                </c:pt>
                <c:pt idx="15" formatCode="0.0">
                  <c:v>39.094159713945174</c:v>
                </c:pt>
                <c:pt idx="16" formatCode="0.0">
                  <c:v>40.685496002737118</c:v>
                </c:pt>
                <c:pt idx="17">
                  <c:v>42</c:v>
                </c:pt>
                <c:pt idx="18">
                  <c:v>46</c:v>
                </c:pt>
                <c:pt idx="19">
                  <c:v>50</c:v>
                </c:pt>
                <c:pt idx="20">
                  <c:v>53</c:v>
                </c:pt>
                <c:pt idx="21">
                  <c:v>56</c:v>
                </c:pt>
                <c:pt idx="22">
                  <c:v>59</c:v>
                </c:pt>
                <c:pt idx="23">
                  <c:v>62</c:v>
                </c:pt>
                <c:pt idx="24">
                  <c:v>65</c:v>
                </c:pt>
                <c:pt idx="25">
                  <c:v>68</c:v>
                </c:pt>
                <c:pt idx="26">
                  <c:v>69</c:v>
                </c:pt>
              </c:numCache>
            </c:numRef>
          </c:cat>
          <c:val>
            <c:numRef>
              <c:f>Weight!$N$43:$AN$43</c:f>
              <c:numCache>
                <c:formatCode>General</c:formatCode>
                <c:ptCount val="27"/>
                <c:pt idx="16">
                  <c:v>3000</c:v>
                </c:pt>
              </c:numCache>
            </c:numRef>
          </c:val>
          <c:extLst>
            <c:ext xmlns:c16="http://schemas.microsoft.com/office/drawing/2014/chart" uri="{C3380CC4-5D6E-409C-BE32-E72D297353CC}">
              <c16:uniqueId val="{00000009-3291-4347-8FB9-B06064F412A4}"/>
            </c:ext>
          </c:extLst>
        </c:ser>
        <c:dLbls>
          <c:showLegendKey val="0"/>
          <c:showVal val="0"/>
          <c:showCatName val="0"/>
          <c:showSerName val="0"/>
          <c:showPercent val="0"/>
          <c:showBubbleSize val="0"/>
        </c:dLbls>
        <c:gapWidth val="150"/>
        <c:axId val="1113699847"/>
        <c:axId val="1257902599"/>
      </c:barChart>
      <c:catAx>
        <c:axId val="11136998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ptos Narrow"/>
                    <a:ea typeface="Aptos Narrow"/>
                    <a:cs typeface="Aptos Narrow"/>
                  </a:defRPr>
                </a:pPr>
                <a:r>
                  <a:rPr lang="en-US"/>
                  <a:t>Distance from Nose, in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ptos Narrow"/>
                  <a:ea typeface="Aptos Narrow"/>
                  <a:cs typeface="Aptos Narrow"/>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Narrow"/>
                <a:ea typeface="Aptos Narrow"/>
                <a:cs typeface="Aptos Narrow"/>
              </a:defRPr>
            </a:pPr>
            <a:endParaRPr lang="en-US"/>
          </a:p>
        </c:txPr>
        <c:crossAx val="1257902599"/>
        <c:crosses val="autoZero"/>
        <c:auto val="1"/>
        <c:lblAlgn val="ctr"/>
        <c:lblOffset val="100"/>
        <c:noMultiLvlLbl val="0"/>
      </c:catAx>
      <c:valAx>
        <c:axId val="1257902599"/>
        <c:scaling>
          <c:orientation val="minMax"/>
          <c:max val="3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ptos Narrow"/>
                    <a:ea typeface="Aptos Narrow"/>
                    <a:cs typeface="Aptos Narrow"/>
                  </a:defRPr>
                </a:pPr>
                <a:r>
                  <a:rPr lang="en-US"/>
                  <a:t>Weight, in lb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ptos Narrow"/>
                  <a:ea typeface="Aptos Narrow"/>
                  <a:cs typeface="Aptos Narrow"/>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Narrow"/>
                <a:ea typeface="Aptos Narrow"/>
                <a:cs typeface="Aptos Narrow"/>
              </a:defRPr>
            </a:pPr>
            <a:endParaRPr lang="en-US"/>
          </a:p>
        </c:txPr>
        <c:crossAx val="11136998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Narrow"/>
              <a:ea typeface="Aptos Narrow"/>
              <a:cs typeface="Aptos Narrow"/>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CG Envelope</a:t>
            </a:r>
          </a:p>
        </c:rich>
      </c:tx>
      <c:overlay val="0"/>
      <c:spPr>
        <a:noFill/>
        <a:ln>
          <a:solidFill>
            <a:srgbClr val="FFFFFF"/>
          </a:solidFill>
          <a:prstDash val="solid"/>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Weight!$N$49:$N$64</c:f>
              <c:numCache>
                <c:formatCode>0.00</c:formatCode>
                <c:ptCount val="16"/>
                <c:pt idx="0">
                  <c:v>38.079295154185019</c:v>
                </c:pt>
                <c:pt idx="1">
                  <c:v>38.338797814207652</c:v>
                </c:pt>
                <c:pt idx="2">
                  <c:v>37.941454202077431</c:v>
                </c:pt>
                <c:pt idx="3">
                  <c:v>38.188319427890349</c:v>
                </c:pt>
                <c:pt idx="4">
                  <c:v>36.878886585726974</c:v>
                </c:pt>
                <c:pt idx="5">
                  <c:v>36.849466323150537</c:v>
                </c:pt>
                <c:pt idx="6">
                  <c:v>37.076282940360613</c:v>
                </c:pt>
                <c:pt idx="7">
                  <c:v>37.093378607809846</c:v>
                </c:pt>
                <c:pt idx="8">
                  <c:v>38.659112370160528</c:v>
                </c:pt>
                <c:pt idx="9">
                  <c:v>39.094159713945174</c:v>
                </c:pt>
                <c:pt idx="10">
                  <c:v>37.554042049156052</c:v>
                </c:pt>
                <c:pt idx="11">
                  <c:v>37.68862716231137</c:v>
                </c:pt>
                <c:pt idx="12">
                  <c:v>38.555442522889116</c:v>
                </c:pt>
                <c:pt idx="13">
                  <c:v>39.003931847968545</c:v>
                </c:pt>
                <c:pt idx="14">
                  <c:v>37.376945061924424</c:v>
                </c:pt>
                <c:pt idx="15">
                  <c:v>37.476898352752109</c:v>
                </c:pt>
              </c:numCache>
            </c:numRef>
          </c:xVal>
          <c:yVal>
            <c:numRef>
              <c:f>Weight!$P$49:$P$64</c:f>
              <c:numCache>
                <c:formatCode>General</c:formatCode>
                <c:ptCount val="16"/>
                <c:pt idx="0">
                  <c:v>17025</c:v>
                </c:pt>
                <c:pt idx="1">
                  <c:v>13725</c:v>
                </c:pt>
                <c:pt idx="2">
                  <c:v>15885</c:v>
                </c:pt>
                <c:pt idx="3">
                  <c:v>12585</c:v>
                </c:pt>
                <c:pt idx="4">
                  <c:v>16885</c:v>
                </c:pt>
                <c:pt idx="5">
                  <c:v>13585</c:v>
                </c:pt>
                <c:pt idx="6">
                  <c:v>18025</c:v>
                </c:pt>
                <c:pt idx="7">
                  <c:v>14725</c:v>
                </c:pt>
                <c:pt idx="8">
                  <c:v>15885</c:v>
                </c:pt>
                <c:pt idx="9">
                  <c:v>12585</c:v>
                </c:pt>
                <c:pt idx="10">
                  <c:v>16885</c:v>
                </c:pt>
                <c:pt idx="11">
                  <c:v>13585</c:v>
                </c:pt>
                <c:pt idx="12">
                  <c:v>14745</c:v>
                </c:pt>
                <c:pt idx="13">
                  <c:v>11445</c:v>
                </c:pt>
                <c:pt idx="14">
                  <c:v>15745</c:v>
                </c:pt>
                <c:pt idx="15">
                  <c:v>12445</c:v>
                </c:pt>
              </c:numCache>
            </c:numRef>
          </c:yVal>
          <c:smooth val="0"/>
          <c:extLst>
            <c:ext xmlns:c16="http://schemas.microsoft.com/office/drawing/2014/chart" uri="{C3380CC4-5D6E-409C-BE32-E72D297353CC}">
              <c16:uniqueId val="{0000000C-378C-40BE-8EE1-E161055C3421}"/>
            </c:ext>
          </c:extLst>
        </c:ser>
        <c:dLbls>
          <c:showLegendKey val="0"/>
          <c:showVal val="0"/>
          <c:showCatName val="0"/>
          <c:showSerName val="0"/>
          <c:showPercent val="0"/>
          <c:showBubbleSize val="0"/>
        </c:dLbls>
        <c:axId val="2145040391"/>
        <c:axId val="2145046535"/>
      </c:scatterChart>
      <c:valAx>
        <c:axId val="2145040391"/>
        <c:scaling>
          <c:orientation val="minMax"/>
          <c:min val="36.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from Nose, in 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046535"/>
        <c:crosses val="autoZero"/>
        <c:crossBetween val="midCat"/>
      </c:valAx>
      <c:valAx>
        <c:axId val="2145046535"/>
        <c:scaling>
          <c:orientation val="minMax"/>
          <c:max val="20000"/>
          <c:min val="1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Weight, in lb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504039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Thrust Ratio vs Mach Number for VH5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Sea Level</c:v>
          </c:tx>
          <c:spPr>
            <a:ln w="19050" cap="rnd">
              <a:solidFill>
                <a:schemeClr val="accent1"/>
              </a:solidFill>
              <a:round/>
            </a:ln>
            <a:effectLst/>
          </c:spPr>
          <c:marker>
            <c:symbol val="none"/>
          </c:marker>
          <c:xVal>
            <c:numRef>
              <c:f>Thrust!$A$50:$A$150</c:f>
              <c:numCache>
                <c:formatCode>General</c:formatCode>
                <c:ptCount val="101"/>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xVal>
          <c:yVal>
            <c:numRef>
              <c:f>Thrust!$G$50:$G$150</c:f>
              <c:numCache>
                <c:formatCode>0.0000</c:formatCode>
                <c:ptCount val="101"/>
                <c:pt idx="0">
                  <c:v>1</c:v>
                </c:pt>
                <c:pt idx="1">
                  <c:v>0.95101901999999983</c:v>
                </c:pt>
                <c:pt idx="2">
                  <c:v>0.93077799172655395</c:v>
                </c:pt>
                <c:pt idx="3">
                  <c:v>0.91529423374100238</c:v>
                </c:pt>
                <c:pt idx="4">
                  <c:v>0.9022886400000002</c:v>
                </c:pt>
                <c:pt idx="5">
                  <c:v>0.89087788543706148</c:v>
                </c:pt>
                <c:pt idx="6">
                  <c:v>0.88060858460549896</c:v>
                </c:pt>
                <c:pt idx="7">
                  <c:v>0.87121113677987772</c:v>
                </c:pt>
                <c:pt idx="8">
                  <c:v>0.86250967193817241</c:v>
                </c:pt>
                <c:pt idx="9">
                  <c:v>0.85438185999999994</c:v>
                </c:pt>
                <c:pt idx="10">
                  <c:v>0.84673849144105284</c:v>
                </c:pt>
                <c:pt idx="11">
                  <c:v>0.83951209990494513</c:v>
                </c:pt>
                <c:pt idx="12">
                  <c:v>0.83265016683832183</c:v>
                </c:pt>
                <c:pt idx="13">
                  <c:v>0.82611083610002212</c:v>
                </c:pt>
                <c:pt idx="14">
                  <c:v>0.81986009049722519</c:v>
                </c:pt>
                <c:pt idx="15">
                  <c:v>0.81386982320799772</c:v>
                </c:pt>
                <c:pt idx="16">
                  <c:v>0.80811648000000014</c:v>
                </c:pt>
                <c:pt idx="17">
                  <c:v>0.80258007836944711</c:v>
                </c:pt>
                <c:pt idx="18">
                  <c:v>0.79724348306018089</c:v>
                </c:pt>
                <c:pt idx="19">
                  <c:v>0.79209186049826119</c:v>
                </c:pt>
                <c:pt idx="20">
                  <c:v>0.78711226091066078</c:v>
                </c:pt>
                <c:pt idx="21">
                  <c:v>0.78229329338331788</c:v>
                </c:pt>
                <c:pt idx="22">
                  <c:v>0.77762486976545231</c:v>
                </c:pt>
                <c:pt idx="23">
                  <c:v>0.77309800037936105</c:v>
                </c:pt>
                <c:pt idx="24">
                  <c:v>0.76870462926723604</c:v>
                </c:pt>
                <c:pt idx="25">
                  <c:v>0.76443749999999999</c:v>
                </c:pt>
                <c:pt idx="26">
                  <c:v>0.76029004538658862</c:v>
                </c:pt>
                <c:pt idx="27">
                  <c:v>0.75625629607354505</c:v>
                </c:pt>
                <c:pt idx="28">
                  <c:v>0.75233080422103593</c:v>
                </c:pt>
                <c:pt idx="29">
                  <c:v>0.7485085793196653</c:v>
                </c:pt>
                <c:pt idx="30">
                  <c:v>0.74478503386527295</c:v>
                </c:pt>
                <c:pt idx="31">
                  <c:v>0.74115593709970273</c:v>
                </c:pt>
                <c:pt idx="32">
                  <c:v>0.73761737539842276</c:v>
                </c:pt>
                <c:pt idx="33">
                  <c:v>0.73416571817199827</c:v>
                </c:pt>
                <c:pt idx="34">
                  <c:v>0.73079758836994779</c:v>
                </c:pt>
                <c:pt idx="35">
                  <c:v>0.72750983684850778</c:v>
                </c:pt>
                <c:pt idx="36">
                  <c:v>0.72429951999999997</c:v>
                </c:pt>
                <c:pt idx="37">
                  <c:v>0.72116388014948851</c:v>
                </c:pt>
                <c:pt idx="38">
                  <c:v>0.71810032831063864</c:v>
                </c:pt>
                <c:pt idx="39">
                  <c:v>0.7151064289620257</c:v>
                </c:pt>
                <c:pt idx="40">
                  <c:v>0.71217988656121078</c:v>
                </c:pt>
                <c:pt idx="41">
                  <c:v>0.70931853355952823</c:v>
                </c:pt>
                <c:pt idx="42">
                  <c:v>0.70652031971786311</c:v>
                </c:pt>
                <c:pt idx="43">
                  <c:v>0.70378330255439625</c:v>
                </c:pt>
                <c:pt idx="44">
                  <c:v>0.70110563878067989</c:v>
                </c:pt>
                <c:pt idx="45">
                  <c:v>0.69848557660348598</c:v>
                </c:pt>
                <c:pt idx="46">
                  <c:v>0.69592144878745466</c:v>
                </c:pt>
                <c:pt idx="47">
                  <c:v>0.69341166638830865</c:v>
                </c:pt>
                <c:pt idx="48">
                  <c:v>0.6909547130787963</c:v>
                </c:pt>
                <c:pt idx="49">
                  <c:v>0.68854914</c:v>
                </c:pt>
                <c:pt idx="50">
                  <c:v>0.68619356107952134</c:v>
                </c:pt>
                <c:pt idx="51">
                  <c:v>0.68388664876561311</c:v>
                </c:pt>
                <c:pt idx="52">
                  <c:v>0.68162713013277398</c:v>
                </c:pt>
                <c:pt idx="53">
                  <c:v>0.67941378331984537</c:v>
                </c:pt>
                <c:pt idx="54">
                  <c:v>0.67724543426640293</c:v>
                </c:pt>
                <c:pt idx="55">
                  <c:v>0.67512095371731751</c:v>
                </c:pt>
                <c:pt idx="56">
                  <c:v>0.67303925446890467</c:v>
                </c:pt>
                <c:pt idx="57">
                  <c:v>0.67099928883314253</c:v>
                </c:pt>
                <c:pt idx="58">
                  <c:v>0.66900004629910492</c:v>
                </c:pt>
                <c:pt idx="59">
                  <c:v>0.66704055137307428</c:v>
                </c:pt>
                <c:pt idx="60">
                  <c:v>0.66511986158083369</c:v>
                </c:pt>
                <c:pt idx="61">
                  <c:v>0.66323706561740625</c:v>
                </c:pt>
                <c:pt idx="62">
                  <c:v>0.66139128163107397</c:v>
                </c:pt>
                <c:pt idx="63">
                  <c:v>0.65958165562987614</c:v>
                </c:pt>
                <c:pt idx="64">
                  <c:v>0.65780735999999995</c:v>
                </c:pt>
                <c:pt idx="65">
                  <c:v>0.65606759212654098</c:v>
                </c:pt>
                <c:pt idx="66">
                  <c:v>0.65436157310805576</c:v>
                </c:pt>
                <c:pt idx="67">
                  <c:v>0.65268854655717312</c:v>
                </c:pt>
                <c:pt idx="68">
                  <c:v>0.65104777748027132</c:v>
                </c:pt>
                <c:pt idx="69">
                  <c:v>0.64943855122988836</c:v>
                </c:pt>
                <c:pt idx="70">
                  <c:v>0.64786017252413663</c:v>
                </c:pt>
                <c:pt idx="71">
                  <c:v>0.64631196452790796</c:v>
                </c:pt>
                <c:pt idx="72">
                  <c:v>0.64479326799113845</c:v>
                </c:pt>
                <c:pt idx="73">
                  <c:v>0.6433034404398198</c:v>
                </c:pt>
                <c:pt idx="74">
                  <c:v>0.64184185541583239</c:v>
                </c:pt>
                <c:pt idx="75">
                  <c:v>0.64040790176200779</c:v>
                </c:pt>
                <c:pt idx="76">
                  <c:v>0.63900098294914798</c:v>
                </c:pt>
                <c:pt idx="77">
                  <c:v>0.63762051644199502</c:v>
                </c:pt>
                <c:pt idx="78">
                  <c:v>0.63626593310141177</c:v>
                </c:pt>
                <c:pt idx="79">
                  <c:v>0.63493667662023878</c:v>
                </c:pt>
                <c:pt idx="80">
                  <c:v>0.63363220299052647</c:v>
                </c:pt>
                <c:pt idx="81">
                  <c:v>0.63235197999999992</c:v>
                </c:pt>
                <c:pt idx="82">
                  <c:v>0.63109548675580729</c:v>
                </c:pt>
                <c:pt idx="83">
                  <c:v>0.6298622132337387</c:v>
                </c:pt>
                <c:pt idx="84">
                  <c:v>0.62865165985125504</c:v>
                </c:pt>
                <c:pt idx="85">
                  <c:v>0.62746333706278623</c:v>
                </c:pt>
                <c:pt idx="86">
                  <c:v>0.62629676497587816</c:v>
                </c:pt>
                <c:pt idx="87">
                  <c:v>0.62515147298687546</c:v>
                </c:pt>
                <c:pt idx="88">
                  <c:v>0.62402699943492146</c:v>
                </c:pt>
                <c:pt idx="89">
                  <c:v>0.62292289127314648</c:v>
                </c:pt>
                <c:pt idx="90">
                  <c:v>0.62183870375599848</c:v>
                </c:pt>
                <c:pt idx="91">
                  <c:v>0.620774000141746</c:v>
                </c:pt>
                <c:pt idx="92">
                  <c:v>0.61972835140924842</c:v>
                </c:pt>
                <c:pt idx="93">
                  <c:v>0.61870133598815369</c:v>
                </c:pt>
                <c:pt idx="94">
                  <c:v>0.61769253950174363</c:v>
                </c:pt>
                <c:pt idx="95">
                  <c:v>0.61670155452169773</c:v>
                </c:pt>
                <c:pt idx="96">
                  <c:v>0.61572798033409726</c:v>
                </c:pt>
                <c:pt idx="97">
                  <c:v>0.61477142271603336</c:v>
                </c:pt>
                <c:pt idx="98">
                  <c:v>0.61383149372223444</c:v>
                </c:pt>
                <c:pt idx="99">
                  <c:v>0.61290781148115281</c:v>
                </c:pt>
                <c:pt idx="100">
                  <c:v>0.61199999999999999</c:v>
                </c:pt>
              </c:numCache>
            </c:numRef>
          </c:yVal>
          <c:smooth val="0"/>
          <c:extLst>
            <c:ext xmlns:c16="http://schemas.microsoft.com/office/drawing/2014/chart" uri="{C3380CC4-5D6E-409C-BE32-E72D297353CC}">
              <c16:uniqueId val="{00000004-5242-F24D-97E6-3D26CF5592B9}"/>
            </c:ext>
          </c:extLst>
        </c:ser>
        <c:ser>
          <c:idx val="1"/>
          <c:order val="1"/>
          <c:tx>
            <c:v>5000 ft</c:v>
          </c:tx>
          <c:spPr>
            <a:ln w="19050" cap="rnd">
              <a:solidFill>
                <a:schemeClr val="accent2"/>
              </a:solidFill>
              <a:round/>
            </a:ln>
            <a:effectLst/>
          </c:spPr>
          <c:marker>
            <c:symbol val="none"/>
          </c:marker>
          <c:xVal>
            <c:numRef>
              <c:f>Thrust!$L$48:$L$148</c:f>
              <c:numCache>
                <c:formatCode>General</c:formatCode>
                <c:ptCount val="101"/>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xVal>
          <c:yVal>
            <c:numRef>
              <c:f>Thrust!$Q$48:$Q$148</c:f>
              <c:numCache>
                <c:formatCode>0.0000</c:formatCode>
                <c:ptCount val="101"/>
                <c:pt idx="0">
                  <c:v>0.83296323710831488</c:v>
                </c:pt>
                <c:pt idx="1">
                  <c:v>0.79220349023897441</c:v>
                </c:pt>
                <c:pt idx="2">
                  <c:v>0.77545891909130071</c:v>
                </c:pt>
                <c:pt idx="3">
                  <c:v>0.76274957706259094</c:v>
                </c:pt>
                <c:pt idx="4">
                  <c:v>0.75217466930332633</c:v>
                </c:pt>
                <c:pt idx="5">
                  <c:v>0.7429964608546249</c:v>
                </c:pt>
                <c:pt idx="6">
                  <c:v>0.73483561655915142</c:v>
                </c:pt>
                <c:pt idx="7">
                  <c:v>0.72746608847029681</c:v>
                </c:pt>
                <c:pt idx="8">
                  <c:v>0.72074006020455339</c:v>
                </c:pt>
                <c:pt idx="9">
                  <c:v>0.71455444087453313</c:v>
                </c:pt>
                <c:pt idx="10">
                  <c:v>0.70883383651710097</c:v>
                </c:pt>
                <c:pt idx="11">
                  <c:v>0.7035210585070153</c:v>
                </c:pt>
                <c:pt idx="12">
                  <c:v>0.69857145212177041</c:v>
                </c:pt>
                <c:pt idx="13">
                  <c:v>0.69394931822403472</c:v>
                </c:pt>
                <c:pt idx="14">
                  <c:v>0.68962555439024809</c:v>
                </c:pt>
                <c:pt idx="15">
                  <c:v>0.68557604270989447</c:v>
                </c:pt>
                <c:pt idx="16">
                  <c:v>0.68178051399211725</c:v>
                </c:pt>
                <c:pt idx="17">
                  <c:v>0.67822172667136404</c:v>
                </c:pt>
                <c:pt idx="18">
                  <c:v>0.67488485984990187</c:v>
                </c:pt>
                <c:pt idx="19">
                  <c:v>0.6717570558362489</c:v>
                </c:pt>
                <c:pt idx="20">
                  <c:v>0.66882706941836367</c:v>
                </c:pt>
                <c:pt idx="21">
                  <c:v>0.66608499486352379</c:v>
                </c:pt>
                <c:pt idx="22">
                  <c:v>0.66352205052408886</c:v>
                </c:pt>
                <c:pt idx="23">
                  <c:v>0.66113040681359903</c:v>
                </c:pt>
                <c:pt idx="24">
                  <c:v>0.65890304730109894</c:v>
                </c:pt>
                <c:pt idx="25">
                  <c:v>0.6568336554212042</c:v>
                </c:pt>
                <c:pt idx="26">
                  <c:v>0.654916521229302</c:v>
                </c:pt>
                <c:pt idx="27">
                  <c:v>0.65314646401069076</c:v>
                </c:pt>
                <c:pt idx="28">
                  <c:v>0.65151876755189952</c:v>
                </c:pt>
                <c:pt idx="29">
                  <c:v>0.65002912561641935</c:v>
                </c:pt>
                <c:pt idx="30">
                  <c:v>0.64867359571277305</c:v>
                </c:pt>
                <c:pt idx="31">
                  <c:v>0.64744855965327264</c:v>
                </c:pt>
                <c:pt idx="32">
                  <c:v>0.64635068971369591</c:v>
                </c:pt>
                <c:pt idx="33">
                  <c:v>0.64537691944353226</c:v>
                </c:pt>
                <c:pt idx="34">
                  <c:v>0.64452441836184693</c:v>
                </c:pt>
                <c:pt idx="35">
                  <c:v>0.64379056991866179</c:v>
                </c:pt>
                <c:pt idx="36">
                  <c:v>0.64317295221580895</c:v>
                </c:pt>
                <c:pt idx="37">
                  <c:v>0.64266932107167618</c:v>
                </c:pt>
                <c:pt idx="38">
                  <c:v>0.6422775950865568</c:v>
                </c:pt>
                <c:pt idx="39">
                  <c:v>0.64199584242344399</c:v>
                </c:pt>
                <c:pt idx="40">
                  <c:v>0.64182226906614626</c:v>
                </c:pt>
                <c:pt idx="41">
                  <c:v>0.64175520835489019</c:v>
                </c:pt>
                <c:pt idx="42">
                  <c:v>0.64179311163092434</c:v>
                </c:pt>
                <c:pt idx="43">
                  <c:v>0.64193453984741988</c:v>
                </c:pt>
                <c:pt idx="44">
                  <c:v>0.64217815602529671</c:v>
                </c:pt>
                <c:pt idx="45">
                  <c:v>0.64252271845032671</c:v>
                </c:pt>
                <c:pt idx="46">
                  <c:v>0.64296707452265878</c:v>
                </c:pt>
                <c:pt idx="47">
                  <c:v>0.64351015518230703</c:v>
                </c:pt>
                <c:pt idx="48">
                  <c:v>0.64415096984458942</c:v>
                </c:pt>
                <c:pt idx="49">
                  <c:v>0.64488860178832663</c:v>
                </c:pt>
                <c:pt idx="50">
                  <c:v>0.64572220394708479</c:v>
                </c:pt>
                <c:pt idx="51">
                  <c:v>0.64665099506012935</c:v>
                </c:pt>
                <c:pt idx="52">
                  <c:v>0.64767425614519269</c:v>
                </c:pt>
                <c:pt idx="53">
                  <c:v>0.64879132725982014</c:v>
                </c:pt>
                <c:pt idx="54">
                  <c:v>0.65000160452207789</c:v>
                </c:pt>
                <c:pt idx="55">
                  <c:v>0.6513045373648606</c:v>
                </c:pt>
                <c:pt idx="56">
                  <c:v>0.65269962600102283</c:v>
                </c:pt>
                <c:pt idx="57">
                  <c:v>0.65418641907916519</c:v>
                </c:pt>
                <c:pt idx="58">
                  <c:v>0.68277903149420649</c:v>
                </c:pt>
                <c:pt idx="59">
                  <c:v>0.68112070335526309</c:v>
                </c:pt>
                <c:pt idx="60">
                  <c:v>0.67947805311147491</c:v>
                </c:pt>
                <c:pt idx="61">
                  <c:v>0.67784877095359608</c:v>
                </c:pt>
                <c:pt idx="62">
                  <c:v>0.67623053243674491</c:v>
                </c:pt>
                <c:pt idx="63">
                  <c:v>0.6746209959725914</c:v>
                </c:pt>
                <c:pt idx="64">
                  <c:v>0.67301780039009895</c:v>
                </c:pt>
                <c:pt idx="65">
                  <c:v>0.67141856255642118</c:v>
                </c:pt>
                <c:pt idx="66">
                  <c:v>0.6698208750503426</c:v>
                </c:pt>
                <c:pt idx="67">
                  <c:v>0.66822230388136017</c:v>
                </c:pt>
                <c:pt idx="68">
                  <c:v>0.66662038624810882</c:v>
                </c:pt>
                <c:pt idx="69">
                  <c:v>0.66501262833039065</c:v>
                </c:pt>
                <c:pt idx="70">
                  <c:v>0.663396503109559</c:v>
                </c:pt>
                <c:pt idx="71">
                  <c:v>0.66176944821244432</c:v>
                </c:pt>
                <c:pt idx="72">
                  <c:v>0.6601288637743925</c:v>
                </c:pt>
                <c:pt idx="73">
                  <c:v>0.65847211031734332</c:v>
                </c:pt>
                <c:pt idx="74">
                  <c:v>0.65679650663919054</c:v>
                </c:pt>
                <c:pt idx="75">
                  <c:v>0.65509932771093504</c:v>
                </c:pt>
                <c:pt idx="76">
                  <c:v>0.65337780257839884</c:v>
                </c:pt>
                <c:pt idx="77">
                  <c:v>0.65162911226550413</c:v>
                </c:pt>
                <c:pt idx="78">
                  <c:v>0.64985038767630243</c:v>
                </c:pt>
                <c:pt idx="79">
                  <c:v>0.64803870749314818</c:v>
                </c:pt>
                <c:pt idx="80">
                  <c:v>0.64619109606855285</c:v>
                </c:pt>
                <c:pt idx="81">
                  <c:v>0.64430452130842053</c:v>
                </c:pt>
                <c:pt idx="82">
                  <c:v>0.64237589254449301</c:v>
                </c:pt>
                <c:pt idx="83">
                  <c:v>0.64040205839396003</c:v>
                </c:pt>
                <c:pt idx="84">
                  <c:v>0.63837980460428612</c:v>
                </c:pt>
                <c:pt idx="85">
                  <c:v>0.63630585188142985</c:v>
                </c:pt>
                <c:pt idx="86">
                  <c:v>0.63417685369969423</c:v>
                </c:pt>
                <c:pt idx="87">
                  <c:v>0.63198939409154675</c:v>
                </c:pt>
                <c:pt idx="88">
                  <c:v>0.62973998541581644</c:v>
                </c:pt>
                <c:pt idx="89">
                  <c:v>0.62742506610274351</c:v>
                </c:pt>
                <c:pt idx="90">
                  <c:v>0.62504099837440852</c:v>
                </c:pt>
                <c:pt idx="91">
                  <c:v>0.62258406593914262</c:v>
                </c:pt>
                <c:pt idx="92">
                  <c:v>0.62005047165855176</c:v>
                </c:pt>
                <c:pt idx="93">
                  <c:v>0.61743633518584151</c:v>
                </c:pt>
                <c:pt idx="94">
                  <c:v>0.61473769057417216</c:v>
                </c:pt>
                <c:pt idx="95">
                  <c:v>0.61195048385380568</c:v>
                </c:pt>
                <c:pt idx="96">
                  <c:v>0.60907057057684277</c:v>
                </c:pt>
                <c:pt idx="97">
                  <c:v>0.60609371332837925</c:v>
                </c:pt>
                <c:pt idx="98">
                  <c:v>0.60301557920293936</c:v>
                </c:pt>
                <c:pt idx="99">
                  <c:v>0.599831737245063</c:v>
                </c:pt>
                <c:pt idx="100">
                  <c:v>0.59653765585295493</c:v>
                </c:pt>
              </c:numCache>
            </c:numRef>
          </c:yVal>
          <c:smooth val="0"/>
          <c:extLst>
            <c:ext xmlns:c16="http://schemas.microsoft.com/office/drawing/2014/chart" uri="{C3380CC4-5D6E-409C-BE32-E72D297353CC}">
              <c16:uniqueId val="{00000001-5242-F24D-97E6-3D26CF5592B9}"/>
            </c:ext>
          </c:extLst>
        </c:ser>
        <c:ser>
          <c:idx val="2"/>
          <c:order val="2"/>
          <c:tx>
            <c:v>10000ft</c:v>
          </c:tx>
          <c:spPr>
            <a:ln w="19050" cap="rnd">
              <a:solidFill>
                <a:schemeClr val="accent3"/>
              </a:solidFill>
              <a:round/>
            </a:ln>
            <a:effectLst/>
          </c:spPr>
          <c:marker>
            <c:symbol val="none"/>
          </c:marker>
          <c:xVal>
            <c:numRef>
              <c:f>Thrust!$T$48:$T$148</c:f>
              <c:numCache>
                <c:formatCode>General</c:formatCode>
                <c:ptCount val="101"/>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xVal>
          <c:yVal>
            <c:numRef>
              <c:f>Thrust!$Y$48:$Y$148</c:f>
              <c:numCache>
                <c:formatCode>0.0000</c:formatCode>
                <c:ptCount val="101"/>
                <c:pt idx="0">
                  <c:v>0.68887244016777693</c:v>
                </c:pt>
                <c:pt idx="1">
                  <c:v>0.65516354998436499</c:v>
                </c:pt>
                <c:pt idx="2">
                  <c:v>0.64131555157076747</c:v>
                </c:pt>
                <c:pt idx="3">
                  <c:v>0.6308047450114791</c:v>
                </c:pt>
                <c:pt idx="4">
                  <c:v>0.62205914594042877</c:v>
                </c:pt>
                <c:pt idx="5">
                  <c:v>0.61446863705749777</c:v>
                </c:pt>
                <c:pt idx="6">
                  <c:v>0.60771950279417963</c:v>
                </c:pt>
                <c:pt idx="7">
                  <c:v>0.60162479828467663</c:v>
                </c:pt>
                <c:pt idx="8">
                  <c:v>0.59606227727817318</c:v>
                </c:pt>
                <c:pt idx="9">
                  <c:v>0.59094668214505219</c:v>
                </c:pt>
                <c:pt idx="10">
                  <c:v>0.58621566100584888</c:v>
                </c:pt>
                <c:pt idx="11">
                  <c:v>0.58182191805437988</c:v>
                </c:pt>
                <c:pt idx="12">
                  <c:v>0.57772852320023182</c:v>
                </c:pt>
                <c:pt idx="13">
                  <c:v>0.57390595274926093</c:v>
                </c:pt>
                <c:pt idx="14">
                  <c:v>0.5703301385834042</c:v>
                </c:pt>
                <c:pt idx="15">
                  <c:v>0.56698113484775636</c:v>
                </c:pt>
                <c:pt idx="16">
                  <c:v>0.56384217863329122</c:v>
                </c:pt>
                <c:pt idx="17">
                  <c:v>0.56089901092015637</c:v>
                </c:pt>
                <c:pt idx="18">
                  <c:v>0.55813937461520313</c:v>
                </c:pt>
                <c:pt idx="19">
                  <c:v>0.55555263622476503</c:v>
                </c:pt>
                <c:pt idx="20">
                  <c:v>0.55312949579859938</c:v>
                </c:pt>
                <c:pt idx="21">
                  <c:v>0.55086176115490482</c:v>
                </c:pt>
                <c:pt idx="22">
                  <c:v>0.54874216974622514</c:v>
                </c:pt>
                <c:pt idx="23">
                  <c:v>0.54676424639323706</c:v>
                </c:pt>
                <c:pt idx="24">
                  <c:v>0.54492218840778084</c:v>
                </c:pt>
                <c:pt idx="25">
                  <c:v>0.5432107719004744</c:v>
                </c:pt>
                <c:pt idx="26">
                  <c:v>0.54162527466593946</c:v>
                </c:pt>
                <c:pt idx="27">
                  <c:v>0.54016141217945746</c:v>
                </c:pt>
                <c:pt idx="28">
                  <c:v>0.53881528406543333</c:v>
                </c:pt>
                <c:pt idx="29">
                  <c:v>0.53758332900504813</c:v>
                </c:pt>
                <c:pt idx="30">
                  <c:v>0.53646228650179573</c:v>
                </c:pt>
                <c:pt idx="31">
                  <c:v>0.53544916426301437</c:v>
                </c:pt>
                <c:pt idx="32">
                  <c:v>0.53454121021345946</c:v>
                </c:pt>
                <c:pt idx="33">
                  <c:v>0.53373588835495911</c:v>
                </c:pt>
                <c:pt idx="34">
                  <c:v>0.53303085783953685</c:v>
                </c:pt>
                <c:pt idx="35">
                  <c:v>0.53242395474315873</c:v>
                </c:pt>
                <c:pt idx="36">
                  <c:v>0.53191317612160494</c:v>
                </c:pt>
                <c:pt idx="37">
                  <c:v>0.53149666600477485</c:v>
                </c:pt>
                <c:pt idx="38">
                  <c:v>0.53117270304551745</c:v>
                </c:pt>
                <c:pt idx="39">
                  <c:v>0.53093968958716098</c:v>
                </c:pt>
                <c:pt idx="40">
                  <c:v>0.53079614195280811</c:v>
                </c:pt>
                <c:pt idx="41">
                  <c:v>0.53074068179112943</c:v>
                </c:pt>
                <c:pt idx="42">
                  <c:v>0.5307720283393188</c:v>
                </c:pt>
                <c:pt idx="43">
                  <c:v>0.53088899148518842</c:v>
                </c:pt>
                <c:pt idx="44">
                  <c:v>0.53109046552802963</c:v>
                </c:pt>
                <c:pt idx="45">
                  <c:v>0.53137542355252132</c:v>
                </c:pt>
                <c:pt idx="46">
                  <c:v>0.53174291234219884</c:v>
                </c:pt>
                <c:pt idx="47">
                  <c:v>0.61982686528495656</c:v>
                </c:pt>
                <c:pt idx="48">
                  <c:v>0.61830860720096881</c:v>
                </c:pt>
                <c:pt idx="49">
                  <c:v>0.61683168385239329</c:v>
                </c:pt>
                <c:pt idx="50">
                  <c:v>0.61539418177619698</c:v>
                </c:pt>
                <c:pt idx="51">
                  <c:v>0.613994208304525</c:v>
                </c:pt>
                <c:pt idx="52">
                  <c:v>0.61262988808832208</c:v>
                </c:pt>
                <c:pt idx="53">
                  <c:v>0.61129935983645278</c:v>
                </c:pt>
                <c:pt idx="54">
                  <c:v>0.61000077324622615</c:v>
                </c:pt>
                <c:pt idx="55">
                  <c:v>0.60873228610406782</c:v>
                </c:pt>
                <c:pt idx="56">
                  <c:v>0.60749206153753688</c:v>
                </c:pt>
                <c:pt idx="57">
                  <c:v>0.60627826540202179</c:v>
                </c:pt>
                <c:pt idx="58">
                  <c:v>0.60508906378728455</c:v>
                </c:pt>
                <c:pt idx="59">
                  <c:v>0.6039226206306485</c:v>
                </c:pt>
                <c:pt idx="60">
                  <c:v>0.60277709542501512</c:v>
                </c:pt>
                <c:pt idx="61">
                  <c:v>0.6016506410111423</c:v>
                </c:pt>
                <c:pt idx="62">
                  <c:v>0.60054140144468926</c:v>
                </c:pt>
                <c:pt idx="63">
                  <c:v>0.59944750992947293</c:v>
                </c:pt>
                <c:pt idx="64">
                  <c:v>0.59836708680924122</c:v>
                </c:pt>
                <c:pt idx="65">
                  <c:v>0.59729823761098244</c:v>
                </c:pt>
                <c:pt idx="66">
                  <c:v>0.59623905113345366</c:v>
                </c:pt>
                <c:pt idx="67">
                  <c:v>0.59518759757519435</c:v>
                </c:pt>
                <c:pt idx="68">
                  <c:v>0.59414192669679511</c:v>
                </c:pt>
                <c:pt idx="69">
                  <c:v>0.59310006601265164</c:v>
                </c:pt>
                <c:pt idx="70">
                  <c:v>0.592060019007845</c:v>
                </c:pt>
                <c:pt idx="71">
                  <c:v>0.5910197633761457</c:v>
                </c:pt>
                <c:pt idx="72">
                  <c:v>0.58997724927546391</c:v>
                </c:pt>
                <c:pt idx="73">
                  <c:v>0.58893039759736432</c:v>
                </c:pt>
                <c:pt idx="74">
                  <c:v>0.58787709824751322</c:v>
                </c:pt>
                <c:pt idx="75">
                  <c:v>0.58681520843416857</c:v>
                </c:pt>
                <c:pt idx="76">
                  <c:v>0.58574255096202499</c:v>
                </c:pt>
                <c:pt idx="77">
                  <c:v>0.58465691252891805</c:v>
                </c:pt>
                <c:pt idx="78">
                  <c:v>0.58355604202305966</c:v>
                </c:pt>
                <c:pt idx="79">
                  <c:v>0.58243764881863114</c:v>
                </c:pt>
                <c:pt idx="80">
                  <c:v>0.58129940106769262</c:v>
                </c:pt>
                <c:pt idx="81">
                  <c:v>0.58013892398649858</c:v>
                </c:pt>
                <c:pt idx="82">
                  <c:v>0.57895379813441838</c:v>
                </c:pt>
                <c:pt idx="83">
                  <c:v>0.57774155768375723</c:v>
                </c:pt>
                <c:pt idx="84">
                  <c:v>0.57649968867887547</c:v>
                </c:pt>
                <c:pt idx="85">
                  <c:v>0.57522562728307891</c:v>
                </c:pt>
                <c:pt idx="86">
                  <c:v>0.57391675801182751</c:v>
                </c:pt>
                <c:pt idx="87">
                  <c:v>0.57257041195088809</c:v>
                </c:pt>
                <c:pt idx="88">
                  <c:v>0.57118386495810336</c:v>
                </c:pt>
                <c:pt idx="89">
                  <c:v>0.56975433584752544</c:v>
                </c:pt>
                <c:pt idx="90">
                  <c:v>0.56827898455468495</c:v>
                </c:pt>
                <c:pt idx="91">
                  <c:v>0.56675491028185065</c:v>
                </c:pt>
                <c:pt idx="92">
                  <c:v>0.56517914962213855</c:v>
                </c:pt>
                <c:pt idx="93">
                  <c:v>0.56354867466139513</c:v>
                </c:pt>
                <c:pt idx="94">
                  <c:v>0.56186039105679952</c:v>
                </c:pt>
                <c:pt idx="95">
                  <c:v>0.56011113609116736</c:v>
                </c:pt>
                <c:pt idx="96">
                  <c:v>0.5582976767019634</c:v>
                </c:pt>
                <c:pt idx="97">
                  <c:v>0.55641670748406169</c:v>
                </c:pt>
                <c:pt idx="98">
                  <c:v>0.55446484866530565</c:v>
                </c:pt>
                <c:pt idx="99">
                  <c:v>0.55243864405395604</c:v>
                </c:pt>
                <c:pt idx="100">
                  <c:v>0.55033455895711758</c:v>
                </c:pt>
              </c:numCache>
            </c:numRef>
          </c:yVal>
          <c:smooth val="0"/>
          <c:extLst>
            <c:ext xmlns:c16="http://schemas.microsoft.com/office/drawing/2014/chart" uri="{C3380CC4-5D6E-409C-BE32-E72D297353CC}">
              <c16:uniqueId val="{00000002-5242-F24D-97E6-3D26CF5592B9}"/>
            </c:ext>
          </c:extLst>
        </c:ser>
        <c:ser>
          <c:idx val="3"/>
          <c:order val="3"/>
          <c:tx>
            <c:v>15000ft</c:v>
          </c:tx>
          <c:spPr>
            <a:ln w="19050" cap="rnd">
              <a:solidFill>
                <a:schemeClr val="accent4"/>
              </a:solidFill>
              <a:round/>
            </a:ln>
            <a:effectLst/>
          </c:spPr>
          <c:marker>
            <c:symbol val="none"/>
          </c:marker>
          <c:xVal>
            <c:numRef>
              <c:f>Thrust!$AD$48:$AD$148</c:f>
              <c:numCache>
                <c:formatCode>General</c:formatCode>
                <c:ptCount val="101"/>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xVal>
          <c:yVal>
            <c:numRef>
              <c:f>Thrust!$AI$48:$AI$148</c:f>
              <c:numCache>
                <c:formatCode>0.0000</c:formatCode>
                <c:ptCount val="101"/>
                <c:pt idx="0">
                  <c:v>0.56412533925487296</c:v>
                </c:pt>
                <c:pt idx="1">
                  <c:v>0.53652075239407315</c:v>
                </c:pt>
                <c:pt idx="2">
                  <c:v>0.52518047174477189</c:v>
                </c:pt>
                <c:pt idx="3">
                  <c:v>0.51657305479736593</c:v>
                </c:pt>
                <c:pt idx="4">
                  <c:v>0.5094111859878927</c:v>
                </c:pt>
                <c:pt idx="5">
                  <c:v>0.50319523344135497</c:v>
                </c:pt>
                <c:pt idx="6">
                  <c:v>0.49766829197299872</c:v>
                </c:pt>
                <c:pt idx="7">
                  <c:v>0.49267727034315362</c:v>
                </c:pt>
                <c:pt idx="8">
                  <c:v>0.48812205973095102</c:v>
                </c:pt>
                <c:pt idx="9">
                  <c:v>0.48393284171076201</c:v>
                </c:pt>
                <c:pt idx="10">
                  <c:v>0.48005855563172378</c:v>
                </c:pt>
                <c:pt idx="11">
                  <c:v>0.47646047042963269</c:v>
                </c:pt>
                <c:pt idx="12">
                  <c:v>0.47310834364076293</c:v>
                </c:pt>
                <c:pt idx="13">
                  <c:v>0.46997799798205947</c:v>
                </c:pt>
                <c:pt idx="14">
                  <c:v>0.46704972380268461</c:v>
                </c:pt>
                <c:pt idx="15">
                  <c:v>0.46430718721916547</c:v>
                </c:pt>
                <c:pt idx="16">
                  <c:v>0.46173666089797888</c:v>
                </c:pt>
                <c:pt idx="17">
                  <c:v>0.45932646796842613</c:v>
                </c:pt>
                <c:pt idx="18">
                  <c:v>0.45706657095995729</c:v>
                </c:pt>
                <c:pt idx="19">
                  <c:v>0.45494826198578192</c:v>
                </c:pt>
                <c:pt idx="20">
                  <c:v>0.45296392521272122</c:v>
                </c:pt>
                <c:pt idx="21">
                  <c:v>0.45110685197155242</c:v>
                </c:pt>
                <c:pt idx="22">
                  <c:v>0.44937109488100613</c:v>
                </c:pt>
                <c:pt idx="23">
                  <c:v>0.44775135134437588</c:v>
                </c:pt>
                <c:pt idx="24">
                  <c:v>0.44624286947548369</c:v>
                </c:pt>
                <c:pt idx="25">
                  <c:v>0.44484137137293872</c:v>
                </c:pt>
                <c:pt idx="26">
                  <c:v>0.44354298996998698</c:v>
                </c:pt>
                <c:pt idx="27">
                  <c:v>0.44234421662145829</c:v>
                </c:pt>
                <c:pt idx="28">
                  <c:v>0.44124185726619164</c:v>
                </c:pt>
                <c:pt idx="29">
                  <c:v>0.44023299550040912</c:v>
                </c:pt>
                <c:pt idx="30">
                  <c:v>0.43931496126708663</c:v>
                </c:pt>
                <c:pt idx="31">
                  <c:v>0.43848530414432535</c:v>
                </c:pt>
                <c:pt idx="32">
                  <c:v>0.43774177042695323</c:v>
                </c:pt>
                <c:pt idx="33">
                  <c:v>0.43708228335772881</c:v>
                </c:pt>
                <c:pt idx="34">
                  <c:v>0.43650492599008495</c:v>
                </c:pt>
                <c:pt idx="35">
                  <c:v>0.43600792626244905</c:v>
                </c:pt>
                <c:pt idx="36">
                  <c:v>0.43558964394141753</c:v>
                </c:pt>
                <c:pt idx="37">
                  <c:v>0.43524855915233424</c:v>
                </c:pt>
                <c:pt idx="38">
                  <c:v>0.4349832622647819</c:v>
                </c:pt>
                <c:pt idx="39">
                  <c:v>0.43479244493985852</c:v>
                </c:pt>
                <c:pt idx="40">
                  <c:v>0.43467489217797295</c:v>
                </c:pt>
                <c:pt idx="41">
                  <c:v>0.434629475231819</c:v>
                </c:pt>
                <c:pt idx="42">
                  <c:v>0.43465514527042209</c:v>
                </c:pt>
                <c:pt idx="43">
                  <c:v>0.43475092769761281</c:v>
                </c:pt>
                <c:pt idx="44">
                  <c:v>0.43491591704272459</c:v>
                </c:pt>
                <c:pt idx="45">
                  <c:v>0.43514927235332551</c:v>
                </c:pt>
                <c:pt idx="46">
                  <c:v>0.43545021302980069</c:v>
                </c:pt>
                <c:pt idx="47">
                  <c:v>0.43581801505000789</c:v>
                </c:pt>
                <c:pt idx="48">
                  <c:v>0.43625200753929788</c:v>
                </c:pt>
                <c:pt idx="49">
                  <c:v>0.43675156964716527</c:v>
                </c:pt>
                <c:pt idx="50">
                  <c:v>0.43731612769686445</c:v>
                </c:pt>
                <c:pt idx="51">
                  <c:v>0.43794515257863736</c:v>
                </c:pt>
                <c:pt idx="52">
                  <c:v>0.43863815736089112</c:v>
                </c:pt>
                <c:pt idx="53">
                  <c:v>0.43939469509681645</c:v>
                </c:pt>
                <c:pt idx="54">
                  <c:v>0.44021435680665844</c:v>
                </c:pt>
                <c:pt idx="55">
                  <c:v>0.44109676961819239</c:v>
                </c:pt>
                <c:pt idx="56">
                  <c:v>0.44204159504998175</c:v>
                </c:pt>
                <c:pt idx="57">
                  <c:v>0.44304852742375694</c:v>
                </c:pt>
                <c:pt idx="58">
                  <c:v>0.44411729239377812</c:v>
                </c:pt>
                <c:pt idx="59">
                  <c:v>0.44524764558237728</c:v>
                </c:pt>
                <c:pt idx="60">
                  <c:v>0.44643937131204664</c:v>
                </c:pt>
                <c:pt idx="61">
                  <c:v>0.44769228142545242</c:v>
                </c:pt>
                <c:pt idx="62">
                  <c:v>0.44900621418565928</c:v>
                </c:pt>
                <c:pt idx="63">
                  <c:v>0.45038103324962808</c:v>
                </c:pt>
                <c:pt idx="64">
                  <c:v>0.45181662670876266</c:v>
                </c:pt>
                <c:pt idx="65">
                  <c:v>0.45331290619088022</c:v>
                </c:pt>
                <c:pt idx="66">
                  <c:v>0.45486980601853688</c:v>
                </c:pt>
                <c:pt idx="67">
                  <c:v>0.45648728241912057</c:v>
                </c:pt>
                <c:pt idx="68">
                  <c:v>0.45816531278255523</c:v>
                </c:pt>
                <c:pt idx="69">
                  <c:v>0.4599038949628399</c:v>
                </c:pt>
                <c:pt idx="70">
                  <c:v>0.46170304661999673</c:v>
                </c:pt>
                <c:pt idx="71">
                  <c:v>0.46356280459930127</c:v>
                </c:pt>
                <c:pt idx="72">
                  <c:v>0.46548322434494666</c:v>
                </c:pt>
                <c:pt idx="73">
                  <c:v>0.46746437934553792</c:v>
                </c:pt>
                <c:pt idx="74">
                  <c:v>0.46950636060903622</c:v>
                </c:pt>
                <c:pt idx="75">
                  <c:v>0.4716092761649664</c:v>
                </c:pt>
                <c:pt idx="76">
                  <c:v>0.47377325059189002</c:v>
                </c:pt>
                <c:pt idx="77">
                  <c:v>0.47599842456829689</c:v>
                </c:pt>
                <c:pt idx="78">
                  <c:v>0.47828495444522656</c:v>
                </c:pt>
                <c:pt idx="79">
                  <c:v>0.48063301183905033</c:v>
                </c:pt>
                <c:pt idx="80">
                  <c:v>0.48304278324298067</c:v>
                </c:pt>
                <c:pt idx="81">
                  <c:v>0.48551446965596473</c:v>
                </c:pt>
                <c:pt idx="82">
                  <c:v>0.48804828622774016</c:v>
                </c:pt>
                <c:pt idx="83">
                  <c:v>0.49064446191889738</c:v>
                </c:pt>
                <c:pt idx="84">
                  <c:v>0.49330323917489682</c:v>
                </c:pt>
                <c:pt idx="85">
                  <c:v>0.49602487361304998</c:v>
                </c:pt>
                <c:pt idx="86">
                  <c:v>0.4988096337215458</c:v>
                </c:pt>
                <c:pt idx="87">
                  <c:v>0.50165780056966847</c:v>
                </c:pt>
                <c:pt idx="88">
                  <c:v>0.50456966752840871</c:v>
                </c:pt>
                <c:pt idx="89">
                  <c:v>0.50754554000072349</c:v>
                </c:pt>
                <c:pt idx="90">
                  <c:v>0.51303044576431156</c:v>
                </c:pt>
                <c:pt idx="91">
                  <c:v>0.51225361613830711</c:v>
                </c:pt>
                <c:pt idx="92">
                  <c:v>0.51144532996265035</c:v>
                </c:pt>
                <c:pt idx="93">
                  <c:v>0.51060327577719145</c:v>
                </c:pt>
                <c:pt idx="94">
                  <c:v>0.5097250917719649</c:v>
                </c:pt>
                <c:pt idx="95">
                  <c:v>0.5088083642476896</c:v>
                </c:pt>
                <c:pt idx="96">
                  <c:v>0.50785062605696907</c:v>
                </c:pt>
                <c:pt idx="97">
                  <c:v>0.5068493550253923</c:v>
                </c:pt>
                <c:pt idx="98">
                  <c:v>0.5058019723517807</c:v>
                </c:pt>
                <c:pt idx="99">
                  <c:v>0.50470584098682192</c:v>
                </c:pt>
                <c:pt idx="100">
                  <c:v>0.50355826398936676</c:v>
                </c:pt>
              </c:numCache>
            </c:numRef>
          </c:yVal>
          <c:smooth val="0"/>
          <c:extLst>
            <c:ext xmlns:c16="http://schemas.microsoft.com/office/drawing/2014/chart" uri="{C3380CC4-5D6E-409C-BE32-E72D297353CC}">
              <c16:uniqueId val="{00000003-5242-F24D-97E6-3D26CF5592B9}"/>
            </c:ext>
          </c:extLst>
        </c:ser>
        <c:ser>
          <c:idx val="4"/>
          <c:order val="4"/>
          <c:tx>
            <c:v>20000ft</c:v>
          </c:tx>
          <c:spPr>
            <a:ln w="19050" cap="rnd">
              <a:solidFill>
                <a:schemeClr val="accent5"/>
              </a:solidFill>
              <a:round/>
            </a:ln>
            <a:effectLst/>
          </c:spPr>
          <c:marker>
            <c:symbol val="none"/>
          </c:marker>
          <c:xVal>
            <c:numRef>
              <c:f>Thrust!$AN$48:$AN$148</c:f>
              <c:numCache>
                <c:formatCode>General</c:formatCode>
                <c:ptCount val="101"/>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pt idx="100">
                  <c:v>1</c:v>
                </c:pt>
              </c:numCache>
            </c:numRef>
          </c:xVal>
          <c:yVal>
            <c:numRef>
              <c:f>Thrust!$AS$48:$AS$148</c:f>
              <c:numCache>
                <c:formatCode>0.0000</c:formatCode>
                <c:ptCount val="101"/>
                <c:pt idx="0">
                  <c:v>0.46000493461633357</c:v>
                </c:pt>
                <c:pt idx="1">
                  <c:v>0.43749531611420139</c:v>
                </c:pt>
                <c:pt idx="2">
                  <c:v>0.42824810685835929</c:v>
                </c:pt>
                <c:pt idx="3">
                  <c:v>0.42122935766454217</c:v>
                </c:pt>
                <c:pt idx="4">
                  <c:v>0.41538935232497681</c:v>
                </c:pt>
                <c:pt idx="5">
                  <c:v>0.41032067583452686</c:v>
                </c:pt>
                <c:pt idx="6">
                  <c:v>0.40581383990310482</c:v>
                </c:pt>
                <c:pt idx="7">
                  <c:v>0.40174400928436649</c:v>
                </c:pt>
                <c:pt idx="8">
                  <c:v>0.39802955220538189</c:v>
                </c:pt>
                <c:pt idx="9">
                  <c:v>0.39461353660144532</c:v>
                </c:pt>
                <c:pt idx="10">
                  <c:v>0.39145432606708619</c:v>
                </c:pt>
                <c:pt idx="11">
                  <c:v>0.38852033811625569</c:v>
                </c:pt>
                <c:pt idx="12">
                  <c:v>0.38578691212554167</c:v>
                </c:pt>
                <c:pt idx="13">
                  <c:v>0.38323433320405514</c:v>
                </c:pt>
                <c:pt idx="14">
                  <c:v>0.38084652950390357</c:v>
                </c:pt>
                <c:pt idx="15">
                  <c:v>0.37861018188042866</c:v>
                </c:pt>
                <c:pt idx="16">
                  <c:v>0.37651409664896429</c:v>
                </c:pt>
                <c:pt idx="17">
                  <c:v>0.37454875213450561</c:v>
                </c:pt>
                <c:pt idx="18">
                  <c:v>0.37270596347871948</c:v>
                </c:pt>
                <c:pt idx="19">
                  <c:v>0.37097863000625075</c:v>
                </c:pt>
                <c:pt idx="20">
                  <c:v>0.36936054153542575</c:v>
                </c:pt>
                <c:pt idx="21">
                  <c:v>0.36784622761361196</c:v>
                </c:pt>
                <c:pt idx="22">
                  <c:v>0.36643083856549502</c:v>
                </c:pt>
                <c:pt idx="23">
                  <c:v>0.36511005049267592</c:v>
                </c:pt>
                <c:pt idx="24">
                  <c:v>0.3638799885628462</c:v>
                </c:pt>
                <c:pt idx="25">
                  <c:v>0.3627371644452882</c:v>
                </c:pt>
                <c:pt idx="26">
                  <c:v>0.36167842481632417</c:v>
                </c:pt>
                <c:pt idx="27">
                  <c:v>0.36070090862012194</c:v>
                </c:pt>
                <c:pt idx="28">
                  <c:v>0.35980201132220418</c:v>
                </c:pt>
                <c:pt idx="29">
                  <c:v>0.35897935479835674</c:v>
                </c:pt>
                <c:pt idx="30">
                  <c:v>0.35823076180298996</c:v>
                </c:pt>
                <c:pt idx="31">
                  <c:v>0.35755423418766624</c:v>
                </c:pt>
                <c:pt idx="32">
                  <c:v>0.35694793421274129</c:v>
                </c:pt>
                <c:pt idx="33">
                  <c:v>0.35641016842728718</c:v>
                </c:pt>
                <c:pt idx="34">
                  <c:v>0.35593937369485407</c:v>
                </c:pt>
                <c:pt idx="35">
                  <c:v>0.35553410502261645</c:v>
                </c:pt>
                <c:pt idx="36">
                  <c:v>0.35519302491444144</c:v>
                </c:pt>
                <c:pt idx="37">
                  <c:v>0.35491489401837467</c:v>
                </c:pt>
                <c:pt idx="38">
                  <c:v>0.35469856287896223</c:v>
                </c:pt>
                <c:pt idx="39">
                  <c:v>0.35454296463692792</c:v>
                </c:pt>
                <c:pt idx="40">
                  <c:v>0.35444710854470474</c:v>
                </c:pt>
                <c:pt idx="41">
                  <c:v>0.35441007418745768</c:v>
                </c:pt>
                <c:pt idx="42">
                  <c:v>0.35443100631655661</c:v>
                </c:pt>
                <c:pt idx="43">
                  <c:v>0.3545091102166853</c:v>
                </c:pt>
                <c:pt idx="44">
                  <c:v>0.35464364753956246</c:v>
                </c:pt>
                <c:pt idx="45">
                  <c:v>0.35483393254703466</c:v>
                </c:pt>
                <c:pt idx="46">
                  <c:v>0.3550793287144684</c:v>
                </c:pt>
                <c:pt idx="47">
                  <c:v>0.35537924565221951</c:v>
                </c:pt>
                <c:pt idx="48">
                  <c:v>0.35573313630872411</c:v>
                </c:pt>
                <c:pt idx="49">
                  <c:v>0.35614049442362444</c:v>
                </c:pt>
                <c:pt idx="50">
                  <c:v>0.35660085220347887</c:v>
                </c:pt>
                <c:pt idx="51">
                  <c:v>0.35711377819612117</c:v>
                </c:pt>
                <c:pt idx="52">
                  <c:v>0.35767887534274206</c:v>
                </c:pt>
                <c:pt idx="53">
                  <c:v>0.35829577918933897</c:v>
                </c:pt>
                <c:pt idx="54">
                  <c:v>0.35896415624139877</c:v>
                </c:pt>
                <c:pt idx="55">
                  <c:v>0.35968370244758474</c:v>
                </c:pt>
                <c:pt idx="56">
                  <c:v>0.36045414179985391</c:v>
                </c:pt>
                <c:pt idx="57">
                  <c:v>0.36127522503886128</c:v>
                </c:pt>
                <c:pt idx="58">
                  <c:v>0.36214672845475859</c:v>
                </c:pt>
                <c:pt idx="59">
                  <c:v>0.36306845277457317</c:v>
                </c:pt>
                <c:pt idx="60">
                  <c:v>0.36404022212831511</c:v>
                </c:pt>
                <c:pt idx="61">
                  <c:v>0.36506188308677984</c:v>
                </c:pt>
                <c:pt idx="62">
                  <c:v>0.36613330376475811</c:v>
                </c:pt>
                <c:pt idx="63">
                  <c:v>0.3672543729839951</c:v>
                </c:pt>
                <c:pt idx="64">
                  <c:v>0.36842499949082264</c:v>
                </c:pt>
                <c:pt idx="65">
                  <c:v>0.369645111223879</c:v>
                </c:pt>
                <c:pt idx="66">
                  <c:v>0.37091465462778178</c:v>
                </c:pt>
                <c:pt idx="67">
                  <c:v>0.37223359400901346</c:v>
                </c:pt>
                <c:pt idx="68">
                  <c:v>0.37360191093063155</c:v>
                </c:pt>
                <c:pt idx="69">
                  <c:v>0.37501960364272158</c:v>
                </c:pt>
                <c:pt idx="70">
                  <c:v>0.37648668654580214</c:v>
                </c:pt>
                <c:pt idx="71">
                  <c:v>0.3780031896846297</c:v>
                </c:pt>
                <c:pt idx="72">
                  <c:v>0.37956915827008325</c:v>
                </c:pt>
                <c:pt idx="73">
                  <c:v>0.38118465222700348</c:v>
                </c:pt>
                <c:pt idx="74">
                  <c:v>0.38284974576604586</c:v>
                </c:pt>
                <c:pt idx="75">
                  <c:v>0.38456452697776561</c:v>
                </c:pt>
                <c:pt idx="76">
                  <c:v>0.3863290974473057</c:v>
                </c:pt>
                <c:pt idx="77">
                  <c:v>0.388143571888179</c:v>
                </c:pt>
                <c:pt idx="78">
                  <c:v>0.39000807779377195</c:v>
                </c:pt>
                <c:pt idx="79">
                  <c:v>0.39192275510528574</c:v>
                </c:pt>
                <c:pt idx="80">
                  <c:v>0.3938877558949499</c:v>
                </c:pt>
                <c:pt idx="81">
                  <c:v>0.39590324406340993</c:v>
                </c:pt>
                <c:pt idx="82">
                  <c:v>0.39796939505029683</c:v>
                </c:pt>
                <c:pt idx="83">
                  <c:v>0.40008639555702952</c:v>
                </c:pt>
                <c:pt idx="84">
                  <c:v>0.40225444328099969</c:v>
                </c:pt>
                <c:pt idx="85">
                  <c:v>0.40447374666032637</c:v>
                </c:pt>
                <c:pt idx="86">
                  <c:v>0.4067445246284333</c:v>
                </c:pt>
                <c:pt idx="87">
                  <c:v>0.4090670063777509</c:v>
                </c:pt>
                <c:pt idx="88">
                  <c:v>0.41144143113189524</c:v>
                </c:pt>
                <c:pt idx="89">
                  <c:v>0.41386804792571236</c:v>
                </c:pt>
                <c:pt idx="90">
                  <c:v>0.41634711539261693</c:v>
                </c:pt>
                <c:pt idx="91">
                  <c:v>0.41887890155870022</c:v>
                </c:pt>
                <c:pt idx="92">
                  <c:v>0.42146368364309805</c:v>
                </c:pt>
                <c:pt idx="93">
                  <c:v>0.42410174786415472</c:v>
                </c:pt>
                <c:pt idx="94">
                  <c:v>0.42679338925093979</c:v>
                </c:pt>
                <c:pt idx="95">
                  <c:v>0.42953891145970108</c:v>
                </c:pt>
                <c:pt idx="96">
                  <c:v>0.43233862659486355</c:v>
                </c:pt>
                <c:pt idx="97">
                  <c:v>0.43519285503419958</c:v>
                </c:pt>
                <c:pt idx="98">
                  <c:v>0.43810192525782726</c:v>
                </c:pt>
                <c:pt idx="99">
                  <c:v>0.44106617368069773</c:v>
                </c:pt>
                <c:pt idx="100">
                  <c:v>0.44408594448826449</c:v>
                </c:pt>
              </c:numCache>
            </c:numRef>
          </c:yVal>
          <c:smooth val="0"/>
          <c:extLst>
            <c:ext xmlns:c16="http://schemas.microsoft.com/office/drawing/2014/chart" uri="{C3380CC4-5D6E-409C-BE32-E72D297353CC}">
              <c16:uniqueId val="{00000007-5242-F24D-97E6-3D26CF5592B9}"/>
            </c:ext>
          </c:extLst>
        </c:ser>
        <c:dLbls>
          <c:showLegendKey val="0"/>
          <c:showVal val="0"/>
          <c:showCatName val="0"/>
          <c:showSerName val="0"/>
          <c:showPercent val="0"/>
          <c:showBubbleSize val="0"/>
        </c:dLbls>
        <c:axId val="47412048"/>
        <c:axId val="65062528"/>
      </c:scatterChart>
      <c:valAx>
        <c:axId val="47412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Mach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62528"/>
        <c:crosses val="autoZero"/>
        <c:crossBetween val="midCat"/>
      </c:valAx>
      <c:valAx>
        <c:axId val="65062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Thrust Ratio (F/FSL)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1204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Propellor</a:t>
            </a:r>
            <a:r>
              <a:rPr lang="en-US" baseline="0"/>
              <a:t> Efficiency vs Airspeed</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solidFill>
                <a:srgbClr val="002060"/>
              </a:solidFill>
              <a:round/>
            </a:ln>
            <a:effectLst/>
          </c:spPr>
          <c:marker>
            <c:symbol val="none"/>
          </c:marker>
          <c:xVal>
            <c:numRef>
              <c:f>Thrust!$D$162:$D$318</c:f>
              <c:numCache>
                <c:formatCode>General</c:formatCode>
                <c:ptCount val="157"/>
                <c:pt idx="0">
                  <c:v>3.3336950000000001</c:v>
                </c:pt>
                <c:pt idx="1">
                  <c:v>6.6673900000000001</c:v>
                </c:pt>
                <c:pt idx="2">
                  <c:v>10.001085</c:v>
                </c:pt>
                <c:pt idx="3">
                  <c:v>13.33478</c:v>
                </c:pt>
                <c:pt idx="4">
                  <c:v>16.668475000000001</c:v>
                </c:pt>
                <c:pt idx="5">
                  <c:v>20.00217</c:v>
                </c:pt>
                <c:pt idx="6">
                  <c:v>23.335865000000002</c:v>
                </c:pt>
                <c:pt idx="7">
                  <c:v>26.669560000000001</c:v>
                </c:pt>
                <c:pt idx="8">
                  <c:v>30.003254999999999</c:v>
                </c:pt>
                <c:pt idx="9">
                  <c:v>33.336950000000002</c:v>
                </c:pt>
                <c:pt idx="10">
                  <c:v>36.670645</c:v>
                </c:pt>
                <c:pt idx="11">
                  <c:v>40.004339999999999</c:v>
                </c:pt>
                <c:pt idx="12">
                  <c:v>43.338035000000005</c:v>
                </c:pt>
                <c:pt idx="13">
                  <c:v>46.671730000000004</c:v>
                </c:pt>
                <c:pt idx="14">
                  <c:v>50.005425000000002</c:v>
                </c:pt>
                <c:pt idx="15">
                  <c:v>53.339120000000001</c:v>
                </c:pt>
                <c:pt idx="16">
                  <c:v>56.672815000000007</c:v>
                </c:pt>
                <c:pt idx="17">
                  <c:v>60.006509999999999</c:v>
                </c:pt>
                <c:pt idx="18">
                  <c:v>63.340205000000005</c:v>
                </c:pt>
                <c:pt idx="19">
                  <c:v>66.673900000000003</c:v>
                </c:pt>
                <c:pt idx="20">
                  <c:v>70.007594999999995</c:v>
                </c:pt>
                <c:pt idx="21">
                  <c:v>73.341290000000001</c:v>
                </c:pt>
                <c:pt idx="22">
                  <c:v>76.674985000000007</c:v>
                </c:pt>
                <c:pt idx="23">
                  <c:v>80.008679999999998</c:v>
                </c:pt>
                <c:pt idx="24">
                  <c:v>83.342375000000004</c:v>
                </c:pt>
                <c:pt idx="25">
                  <c:v>86.67607000000001</c:v>
                </c:pt>
                <c:pt idx="26">
                  <c:v>90.009765000000016</c:v>
                </c:pt>
                <c:pt idx="27">
                  <c:v>93.343460000000007</c:v>
                </c:pt>
                <c:pt idx="28">
                  <c:v>96.677154999999999</c:v>
                </c:pt>
                <c:pt idx="29">
                  <c:v>100.01085</c:v>
                </c:pt>
                <c:pt idx="30">
                  <c:v>103.34454500000001</c:v>
                </c:pt>
                <c:pt idx="31">
                  <c:v>106.67824</c:v>
                </c:pt>
                <c:pt idx="32">
                  <c:v>110.01193500000001</c:v>
                </c:pt>
                <c:pt idx="33">
                  <c:v>113.34563000000001</c:v>
                </c:pt>
                <c:pt idx="34">
                  <c:v>116.67932499999999</c:v>
                </c:pt>
                <c:pt idx="35">
                  <c:v>120.01302</c:v>
                </c:pt>
                <c:pt idx="36">
                  <c:v>123.346715</c:v>
                </c:pt>
                <c:pt idx="37">
                  <c:v>126.68041000000001</c:v>
                </c:pt>
                <c:pt idx="38">
                  <c:v>130.014105</c:v>
                </c:pt>
                <c:pt idx="39">
                  <c:v>133.34780000000001</c:v>
                </c:pt>
                <c:pt idx="40">
                  <c:v>136.68149500000001</c:v>
                </c:pt>
                <c:pt idx="41">
                  <c:v>140.01518999999999</c:v>
                </c:pt>
                <c:pt idx="42">
                  <c:v>143.348885</c:v>
                </c:pt>
                <c:pt idx="43">
                  <c:v>146.68258</c:v>
                </c:pt>
                <c:pt idx="44">
                  <c:v>150.01627500000001</c:v>
                </c:pt>
                <c:pt idx="45">
                  <c:v>153.34997000000001</c:v>
                </c:pt>
                <c:pt idx="46">
                  <c:v>156.68366499999999</c:v>
                </c:pt>
                <c:pt idx="47">
                  <c:v>160.01736</c:v>
                </c:pt>
                <c:pt idx="48">
                  <c:v>163.351055</c:v>
                </c:pt>
                <c:pt idx="49">
                  <c:v>166.68475000000001</c:v>
                </c:pt>
                <c:pt idx="50">
                  <c:v>170.01844500000001</c:v>
                </c:pt>
                <c:pt idx="51">
                  <c:v>173.35214000000002</c:v>
                </c:pt>
                <c:pt idx="52">
                  <c:v>176.68583500000003</c:v>
                </c:pt>
                <c:pt idx="53">
                  <c:v>180.01953000000003</c:v>
                </c:pt>
                <c:pt idx="54">
                  <c:v>183.35322500000004</c:v>
                </c:pt>
                <c:pt idx="55">
                  <c:v>186.68692000000001</c:v>
                </c:pt>
                <c:pt idx="56">
                  <c:v>190.02061499999999</c:v>
                </c:pt>
                <c:pt idx="57">
                  <c:v>193.35431</c:v>
                </c:pt>
                <c:pt idx="58">
                  <c:v>196.688005</c:v>
                </c:pt>
                <c:pt idx="59">
                  <c:v>200.02170000000001</c:v>
                </c:pt>
                <c:pt idx="60">
                  <c:v>203.35539500000002</c:v>
                </c:pt>
                <c:pt idx="61">
                  <c:v>206.68909000000002</c:v>
                </c:pt>
                <c:pt idx="62">
                  <c:v>210.022785</c:v>
                </c:pt>
                <c:pt idx="63">
                  <c:v>213.35648</c:v>
                </c:pt>
                <c:pt idx="64">
                  <c:v>216.69017500000001</c:v>
                </c:pt>
                <c:pt idx="65">
                  <c:v>220.02387000000002</c:v>
                </c:pt>
                <c:pt idx="66">
                  <c:v>223.35756500000002</c:v>
                </c:pt>
                <c:pt idx="67">
                  <c:v>226.69126000000003</c:v>
                </c:pt>
                <c:pt idx="68">
                  <c:v>230.02495500000001</c:v>
                </c:pt>
                <c:pt idx="69">
                  <c:v>233.35864999999998</c:v>
                </c:pt>
                <c:pt idx="70">
                  <c:v>236.69234499999999</c:v>
                </c:pt>
                <c:pt idx="71">
                  <c:v>240.02603999999999</c:v>
                </c:pt>
                <c:pt idx="72">
                  <c:v>243.359735</c:v>
                </c:pt>
                <c:pt idx="73">
                  <c:v>246.69343000000001</c:v>
                </c:pt>
                <c:pt idx="74">
                  <c:v>250.02712500000001</c:v>
                </c:pt>
                <c:pt idx="75">
                  <c:v>253.36082000000002</c:v>
                </c:pt>
                <c:pt idx="76">
                  <c:v>256.69451500000002</c:v>
                </c:pt>
                <c:pt idx="77">
                  <c:v>260.02821</c:v>
                </c:pt>
                <c:pt idx="78">
                  <c:v>263.36190500000004</c:v>
                </c:pt>
                <c:pt idx="79">
                  <c:v>266.69560000000001</c:v>
                </c:pt>
                <c:pt idx="80">
                  <c:v>270.02929500000005</c:v>
                </c:pt>
                <c:pt idx="81">
                  <c:v>273.36299000000002</c:v>
                </c:pt>
                <c:pt idx="82">
                  <c:v>276.696685</c:v>
                </c:pt>
                <c:pt idx="83">
                  <c:v>280.03037999999998</c:v>
                </c:pt>
                <c:pt idx="84">
                  <c:v>283.36407500000001</c:v>
                </c:pt>
                <c:pt idx="85">
                  <c:v>286.69776999999999</c:v>
                </c:pt>
                <c:pt idx="86">
                  <c:v>290.03146500000003</c:v>
                </c:pt>
                <c:pt idx="87">
                  <c:v>293.36516</c:v>
                </c:pt>
                <c:pt idx="88">
                  <c:v>296.69885500000004</c:v>
                </c:pt>
                <c:pt idx="89">
                  <c:v>300.03255000000001</c:v>
                </c:pt>
                <c:pt idx="90">
                  <c:v>303.36624500000005</c:v>
                </c:pt>
                <c:pt idx="91">
                  <c:v>306.69994000000003</c:v>
                </c:pt>
                <c:pt idx="92">
                  <c:v>310.033635</c:v>
                </c:pt>
                <c:pt idx="93">
                  <c:v>313.36732999999998</c:v>
                </c:pt>
                <c:pt idx="94">
                  <c:v>316.70102500000002</c:v>
                </c:pt>
                <c:pt idx="95">
                  <c:v>320.03471999999999</c:v>
                </c:pt>
                <c:pt idx="96">
                  <c:v>323.36841500000003</c:v>
                </c:pt>
                <c:pt idx="97">
                  <c:v>326.70211</c:v>
                </c:pt>
                <c:pt idx="98">
                  <c:v>330.03580500000004</c:v>
                </c:pt>
                <c:pt idx="99">
                  <c:v>333.36950000000002</c:v>
                </c:pt>
                <c:pt idx="100">
                  <c:v>336.70319499999999</c:v>
                </c:pt>
                <c:pt idx="101">
                  <c:v>340.03689000000003</c:v>
                </c:pt>
                <c:pt idx="102">
                  <c:v>343.37058500000001</c:v>
                </c:pt>
                <c:pt idx="103">
                  <c:v>346.70428000000004</c:v>
                </c:pt>
                <c:pt idx="104">
                  <c:v>350.03797500000002</c:v>
                </c:pt>
                <c:pt idx="105">
                  <c:v>353.37167000000005</c:v>
                </c:pt>
                <c:pt idx="106">
                  <c:v>356.70536500000003</c:v>
                </c:pt>
                <c:pt idx="107">
                  <c:v>360.03906000000006</c:v>
                </c:pt>
                <c:pt idx="108">
                  <c:v>363.37275500000004</c:v>
                </c:pt>
                <c:pt idx="109">
                  <c:v>366.70645000000007</c:v>
                </c:pt>
                <c:pt idx="110">
                  <c:v>370.04014500000005</c:v>
                </c:pt>
                <c:pt idx="111">
                  <c:v>373.37384000000003</c:v>
                </c:pt>
                <c:pt idx="112">
                  <c:v>376.70753500000001</c:v>
                </c:pt>
                <c:pt idx="113">
                  <c:v>380.04122999999998</c:v>
                </c:pt>
                <c:pt idx="114">
                  <c:v>383.37492499999996</c:v>
                </c:pt>
                <c:pt idx="115">
                  <c:v>386.70862</c:v>
                </c:pt>
                <c:pt idx="116">
                  <c:v>390.04231499999997</c:v>
                </c:pt>
                <c:pt idx="117">
                  <c:v>393.37601000000001</c:v>
                </c:pt>
                <c:pt idx="118">
                  <c:v>396.70970499999999</c:v>
                </c:pt>
                <c:pt idx="119">
                  <c:v>400.04340000000002</c:v>
                </c:pt>
                <c:pt idx="120">
                  <c:v>403.377095</c:v>
                </c:pt>
                <c:pt idx="121">
                  <c:v>406.71079000000003</c:v>
                </c:pt>
                <c:pt idx="122">
                  <c:v>410.04448500000001</c:v>
                </c:pt>
                <c:pt idx="123">
                  <c:v>413.37818000000004</c:v>
                </c:pt>
                <c:pt idx="124">
                  <c:v>416.71187500000002</c:v>
                </c:pt>
                <c:pt idx="125">
                  <c:v>420.04557</c:v>
                </c:pt>
                <c:pt idx="126">
                  <c:v>423.37926500000003</c:v>
                </c:pt>
                <c:pt idx="127">
                  <c:v>426.71296000000001</c:v>
                </c:pt>
                <c:pt idx="128">
                  <c:v>430.04665500000004</c:v>
                </c:pt>
                <c:pt idx="129">
                  <c:v>433.38035000000002</c:v>
                </c:pt>
                <c:pt idx="130">
                  <c:v>436.71404500000006</c:v>
                </c:pt>
                <c:pt idx="131">
                  <c:v>440.04774000000003</c:v>
                </c:pt>
                <c:pt idx="132">
                  <c:v>443.38143500000007</c:v>
                </c:pt>
                <c:pt idx="133">
                  <c:v>446.71513000000004</c:v>
                </c:pt>
                <c:pt idx="134">
                  <c:v>450.04882500000008</c:v>
                </c:pt>
                <c:pt idx="135">
                  <c:v>453.38252000000006</c:v>
                </c:pt>
                <c:pt idx="136">
                  <c:v>456.71621500000003</c:v>
                </c:pt>
                <c:pt idx="137">
                  <c:v>460.04991000000001</c:v>
                </c:pt>
                <c:pt idx="138">
                  <c:v>463.38360499999999</c:v>
                </c:pt>
                <c:pt idx="139">
                  <c:v>466.71729999999997</c:v>
                </c:pt>
                <c:pt idx="140">
                  <c:v>470.050995</c:v>
                </c:pt>
                <c:pt idx="141">
                  <c:v>473.38468999999998</c:v>
                </c:pt>
                <c:pt idx="142">
                  <c:v>476.71838500000001</c:v>
                </c:pt>
                <c:pt idx="143">
                  <c:v>480.05207999999999</c:v>
                </c:pt>
                <c:pt idx="144">
                  <c:v>483.38577500000002</c:v>
                </c:pt>
                <c:pt idx="145">
                  <c:v>486.71947</c:v>
                </c:pt>
                <c:pt idx="146">
                  <c:v>490.05316500000004</c:v>
                </c:pt>
                <c:pt idx="147">
                  <c:v>493.38686000000001</c:v>
                </c:pt>
                <c:pt idx="148">
                  <c:v>496.72055500000005</c:v>
                </c:pt>
                <c:pt idx="149">
                  <c:v>500.05425000000002</c:v>
                </c:pt>
                <c:pt idx="150">
                  <c:v>503.387945</c:v>
                </c:pt>
                <c:pt idx="151">
                  <c:v>506.72164000000004</c:v>
                </c:pt>
                <c:pt idx="152">
                  <c:v>510.05533500000001</c:v>
                </c:pt>
                <c:pt idx="153">
                  <c:v>513.38903000000005</c:v>
                </c:pt>
                <c:pt idx="154">
                  <c:v>516.72272500000008</c:v>
                </c:pt>
                <c:pt idx="155">
                  <c:v>520.05642</c:v>
                </c:pt>
                <c:pt idx="156">
                  <c:v>523.39011500000004</c:v>
                </c:pt>
              </c:numCache>
            </c:numRef>
          </c:xVal>
          <c:yVal>
            <c:numRef>
              <c:f>Thrust!$I$162:$I$318</c:f>
              <c:numCache>
                <c:formatCode>General</c:formatCode>
                <c:ptCount val="157"/>
                <c:pt idx="0">
                  <c:v>0.11804905661832356</c:v>
                </c:pt>
                <c:pt idx="1">
                  <c:v>0.13922672833667674</c:v>
                </c:pt>
                <c:pt idx="2">
                  <c:v>0.16010701515505957</c:v>
                </c:pt>
                <c:pt idx="3">
                  <c:v>0.18068991707347196</c:v>
                </c:pt>
                <c:pt idx="4">
                  <c:v>0.20097543409191401</c:v>
                </c:pt>
                <c:pt idx="5">
                  <c:v>0.22096356621038568</c:v>
                </c:pt>
                <c:pt idx="6">
                  <c:v>0.24065431342888699</c:v>
                </c:pt>
                <c:pt idx="7">
                  <c:v>0.26004767574741783</c:v>
                </c:pt>
                <c:pt idx="8">
                  <c:v>0.27914365316597833</c:v>
                </c:pt>
                <c:pt idx="9">
                  <c:v>0.29794224568456845</c:v>
                </c:pt>
                <c:pt idx="10">
                  <c:v>0.31644345330318824</c:v>
                </c:pt>
                <c:pt idx="11">
                  <c:v>0.33464727602183753</c:v>
                </c:pt>
                <c:pt idx="12">
                  <c:v>0.35255371384051654</c:v>
                </c:pt>
                <c:pt idx="13">
                  <c:v>0.37016276675922516</c:v>
                </c:pt>
                <c:pt idx="14">
                  <c:v>0.38747443477796334</c:v>
                </c:pt>
                <c:pt idx="15">
                  <c:v>0.40448871789673113</c:v>
                </c:pt>
                <c:pt idx="16">
                  <c:v>0.42120561611552859</c:v>
                </c:pt>
                <c:pt idx="17">
                  <c:v>0.43762512943435555</c:v>
                </c:pt>
                <c:pt idx="18">
                  <c:v>0.45374725785321229</c:v>
                </c:pt>
                <c:pt idx="19">
                  <c:v>0.46957200137209848</c:v>
                </c:pt>
                <c:pt idx="20">
                  <c:v>0.4850993599910145</c:v>
                </c:pt>
                <c:pt idx="21">
                  <c:v>0.50032933370996002</c:v>
                </c:pt>
                <c:pt idx="22">
                  <c:v>0.51526192252893521</c:v>
                </c:pt>
                <c:pt idx="23">
                  <c:v>0.52989712644793985</c:v>
                </c:pt>
                <c:pt idx="24">
                  <c:v>0.54423494546697426</c:v>
                </c:pt>
                <c:pt idx="25">
                  <c:v>0.55827537958603823</c:v>
                </c:pt>
                <c:pt idx="26">
                  <c:v>0.57201842880513187</c:v>
                </c:pt>
                <c:pt idx="27">
                  <c:v>0.58546409312425518</c:v>
                </c:pt>
                <c:pt idx="28">
                  <c:v>0.59861237254340782</c:v>
                </c:pt>
                <c:pt idx="29">
                  <c:v>0.61146326706259035</c:v>
                </c:pt>
                <c:pt idx="30">
                  <c:v>0.62401677668180255</c:v>
                </c:pt>
                <c:pt idx="31">
                  <c:v>0.63627290140104409</c:v>
                </c:pt>
                <c:pt idx="32">
                  <c:v>0.64823164122031551</c:v>
                </c:pt>
                <c:pt idx="33">
                  <c:v>0.65989299613961638</c:v>
                </c:pt>
                <c:pt idx="34">
                  <c:v>0.67125696615894681</c:v>
                </c:pt>
                <c:pt idx="35">
                  <c:v>0.68232355127830691</c:v>
                </c:pt>
                <c:pt idx="36">
                  <c:v>0.69309275149769678</c:v>
                </c:pt>
                <c:pt idx="37">
                  <c:v>0.70356456681711621</c:v>
                </c:pt>
                <c:pt idx="38">
                  <c:v>0.71373899723656509</c:v>
                </c:pt>
                <c:pt idx="39">
                  <c:v>0.72361604275604374</c:v>
                </c:pt>
                <c:pt idx="40">
                  <c:v>0.73319570337555218</c:v>
                </c:pt>
                <c:pt idx="41">
                  <c:v>0.74247797909508984</c:v>
                </c:pt>
                <c:pt idx="42">
                  <c:v>0.75146286991465727</c:v>
                </c:pt>
                <c:pt idx="43">
                  <c:v>0.76015037583425449</c:v>
                </c:pt>
                <c:pt idx="44">
                  <c:v>0.76854049685388115</c:v>
                </c:pt>
                <c:pt idx="45">
                  <c:v>0.77663323297353748</c:v>
                </c:pt>
                <c:pt idx="46">
                  <c:v>0.78442858419322348</c:v>
                </c:pt>
                <c:pt idx="47">
                  <c:v>0.79192655051293892</c:v>
                </c:pt>
                <c:pt idx="48">
                  <c:v>0.79912713193268403</c:v>
                </c:pt>
                <c:pt idx="49">
                  <c:v>0.80603032845245903</c:v>
                </c:pt>
                <c:pt idx="50">
                  <c:v>0.81263614007226326</c:v>
                </c:pt>
                <c:pt idx="51">
                  <c:v>0.81894456679209726</c:v>
                </c:pt>
                <c:pt idx="52">
                  <c:v>0.82495560861196093</c:v>
                </c:pt>
                <c:pt idx="53">
                  <c:v>0.83066926553185427</c:v>
                </c:pt>
                <c:pt idx="54">
                  <c:v>0.83608553755177706</c:v>
                </c:pt>
                <c:pt idx="55">
                  <c:v>0.84120442467172951</c:v>
                </c:pt>
                <c:pt idx="56">
                  <c:v>0.84602592689171163</c:v>
                </c:pt>
                <c:pt idx="57">
                  <c:v>0.85055004421172331</c:v>
                </c:pt>
                <c:pt idx="58">
                  <c:v>0.85477677663176477</c:v>
                </c:pt>
                <c:pt idx="59">
                  <c:v>0.85870612415183556</c:v>
                </c:pt>
                <c:pt idx="60">
                  <c:v>0.86233808677193613</c:v>
                </c:pt>
                <c:pt idx="61">
                  <c:v>0.86567266449206637</c:v>
                </c:pt>
                <c:pt idx="62">
                  <c:v>0.86870985731222616</c:v>
                </c:pt>
                <c:pt idx="63">
                  <c:v>0.8714496652324154</c:v>
                </c:pt>
                <c:pt idx="64">
                  <c:v>0.87389208825263465</c:v>
                </c:pt>
                <c:pt idx="65">
                  <c:v>0.87603712637288322</c:v>
                </c:pt>
                <c:pt idx="66">
                  <c:v>0.87788477959316147</c:v>
                </c:pt>
                <c:pt idx="67">
                  <c:v>0.87943504791346949</c:v>
                </c:pt>
                <c:pt idx="68">
                  <c:v>0.88068793133380685</c:v>
                </c:pt>
                <c:pt idx="69">
                  <c:v>0.8816434298541741</c:v>
                </c:pt>
                <c:pt idx="70">
                  <c:v>0.88230154347457068</c:v>
                </c:pt>
                <c:pt idx="71">
                  <c:v>0.88266227219499693</c:v>
                </c:pt>
                <c:pt idx="72">
                  <c:v>0.88272561601545318</c:v>
                </c:pt>
                <c:pt idx="73">
                  <c:v>0.88249157493593866</c:v>
                </c:pt>
                <c:pt idx="74">
                  <c:v>0.8819601489564538</c:v>
                </c:pt>
                <c:pt idx="75">
                  <c:v>0.88113133807699884</c:v>
                </c:pt>
                <c:pt idx="76">
                  <c:v>0.8800051422975731</c:v>
                </c:pt>
                <c:pt idx="77">
                  <c:v>0.87858156161817702</c:v>
                </c:pt>
                <c:pt idx="78">
                  <c:v>0.87686059603881084</c:v>
                </c:pt>
                <c:pt idx="79">
                  <c:v>0.8748422455594741</c:v>
                </c:pt>
                <c:pt idx="80">
                  <c:v>0.87252651018016691</c:v>
                </c:pt>
                <c:pt idx="81">
                  <c:v>0.86991338990088962</c:v>
                </c:pt>
                <c:pt idx="82">
                  <c:v>0.86700288472164178</c:v>
                </c:pt>
                <c:pt idx="83">
                  <c:v>0.86379499464242349</c:v>
                </c:pt>
                <c:pt idx="84">
                  <c:v>0.86028971966323464</c:v>
                </c:pt>
                <c:pt idx="85">
                  <c:v>0.85648705978407569</c:v>
                </c:pt>
                <c:pt idx="86">
                  <c:v>0.8523870150049464</c:v>
                </c:pt>
                <c:pt idx="87">
                  <c:v>0.84798958532584656</c:v>
                </c:pt>
                <c:pt idx="88">
                  <c:v>0.84329477074677661</c:v>
                </c:pt>
                <c:pt idx="89">
                  <c:v>0.83830257126773589</c:v>
                </c:pt>
                <c:pt idx="90">
                  <c:v>0.83301298688872483</c:v>
                </c:pt>
                <c:pt idx="91">
                  <c:v>0.82742601760974344</c:v>
                </c:pt>
                <c:pt idx="92">
                  <c:v>0.82154166343079171</c:v>
                </c:pt>
                <c:pt idx="93">
                  <c:v>0.81535992435186988</c:v>
                </c:pt>
                <c:pt idx="94">
                  <c:v>0.80888080037297749</c:v>
                </c:pt>
                <c:pt idx="95">
                  <c:v>0.80210429149411455</c:v>
                </c:pt>
                <c:pt idx="96">
                  <c:v>0.79503039771528128</c:v>
                </c:pt>
                <c:pt idx="97">
                  <c:v>0.78765911903647745</c:v>
                </c:pt>
                <c:pt idx="98">
                  <c:v>0.77999045545770329</c:v>
                </c:pt>
                <c:pt idx="99">
                  <c:v>0.77202440697895924</c:v>
                </c:pt>
                <c:pt idx="100">
                  <c:v>0.76376097360024464</c:v>
                </c:pt>
                <c:pt idx="101">
                  <c:v>0.75520015532155926</c:v>
                </c:pt>
                <c:pt idx="102">
                  <c:v>0.74634195214290355</c:v>
                </c:pt>
                <c:pt idx="103">
                  <c:v>0.73718636406427773</c:v>
                </c:pt>
                <c:pt idx="104">
                  <c:v>0.72773339108568136</c:v>
                </c:pt>
                <c:pt idx="105">
                  <c:v>0.71798303320711443</c:v>
                </c:pt>
                <c:pt idx="106">
                  <c:v>0.70793529042857783</c:v>
                </c:pt>
                <c:pt idx="107">
                  <c:v>0.69759016275007024</c:v>
                </c:pt>
                <c:pt idx="108">
                  <c:v>0.68694765017159232</c:v>
                </c:pt>
                <c:pt idx="109">
                  <c:v>0.67600775269314406</c:v>
                </c:pt>
                <c:pt idx="110">
                  <c:v>0.66477047031472525</c:v>
                </c:pt>
                <c:pt idx="111">
                  <c:v>0.6532358030363361</c:v>
                </c:pt>
                <c:pt idx="112">
                  <c:v>0.6414037508579773</c:v>
                </c:pt>
                <c:pt idx="113">
                  <c:v>0.62927431377964749</c:v>
                </c:pt>
                <c:pt idx="114">
                  <c:v>0.61684749180134713</c:v>
                </c:pt>
                <c:pt idx="115">
                  <c:v>0.6041232849230771</c:v>
                </c:pt>
                <c:pt idx="116">
                  <c:v>0.59110169314483629</c:v>
                </c:pt>
                <c:pt idx="117">
                  <c:v>0.57778271646662471</c:v>
                </c:pt>
                <c:pt idx="118">
                  <c:v>0.56416635488844324</c:v>
                </c:pt>
                <c:pt idx="119">
                  <c:v>0.55025260841029056</c:v>
                </c:pt>
                <c:pt idx="120">
                  <c:v>0.53604147703216842</c:v>
                </c:pt>
                <c:pt idx="121">
                  <c:v>0.52153296075407551</c:v>
                </c:pt>
                <c:pt idx="122">
                  <c:v>0.50672705957601272</c:v>
                </c:pt>
                <c:pt idx="123">
                  <c:v>0.4916237734979787</c:v>
                </c:pt>
                <c:pt idx="124">
                  <c:v>0.47622310251997479</c:v>
                </c:pt>
                <c:pt idx="125">
                  <c:v>0.46052504664200056</c:v>
                </c:pt>
                <c:pt idx="126">
                  <c:v>0.44452960586405599</c:v>
                </c:pt>
                <c:pt idx="127">
                  <c:v>0.4282367801861402</c:v>
                </c:pt>
                <c:pt idx="128">
                  <c:v>0.41164656960825496</c:v>
                </c:pt>
                <c:pt idx="129">
                  <c:v>0.39475897413039984</c:v>
                </c:pt>
                <c:pt idx="130">
                  <c:v>0.37757399375257261</c:v>
                </c:pt>
                <c:pt idx="131">
                  <c:v>0.36009162847477594</c:v>
                </c:pt>
                <c:pt idx="132">
                  <c:v>0.34231187829700893</c:v>
                </c:pt>
                <c:pt idx="133">
                  <c:v>0.32423474321927159</c:v>
                </c:pt>
                <c:pt idx="134">
                  <c:v>0.30586022324156392</c:v>
                </c:pt>
                <c:pt idx="135">
                  <c:v>0.28718831836388592</c:v>
                </c:pt>
                <c:pt idx="136">
                  <c:v>0.26821902858623714</c:v>
                </c:pt>
                <c:pt idx="137">
                  <c:v>0.24895235390861803</c:v>
                </c:pt>
                <c:pt idx="138">
                  <c:v>0.22938829433102992</c:v>
                </c:pt>
                <c:pt idx="139">
                  <c:v>0.2095268498534697</c:v>
                </c:pt>
                <c:pt idx="140">
                  <c:v>0.18936802047593915</c:v>
                </c:pt>
                <c:pt idx="141">
                  <c:v>0.16891180619843871</c:v>
                </c:pt>
                <c:pt idx="142">
                  <c:v>0.14815820702096749</c:v>
                </c:pt>
                <c:pt idx="143">
                  <c:v>0.12710722294352639</c:v>
                </c:pt>
                <c:pt idx="144">
                  <c:v>0.10575885396611451</c:v>
                </c:pt>
                <c:pt idx="145">
                  <c:v>8.4113100088733628E-2</c:v>
                </c:pt>
                <c:pt idx="146">
                  <c:v>6.2169961311380195E-2</c:v>
                </c:pt>
                <c:pt idx="147">
                  <c:v>3.9929437634057763E-2</c:v>
                </c:pt>
                <c:pt idx="148">
                  <c:v>1.739152905676411E-2</c:v>
                </c:pt>
                <c:pt idx="149">
                  <c:v>-5.4437644204994307E-3</c:v>
                </c:pt>
                <c:pt idx="150">
                  <c:v>-2.8576442797732859E-2</c:v>
                </c:pt>
                <c:pt idx="151">
                  <c:v>-5.2006506074937064E-2</c:v>
                </c:pt>
                <c:pt idx="152">
                  <c:v>-7.5733954252112046E-2</c:v>
                </c:pt>
                <c:pt idx="153">
                  <c:v>-9.9758787329257359E-2</c:v>
                </c:pt>
                <c:pt idx="154">
                  <c:v>-0.12408100530637345</c:v>
                </c:pt>
                <c:pt idx="155">
                  <c:v>-0.14870060818345898</c:v>
                </c:pt>
                <c:pt idx="156">
                  <c:v>-0.17361759596051485</c:v>
                </c:pt>
              </c:numCache>
            </c:numRef>
          </c:yVal>
          <c:smooth val="0"/>
          <c:extLst>
            <c:ext xmlns:c16="http://schemas.microsoft.com/office/drawing/2014/chart" uri="{C3380CC4-5D6E-409C-BE32-E72D297353CC}">
              <c16:uniqueId val="{00000000-B066-794C-9B07-D70EC5BB27DC}"/>
            </c:ext>
          </c:extLst>
        </c:ser>
        <c:ser>
          <c:idx val="1"/>
          <c:order val="1"/>
          <c:spPr>
            <a:ln w="25400" cap="rnd">
              <a:solidFill>
                <a:srgbClr val="FF0000"/>
              </a:solidFill>
              <a:round/>
            </a:ln>
            <a:effectLst/>
          </c:spPr>
          <c:marker>
            <c:symbol val="none"/>
          </c:marker>
          <c:xVal>
            <c:numRef>
              <c:f>Thrust!$AD$166:$AD$171</c:f>
              <c:numCache>
                <c:formatCode>General</c:formatCode>
                <c:ptCount val="6"/>
                <c:pt idx="0">
                  <c:v>250</c:v>
                </c:pt>
                <c:pt idx="1">
                  <c:v>250</c:v>
                </c:pt>
                <c:pt idx="2">
                  <c:v>250</c:v>
                </c:pt>
                <c:pt idx="3">
                  <c:v>250</c:v>
                </c:pt>
                <c:pt idx="4">
                  <c:v>250</c:v>
                </c:pt>
                <c:pt idx="5">
                  <c:v>250</c:v>
                </c:pt>
              </c:numCache>
            </c:numRef>
          </c:xVal>
          <c:yVal>
            <c:numRef>
              <c:f>Thrust!$AC$166:$AC$171</c:f>
              <c:numCache>
                <c:formatCode>General</c:formatCode>
                <c:ptCount val="6"/>
                <c:pt idx="0">
                  <c:v>0</c:v>
                </c:pt>
                <c:pt idx="1">
                  <c:v>0.2</c:v>
                </c:pt>
                <c:pt idx="2">
                  <c:v>0.4</c:v>
                </c:pt>
                <c:pt idx="3">
                  <c:v>0.6</c:v>
                </c:pt>
                <c:pt idx="4">
                  <c:v>0.8</c:v>
                </c:pt>
                <c:pt idx="5">
                  <c:v>1</c:v>
                </c:pt>
              </c:numCache>
            </c:numRef>
          </c:yVal>
          <c:smooth val="0"/>
          <c:extLst>
            <c:ext xmlns:c16="http://schemas.microsoft.com/office/drawing/2014/chart" uri="{C3380CC4-5D6E-409C-BE32-E72D297353CC}">
              <c16:uniqueId val="{00000000-102A-C74D-8EE9-E3187E307C3F}"/>
            </c:ext>
          </c:extLst>
        </c:ser>
        <c:dLbls>
          <c:showLegendKey val="0"/>
          <c:showVal val="0"/>
          <c:showCatName val="0"/>
          <c:showSerName val="0"/>
          <c:showPercent val="0"/>
          <c:showBubbleSize val="0"/>
        </c:dLbls>
        <c:axId val="664189280"/>
        <c:axId val="2036994399"/>
      </c:scatterChart>
      <c:valAx>
        <c:axId val="664189280"/>
        <c:scaling>
          <c:orientation val="minMax"/>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Speed (KCAS)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36994399"/>
        <c:crosses val="autoZero"/>
        <c:crossBetween val="midCat"/>
      </c:valAx>
      <c:valAx>
        <c:axId val="2036994399"/>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Propellor</a:t>
                </a:r>
                <a:r>
                  <a:rPr lang="en-US" baseline="0"/>
                  <a:t> Efficiency (np)</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64189280"/>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Propellor</a:t>
            </a:r>
            <a:r>
              <a:rPr lang="en-US" baseline="0"/>
              <a:t> Efficiency vs Airspeed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Thrust!$D$162:$D$361</c:f>
              <c:numCache>
                <c:formatCode>General</c:formatCode>
                <c:ptCount val="200"/>
                <c:pt idx="0">
                  <c:v>3.3336950000000001</c:v>
                </c:pt>
                <c:pt idx="1">
                  <c:v>6.6673900000000001</c:v>
                </c:pt>
                <c:pt idx="2">
                  <c:v>10.001085</c:v>
                </c:pt>
                <c:pt idx="3">
                  <c:v>13.33478</c:v>
                </c:pt>
                <c:pt idx="4">
                  <c:v>16.668475000000001</c:v>
                </c:pt>
                <c:pt idx="5">
                  <c:v>20.00217</c:v>
                </c:pt>
                <c:pt idx="6">
                  <c:v>23.335865000000002</c:v>
                </c:pt>
                <c:pt idx="7">
                  <c:v>26.669560000000001</c:v>
                </c:pt>
                <c:pt idx="8">
                  <c:v>30.003254999999999</c:v>
                </c:pt>
                <c:pt idx="9">
                  <c:v>33.336950000000002</c:v>
                </c:pt>
                <c:pt idx="10">
                  <c:v>36.670645</c:v>
                </c:pt>
                <c:pt idx="11">
                  <c:v>40.004339999999999</c:v>
                </c:pt>
                <c:pt idx="12">
                  <c:v>43.338035000000005</c:v>
                </c:pt>
                <c:pt idx="13">
                  <c:v>46.671730000000004</c:v>
                </c:pt>
                <c:pt idx="14">
                  <c:v>50.005425000000002</c:v>
                </c:pt>
                <c:pt idx="15">
                  <c:v>53.339120000000001</c:v>
                </c:pt>
                <c:pt idx="16">
                  <c:v>56.672815000000007</c:v>
                </c:pt>
                <c:pt idx="17">
                  <c:v>60.006509999999999</c:v>
                </c:pt>
                <c:pt idx="18">
                  <c:v>63.340205000000005</c:v>
                </c:pt>
                <c:pt idx="19">
                  <c:v>66.673900000000003</c:v>
                </c:pt>
                <c:pt idx="20">
                  <c:v>70.007594999999995</c:v>
                </c:pt>
                <c:pt idx="21">
                  <c:v>73.341290000000001</c:v>
                </c:pt>
                <c:pt idx="22">
                  <c:v>76.674985000000007</c:v>
                </c:pt>
                <c:pt idx="23">
                  <c:v>80.008679999999998</c:v>
                </c:pt>
                <c:pt idx="24">
                  <c:v>83.342375000000004</c:v>
                </c:pt>
                <c:pt idx="25">
                  <c:v>86.67607000000001</c:v>
                </c:pt>
                <c:pt idx="26">
                  <c:v>90.009765000000016</c:v>
                </c:pt>
                <c:pt idx="27">
                  <c:v>93.343460000000007</c:v>
                </c:pt>
                <c:pt idx="28">
                  <c:v>96.677154999999999</c:v>
                </c:pt>
                <c:pt idx="29">
                  <c:v>100.01085</c:v>
                </c:pt>
                <c:pt idx="30">
                  <c:v>103.34454500000001</c:v>
                </c:pt>
                <c:pt idx="31">
                  <c:v>106.67824</c:v>
                </c:pt>
                <c:pt idx="32">
                  <c:v>110.01193500000001</c:v>
                </c:pt>
                <c:pt idx="33">
                  <c:v>113.34563000000001</c:v>
                </c:pt>
                <c:pt idx="34">
                  <c:v>116.67932499999999</c:v>
                </c:pt>
                <c:pt idx="35">
                  <c:v>120.01302</c:v>
                </c:pt>
                <c:pt idx="36">
                  <c:v>123.346715</c:v>
                </c:pt>
                <c:pt idx="37">
                  <c:v>126.68041000000001</c:v>
                </c:pt>
                <c:pt idx="38">
                  <c:v>130.014105</c:v>
                </c:pt>
                <c:pt idx="39">
                  <c:v>133.34780000000001</c:v>
                </c:pt>
                <c:pt idx="40">
                  <c:v>136.68149500000001</c:v>
                </c:pt>
                <c:pt idx="41">
                  <c:v>140.01518999999999</c:v>
                </c:pt>
                <c:pt idx="42">
                  <c:v>143.348885</c:v>
                </c:pt>
                <c:pt idx="43">
                  <c:v>146.68258</c:v>
                </c:pt>
                <c:pt idx="44">
                  <c:v>150.01627500000001</c:v>
                </c:pt>
                <c:pt idx="45">
                  <c:v>153.34997000000001</c:v>
                </c:pt>
                <c:pt idx="46">
                  <c:v>156.68366499999999</c:v>
                </c:pt>
                <c:pt idx="47">
                  <c:v>160.01736</c:v>
                </c:pt>
                <c:pt idx="48">
                  <c:v>163.351055</c:v>
                </c:pt>
                <c:pt idx="49">
                  <c:v>166.68475000000001</c:v>
                </c:pt>
                <c:pt idx="50">
                  <c:v>170.01844500000001</c:v>
                </c:pt>
                <c:pt idx="51">
                  <c:v>173.35214000000002</c:v>
                </c:pt>
                <c:pt idx="52">
                  <c:v>176.68583500000003</c:v>
                </c:pt>
                <c:pt idx="53">
                  <c:v>180.01953000000003</c:v>
                </c:pt>
                <c:pt idx="54">
                  <c:v>183.35322500000004</c:v>
                </c:pt>
                <c:pt idx="55">
                  <c:v>186.68692000000001</c:v>
                </c:pt>
                <c:pt idx="56">
                  <c:v>190.02061499999999</c:v>
                </c:pt>
                <c:pt idx="57">
                  <c:v>193.35431</c:v>
                </c:pt>
                <c:pt idx="58">
                  <c:v>196.688005</c:v>
                </c:pt>
                <c:pt idx="59">
                  <c:v>200.02170000000001</c:v>
                </c:pt>
                <c:pt idx="60">
                  <c:v>203.35539500000002</c:v>
                </c:pt>
                <c:pt idx="61">
                  <c:v>206.68909000000002</c:v>
                </c:pt>
                <c:pt idx="62">
                  <c:v>210.022785</c:v>
                </c:pt>
                <c:pt idx="63">
                  <c:v>213.35648</c:v>
                </c:pt>
                <c:pt idx="64">
                  <c:v>216.69017500000001</c:v>
                </c:pt>
                <c:pt idx="65">
                  <c:v>220.02387000000002</c:v>
                </c:pt>
                <c:pt idx="66">
                  <c:v>223.35756500000002</c:v>
                </c:pt>
                <c:pt idx="67">
                  <c:v>226.69126000000003</c:v>
                </c:pt>
                <c:pt idx="68">
                  <c:v>230.02495500000001</c:v>
                </c:pt>
                <c:pt idx="69">
                  <c:v>233.35864999999998</c:v>
                </c:pt>
                <c:pt idx="70">
                  <c:v>236.69234499999999</c:v>
                </c:pt>
                <c:pt idx="71">
                  <c:v>240.02603999999999</c:v>
                </c:pt>
                <c:pt idx="72">
                  <c:v>243.359735</c:v>
                </c:pt>
                <c:pt idx="73">
                  <c:v>246.69343000000001</c:v>
                </c:pt>
                <c:pt idx="74">
                  <c:v>250.02712500000001</c:v>
                </c:pt>
                <c:pt idx="75">
                  <c:v>253.36082000000002</c:v>
                </c:pt>
                <c:pt idx="76">
                  <c:v>256.69451500000002</c:v>
                </c:pt>
                <c:pt idx="77">
                  <c:v>260.02821</c:v>
                </c:pt>
                <c:pt idx="78">
                  <c:v>263.36190500000004</c:v>
                </c:pt>
                <c:pt idx="79">
                  <c:v>266.69560000000001</c:v>
                </c:pt>
                <c:pt idx="80">
                  <c:v>270.02929500000005</c:v>
                </c:pt>
                <c:pt idx="81">
                  <c:v>273.36299000000002</c:v>
                </c:pt>
                <c:pt idx="82">
                  <c:v>276.696685</c:v>
                </c:pt>
                <c:pt idx="83">
                  <c:v>280.03037999999998</c:v>
                </c:pt>
                <c:pt idx="84">
                  <c:v>283.36407500000001</c:v>
                </c:pt>
                <c:pt idx="85">
                  <c:v>286.69776999999999</c:v>
                </c:pt>
                <c:pt idx="86">
                  <c:v>290.03146500000003</c:v>
                </c:pt>
                <c:pt idx="87">
                  <c:v>293.36516</c:v>
                </c:pt>
                <c:pt idx="88">
                  <c:v>296.69885500000004</c:v>
                </c:pt>
                <c:pt idx="89">
                  <c:v>300.03255000000001</c:v>
                </c:pt>
                <c:pt idx="90">
                  <c:v>303.36624500000005</c:v>
                </c:pt>
                <c:pt idx="91">
                  <c:v>306.69994000000003</c:v>
                </c:pt>
                <c:pt idx="92">
                  <c:v>310.033635</c:v>
                </c:pt>
                <c:pt idx="93">
                  <c:v>313.36732999999998</c:v>
                </c:pt>
                <c:pt idx="94">
                  <c:v>316.70102500000002</c:v>
                </c:pt>
                <c:pt idx="95">
                  <c:v>320.03471999999999</c:v>
                </c:pt>
                <c:pt idx="96">
                  <c:v>323.36841500000003</c:v>
                </c:pt>
                <c:pt idx="97">
                  <c:v>326.70211</c:v>
                </c:pt>
                <c:pt idx="98">
                  <c:v>330.03580500000004</c:v>
                </c:pt>
                <c:pt idx="99">
                  <c:v>333.36950000000002</c:v>
                </c:pt>
                <c:pt idx="100">
                  <c:v>336.70319499999999</c:v>
                </c:pt>
                <c:pt idx="101">
                  <c:v>340.03689000000003</c:v>
                </c:pt>
                <c:pt idx="102">
                  <c:v>343.37058500000001</c:v>
                </c:pt>
                <c:pt idx="103">
                  <c:v>346.70428000000004</c:v>
                </c:pt>
                <c:pt idx="104">
                  <c:v>350.03797500000002</c:v>
                </c:pt>
                <c:pt idx="105">
                  <c:v>353.37167000000005</c:v>
                </c:pt>
                <c:pt idx="106">
                  <c:v>356.70536500000003</c:v>
                </c:pt>
                <c:pt idx="107">
                  <c:v>360.03906000000006</c:v>
                </c:pt>
                <c:pt idx="108">
                  <c:v>363.37275500000004</c:v>
                </c:pt>
                <c:pt idx="109">
                  <c:v>366.70645000000007</c:v>
                </c:pt>
                <c:pt idx="110">
                  <c:v>370.04014500000005</c:v>
                </c:pt>
                <c:pt idx="111">
                  <c:v>373.37384000000003</c:v>
                </c:pt>
                <c:pt idx="112">
                  <c:v>376.70753500000001</c:v>
                </c:pt>
                <c:pt idx="113">
                  <c:v>380.04122999999998</c:v>
                </c:pt>
                <c:pt idx="114">
                  <c:v>383.37492499999996</c:v>
                </c:pt>
                <c:pt idx="115">
                  <c:v>386.70862</c:v>
                </c:pt>
                <c:pt idx="116">
                  <c:v>390.04231499999997</c:v>
                </c:pt>
                <c:pt idx="117">
                  <c:v>393.37601000000001</c:v>
                </c:pt>
                <c:pt idx="118">
                  <c:v>396.70970499999999</c:v>
                </c:pt>
                <c:pt idx="119">
                  <c:v>400.04340000000002</c:v>
                </c:pt>
                <c:pt idx="120">
                  <c:v>403.377095</c:v>
                </c:pt>
                <c:pt idx="121">
                  <c:v>406.71079000000003</c:v>
                </c:pt>
                <c:pt idx="122">
                  <c:v>410.04448500000001</c:v>
                </c:pt>
                <c:pt idx="123">
                  <c:v>413.37818000000004</c:v>
                </c:pt>
                <c:pt idx="124">
                  <c:v>416.71187500000002</c:v>
                </c:pt>
                <c:pt idx="125">
                  <c:v>420.04557</c:v>
                </c:pt>
                <c:pt idx="126">
                  <c:v>423.37926500000003</c:v>
                </c:pt>
                <c:pt idx="127">
                  <c:v>426.71296000000001</c:v>
                </c:pt>
                <c:pt idx="128">
                  <c:v>430.04665500000004</c:v>
                </c:pt>
                <c:pt idx="129">
                  <c:v>433.38035000000002</c:v>
                </c:pt>
                <c:pt idx="130">
                  <c:v>436.71404500000006</c:v>
                </c:pt>
                <c:pt idx="131">
                  <c:v>440.04774000000003</c:v>
                </c:pt>
                <c:pt idx="132">
                  <c:v>443.38143500000007</c:v>
                </c:pt>
                <c:pt idx="133">
                  <c:v>446.71513000000004</c:v>
                </c:pt>
                <c:pt idx="134">
                  <c:v>450.04882500000008</c:v>
                </c:pt>
                <c:pt idx="135">
                  <c:v>453.38252000000006</c:v>
                </c:pt>
                <c:pt idx="136">
                  <c:v>456.71621500000003</c:v>
                </c:pt>
                <c:pt idx="137">
                  <c:v>460.04991000000001</c:v>
                </c:pt>
                <c:pt idx="138">
                  <c:v>463.38360499999999</c:v>
                </c:pt>
                <c:pt idx="139">
                  <c:v>466.71729999999997</c:v>
                </c:pt>
                <c:pt idx="140">
                  <c:v>470.050995</c:v>
                </c:pt>
                <c:pt idx="141">
                  <c:v>473.38468999999998</c:v>
                </c:pt>
                <c:pt idx="142">
                  <c:v>476.71838500000001</c:v>
                </c:pt>
                <c:pt idx="143">
                  <c:v>480.05207999999999</c:v>
                </c:pt>
                <c:pt idx="144">
                  <c:v>483.38577500000002</c:v>
                </c:pt>
                <c:pt idx="145">
                  <c:v>486.71947</c:v>
                </c:pt>
                <c:pt idx="146">
                  <c:v>490.05316500000004</c:v>
                </c:pt>
                <c:pt idx="147">
                  <c:v>493.38686000000001</c:v>
                </c:pt>
                <c:pt idx="148">
                  <c:v>496.72055500000005</c:v>
                </c:pt>
                <c:pt idx="149">
                  <c:v>500.05425000000002</c:v>
                </c:pt>
                <c:pt idx="150">
                  <c:v>503.387945</c:v>
                </c:pt>
                <c:pt idx="151">
                  <c:v>506.72164000000004</c:v>
                </c:pt>
                <c:pt idx="152">
                  <c:v>510.05533500000001</c:v>
                </c:pt>
                <c:pt idx="153">
                  <c:v>513.38903000000005</c:v>
                </c:pt>
                <c:pt idx="154">
                  <c:v>516.72272500000008</c:v>
                </c:pt>
                <c:pt idx="155">
                  <c:v>520.05642</c:v>
                </c:pt>
                <c:pt idx="156">
                  <c:v>523.39011500000004</c:v>
                </c:pt>
                <c:pt idx="157">
                  <c:v>526.72381000000007</c:v>
                </c:pt>
                <c:pt idx="158">
                  <c:v>530.05750500000011</c:v>
                </c:pt>
                <c:pt idx="159">
                  <c:v>533.39120000000003</c:v>
                </c:pt>
                <c:pt idx="160">
                  <c:v>536.72489500000006</c:v>
                </c:pt>
                <c:pt idx="161">
                  <c:v>540.05859000000009</c:v>
                </c:pt>
                <c:pt idx="162">
                  <c:v>543.39228500000002</c:v>
                </c:pt>
                <c:pt idx="163">
                  <c:v>546.72598000000005</c:v>
                </c:pt>
                <c:pt idx="164">
                  <c:v>550.05967499999997</c:v>
                </c:pt>
                <c:pt idx="165">
                  <c:v>553.39337</c:v>
                </c:pt>
                <c:pt idx="166">
                  <c:v>556.72706500000004</c:v>
                </c:pt>
                <c:pt idx="167">
                  <c:v>560.06075999999996</c:v>
                </c:pt>
                <c:pt idx="168">
                  <c:v>563.39445499999999</c:v>
                </c:pt>
                <c:pt idx="169">
                  <c:v>566.72815000000003</c:v>
                </c:pt>
                <c:pt idx="170">
                  <c:v>570.06184500000006</c:v>
                </c:pt>
                <c:pt idx="171">
                  <c:v>573.39553999999998</c:v>
                </c:pt>
                <c:pt idx="172">
                  <c:v>576.72923500000002</c:v>
                </c:pt>
                <c:pt idx="173">
                  <c:v>580.06293000000005</c:v>
                </c:pt>
                <c:pt idx="174">
                  <c:v>583.39662500000009</c:v>
                </c:pt>
                <c:pt idx="175">
                  <c:v>586.73032000000001</c:v>
                </c:pt>
                <c:pt idx="176">
                  <c:v>590.06401500000004</c:v>
                </c:pt>
                <c:pt idx="177">
                  <c:v>593.39771000000007</c:v>
                </c:pt>
                <c:pt idx="178">
                  <c:v>596.731405</c:v>
                </c:pt>
                <c:pt idx="179">
                  <c:v>600.06510000000003</c:v>
                </c:pt>
                <c:pt idx="180">
                  <c:v>603.39879500000006</c:v>
                </c:pt>
                <c:pt idx="181">
                  <c:v>606.7324900000001</c:v>
                </c:pt>
                <c:pt idx="182">
                  <c:v>610.06618500000002</c:v>
                </c:pt>
                <c:pt idx="183">
                  <c:v>613.39988000000005</c:v>
                </c:pt>
                <c:pt idx="184">
                  <c:v>616.73357500000009</c:v>
                </c:pt>
                <c:pt idx="185">
                  <c:v>620.06727000000001</c:v>
                </c:pt>
                <c:pt idx="186">
                  <c:v>623.40096500000004</c:v>
                </c:pt>
                <c:pt idx="187">
                  <c:v>626.73465999999996</c:v>
                </c:pt>
                <c:pt idx="188">
                  <c:v>630.068355</c:v>
                </c:pt>
                <c:pt idx="189">
                  <c:v>633.40205000000003</c:v>
                </c:pt>
                <c:pt idx="190">
                  <c:v>636.73574499999995</c:v>
                </c:pt>
                <c:pt idx="191">
                  <c:v>640.06943999999999</c:v>
                </c:pt>
                <c:pt idx="192">
                  <c:v>643.40313500000002</c:v>
                </c:pt>
                <c:pt idx="193">
                  <c:v>646.73683000000005</c:v>
                </c:pt>
                <c:pt idx="194">
                  <c:v>650.07052499999998</c:v>
                </c:pt>
                <c:pt idx="195">
                  <c:v>653.40422000000001</c:v>
                </c:pt>
                <c:pt idx="196">
                  <c:v>656.73791500000004</c:v>
                </c:pt>
                <c:pt idx="197">
                  <c:v>660.07161000000008</c:v>
                </c:pt>
                <c:pt idx="198">
                  <c:v>663.405305</c:v>
                </c:pt>
                <c:pt idx="199">
                  <c:v>666.73900000000003</c:v>
                </c:pt>
              </c:numCache>
            </c:numRef>
          </c:xVal>
          <c:yVal>
            <c:numRef>
              <c:f>Thrust!$I$162:$I$361</c:f>
              <c:numCache>
                <c:formatCode>General</c:formatCode>
                <c:ptCount val="200"/>
                <c:pt idx="0">
                  <c:v>0.11804905661832356</c:v>
                </c:pt>
                <c:pt idx="1">
                  <c:v>0.13922672833667674</c:v>
                </c:pt>
                <c:pt idx="2">
                  <c:v>0.16010701515505957</c:v>
                </c:pt>
                <c:pt idx="3">
                  <c:v>0.18068991707347196</c:v>
                </c:pt>
                <c:pt idx="4">
                  <c:v>0.20097543409191401</c:v>
                </c:pt>
                <c:pt idx="5">
                  <c:v>0.22096356621038568</c:v>
                </c:pt>
                <c:pt idx="6">
                  <c:v>0.24065431342888699</c:v>
                </c:pt>
                <c:pt idx="7">
                  <c:v>0.26004767574741783</c:v>
                </c:pt>
                <c:pt idx="8">
                  <c:v>0.27914365316597833</c:v>
                </c:pt>
                <c:pt idx="9">
                  <c:v>0.29794224568456845</c:v>
                </c:pt>
                <c:pt idx="10">
                  <c:v>0.31644345330318824</c:v>
                </c:pt>
                <c:pt idx="11">
                  <c:v>0.33464727602183753</c:v>
                </c:pt>
                <c:pt idx="12">
                  <c:v>0.35255371384051654</c:v>
                </c:pt>
                <c:pt idx="13">
                  <c:v>0.37016276675922516</c:v>
                </c:pt>
                <c:pt idx="14">
                  <c:v>0.38747443477796334</c:v>
                </c:pt>
                <c:pt idx="15">
                  <c:v>0.40448871789673113</c:v>
                </c:pt>
                <c:pt idx="16">
                  <c:v>0.42120561611552859</c:v>
                </c:pt>
                <c:pt idx="17">
                  <c:v>0.43762512943435555</c:v>
                </c:pt>
                <c:pt idx="18">
                  <c:v>0.45374725785321229</c:v>
                </c:pt>
                <c:pt idx="19">
                  <c:v>0.46957200137209848</c:v>
                </c:pt>
                <c:pt idx="20">
                  <c:v>0.4850993599910145</c:v>
                </c:pt>
                <c:pt idx="21">
                  <c:v>0.50032933370996002</c:v>
                </c:pt>
                <c:pt idx="22">
                  <c:v>0.51526192252893521</c:v>
                </c:pt>
                <c:pt idx="23">
                  <c:v>0.52989712644793985</c:v>
                </c:pt>
                <c:pt idx="24">
                  <c:v>0.54423494546697426</c:v>
                </c:pt>
                <c:pt idx="25">
                  <c:v>0.55827537958603823</c:v>
                </c:pt>
                <c:pt idx="26">
                  <c:v>0.57201842880513187</c:v>
                </c:pt>
                <c:pt idx="27">
                  <c:v>0.58546409312425518</c:v>
                </c:pt>
                <c:pt idx="28">
                  <c:v>0.59861237254340782</c:v>
                </c:pt>
                <c:pt idx="29">
                  <c:v>0.61146326706259035</c:v>
                </c:pt>
                <c:pt idx="30">
                  <c:v>0.62401677668180255</c:v>
                </c:pt>
                <c:pt idx="31">
                  <c:v>0.63627290140104409</c:v>
                </c:pt>
                <c:pt idx="32">
                  <c:v>0.64823164122031551</c:v>
                </c:pt>
                <c:pt idx="33">
                  <c:v>0.65989299613961638</c:v>
                </c:pt>
                <c:pt idx="34">
                  <c:v>0.67125696615894681</c:v>
                </c:pt>
                <c:pt idx="35">
                  <c:v>0.68232355127830691</c:v>
                </c:pt>
                <c:pt idx="36">
                  <c:v>0.69309275149769678</c:v>
                </c:pt>
                <c:pt idx="37">
                  <c:v>0.70356456681711621</c:v>
                </c:pt>
                <c:pt idx="38">
                  <c:v>0.71373899723656509</c:v>
                </c:pt>
                <c:pt idx="39">
                  <c:v>0.72361604275604374</c:v>
                </c:pt>
                <c:pt idx="40">
                  <c:v>0.73319570337555218</c:v>
                </c:pt>
                <c:pt idx="41">
                  <c:v>0.74247797909508984</c:v>
                </c:pt>
                <c:pt idx="42">
                  <c:v>0.75146286991465727</c:v>
                </c:pt>
                <c:pt idx="43">
                  <c:v>0.76015037583425449</c:v>
                </c:pt>
                <c:pt idx="44">
                  <c:v>0.76854049685388115</c:v>
                </c:pt>
                <c:pt idx="45">
                  <c:v>0.77663323297353748</c:v>
                </c:pt>
                <c:pt idx="46">
                  <c:v>0.78442858419322348</c:v>
                </c:pt>
                <c:pt idx="47">
                  <c:v>0.79192655051293892</c:v>
                </c:pt>
                <c:pt idx="48">
                  <c:v>0.79912713193268403</c:v>
                </c:pt>
                <c:pt idx="49">
                  <c:v>0.80603032845245903</c:v>
                </c:pt>
                <c:pt idx="50">
                  <c:v>0.81263614007226326</c:v>
                </c:pt>
                <c:pt idx="51">
                  <c:v>0.81894456679209726</c:v>
                </c:pt>
                <c:pt idx="52">
                  <c:v>0.82495560861196093</c:v>
                </c:pt>
                <c:pt idx="53">
                  <c:v>0.83066926553185427</c:v>
                </c:pt>
                <c:pt idx="54">
                  <c:v>0.83608553755177706</c:v>
                </c:pt>
                <c:pt idx="55">
                  <c:v>0.84120442467172951</c:v>
                </c:pt>
                <c:pt idx="56">
                  <c:v>0.84602592689171163</c:v>
                </c:pt>
                <c:pt idx="57">
                  <c:v>0.85055004421172331</c:v>
                </c:pt>
                <c:pt idx="58">
                  <c:v>0.85477677663176477</c:v>
                </c:pt>
                <c:pt idx="59">
                  <c:v>0.85870612415183556</c:v>
                </c:pt>
                <c:pt idx="60">
                  <c:v>0.86233808677193613</c:v>
                </c:pt>
                <c:pt idx="61">
                  <c:v>0.86567266449206637</c:v>
                </c:pt>
                <c:pt idx="62">
                  <c:v>0.86870985731222616</c:v>
                </c:pt>
                <c:pt idx="63">
                  <c:v>0.8714496652324154</c:v>
                </c:pt>
                <c:pt idx="64">
                  <c:v>0.87389208825263465</c:v>
                </c:pt>
                <c:pt idx="65">
                  <c:v>0.87603712637288322</c:v>
                </c:pt>
                <c:pt idx="66">
                  <c:v>0.87788477959316147</c:v>
                </c:pt>
                <c:pt idx="67">
                  <c:v>0.87943504791346949</c:v>
                </c:pt>
                <c:pt idx="68">
                  <c:v>0.88068793133380685</c:v>
                </c:pt>
                <c:pt idx="69">
                  <c:v>0.8816434298541741</c:v>
                </c:pt>
                <c:pt idx="70">
                  <c:v>0.88230154347457068</c:v>
                </c:pt>
                <c:pt idx="71">
                  <c:v>0.88266227219499693</c:v>
                </c:pt>
                <c:pt idx="72">
                  <c:v>0.88272561601545318</c:v>
                </c:pt>
                <c:pt idx="73">
                  <c:v>0.88249157493593866</c:v>
                </c:pt>
                <c:pt idx="74">
                  <c:v>0.8819601489564538</c:v>
                </c:pt>
                <c:pt idx="75">
                  <c:v>0.88113133807699884</c:v>
                </c:pt>
                <c:pt idx="76">
                  <c:v>0.8800051422975731</c:v>
                </c:pt>
                <c:pt idx="77">
                  <c:v>0.87858156161817702</c:v>
                </c:pt>
                <c:pt idx="78">
                  <c:v>0.87686059603881084</c:v>
                </c:pt>
                <c:pt idx="79">
                  <c:v>0.8748422455594741</c:v>
                </c:pt>
                <c:pt idx="80">
                  <c:v>0.87252651018016691</c:v>
                </c:pt>
                <c:pt idx="81">
                  <c:v>0.86991338990088962</c:v>
                </c:pt>
                <c:pt idx="82">
                  <c:v>0.86700288472164178</c:v>
                </c:pt>
                <c:pt idx="83">
                  <c:v>0.86379499464242349</c:v>
                </c:pt>
                <c:pt idx="84">
                  <c:v>0.86028971966323464</c:v>
                </c:pt>
                <c:pt idx="85">
                  <c:v>0.85648705978407569</c:v>
                </c:pt>
                <c:pt idx="86">
                  <c:v>0.8523870150049464</c:v>
                </c:pt>
                <c:pt idx="87">
                  <c:v>0.84798958532584656</c:v>
                </c:pt>
                <c:pt idx="88">
                  <c:v>0.84329477074677661</c:v>
                </c:pt>
                <c:pt idx="89">
                  <c:v>0.83830257126773589</c:v>
                </c:pt>
                <c:pt idx="90">
                  <c:v>0.83301298688872483</c:v>
                </c:pt>
                <c:pt idx="91">
                  <c:v>0.82742601760974344</c:v>
                </c:pt>
                <c:pt idx="92">
                  <c:v>0.82154166343079171</c:v>
                </c:pt>
                <c:pt idx="93">
                  <c:v>0.81535992435186988</c:v>
                </c:pt>
                <c:pt idx="94">
                  <c:v>0.80888080037297749</c:v>
                </c:pt>
                <c:pt idx="95">
                  <c:v>0.80210429149411455</c:v>
                </c:pt>
                <c:pt idx="96">
                  <c:v>0.79503039771528128</c:v>
                </c:pt>
                <c:pt idx="97">
                  <c:v>0.78765911903647745</c:v>
                </c:pt>
                <c:pt idx="98">
                  <c:v>0.77999045545770329</c:v>
                </c:pt>
                <c:pt idx="99">
                  <c:v>0.77202440697895924</c:v>
                </c:pt>
                <c:pt idx="100">
                  <c:v>0.76376097360024464</c:v>
                </c:pt>
                <c:pt idx="101">
                  <c:v>0.75520015532155926</c:v>
                </c:pt>
                <c:pt idx="102">
                  <c:v>0.74634195214290355</c:v>
                </c:pt>
                <c:pt idx="103">
                  <c:v>0.73718636406427773</c:v>
                </c:pt>
                <c:pt idx="104">
                  <c:v>0.72773339108568136</c:v>
                </c:pt>
                <c:pt idx="105">
                  <c:v>0.71798303320711443</c:v>
                </c:pt>
                <c:pt idx="106">
                  <c:v>0.70793529042857783</c:v>
                </c:pt>
                <c:pt idx="107">
                  <c:v>0.69759016275007024</c:v>
                </c:pt>
                <c:pt idx="108">
                  <c:v>0.68694765017159232</c:v>
                </c:pt>
                <c:pt idx="109">
                  <c:v>0.67600775269314406</c:v>
                </c:pt>
                <c:pt idx="110">
                  <c:v>0.66477047031472525</c:v>
                </c:pt>
                <c:pt idx="111">
                  <c:v>0.6532358030363361</c:v>
                </c:pt>
                <c:pt idx="112">
                  <c:v>0.6414037508579773</c:v>
                </c:pt>
                <c:pt idx="113">
                  <c:v>0.62927431377964749</c:v>
                </c:pt>
                <c:pt idx="114">
                  <c:v>0.61684749180134713</c:v>
                </c:pt>
                <c:pt idx="115">
                  <c:v>0.6041232849230771</c:v>
                </c:pt>
                <c:pt idx="116">
                  <c:v>0.59110169314483629</c:v>
                </c:pt>
                <c:pt idx="117">
                  <c:v>0.57778271646662471</c:v>
                </c:pt>
                <c:pt idx="118">
                  <c:v>0.56416635488844324</c:v>
                </c:pt>
                <c:pt idx="119">
                  <c:v>0.55025260841029056</c:v>
                </c:pt>
                <c:pt idx="120">
                  <c:v>0.53604147703216842</c:v>
                </c:pt>
                <c:pt idx="121">
                  <c:v>0.52153296075407551</c:v>
                </c:pt>
                <c:pt idx="122">
                  <c:v>0.50672705957601272</c:v>
                </c:pt>
                <c:pt idx="123">
                  <c:v>0.4916237734979787</c:v>
                </c:pt>
                <c:pt idx="124">
                  <c:v>0.47622310251997479</c:v>
                </c:pt>
                <c:pt idx="125">
                  <c:v>0.46052504664200056</c:v>
                </c:pt>
                <c:pt idx="126">
                  <c:v>0.44452960586405599</c:v>
                </c:pt>
                <c:pt idx="127">
                  <c:v>0.4282367801861402</c:v>
                </c:pt>
                <c:pt idx="128">
                  <c:v>0.41164656960825496</c:v>
                </c:pt>
                <c:pt idx="129">
                  <c:v>0.39475897413039984</c:v>
                </c:pt>
                <c:pt idx="130">
                  <c:v>0.37757399375257261</c:v>
                </c:pt>
                <c:pt idx="131">
                  <c:v>0.36009162847477594</c:v>
                </c:pt>
                <c:pt idx="132">
                  <c:v>0.34231187829700893</c:v>
                </c:pt>
                <c:pt idx="133">
                  <c:v>0.32423474321927159</c:v>
                </c:pt>
                <c:pt idx="134">
                  <c:v>0.30586022324156392</c:v>
                </c:pt>
                <c:pt idx="135">
                  <c:v>0.28718831836388592</c:v>
                </c:pt>
                <c:pt idx="136">
                  <c:v>0.26821902858623714</c:v>
                </c:pt>
                <c:pt idx="137">
                  <c:v>0.24895235390861803</c:v>
                </c:pt>
                <c:pt idx="138">
                  <c:v>0.22938829433102992</c:v>
                </c:pt>
                <c:pt idx="139">
                  <c:v>0.2095268498534697</c:v>
                </c:pt>
                <c:pt idx="140">
                  <c:v>0.18936802047593915</c:v>
                </c:pt>
                <c:pt idx="141">
                  <c:v>0.16891180619843871</c:v>
                </c:pt>
                <c:pt idx="142">
                  <c:v>0.14815820702096749</c:v>
                </c:pt>
                <c:pt idx="143">
                  <c:v>0.12710722294352639</c:v>
                </c:pt>
                <c:pt idx="144">
                  <c:v>0.10575885396611451</c:v>
                </c:pt>
                <c:pt idx="145">
                  <c:v>8.4113100088733628E-2</c:v>
                </c:pt>
                <c:pt idx="146">
                  <c:v>6.2169961311380195E-2</c:v>
                </c:pt>
                <c:pt idx="147">
                  <c:v>3.9929437634057763E-2</c:v>
                </c:pt>
                <c:pt idx="148">
                  <c:v>1.739152905676411E-2</c:v>
                </c:pt>
                <c:pt idx="149">
                  <c:v>-5.4437644204994307E-3</c:v>
                </c:pt>
                <c:pt idx="150">
                  <c:v>-2.8576442797732859E-2</c:v>
                </c:pt>
                <c:pt idx="151">
                  <c:v>-5.2006506074937064E-2</c:v>
                </c:pt>
                <c:pt idx="152">
                  <c:v>-7.5733954252112046E-2</c:v>
                </c:pt>
                <c:pt idx="153">
                  <c:v>-9.9758787329257359E-2</c:v>
                </c:pt>
                <c:pt idx="154">
                  <c:v>-0.12408100530637345</c:v>
                </c:pt>
                <c:pt idx="155">
                  <c:v>-0.14870060818345898</c:v>
                </c:pt>
                <c:pt idx="156">
                  <c:v>-0.17361759596051485</c:v>
                </c:pt>
                <c:pt idx="157">
                  <c:v>-0.19883196863754149</c:v>
                </c:pt>
                <c:pt idx="158">
                  <c:v>-0.22434372621453846</c:v>
                </c:pt>
                <c:pt idx="159">
                  <c:v>-0.25015286869150533</c:v>
                </c:pt>
                <c:pt idx="160">
                  <c:v>-0.27625939606844385</c:v>
                </c:pt>
                <c:pt idx="161">
                  <c:v>-0.30266330834535227</c:v>
                </c:pt>
                <c:pt idx="162">
                  <c:v>-0.32936460552223101</c:v>
                </c:pt>
                <c:pt idx="163">
                  <c:v>-0.3563632875990792</c:v>
                </c:pt>
                <c:pt idx="164">
                  <c:v>-0.38365935457589906</c:v>
                </c:pt>
                <c:pt idx="165">
                  <c:v>-0.41125280645268703</c:v>
                </c:pt>
                <c:pt idx="166">
                  <c:v>-0.43914364322944888</c:v>
                </c:pt>
                <c:pt idx="167">
                  <c:v>-0.46733186490617795</c:v>
                </c:pt>
                <c:pt idx="168">
                  <c:v>-0.49581747148287958</c:v>
                </c:pt>
                <c:pt idx="169">
                  <c:v>-0.52460046295955154</c:v>
                </c:pt>
                <c:pt idx="170">
                  <c:v>-0.55368083933619294</c:v>
                </c:pt>
                <c:pt idx="171">
                  <c:v>-0.58305860061280468</c:v>
                </c:pt>
                <c:pt idx="172">
                  <c:v>-0.61273374678938675</c:v>
                </c:pt>
                <c:pt idx="173">
                  <c:v>-0.64270627786593959</c:v>
                </c:pt>
                <c:pt idx="174">
                  <c:v>-0.67297619384246454</c:v>
                </c:pt>
                <c:pt idx="175">
                  <c:v>-0.70354349471895627</c:v>
                </c:pt>
                <c:pt idx="176">
                  <c:v>-0.73440818049542056</c:v>
                </c:pt>
                <c:pt idx="177">
                  <c:v>-0.76557025117185429</c:v>
                </c:pt>
                <c:pt idx="178">
                  <c:v>-0.79702970674825924</c:v>
                </c:pt>
                <c:pt idx="179">
                  <c:v>-0.82878654722463407</c:v>
                </c:pt>
                <c:pt idx="180">
                  <c:v>-0.86084077260097924</c:v>
                </c:pt>
                <c:pt idx="181">
                  <c:v>-0.89319238287729608</c:v>
                </c:pt>
                <c:pt idx="182">
                  <c:v>-0.92584137805358147</c:v>
                </c:pt>
                <c:pt idx="183">
                  <c:v>-0.95878775812983896</c:v>
                </c:pt>
                <c:pt idx="184">
                  <c:v>-0.99203152310606502</c:v>
                </c:pt>
                <c:pt idx="185">
                  <c:v>-1.0255726729822623</c:v>
                </c:pt>
                <c:pt idx="186">
                  <c:v>-1.0594112077584308</c:v>
                </c:pt>
                <c:pt idx="187">
                  <c:v>-1.0935471274345678</c:v>
                </c:pt>
                <c:pt idx="188">
                  <c:v>-1.1279804320106761</c:v>
                </c:pt>
                <c:pt idx="189">
                  <c:v>-1.1627111214867547</c:v>
                </c:pt>
                <c:pt idx="190">
                  <c:v>-1.1977391958628036</c:v>
                </c:pt>
                <c:pt idx="191">
                  <c:v>-1.2330646551388238</c:v>
                </c:pt>
                <c:pt idx="192">
                  <c:v>-1.2686874993148152</c:v>
                </c:pt>
                <c:pt idx="193">
                  <c:v>-1.3046077283907751</c:v>
                </c:pt>
                <c:pt idx="194">
                  <c:v>-1.3408253423667063</c:v>
                </c:pt>
                <c:pt idx="195">
                  <c:v>-1.3773403412426068</c:v>
                </c:pt>
                <c:pt idx="196">
                  <c:v>-1.4141527250184796</c:v>
                </c:pt>
                <c:pt idx="197">
                  <c:v>-1.4512624936943217</c:v>
                </c:pt>
                <c:pt idx="198">
                  <c:v>-1.4886696472701324</c:v>
                </c:pt>
                <c:pt idx="199">
                  <c:v>-1.5263741857459161</c:v>
                </c:pt>
              </c:numCache>
            </c:numRef>
          </c:yVal>
          <c:smooth val="0"/>
          <c:extLst>
            <c:ext xmlns:c16="http://schemas.microsoft.com/office/drawing/2014/chart" uri="{C3380CC4-5D6E-409C-BE32-E72D297353CC}">
              <c16:uniqueId val="{00000000-5E3A-422E-9968-E65B807A5256}"/>
            </c:ext>
          </c:extLst>
        </c:ser>
        <c:dLbls>
          <c:showLegendKey val="0"/>
          <c:showVal val="0"/>
          <c:showCatName val="0"/>
          <c:showSerName val="0"/>
          <c:showPercent val="0"/>
          <c:showBubbleSize val="0"/>
        </c:dLbls>
        <c:axId val="1728558608"/>
        <c:axId val="1728561488"/>
      </c:scatterChart>
      <c:valAx>
        <c:axId val="17285586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a:t>
                </a:r>
                <a:r>
                  <a:rPr lang="en-US" baseline="0"/>
                  <a:t> [KTAS]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561488"/>
        <c:crosses val="autoZero"/>
        <c:crossBetween val="midCat"/>
      </c:valAx>
      <c:valAx>
        <c:axId val="1728561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Propellor Efficiency</a:t>
                </a:r>
                <a:r>
                  <a:rPr lang="en-US" baseline="0"/>
                  <a:t> [np]</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55860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Thrust</a:t>
            </a:r>
            <a:r>
              <a:rPr lang="en-US" baseline="0"/>
              <a:t> vs</a:t>
            </a:r>
            <a:r>
              <a:rPr lang="en-US"/>
              <a:t> Airspeed at 15,000ft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Propellor Thrust</c:v>
          </c:tx>
          <c:spPr>
            <a:ln w="25400" cap="rnd">
              <a:solidFill>
                <a:schemeClr val="accent3"/>
              </a:solidFill>
              <a:round/>
            </a:ln>
            <a:effectLst/>
          </c:spPr>
          <c:marker>
            <c:symbol val="none"/>
          </c:marker>
          <c:xVal>
            <c:numRef>
              <c:f>Thrust!$D$181:$D$311</c:f>
              <c:numCache>
                <c:formatCode>General</c:formatCode>
                <c:ptCount val="131"/>
                <c:pt idx="0">
                  <c:v>66.673900000000003</c:v>
                </c:pt>
                <c:pt idx="1">
                  <c:v>70.007594999999995</c:v>
                </c:pt>
                <c:pt idx="2">
                  <c:v>73.341290000000001</c:v>
                </c:pt>
                <c:pt idx="3">
                  <c:v>76.674985000000007</c:v>
                </c:pt>
                <c:pt idx="4">
                  <c:v>80.008679999999998</c:v>
                </c:pt>
                <c:pt idx="5">
                  <c:v>83.342375000000004</c:v>
                </c:pt>
                <c:pt idx="6">
                  <c:v>86.67607000000001</c:v>
                </c:pt>
                <c:pt idx="7">
                  <c:v>90.009765000000016</c:v>
                </c:pt>
                <c:pt idx="8">
                  <c:v>93.343460000000007</c:v>
                </c:pt>
                <c:pt idx="9">
                  <c:v>96.677154999999999</c:v>
                </c:pt>
                <c:pt idx="10">
                  <c:v>100.01085</c:v>
                </c:pt>
                <c:pt idx="11">
                  <c:v>103.34454500000001</c:v>
                </c:pt>
                <c:pt idx="12">
                  <c:v>106.67824</c:v>
                </c:pt>
                <c:pt idx="13">
                  <c:v>110.01193500000001</c:v>
                </c:pt>
                <c:pt idx="14">
                  <c:v>113.34563000000001</c:v>
                </c:pt>
                <c:pt idx="15">
                  <c:v>116.67932499999999</c:v>
                </c:pt>
                <c:pt idx="16">
                  <c:v>120.01302</c:v>
                </c:pt>
                <c:pt idx="17">
                  <c:v>123.346715</c:v>
                </c:pt>
                <c:pt idx="18">
                  <c:v>126.68041000000001</c:v>
                </c:pt>
                <c:pt idx="19">
                  <c:v>130.014105</c:v>
                </c:pt>
                <c:pt idx="20">
                  <c:v>133.34780000000001</c:v>
                </c:pt>
                <c:pt idx="21">
                  <c:v>136.68149500000001</c:v>
                </c:pt>
                <c:pt idx="22">
                  <c:v>140.01518999999999</c:v>
                </c:pt>
                <c:pt idx="23">
                  <c:v>143.348885</c:v>
                </c:pt>
                <c:pt idx="24">
                  <c:v>146.68258</c:v>
                </c:pt>
                <c:pt idx="25">
                  <c:v>150.01627500000001</c:v>
                </c:pt>
                <c:pt idx="26">
                  <c:v>153.34997000000001</c:v>
                </c:pt>
                <c:pt idx="27">
                  <c:v>156.68366499999999</c:v>
                </c:pt>
                <c:pt idx="28">
                  <c:v>160.01736</c:v>
                </c:pt>
                <c:pt idx="29">
                  <c:v>163.351055</c:v>
                </c:pt>
                <c:pt idx="30">
                  <c:v>166.68475000000001</c:v>
                </c:pt>
                <c:pt idx="31">
                  <c:v>170.01844500000001</c:v>
                </c:pt>
                <c:pt idx="32">
                  <c:v>173.35214000000002</c:v>
                </c:pt>
                <c:pt idx="33">
                  <c:v>176.68583500000003</c:v>
                </c:pt>
                <c:pt idx="34">
                  <c:v>180.01953000000003</c:v>
                </c:pt>
                <c:pt idx="35">
                  <c:v>183.35322500000004</c:v>
                </c:pt>
                <c:pt idx="36">
                  <c:v>186.68692000000001</c:v>
                </c:pt>
                <c:pt idx="37">
                  <c:v>190.02061499999999</c:v>
                </c:pt>
                <c:pt idx="38">
                  <c:v>193.35431</c:v>
                </c:pt>
                <c:pt idx="39">
                  <c:v>196.688005</c:v>
                </c:pt>
                <c:pt idx="40">
                  <c:v>200.02170000000001</c:v>
                </c:pt>
                <c:pt idx="41">
                  <c:v>203.35539500000002</c:v>
                </c:pt>
                <c:pt idx="42">
                  <c:v>206.68909000000002</c:v>
                </c:pt>
                <c:pt idx="43">
                  <c:v>210.022785</c:v>
                </c:pt>
                <c:pt idx="44">
                  <c:v>213.35648</c:v>
                </c:pt>
                <c:pt idx="45">
                  <c:v>216.69017500000001</c:v>
                </c:pt>
                <c:pt idx="46">
                  <c:v>220.02387000000002</c:v>
                </c:pt>
                <c:pt idx="47">
                  <c:v>223.35756500000002</c:v>
                </c:pt>
                <c:pt idx="48">
                  <c:v>226.69126000000003</c:v>
                </c:pt>
                <c:pt idx="49">
                  <c:v>230.02495500000001</c:v>
                </c:pt>
                <c:pt idx="50">
                  <c:v>233.35864999999998</c:v>
                </c:pt>
                <c:pt idx="51">
                  <c:v>236.69234499999999</c:v>
                </c:pt>
                <c:pt idx="52">
                  <c:v>240.02603999999999</c:v>
                </c:pt>
                <c:pt idx="53">
                  <c:v>243.359735</c:v>
                </c:pt>
                <c:pt idx="54">
                  <c:v>246.69343000000001</c:v>
                </c:pt>
                <c:pt idx="55">
                  <c:v>250.02712500000001</c:v>
                </c:pt>
                <c:pt idx="56">
                  <c:v>253.36082000000002</c:v>
                </c:pt>
                <c:pt idx="57">
                  <c:v>256.69451500000002</c:v>
                </c:pt>
                <c:pt idx="58">
                  <c:v>260.02821</c:v>
                </c:pt>
                <c:pt idx="59">
                  <c:v>263.36190500000004</c:v>
                </c:pt>
                <c:pt idx="60">
                  <c:v>266.69560000000001</c:v>
                </c:pt>
                <c:pt idx="61">
                  <c:v>270.02929500000005</c:v>
                </c:pt>
                <c:pt idx="62">
                  <c:v>273.36299000000002</c:v>
                </c:pt>
                <c:pt idx="63">
                  <c:v>276.696685</c:v>
                </c:pt>
                <c:pt idx="64">
                  <c:v>280.03037999999998</c:v>
                </c:pt>
                <c:pt idx="65">
                  <c:v>283.36407500000001</c:v>
                </c:pt>
                <c:pt idx="66">
                  <c:v>286.69776999999999</c:v>
                </c:pt>
                <c:pt idx="67">
                  <c:v>290.03146500000003</c:v>
                </c:pt>
                <c:pt idx="68">
                  <c:v>293.36516</c:v>
                </c:pt>
                <c:pt idx="69">
                  <c:v>296.69885500000004</c:v>
                </c:pt>
                <c:pt idx="70">
                  <c:v>300.03255000000001</c:v>
                </c:pt>
                <c:pt idx="71">
                  <c:v>303.36624500000005</c:v>
                </c:pt>
                <c:pt idx="72">
                  <c:v>306.69994000000003</c:v>
                </c:pt>
                <c:pt idx="73">
                  <c:v>310.033635</c:v>
                </c:pt>
                <c:pt idx="74">
                  <c:v>313.36732999999998</c:v>
                </c:pt>
                <c:pt idx="75">
                  <c:v>316.70102500000002</c:v>
                </c:pt>
                <c:pt idx="76">
                  <c:v>320.03471999999999</c:v>
                </c:pt>
                <c:pt idx="77">
                  <c:v>323.36841500000003</c:v>
                </c:pt>
                <c:pt idx="78">
                  <c:v>326.70211</c:v>
                </c:pt>
                <c:pt idx="79">
                  <c:v>330.03580500000004</c:v>
                </c:pt>
                <c:pt idx="80">
                  <c:v>333.36950000000002</c:v>
                </c:pt>
                <c:pt idx="81">
                  <c:v>336.70319499999999</c:v>
                </c:pt>
                <c:pt idx="82">
                  <c:v>340.03689000000003</c:v>
                </c:pt>
                <c:pt idx="83">
                  <c:v>343.37058500000001</c:v>
                </c:pt>
                <c:pt idx="84">
                  <c:v>346.70428000000004</c:v>
                </c:pt>
                <c:pt idx="85">
                  <c:v>350.03797500000002</c:v>
                </c:pt>
                <c:pt idx="86">
                  <c:v>353.37167000000005</c:v>
                </c:pt>
                <c:pt idx="87">
                  <c:v>356.70536500000003</c:v>
                </c:pt>
                <c:pt idx="88">
                  <c:v>360.03906000000006</c:v>
                </c:pt>
                <c:pt idx="89">
                  <c:v>363.37275500000004</c:v>
                </c:pt>
                <c:pt idx="90">
                  <c:v>366.70645000000007</c:v>
                </c:pt>
                <c:pt idx="91">
                  <c:v>370.04014500000005</c:v>
                </c:pt>
                <c:pt idx="92">
                  <c:v>373.37384000000003</c:v>
                </c:pt>
                <c:pt idx="93">
                  <c:v>376.70753500000001</c:v>
                </c:pt>
                <c:pt idx="94">
                  <c:v>380.04122999999998</c:v>
                </c:pt>
                <c:pt idx="95">
                  <c:v>383.37492499999996</c:v>
                </c:pt>
                <c:pt idx="96">
                  <c:v>386.70862</c:v>
                </c:pt>
                <c:pt idx="97">
                  <c:v>390.04231499999997</c:v>
                </c:pt>
                <c:pt idx="98">
                  <c:v>393.37601000000001</c:v>
                </c:pt>
                <c:pt idx="99">
                  <c:v>396.70970499999999</c:v>
                </c:pt>
                <c:pt idx="100">
                  <c:v>400.04340000000002</c:v>
                </c:pt>
                <c:pt idx="101">
                  <c:v>403.377095</c:v>
                </c:pt>
                <c:pt idx="102">
                  <c:v>406.71079000000003</c:v>
                </c:pt>
                <c:pt idx="103">
                  <c:v>410.04448500000001</c:v>
                </c:pt>
                <c:pt idx="104">
                  <c:v>413.37818000000004</c:v>
                </c:pt>
                <c:pt idx="105">
                  <c:v>416.71187500000002</c:v>
                </c:pt>
                <c:pt idx="106">
                  <c:v>420.04557</c:v>
                </c:pt>
                <c:pt idx="107">
                  <c:v>423.37926500000003</c:v>
                </c:pt>
                <c:pt idx="108">
                  <c:v>426.71296000000001</c:v>
                </c:pt>
                <c:pt idx="109">
                  <c:v>430.04665500000004</c:v>
                </c:pt>
                <c:pt idx="110">
                  <c:v>433.38035000000002</c:v>
                </c:pt>
                <c:pt idx="111">
                  <c:v>436.71404500000006</c:v>
                </c:pt>
                <c:pt idx="112">
                  <c:v>440.04774000000003</c:v>
                </c:pt>
                <c:pt idx="113">
                  <c:v>443.38143500000007</c:v>
                </c:pt>
                <c:pt idx="114">
                  <c:v>446.71513000000004</c:v>
                </c:pt>
                <c:pt idx="115">
                  <c:v>450.04882500000008</c:v>
                </c:pt>
                <c:pt idx="116">
                  <c:v>453.38252000000006</c:v>
                </c:pt>
                <c:pt idx="117">
                  <c:v>456.71621500000003</c:v>
                </c:pt>
                <c:pt idx="118">
                  <c:v>460.04991000000001</c:v>
                </c:pt>
                <c:pt idx="119">
                  <c:v>463.38360499999999</c:v>
                </c:pt>
                <c:pt idx="120">
                  <c:v>466.71729999999997</c:v>
                </c:pt>
                <c:pt idx="121">
                  <c:v>470.050995</c:v>
                </c:pt>
                <c:pt idx="122">
                  <c:v>473.38468999999998</c:v>
                </c:pt>
                <c:pt idx="123">
                  <c:v>476.71838500000001</c:v>
                </c:pt>
                <c:pt idx="124">
                  <c:v>480.05207999999999</c:v>
                </c:pt>
                <c:pt idx="125">
                  <c:v>483.38577500000002</c:v>
                </c:pt>
                <c:pt idx="126">
                  <c:v>486.71947</c:v>
                </c:pt>
                <c:pt idx="127">
                  <c:v>490.05316500000004</c:v>
                </c:pt>
                <c:pt idx="128">
                  <c:v>493.38686000000001</c:v>
                </c:pt>
                <c:pt idx="129">
                  <c:v>496.72055500000005</c:v>
                </c:pt>
                <c:pt idx="130">
                  <c:v>500.05425000000002</c:v>
                </c:pt>
              </c:numCache>
            </c:numRef>
          </c:xVal>
          <c:yVal>
            <c:numRef>
              <c:f>Thrust!$J$181:$J$311</c:f>
              <c:numCache>
                <c:formatCode>General</c:formatCode>
                <c:ptCount val="131"/>
                <c:pt idx="0">
                  <c:v>3114.1659764087472</c:v>
                </c:pt>
                <c:pt idx="1">
                  <c:v>3063.9449939771703</c:v>
                </c:pt>
                <c:pt idx="2">
                  <c:v>3016.4966152658785</c:v>
                </c:pt>
                <c:pt idx="3">
                  <c:v>2971.4591963113585</c:v>
                </c:pt>
                <c:pt idx="4">
                  <c:v>2928.5313671440122</c:v>
                </c:pt>
                <c:pt idx="5">
                  <c:v>2887.4599769893803</c:v>
                </c:pt>
                <c:pt idx="6">
                  <c:v>2848.0308213459957</c:v>
                </c:pt>
                <c:pt idx="7">
                  <c:v>2810.0614297126072</c:v>
                </c:pt>
                <c:pt idx="8">
                  <c:v>2773.3953988024314</c:v>
                </c:pt>
                <c:pt idx="9">
                  <c:v>2737.8978981958235</c:v>
                </c:pt>
                <c:pt idx="10">
                  <c:v>2703.4520748624286</c:v>
                </c:pt>
                <c:pt idx="11">
                  <c:v>2669.9561535822577</c:v>
                </c:pt>
                <c:pt idx="12">
                  <c:v>2637.3210810378205</c:v>
                </c:pt>
                <c:pt idx="13">
                  <c:v>2605.4685982531419</c:v>
                </c:pt>
                <c:pt idx="14">
                  <c:v>2574.3296531905953</c:v>
                </c:pt>
                <c:pt idx="15">
                  <c:v>2543.8430854739995</c:v>
                </c:pt>
                <c:pt idx="16">
                  <c:v>2513.9545303245236</c:v>
                </c:pt>
                <c:pt idx="17">
                  <c:v>2484.6155002367263</c:v>
                </c:pt>
                <c:pt idx="18">
                  <c:v>2455.7826116531069</c:v>
                </c:pt>
                <c:pt idx="19">
                  <c:v>2427.4169306118047</c:v>
                </c:pt>
                <c:pt idx="20">
                  <c:v>2399.4834165471466</c:v>
                </c:pt>
                <c:pt idx="21">
                  <c:v>2371.9504474852324</c:v>
                </c:pt>
                <c:pt idx="22">
                  <c:v>2344.7894130687214</c:v>
                </c:pt>
                <c:pt idx="23">
                  <c:v>2317.9743643688657</c:v>
                </c:pt>
                <c:pt idx="24">
                  <c:v>2291.481711450439</c:v>
                </c:pt>
                <c:pt idx="25">
                  <c:v>2265.2899612613455</c:v>
                </c:pt>
                <c:pt idx="26">
                  <c:v>2239.3794897105422</c:v>
                </c:pt>
                <c:pt idx="27">
                  <c:v>2213.7323428423938</c:v>
                </c:pt>
                <c:pt idx="28">
                  <c:v>2188.3320628642332</c:v>
                </c:pt>
                <c:pt idx="29">
                  <c:v>2163.1635354766736</c:v>
                </c:pt>
                <c:pt idx="30">
                  <c:v>2138.2128555242803</c:v>
                </c:pt>
                <c:pt idx="31">
                  <c:v>2113.4672084520421</c:v>
                </c:pt>
                <c:pt idx="32">
                  <c:v>2088.9147654399508</c:v>
                </c:pt>
                <c:pt idx="33">
                  <c:v>2064.5445904091298</c:v>
                </c:pt>
                <c:pt idx="34">
                  <c:v>2040.3465573606202</c:v>
                </c:pt>
                <c:pt idx="35">
                  <c:v>2016.3112767317496</c:v>
                </c:pt>
                <c:pt idx="36">
                  <c:v>1992.4300296428951</c:v>
                </c:pt>
                <c:pt idx="37">
                  <c:v>1968.6947090656352</c:v>
                </c:pt>
                <c:pt idx="38">
                  <c:v>1945.0977670769553</c:v>
                </c:pt>
                <c:pt idx="39">
                  <c:v>1921.6321674774367</c:v>
                </c:pt>
                <c:pt idx="40">
                  <c:v>1898.2913431476209</c:v>
                </c:pt>
                <c:pt idx="41">
                  <c:v>1875.0691575988344</c:v>
                </c:pt>
                <c:pt idx="42">
                  <c:v>1851.9598702448984</c:v>
                </c:pt>
                <c:pt idx="43">
                  <c:v>1828.9581049812966</c:v>
                </c:pt>
                <c:pt idx="44">
                  <c:v>1806.058821710043</c:v>
                </c:pt>
                <c:pt idx="45">
                  <c:v>1783.2572904930316</c:v>
                </c:pt>
                <c:pt idx="46">
                  <c:v>1760.5490680550677</c:v>
                </c:pt>
                <c:pt idx="47">
                  <c:v>1737.9299763911195</c:v>
                </c:pt>
                <c:pt idx="48">
                  <c:v>1715.3960832611581</c:v>
                </c:pt>
                <c:pt idx="49">
                  <c:v>1692.9436843810954</c:v>
                </c:pt>
                <c:pt idx="50">
                  <c:v>1670.5692871402237</c:v>
                </c:pt>
                <c:pt idx="51">
                  <c:v>1648.2695956946309</c:v>
                </c:pt>
                <c:pt idx="52">
                  <c:v>1626.0414973028485</c:v>
                </c:pt>
                <c:pt idx="53">
                  <c:v>1603.8820497845836</c:v>
                </c:pt>
                <c:pt idx="54">
                  <c:v>1581.7884699963133</c:v>
                </c:pt>
                <c:pt idx="55">
                  <c:v>1559.7581232288394</c:v>
                </c:pt>
                <c:pt idx="56">
                  <c:v>1537.7885134418671</c:v>
                </c:pt>
                <c:pt idx="57">
                  <c:v>1515.8772742595322</c:v>
                </c:pt>
                <c:pt idx="58">
                  <c:v>1494.022160658579</c:v>
                </c:pt>
                <c:pt idx="59">
                  <c:v>1472.2210412878171</c:v>
                </c:pt>
                <c:pt idx="60">
                  <c:v>1450.4718913636138</c:v>
                </c:pt>
                <c:pt idx="61">
                  <c:v>1428.7727860916514</c:v>
                </c:pt>
                <c:pt idx="62">
                  <c:v>1407.1218945700198</c:v>
                </c:pt>
                <c:pt idx="63">
                  <c:v>1385.5174741330436</c:v>
                </c:pt>
                <c:pt idx="64">
                  <c:v>1363.957865099128</c:v>
                </c:pt>
                <c:pt idx="65">
                  <c:v>1342.441485889341</c:v>
                </c:pt>
                <c:pt idx="66">
                  <c:v>1320.9668284865634</c:v>
                </c:pt>
                <c:pt idx="67">
                  <c:v>1299.5324542077935</c:v>
                </c:pt>
                <c:pt idx="68">
                  <c:v>1278.1369897647132</c:v>
                </c:pt>
                <c:pt idx="69">
                  <c:v>1256.7791235898278</c:v>
                </c:pt>
                <c:pt idx="70">
                  <c:v>1235.45760240753</c:v>
                </c:pt>
                <c:pt idx="71">
                  <c:v>1214.1712280312513</c:v>
                </c:pt>
                <c:pt idx="72">
                  <c:v>1192.9188543694916</c:v>
                </c:pt>
                <c:pt idx="73">
                  <c:v>1171.6993846250077</c:v>
                </c:pt>
                <c:pt idx="74">
                  <c:v>1150.5117686727808</c:v>
                </c:pt>
                <c:pt idx="75">
                  <c:v>1129.3550006035809</c:v>
                </c:pt>
                <c:pt idx="76">
                  <c:v>1108.228116421064</c:v>
                </c:pt>
                <c:pt idx="77">
                  <c:v>1087.1301918813112</c:v>
                </c:pt>
                <c:pt idx="78">
                  <c:v>1066.0603404646474</c:v>
                </c:pt>
                <c:pt idx="79">
                  <c:v>1045.0177114703718</c:v>
                </c:pt>
                <c:pt idx="80">
                  <c:v>1024.0014882258142</c:v>
                </c:pt>
                <c:pt idx="81">
                  <c:v>1003.0108864017737</c:v>
                </c:pt>
                <c:pt idx="82">
                  <c:v>982.0451524270585</c:v>
                </c:pt>
                <c:pt idx="83">
                  <c:v>961.10356199537807</c:v>
                </c:pt>
                <c:pt idx="84">
                  <c:v>940.18541865837619</c:v>
                </c:pt>
                <c:pt idx="85">
                  <c:v>919.29005249906118</c:v>
                </c:pt>
                <c:pt idx="86">
                  <c:v>898.41681888032849</c:v>
                </c:pt>
                <c:pt idx="87">
                  <c:v>877.56509726365903</c:v>
                </c:pt>
                <c:pt idx="88">
                  <c:v>856.73429009343749</c:v>
                </c:pt>
                <c:pt idx="89">
                  <c:v>835.92382174269858</c:v>
                </c:pt>
                <c:pt idx="90">
                  <c:v>815.13313751636542</c:v>
                </c:pt>
                <c:pt idx="91">
                  <c:v>794.36170270837295</c:v>
                </c:pt>
                <c:pt idx="92">
                  <c:v>773.60900170930131</c:v>
                </c:pt>
                <c:pt idx="93">
                  <c:v>752.87453716139248</c:v>
                </c:pt>
                <c:pt idx="94">
                  <c:v>732.15782915803516</c:v>
                </c:pt>
                <c:pt idx="95">
                  <c:v>711.45841448502438</c:v>
                </c:pt>
                <c:pt idx="96">
                  <c:v>690.77584590105891</c:v>
                </c:pt>
                <c:pt idx="97">
                  <c:v>670.10969145513661</c:v>
                </c:pt>
                <c:pt idx="98">
                  <c:v>649.45953383866265</c:v>
                </c:pt>
                <c:pt idx="99">
                  <c:v>628.82496977022402</c:v>
                </c:pt>
                <c:pt idx="100">
                  <c:v>608.20560941111785</c:v>
                </c:pt>
                <c:pt idx="101">
                  <c:v>587.60107580987517</c:v>
                </c:pt>
                <c:pt idx="102">
                  <c:v>567.01100437408832</c:v>
                </c:pt>
                <c:pt idx="103">
                  <c:v>546.43504236801505</c:v>
                </c:pt>
                <c:pt idx="104">
                  <c:v>525.87284843448367</c:v>
                </c:pt>
                <c:pt idx="105">
                  <c:v>505.3240921397545</c:v>
                </c:pt>
                <c:pt idx="106">
                  <c:v>484.78845354004613</c:v>
                </c:pt>
                <c:pt idx="107">
                  <c:v>464.26562276854708</c:v>
                </c:pt>
                <c:pt idx="108">
                  <c:v>443.75529964178253</c:v>
                </c:pt>
                <c:pt idx="109">
                  <c:v>423.25719328429557</c:v>
                </c:pt>
                <c:pt idx="110">
                  <c:v>402.77102177064097</c:v>
                </c:pt>
                <c:pt idx="111">
                  <c:v>382.29651178378191</c:v>
                </c:pt>
                <c:pt idx="112">
                  <c:v>361.83339828902132</c:v>
                </c:pt>
                <c:pt idx="113">
                  <c:v>341.38142422262678</c:v>
                </c:pt>
                <c:pt idx="114">
                  <c:v>320.94034019441085</c:v>
                </c:pt>
                <c:pt idx="115">
                  <c:v>300.50990420352531</c:v>
                </c:pt>
                <c:pt idx="116">
                  <c:v>280.08988136679369</c:v>
                </c:pt>
                <c:pt idx="117">
                  <c:v>259.68004365894205</c:v>
                </c:pt>
                <c:pt idx="118">
                  <c:v>239.28016966412559</c:v>
                </c:pt>
                <c:pt idx="119">
                  <c:v>218.89004433817954</c:v>
                </c:pt>
                <c:pt idx="120">
                  <c:v>198.50945878105344</c:v>
                </c:pt>
                <c:pt idx="121">
                  <c:v>178.13821001894445</c:v>
                </c:pt>
                <c:pt idx="122">
                  <c:v>157.77610079562029</c:v>
                </c:pt>
                <c:pt idx="123">
                  <c:v>137.42293937250406</c:v>
                </c:pt>
                <c:pt idx="124">
                  <c:v>117.07853933709239</c:v>
                </c:pt>
                <c:pt idx="125">
                  <c:v>96.742719419293977</c:v>
                </c:pt>
                <c:pt idx="126">
                  <c:v>76.415303315323868</c:v>
                </c:pt>
                <c:pt idx="127">
                  <c:v>56.096119518774174</c:v>
                </c:pt>
                <c:pt idx="128">
                  <c:v>35.785001158551751</c:v>
                </c:pt>
                <c:pt idx="129">
                  <c:v>15.481785843319154</c:v>
                </c:pt>
                <c:pt idx="130">
                  <c:v>-4.8136844878222256</c:v>
                </c:pt>
              </c:numCache>
            </c:numRef>
          </c:yVal>
          <c:smooth val="0"/>
          <c:extLst>
            <c:ext xmlns:c16="http://schemas.microsoft.com/office/drawing/2014/chart" uri="{C3380CC4-5D6E-409C-BE32-E72D297353CC}">
              <c16:uniqueId val="{00000000-375B-7D4E-AD14-BAAB1CD3FC4B}"/>
            </c:ext>
          </c:extLst>
        </c:ser>
        <c:ser>
          <c:idx val="1"/>
          <c:order val="1"/>
          <c:tx>
            <c:v>Turbofan Thrust</c:v>
          </c:tx>
          <c:spPr>
            <a:ln w="25400" cap="rnd">
              <a:solidFill>
                <a:schemeClr val="accent1"/>
              </a:solidFill>
              <a:round/>
            </a:ln>
            <a:effectLst/>
          </c:spPr>
          <c:marker>
            <c:symbol val="none"/>
          </c:marker>
          <c:xVal>
            <c:numRef>
              <c:f>Thrust!$D$181:$D$311</c:f>
              <c:numCache>
                <c:formatCode>General</c:formatCode>
                <c:ptCount val="131"/>
                <c:pt idx="0">
                  <c:v>66.673900000000003</c:v>
                </c:pt>
                <c:pt idx="1">
                  <c:v>70.007594999999995</c:v>
                </c:pt>
                <c:pt idx="2">
                  <c:v>73.341290000000001</c:v>
                </c:pt>
                <c:pt idx="3">
                  <c:v>76.674985000000007</c:v>
                </c:pt>
                <c:pt idx="4">
                  <c:v>80.008679999999998</c:v>
                </c:pt>
                <c:pt idx="5">
                  <c:v>83.342375000000004</c:v>
                </c:pt>
                <c:pt idx="6">
                  <c:v>86.67607000000001</c:v>
                </c:pt>
                <c:pt idx="7">
                  <c:v>90.009765000000016</c:v>
                </c:pt>
                <c:pt idx="8">
                  <c:v>93.343460000000007</c:v>
                </c:pt>
                <c:pt idx="9">
                  <c:v>96.677154999999999</c:v>
                </c:pt>
                <c:pt idx="10">
                  <c:v>100.01085</c:v>
                </c:pt>
                <c:pt idx="11">
                  <c:v>103.34454500000001</c:v>
                </c:pt>
                <c:pt idx="12">
                  <c:v>106.67824</c:v>
                </c:pt>
                <c:pt idx="13">
                  <c:v>110.01193500000001</c:v>
                </c:pt>
                <c:pt idx="14">
                  <c:v>113.34563000000001</c:v>
                </c:pt>
                <c:pt idx="15">
                  <c:v>116.67932499999999</c:v>
                </c:pt>
                <c:pt idx="16">
                  <c:v>120.01302</c:v>
                </c:pt>
                <c:pt idx="17">
                  <c:v>123.346715</c:v>
                </c:pt>
                <c:pt idx="18">
                  <c:v>126.68041000000001</c:v>
                </c:pt>
                <c:pt idx="19">
                  <c:v>130.014105</c:v>
                </c:pt>
                <c:pt idx="20">
                  <c:v>133.34780000000001</c:v>
                </c:pt>
                <c:pt idx="21">
                  <c:v>136.68149500000001</c:v>
                </c:pt>
                <c:pt idx="22">
                  <c:v>140.01518999999999</c:v>
                </c:pt>
                <c:pt idx="23">
                  <c:v>143.348885</c:v>
                </c:pt>
                <c:pt idx="24">
                  <c:v>146.68258</c:v>
                </c:pt>
                <c:pt idx="25">
                  <c:v>150.01627500000001</c:v>
                </c:pt>
                <c:pt idx="26">
                  <c:v>153.34997000000001</c:v>
                </c:pt>
                <c:pt idx="27">
                  <c:v>156.68366499999999</c:v>
                </c:pt>
                <c:pt idx="28">
                  <c:v>160.01736</c:v>
                </c:pt>
                <c:pt idx="29">
                  <c:v>163.351055</c:v>
                </c:pt>
                <c:pt idx="30">
                  <c:v>166.68475000000001</c:v>
                </c:pt>
                <c:pt idx="31">
                  <c:v>170.01844500000001</c:v>
                </c:pt>
                <c:pt idx="32">
                  <c:v>173.35214000000002</c:v>
                </c:pt>
                <c:pt idx="33">
                  <c:v>176.68583500000003</c:v>
                </c:pt>
                <c:pt idx="34">
                  <c:v>180.01953000000003</c:v>
                </c:pt>
                <c:pt idx="35">
                  <c:v>183.35322500000004</c:v>
                </c:pt>
                <c:pt idx="36">
                  <c:v>186.68692000000001</c:v>
                </c:pt>
                <c:pt idx="37">
                  <c:v>190.02061499999999</c:v>
                </c:pt>
                <c:pt idx="38">
                  <c:v>193.35431</c:v>
                </c:pt>
                <c:pt idx="39">
                  <c:v>196.688005</c:v>
                </c:pt>
                <c:pt idx="40">
                  <c:v>200.02170000000001</c:v>
                </c:pt>
                <c:pt idx="41">
                  <c:v>203.35539500000002</c:v>
                </c:pt>
                <c:pt idx="42">
                  <c:v>206.68909000000002</c:v>
                </c:pt>
                <c:pt idx="43">
                  <c:v>210.022785</c:v>
                </c:pt>
                <c:pt idx="44">
                  <c:v>213.35648</c:v>
                </c:pt>
                <c:pt idx="45">
                  <c:v>216.69017500000001</c:v>
                </c:pt>
                <c:pt idx="46">
                  <c:v>220.02387000000002</c:v>
                </c:pt>
                <c:pt idx="47">
                  <c:v>223.35756500000002</c:v>
                </c:pt>
                <c:pt idx="48">
                  <c:v>226.69126000000003</c:v>
                </c:pt>
                <c:pt idx="49">
                  <c:v>230.02495500000001</c:v>
                </c:pt>
                <c:pt idx="50">
                  <c:v>233.35864999999998</c:v>
                </c:pt>
                <c:pt idx="51">
                  <c:v>236.69234499999999</c:v>
                </c:pt>
                <c:pt idx="52">
                  <c:v>240.02603999999999</c:v>
                </c:pt>
                <c:pt idx="53">
                  <c:v>243.359735</c:v>
                </c:pt>
                <c:pt idx="54">
                  <c:v>246.69343000000001</c:v>
                </c:pt>
                <c:pt idx="55">
                  <c:v>250.02712500000001</c:v>
                </c:pt>
                <c:pt idx="56">
                  <c:v>253.36082000000002</c:v>
                </c:pt>
                <c:pt idx="57">
                  <c:v>256.69451500000002</c:v>
                </c:pt>
                <c:pt idx="58">
                  <c:v>260.02821</c:v>
                </c:pt>
                <c:pt idx="59">
                  <c:v>263.36190500000004</c:v>
                </c:pt>
                <c:pt idx="60">
                  <c:v>266.69560000000001</c:v>
                </c:pt>
                <c:pt idx="61">
                  <c:v>270.02929500000005</c:v>
                </c:pt>
                <c:pt idx="62">
                  <c:v>273.36299000000002</c:v>
                </c:pt>
                <c:pt idx="63">
                  <c:v>276.696685</c:v>
                </c:pt>
                <c:pt idx="64">
                  <c:v>280.03037999999998</c:v>
                </c:pt>
                <c:pt idx="65">
                  <c:v>283.36407500000001</c:v>
                </c:pt>
                <c:pt idx="66">
                  <c:v>286.69776999999999</c:v>
                </c:pt>
                <c:pt idx="67">
                  <c:v>290.03146500000003</c:v>
                </c:pt>
                <c:pt idx="68">
                  <c:v>293.36516</c:v>
                </c:pt>
                <c:pt idx="69">
                  <c:v>296.69885500000004</c:v>
                </c:pt>
                <c:pt idx="70">
                  <c:v>300.03255000000001</c:v>
                </c:pt>
                <c:pt idx="71">
                  <c:v>303.36624500000005</c:v>
                </c:pt>
                <c:pt idx="72">
                  <c:v>306.69994000000003</c:v>
                </c:pt>
                <c:pt idx="73">
                  <c:v>310.033635</c:v>
                </c:pt>
                <c:pt idx="74">
                  <c:v>313.36732999999998</c:v>
                </c:pt>
                <c:pt idx="75">
                  <c:v>316.70102500000002</c:v>
                </c:pt>
                <c:pt idx="76">
                  <c:v>320.03471999999999</c:v>
                </c:pt>
                <c:pt idx="77">
                  <c:v>323.36841500000003</c:v>
                </c:pt>
                <c:pt idx="78">
                  <c:v>326.70211</c:v>
                </c:pt>
                <c:pt idx="79">
                  <c:v>330.03580500000004</c:v>
                </c:pt>
                <c:pt idx="80">
                  <c:v>333.36950000000002</c:v>
                </c:pt>
                <c:pt idx="81">
                  <c:v>336.70319499999999</c:v>
                </c:pt>
                <c:pt idx="82">
                  <c:v>340.03689000000003</c:v>
                </c:pt>
                <c:pt idx="83">
                  <c:v>343.37058500000001</c:v>
                </c:pt>
                <c:pt idx="84">
                  <c:v>346.70428000000004</c:v>
                </c:pt>
                <c:pt idx="85">
                  <c:v>350.03797500000002</c:v>
                </c:pt>
                <c:pt idx="86">
                  <c:v>353.37167000000005</c:v>
                </c:pt>
                <c:pt idx="87">
                  <c:v>356.70536500000003</c:v>
                </c:pt>
                <c:pt idx="88">
                  <c:v>360.03906000000006</c:v>
                </c:pt>
                <c:pt idx="89">
                  <c:v>363.37275500000004</c:v>
                </c:pt>
                <c:pt idx="90">
                  <c:v>366.70645000000007</c:v>
                </c:pt>
                <c:pt idx="91">
                  <c:v>370.04014500000005</c:v>
                </c:pt>
                <c:pt idx="92">
                  <c:v>373.37384000000003</c:v>
                </c:pt>
                <c:pt idx="93">
                  <c:v>376.70753500000001</c:v>
                </c:pt>
                <c:pt idx="94">
                  <c:v>380.04122999999998</c:v>
                </c:pt>
                <c:pt idx="95">
                  <c:v>383.37492499999996</c:v>
                </c:pt>
                <c:pt idx="96">
                  <c:v>386.70862</c:v>
                </c:pt>
                <c:pt idx="97">
                  <c:v>390.04231499999997</c:v>
                </c:pt>
                <c:pt idx="98">
                  <c:v>393.37601000000001</c:v>
                </c:pt>
                <c:pt idx="99">
                  <c:v>396.70970499999999</c:v>
                </c:pt>
                <c:pt idx="100">
                  <c:v>400.04340000000002</c:v>
                </c:pt>
                <c:pt idx="101">
                  <c:v>403.377095</c:v>
                </c:pt>
                <c:pt idx="102">
                  <c:v>406.71079000000003</c:v>
                </c:pt>
                <c:pt idx="103">
                  <c:v>410.04448500000001</c:v>
                </c:pt>
                <c:pt idx="104">
                  <c:v>413.37818000000004</c:v>
                </c:pt>
                <c:pt idx="105">
                  <c:v>416.71187500000002</c:v>
                </c:pt>
                <c:pt idx="106">
                  <c:v>420.04557</c:v>
                </c:pt>
                <c:pt idx="107">
                  <c:v>423.37926500000003</c:v>
                </c:pt>
                <c:pt idx="108">
                  <c:v>426.71296000000001</c:v>
                </c:pt>
                <c:pt idx="109">
                  <c:v>430.04665500000004</c:v>
                </c:pt>
                <c:pt idx="110">
                  <c:v>433.38035000000002</c:v>
                </c:pt>
                <c:pt idx="111">
                  <c:v>436.71404500000006</c:v>
                </c:pt>
                <c:pt idx="112">
                  <c:v>440.04774000000003</c:v>
                </c:pt>
                <c:pt idx="113">
                  <c:v>443.38143500000007</c:v>
                </c:pt>
                <c:pt idx="114">
                  <c:v>446.71513000000004</c:v>
                </c:pt>
                <c:pt idx="115">
                  <c:v>450.04882500000008</c:v>
                </c:pt>
                <c:pt idx="116">
                  <c:v>453.38252000000006</c:v>
                </c:pt>
                <c:pt idx="117">
                  <c:v>456.71621500000003</c:v>
                </c:pt>
                <c:pt idx="118">
                  <c:v>460.04991000000001</c:v>
                </c:pt>
                <c:pt idx="119">
                  <c:v>463.38360499999999</c:v>
                </c:pt>
                <c:pt idx="120">
                  <c:v>466.71729999999997</c:v>
                </c:pt>
                <c:pt idx="121">
                  <c:v>470.050995</c:v>
                </c:pt>
                <c:pt idx="122">
                  <c:v>473.38468999999998</c:v>
                </c:pt>
                <c:pt idx="123">
                  <c:v>476.71838500000001</c:v>
                </c:pt>
                <c:pt idx="124">
                  <c:v>480.05207999999999</c:v>
                </c:pt>
                <c:pt idx="125">
                  <c:v>483.38577500000002</c:v>
                </c:pt>
                <c:pt idx="126">
                  <c:v>486.71947</c:v>
                </c:pt>
                <c:pt idx="127">
                  <c:v>490.05316500000004</c:v>
                </c:pt>
                <c:pt idx="128">
                  <c:v>493.38686000000001</c:v>
                </c:pt>
                <c:pt idx="129">
                  <c:v>496.72055500000005</c:v>
                </c:pt>
                <c:pt idx="130">
                  <c:v>500.05425000000002</c:v>
                </c:pt>
              </c:numCache>
            </c:numRef>
          </c:xVal>
          <c:yVal>
            <c:numRef>
              <c:f>Thrust!$L$181:$L$311</c:f>
              <c:numCache>
                <c:formatCode>General</c:formatCode>
                <c:ptCount val="131"/>
                <c:pt idx="0">
                  <c:v>1728.2108002742057</c:v>
                </c:pt>
                <c:pt idx="1">
                  <c:v>1721.6173567567898</c:v>
                </c:pt>
                <c:pt idx="2">
                  <c:v>1715.2576935466777</c:v>
                </c:pt>
                <c:pt idx="3">
                  <c:v>1709.1190572785488</c:v>
                </c:pt>
                <c:pt idx="4">
                  <c:v>1703.1900371067466</c:v>
                </c:pt>
                <c:pt idx="5">
                  <c:v>1697.4603720644955</c:v>
                </c:pt>
                <c:pt idx="6">
                  <c:v>1691.9207927354141</c:v>
                </c:pt>
                <c:pt idx="7">
                  <c:v>1686.5628900440408</c:v>
                </c:pt>
                <c:pt idx="8">
                  <c:v>1681.3790056896646</c:v>
                </c:pt>
                <c:pt idx="9">
                  <c:v>1676.3621400088109</c:v>
                </c:pt>
                <c:pt idx="10">
                  <c:v>1671.5058739889957</c:v>
                </c:pt>
                <c:pt idx="11">
                  <c:v>1666.8043028610571</c:v>
                </c:pt>
                <c:pt idx="12">
                  <c:v>1662.2519792327239</c:v>
                </c:pt>
                <c:pt idx="13">
                  <c:v>1657.8438641369246</c:v>
                </c:pt>
                <c:pt idx="14">
                  <c:v>1653.575284686334</c:v>
                </c:pt>
                <c:pt idx="15">
                  <c:v>1649.4418972740586</c:v>
                </c:pt>
                <c:pt idx="16">
                  <c:v>1645.4396554558462</c:v>
                </c:pt>
                <c:pt idx="17">
                  <c:v>1641.5647818042255</c:v>
                </c:pt>
                <c:pt idx="18">
                  <c:v>1637.8137431488149</c:v>
                </c:pt>
                <c:pt idx="19">
                  <c:v>1634.1832287165066</c:v>
                </c:pt>
                <c:pt idx="20">
                  <c:v>1630.6701307657963</c:v>
                </c:pt>
                <c:pt idx="21">
                  <c:v>1627.2715273749868</c:v>
                </c:pt>
                <c:pt idx="22">
                  <c:v>1623.9846670975887</c:v>
                </c:pt>
                <c:pt idx="23">
                  <c:v>1620.8069552423312</c:v>
                </c:pt>
                <c:pt idx="24">
                  <c:v>1617.7359415716221</c:v>
                </c:pt>
                <c:pt idx="25">
                  <c:v>1614.7693092425459</c:v>
                </c:pt>
                <c:pt idx="26">
                  <c:v>1611.9048648397531</c:v>
                </c:pt>
                <c:pt idx="27">
                  <c:v>1609.1405293707282</c:v>
                </c:pt>
                <c:pt idx="28">
                  <c:v>1606.4743301117412</c:v>
                </c:pt>
                <c:pt idx="29">
                  <c:v>1603.9043932077846</c:v>
                </c:pt>
                <c:pt idx="30">
                  <c:v>1601.4289369425794</c:v>
                </c:pt>
                <c:pt idx="31">
                  <c:v>1599.0462656055547</c:v>
                </c:pt>
                <c:pt idx="32">
                  <c:v>1596.7547638919532</c:v>
                </c:pt>
                <c:pt idx="33">
                  <c:v>1594.5528917801762</c:v>
                </c:pt>
                <c:pt idx="34">
                  <c:v>1592.4391798372499</c:v>
                </c:pt>
                <c:pt idx="35">
                  <c:v>1590.4122249092195</c:v>
                </c:pt>
                <c:pt idx="36">
                  <c:v>1588.4706861582899</c:v>
                </c:pt>
                <c:pt idx="37">
                  <c:v>1586.6132814130001</c:v>
                </c:pt>
                <c:pt idx="38">
                  <c:v>1584.8387838014728</c:v>
                </c:pt>
                <c:pt idx="39">
                  <c:v>1583.1460186411784</c:v>
                </c:pt>
                <c:pt idx="40">
                  <c:v>1581.5338605615118</c:v>
                </c:pt>
                <c:pt idx="41">
                  <c:v>1580.0012308380431</c:v>
                </c:pt>
                <c:pt idx="42">
                  <c:v>1578.5470949195712</c:v>
                </c:pt>
                <c:pt idx="43">
                  <c:v>1577.1704601310248</c:v>
                </c:pt>
                <c:pt idx="44">
                  <c:v>1575.8703735370316</c:v>
                </c:pt>
                <c:pt idx="45">
                  <c:v>1574.6459199524879</c:v>
                </c:pt>
                <c:pt idx="46">
                  <c:v>1573.4962200878238</c:v>
                </c:pt>
                <c:pt idx="47">
                  <c:v>1572.420428817876</c:v>
                </c:pt>
                <c:pt idx="48">
                  <c:v>1571.4177335643058</c:v>
                </c:pt>
                <c:pt idx="49">
                  <c:v>1570.4873527825175</c:v>
                </c:pt>
                <c:pt idx="50">
                  <c:v>1569.6285345448166</c:v>
                </c:pt>
                <c:pt idx="51">
                  <c:v>1568.840555212365</c:v>
                </c:pt>
                <c:pt idx="52">
                  <c:v>1568.1227181891031</c:v>
                </c:pt>
                <c:pt idx="53">
                  <c:v>1567.4743527514906</c:v>
                </c:pt>
                <c:pt idx="54">
                  <c:v>1566.8948129484033</c:v>
                </c:pt>
                <c:pt idx="55">
                  <c:v>1566.3834765660529</c:v>
                </c:pt>
                <c:pt idx="56">
                  <c:v>1565.9397441532149</c:v>
                </c:pt>
                <c:pt idx="57">
                  <c:v>1565.5630381024664</c:v>
                </c:pt>
                <c:pt idx="58">
                  <c:v>1565.2528017834907</c:v>
                </c:pt>
                <c:pt idx="59">
                  <c:v>1565.0084987248199</c:v>
                </c:pt>
                <c:pt idx="60">
                  <c:v>1564.8296118407027</c:v>
                </c:pt>
                <c:pt idx="61">
                  <c:v>1564.7156427000359</c:v>
                </c:pt>
                <c:pt idx="62">
                  <c:v>1564.6661108345484</c:v>
                </c:pt>
                <c:pt idx="63">
                  <c:v>1564.6805530836455</c:v>
                </c:pt>
                <c:pt idx="64">
                  <c:v>1564.7585229735196</c:v>
                </c:pt>
                <c:pt idx="65">
                  <c:v>1564.8995901283326</c:v>
                </c:pt>
                <c:pt idx="66">
                  <c:v>1565.1033397114061</c:v>
                </c:pt>
                <c:pt idx="67">
                  <c:v>1565.369371894554</c:v>
                </c:pt>
                <c:pt idx="68">
                  <c:v>1565.6973013538086</c:v>
                </c:pt>
                <c:pt idx="69">
                  <c:v>1566.0867567898902</c:v>
                </c:pt>
                <c:pt idx="70">
                  <c:v>1566.5373804719718</c:v>
                </c:pt>
                <c:pt idx="71">
                  <c:v>1567.0488278032781</c:v>
                </c:pt>
                <c:pt idx="72">
                  <c:v>1567.6207669072826</c:v>
                </c:pt>
                <c:pt idx="73">
                  <c:v>1568.2528782332499</c:v>
                </c:pt>
                <c:pt idx="74">
                  <c:v>1568.9448541800284</c:v>
                </c:pt>
                <c:pt idx="75">
                  <c:v>1569.6963987370391</c:v>
                </c:pt>
                <c:pt idx="76">
                  <c:v>1952.4281613245578</c:v>
                </c:pt>
                <c:pt idx="77">
                  <c:v>1571.377065550811</c:v>
                </c:pt>
                <c:pt idx="78">
                  <c:v>1572.3056507297949</c:v>
                </c:pt>
                <c:pt idx="79">
                  <c:v>1573.2927297510637</c:v>
                </c:pt>
                <c:pt idx="80">
                  <c:v>1574.3380597087121</c:v>
                </c:pt>
                <c:pt idx="81">
                  <c:v>1575.4414074440756</c:v>
                </c:pt>
                <c:pt idx="82">
                  <c:v>1576.6025492830945</c:v>
                </c:pt>
                <c:pt idx="83">
                  <c:v>1577.8212707846344</c:v>
                </c:pt>
                <c:pt idx="84">
                  <c:v>1579.097366499208</c:v>
                </c:pt>
                <c:pt idx="85">
                  <c:v>1580.4306397375506</c:v>
                </c:pt>
                <c:pt idx="86">
                  <c:v>1581.8209023485392</c:v>
                </c:pt>
                <c:pt idx="87">
                  <c:v>1583.2679745060079</c:v>
                </c:pt>
                <c:pt idx="88">
                  <c:v>1584.7716845039704</c:v>
                </c:pt>
                <c:pt idx="89">
                  <c:v>1586.3318685598806</c:v>
                </c:pt>
                <c:pt idx="90">
                  <c:v>1587.9483706254925</c:v>
                </c:pt>
                <c:pt idx="91">
                  <c:v>1589.621042204976</c:v>
                </c:pt>
                <c:pt idx="92">
                  <c:v>1591.3497421799343</c:v>
                </c:pt>
                <c:pt idx="93">
                  <c:v>1593.1343366409681</c:v>
                </c:pt>
                <c:pt idx="94">
                  <c:v>1594.9746987255251</c:v>
                </c:pt>
                <c:pt idx="95">
                  <c:v>1596.8707084616758</c:v>
                </c:pt>
                <c:pt idx="96">
                  <c:v>1598.8222526176012</c:v>
                </c:pt>
                <c:pt idx="97">
                  <c:v>1600.8292245564801</c:v>
                </c:pt>
                <c:pt idx="98">
                  <c:v>1602.8915240965582</c:v>
                </c:pt>
                <c:pt idx="99">
                  <c:v>1605.0090573761534</c:v>
                </c:pt>
                <c:pt idx="100">
                  <c:v>1607.181736723368</c:v>
                </c:pt>
                <c:pt idx="101">
                  <c:v>1609.4094805303116</c:v>
                </c:pt>
                <c:pt idx="102">
                  <c:v>1611.6922131316287</c:v>
                </c:pt>
                <c:pt idx="103">
                  <c:v>1614.0298646871302</c:v>
                </c:pt>
                <c:pt idx="104">
                  <c:v>1616.4223710683734</c:v>
                </c:pt>
                <c:pt idx="105">
                  <c:v>1618.869673748995</c:v>
                </c:pt>
                <c:pt idx="106">
                  <c:v>1621.3717196986611</c:v>
                </c:pt>
                <c:pt idx="107">
                  <c:v>1623.9284612804486</c:v>
                </c:pt>
                <c:pt idx="108">
                  <c:v>1626.5398561515456</c:v>
                </c:pt>
                <c:pt idx="109">
                  <c:v>1629.205867167112</c:v>
                </c:pt>
                <c:pt idx="110">
                  <c:v>1631.9264622871688</c:v>
                </c:pt>
                <c:pt idx="111">
                  <c:v>1634.7016144863974</c:v>
                </c:pt>
                <c:pt idx="112">
                  <c:v>1637.5313016667328</c:v>
                </c:pt>
                <c:pt idx="113">
                  <c:v>1640.4155065726156</c:v>
                </c:pt>
                <c:pt idx="114">
                  <c:v>1643.354216708834</c:v>
                </c:pt>
                <c:pt idx="115">
                  <c:v>1646.3474242607963</c:v>
                </c:pt>
                <c:pt idx="116">
                  <c:v>1649.3951260171989</c:v>
                </c:pt>
                <c:pt idx="117">
                  <c:v>1652.4973232949392</c:v>
                </c:pt>
                <c:pt idx="118">
                  <c:v>1655.6540218662237</c:v>
                </c:pt>
                <c:pt idx="119">
                  <c:v>1658.8652318877664</c:v>
                </c:pt>
                <c:pt idx="120">
                  <c:v>1662.1309678319883</c:v>
                </c:pt>
                <c:pt idx="121">
                  <c:v>1665.4512484201798</c:v>
                </c:pt>
                <c:pt idx="122">
                  <c:v>1668.8260965574846</c:v>
                </c:pt>
                <c:pt idx="123">
                  <c:v>1672.2555392697052</c:v>
                </c:pt>
                <c:pt idx="124">
                  <c:v>1675.7396076418079</c:v>
                </c:pt>
                <c:pt idx="125">
                  <c:v>1679.2783367580894</c:v>
                </c:pt>
                <c:pt idx="126">
                  <c:v>1682.8717656439364</c:v>
                </c:pt>
                <c:pt idx="127">
                  <c:v>1686.5199372091147</c:v>
                </c:pt>
                <c:pt idx="128">
                  <c:v>1690.2228981925305</c:v>
                </c:pt>
                <c:pt idx="129">
                  <c:v>1693.9806991084163</c:v>
                </c:pt>
                <c:pt idx="130">
                  <c:v>1697.7933941938791</c:v>
                </c:pt>
              </c:numCache>
            </c:numRef>
          </c:yVal>
          <c:smooth val="0"/>
          <c:extLst>
            <c:ext xmlns:c16="http://schemas.microsoft.com/office/drawing/2014/chart" uri="{C3380CC4-5D6E-409C-BE32-E72D297353CC}">
              <c16:uniqueId val="{00000000-D06F-2546-A8B2-B6AE9A9111E3}"/>
            </c:ext>
          </c:extLst>
        </c:ser>
        <c:ser>
          <c:idx val="2"/>
          <c:order val="2"/>
          <c:tx>
            <c:v>Combined Thrust</c:v>
          </c:tx>
          <c:spPr>
            <a:ln w="25400" cap="rnd">
              <a:solidFill>
                <a:schemeClr val="accent2"/>
              </a:solidFill>
              <a:round/>
            </a:ln>
            <a:effectLst/>
          </c:spPr>
          <c:marker>
            <c:symbol val="none"/>
          </c:marker>
          <c:xVal>
            <c:numRef>
              <c:f>Thrust!$D$181:$D$311</c:f>
              <c:numCache>
                <c:formatCode>General</c:formatCode>
                <c:ptCount val="131"/>
                <c:pt idx="0">
                  <c:v>66.673900000000003</c:v>
                </c:pt>
                <c:pt idx="1">
                  <c:v>70.007594999999995</c:v>
                </c:pt>
                <c:pt idx="2">
                  <c:v>73.341290000000001</c:v>
                </c:pt>
                <c:pt idx="3">
                  <c:v>76.674985000000007</c:v>
                </c:pt>
                <c:pt idx="4">
                  <c:v>80.008679999999998</c:v>
                </c:pt>
                <c:pt idx="5">
                  <c:v>83.342375000000004</c:v>
                </c:pt>
                <c:pt idx="6">
                  <c:v>86.67607000000001</c:v>
                </c:pt>
                <c:pt idx="7">
                  <c:v>90.009765000000016</c:v>
                </c:pt>
                <c:pt idx="8">
                  <c:v>93.343460000000007</c:v>
                </c:pt>
                <c:pt idx="9">
                  <c:v>96.677154999999999</c:v>
                </c:pt>
                <c:pt idx="10">
                  <c:v>100.01085</c:v>
                </c:pt>
                <c:pt idx="11">
                  <c:v>103.34454500000001</c:v>
                </c:pt>
                <c:pt idx="12">
                  <c:v>106.67824</c:v>
                </c:pt>
                <c:pt idx="13">
                  <c:v>110.01193500000001</c:v>
                </c:pt>
                <c:pt idx="14">
                  <c:v>113.34563000000001</c:v>
                </c:pt>
                <c:pt idx="15">
                  <c:v>116.67932499999999</c:v>
                </c:pt>
                <c:pt idx="16">
                  <c:v>120.01302</c:v>
                </c:pt>
                <c:pt idx="17">
                  <c:v>123.346715</c:v>
                </c:pt>
                <c:pt idx="18">
                  <c:v>126.68041000000001</c:v>
                </c:pt>
                <c:pt idx="19">
                  <c:v>130.014105</c:v>
                </c:pt>
                <c:pt idx="20">
                  <c:v>133.34780000000001</c:v>
                </c:pt>
                <c:pt idx="21">
                  <c:v>136.68149500000001</c:v>
                </c:pt>
                <c:pt idx="22">
                  <c:v>140.01518999999999</c:v>
                </c:pt>
                <c:pt idx="23">
                  <c:v>143.348885</c:v>
                </c:pt>
                <c:pt idx="24">
                  <c:v>146.68258</c:v>
                </c:pt>
                <c:pt idx="25">
                  <c:v>150.01627500000001</c:v>
                </c:pt>
                <c:pt idx="26">
                  <c:v>153.34997000000001</c:v>
                </c:pt>
                <c:pt idx="27">
                  <c:v>156.68366499999999</c:v>
                </c:pt>
                <c:pt idx="28">
                  <c:v>160.01736</c:v>
                </c:pt>
                <c:pt idx="29">
                  <c:v>163.351055</c:v>
                </c:pt>
                <c:pt idx="30">
                  <c:v>166.68475000000001</c:v>
                </c:pt>
                <c:pt idx="31">
                  <c:v>170.01844500000001</c:v>
                </c:pt>
                <c:pt idx="32">
                  <c:v>173.35214000000002</c:v>
                </c:pt>
                <c:pt idx="33">
                  <c:v>176.68583500000003</c:v>
                </c:pt>
                <c:pt idx="34">
                  <c:v>180.01953000000003</c:v>
                </c:pt>
                <c:pt idx="35">
                  <c:v>183.35322500000004</c:v>
                </c:pt>
                <c:pt idx="36">
                  <c:v>186.68692000000001</c:v>
                </c:pt>
                <c:pt idx="37">
                  <c:v>190.02061499999999</c:v>
                </c:pt>
                <c:pt idx="38">
                  <c:v>193.35431</c:v>
                </c:pt>
                <c:pt idx="39">
                  <c:v>196.688005</c:v>
                </c:pt>
                <c:pt idx="40">
                  <c:v>200.02170000000001</c:v>
                </c:pt>
                <c:pt idx="41">
                  <c:v>203.35539500000002</c:v>
                </c:pt>
                <c:pt idx="42">
                  <c:v>206.68909000000002</c:v>
                </c:pt>
                <c:pt idx="43">
                  <c:v>210.022785</c:v>
                </c:pt>
                <c:pt idx="44">
                  <c:v>213.35648</c:v>
                </c:pt>
                <c:pt idx="45">
                  <c:v>216.69017500000001</c:v>
                </c:pt>
                <c:pt idx="46">
                  <c:v>220.02387000000002</c:v>
                </c:pt>
                <c:pt idx="47">
                  <c:v>223.35756500000002</c:v>
                </c:pt>
                <c:pt idx="48">
                  <c:v>226.69126000000003</c:v>
                </c:pt>
                <c:pt idx="49">
                  <c:v>230.02495500000001</c:v>
                </c:pt>
                <c:pt idx="50">
                  <c:v>233.35864999999998</c:v>
                </c:pt>
                <c:pt idx="51">
                  <c:v>236.69234499999999</c:v>
                </c:pt>
                <c:pt idx="52">
                  <c:v>240.02603999999999</c:v>
                </c:pt>
                <c:pt idx="53">
                  <c:v>243.359735</c:v>
                </c:pt>
                <c:pt idx="54">
                  <c:v>246.69343000000001</c:v>
                </c:pt>
                <c:pt idx="55">
                  <c:v>250.02712500000001</c:v>
                </c:pt>
                <c:pt idx="56">
                  <c:v>253.36082000000002</c:v>
                </c:pt>
                <c:pt idx="57">
                  <c:v>256.69451500000002</c:v>
                </c:pt>
                <c:pt idx="58">
                  <c:v>260.02821</c:v>
                </c:pt>
                <c:pt idx="59">
                  <c:v>263.36190500000004</c:v>
                </c:pt>
                <c:pt idx="60">
                  <c:v>266.69560000000001</c:v>
                </c:pt>
                <c:pt idx="61">
                  <c:v>270.02929500000005</c:v>
                </c:pt>
                <c:pt idx="62">
                  <c:v>273.36299000000002</c:v>
                </c:pt>
                <c:pt idx="63">
                  <c:v>276.696685</c:v>
                </c:pt>
                <c:pt idx="64">
                  <c:v>280.03037999999998</c:v>
                </c:pt>
                <c:pt idx="65">
                  <c:v>283.36407500000001</c:v>
                </c:pt>
                <c:pt idx="66">
                  <c:v>286.69776999999999</c:v>
                </c:pt>
                <c:pt idx="67">
                  <c:v>290.03146500000003</c:v>
                </c:pt>
                <c:pt idx="68">
                  <c:v>293.36516</c:v>
                </c:pt>
                <c:pt idx="69">
                  <c:v>296.69885500000004</c:v>
                </c:pt>
                <c:pt idx="70">
                  <c:v>300.03255000000001</c:v>
                </c:pt>
                <c:pt idx="71">
                  <c:v>303.36624500000005</c:v>
                </c:pt>
                <c:pt idx="72">
                  <c:v>306.69994000000003</c:v>
                </c:pt>
                <c:pt idx="73">
                  <c:v>310.033635</c:v>
                </c:pt>
                <c:pt idx="74">
                  <c:v>313.36732999999998</c:v>
                </c:pt>
                <c:pt idx="75">
                  <c:v>316.70102500000002</c:v>
                </c:pt>
                <c:pt idx="76">
                  <c:v>320.03471999999999</c:v>
                </c:pt>
                <c:pt idx="77">
                  <c:v>323.36841500000003</c:v>
                </c:pt>
                <c:pt idx="78">
                  <c:v>326.70211</c:v>
                </c:pt>
                <c:pt idx="79">
                  <c:v>330.03580500000004</c:v>
                </c:pt>
                <c:pt idx="80">
                  <c:v>333.36950000000002</c:v>
                </c:pt>
                <c:pt idx="81">
                  <c:v>336.70319499999999</c:v>
                </c:pt>
                <c:pt idx="82">
                  <c:v>340.03689000000003</c:v>
                </c:pt>
                <c:pt idx="83">
                  <c:v>343.37058500000001</c:v>
                </c:pt>
                <c:pt idx="84">
                  <c:v>346.70428000000004</c:v>
                </c:pt>
                <c:pt idx="85">
                  <c:v>350.03797500000002</c:v>
                </c:pt>
                <c:pt idx="86">
                  <c:v>353.37167000000005</c:v>
                </c:pt>
                <c:pt idx="87">
                  <c:v>356.70536500000003</c:v>
                </c:pt>
                <c:pt idx="88">
                  <c:v>360.03906000000006</c:v>
                </c:pt>
                <c:pt idx="89">
                  <c:v>363.37275500000004</c:v>
                </c:pt>
                <c:pt idx="90">
                  <c:v>366.70645000000007</c:v>
                </c:pt>
                <c:pt idx="91">
                  <c:v>370.04014500000005</c:v>
                </c:pt>
                <c:pt idx="92">
                  <c:v>373.37384000000003</c:v>
                </c:pt>
                <c:pt idx="93">
                  <c:v>376.70753500000001</c:v>
                </c:pt>
                <c:pt idx="94">
                  <c:v>380.04122999999998</c:v>
                </c:pt>
                <c:pt idx="95">
                  <c:v>383.37492499999996</c:v>
                </c:pt>
                <c:pt idx="96">
                  <c:v>386.70862</c:v>
                </c:pt>
                <c:pt idx="97">
                  <c:v>390.04231499999997</c:v>
                </c:pt>
                <c:pt idx="98">
                  <c:v>393.37601000000001</c:v>
                </c:pt>
                <c:pt idx="99">
                  <c:v>396.70970499999999</c:v>
                </c:pt>
                <c:pt idx="100">
                  <c:v>400.04340000000002</c:v>
                </c:pt>
                <c:pt idx="101">
                  <c:v>403.377095</c:v>
                </c:pt>
                <c:pt idx="102">
                  <c:v>406.71079000000003</c:v>
                </c:pt>
                <c:pt idx="103">
                  <c:v>410.04448500000001</c:v>
                </c:pt>
                <c:pt idx="104">
                  <c:v>413.37818000000004</c:v>
                </c:pt>
                <c:pt idx="105">
                  <c:v>416.71187500000002</c:v>
                </c:pt>
                <c:pt idx="106">
                  <c:v>420.04557</c:v>
                </c:pt>
                <c:pt idx="107">
                  <c:v>423.37926500000003</c:v>
                </c:pt>
                <c:pt idx="108">
                  <c:v>426.71296000000001</c:v>
                </c:pt>
                <c:pt idx="109">
                  <c:v>430.04665500000004</c:v>
                </c:pt>
                <c:pt idx="110">
                  <c:v>433.38035000000002</c:v>
                </c:pt>
                <c:pt idx="111">
                  <c:v>436.71404500000006</c:v>
                </c:pt>
                <c:pt idx="112">
                  <c:v>440.04774000000003</c:v>
                </c:pt>
                <c:pt idx="113">
                  <c:v>443.38143500000007</c:v>
                </c:pt>
                <c:pt idx="114">
                  <c:v>446.71513000000004</c:v>
                </c:pt>
                <c:pt idx="115">
                  <c:v>450.04882500000008</c:v>
                </c:pt>
                <c:pt idx="116">
                  <c:v>453.38252000000006</c:v>
                </c:pt>
                <c:pt idx="117">
                  <c:v>456.71621500000003</c:v>
                </c:pt>
                <c:pt idx="118">
                  <c:v>460.04991000000001</c:v>
                </c:pt>
                <c:pt idx="119">
                  <c:v>463.38360499999999</c:v>
                </c:pt>
                <c:pt idx="120">
                  <c:v>466.71729999999997</c:v>
                </c:pt>
                <c:pt idx="121">
                  <c:v>470.050995</c:v>
                </c:pt>
                <c:pt idx="122">
                  <c:v>473.38468999999998</c:v>
                </c:pt>
                <c:pt idx="123">
                  <c:v>476.71838500000001</c:v>
                </c:pt>
                <c:pt idx="124">
                  <c:v>480.05207999999999</c:v>
                </c:pt>
                <c:pt idx="125">
                  <c:v>483.38577500000002</c:v>
                </c:pt>
                <c:pt idx="126">
                  <c:v>486.71947</c:v>
                </c:pt>
                <c:pt idx="127">
                  <c:v>490.05316500000004</c:v>
                </c:pt>
                <c:pt idx="128">
                  <c:v>493.38686000000001</c:v>
                </c:pt>
                <c:pt idx="129">
                  <c:v>496.72055500000005</c:v>
                </c:pt>
                <c:pt idx="130">
                  <c:v>500.05425000000002</c:v>
                </c:pt>
              </c:numCache>
            </c:numRef>
          </c:xVal>
          <c:yVal>
            <c:numRef>
              <c:f>Thrust!$M$181:$M$311</c:f>
              <c:numCache>
                <c:formatCode>General</c:formatCode>
                <c:ptCount val="131"/>
                <c:pt idx="0">
                  <c:v>4842.3767766829533</c:v>
                </c:pt>
                <c:pt idx="1">
                  <c:v>4785.5623507339606</c:v>
                </c:pt>
                <c:pt idx="2">
                  <c:v>4731.7543088125567</c:v>
                </c:pt>
                <c:pt idx="3">
                  <c:v>4680.578253589907</c:v>
                </c:pt>
                <c:pt idx="4">
                  <c:v>4631.7214042507585</c:v>
                </c:pt>
                <c:pt idx="5">
                  <c:v>4584.9203490538757</c:v>
                </c:pt>
                <c:pt idx="6">
                  <c:v>4539.9516140814103</c:v>
                </c:pt>
                <c:pt idx="7">
                  <c:v>4496.6243197566482</c:v>
                </c:pt>
                <c:pt idx="8">
                  <c:v>4454.7744044920964</c:v>
                </c:pt>
                <c:pt idx="9">
                  <c:v>4414.2600382046348</c:v>
                </c:pt>
                <c:pt idx="10">
                  <c:v>4374.9579488514246</c:v>
                </c:pt>
                <c:pt idx="11">
                  <c:v>4336.760456443315</c:v>
                </c:pt>
                <c:pt idx="12">
                  <c:v>4299.5730602705444</c:v>
                </c:pt>
                <c:pt idx="13">
                  <c:v>4263.3124623900667</c:v>
                </c:pt>
                <c:pt idx="14">
                  <c:v>4227.9049378769296</c:v>
                </c:pt>
                <c:pt idx="15">
                  <c:v>4193.2849827480586</c:v>
                </c:pt>
                <c:pt idx="16">
                  <c:v>4159.3941857803693</c:v>
                </c:pt>
                <c:pt idx="17">
                  <c:v>4126.1802820409521</c:v>
                </c:pt>
                <c:pt idx="18">
                  <c:v>4093.5963548019217</c:v>
                </c:pt>
                <c:pt idx="19">
                  <c:v>4061.6001593283113</c:v>
                </c:pt>
                <c:pt idx="20">
                  <c:v>4030.1535473129429</c:v>
                </c:pt>
                <c:pt idx="21">
                  <c:v>3999.2219748602192</c:v>
                </c:pt>
                <c:pt idx="22">
                  <c:v>3968.7740801663103</c:v>
                </c:pt>
                <c:pt idx="23">
                  <c:v>3938.781319611197</c:v>
                </c:pt>
                <c:pt idx="24">
                  <c:v>3909.2176530220613</c:v>
                </c:pt>
                <c:pt idx="25">
                  <c:v>3880.0592705038916</c:v>
                </c:pt>
                <c:pt idx="26">
                  <c:v>3851.2843545502956</c:v>
                </c:pt>
                <c:pt idx="27">
                  <c:v>3822.8728722131218</c:v>
                </c:pt>
                <c:pt idx="28">
                  <c:v>3794.8063929759746</c:v>
                </c:pt>
                <c:pt idx="29">
                  <c:v>3767.0679286844579</c:v>
                </c:pt>
                <c:pt idx="30">
                  <c:v>3739.6417924668594</c:v>
                </c:pt>
                <c:pt idx="31">
                  <c:v>3712.5134740575968</c:v>
                </c:pt>
                <c:pt idx="32">
                  <c:v>3685.669529331904</c:v>
                </c:pt>
                <c:pt idx="33">
                  <c:v>3659.097482189306</c:v>
                </c:pt>
                <c:pt idx="34">
                  <c:v>3632.7857371978698</c:v>
                </c:pt>
                <c:pt idx="35">
                  <c:v>3606.7235016409691</c:v>
                </c:pt>
                <c:pt idx="36">
                  <c:v>3580.900715801185</c:v>
                </c:pt>
                <c:pt idx="37">
                  <c:v>3555.3079904786355</c:v>
                </c:pt>
                <c:pt idx="38">
                  <c:v>3529.9365508784281</c:v>
                </c:pt>
                <c:pt idx="39">
                  <c:v>3504.7781861186149</c:v>
                </c:pt>
                <c:pt idx="40">
                  <c:v>3479.8252037091324</c:v>
                </c:pt>
                <c:pt idx="41">
                  <c:v>3455.0703884368777</c:v>
                </c:pt>
                <c:pt idx="42">
                  <c:v>3430.5069651644699</c:v>
                </c:pt>
                <c:pt idx="43">
                  <c:v>3406.1285651123217</c:v>
                </c:pt>
                <c:pt idx="44">
                  <c:v>3381.9291952470749</c:v>
                </c:pt>
                <c:pt idx="45">
                  <c:v>3357.9032104455196</c:v>
                </c:pt>
                <c:pt idx="46">
                  <c:v>3334.0452881428914</c:v>
                </c:pt>
                <c:pt idx="47">
                  <c:v>3310.3504052089957</c:v>
                </c:pt>
                <c:pt idx="48">
                  <c:v>3286.8138168254636</c:v>
                </c:pt>
                <c:pt idx="49">
                  <c:v>3263.4310371636129</c:v>
                </c:pt>
                <c:pt idx="50">
                  <c:v>3240.1978216850403</c:v>
                </c:pt>
                <c:pt idx="51">
                  <c:v>3217.1101509069958</c:v>
                </c:pt>
                <c:pt idx="52">
                  <c:v>3194.1642154919518</c:v>
                </c:pt>
                <c:pt idx="53">
                  <c:v>3171.3564025360743</c:v>
                </c:pt>
                <c:pt idx="54">
                  <c:v>3148.6832829447167</c:v>
                </c:pt>
                <c:pt idx="55">
                  <c:v>3126.1415997948925</c:v>
                </c:pt>
                <c:pt idx="56">
                  <c:v>3103.7282575950821</c:v>
                </c:pt>
                <c:pt idx="57">
                  <c:v>3081.4403123619986</c:v>
                </c:pt>
                <c:pt idx="58">
                  <c:v>3059.2749624420694</c:v>
                </c:pt>
                <c:pt idx="59">
                  <c:v>3037.2295400126368</c:v>
                </c:pt>
                <c:pt idx="60">
                  <c:v>3015.3015032043168</c:v>
                </c:pt>
                <c:pt idx="61">
                  <c:v>2993.4884287916875</c:v>
                </c:pt>
                <c:pt idx="62">
                  <c:v>2971.7880054045681</c:v>
                </c:pt>
                <c:pt idx="63">
                  <c:v>2950.1980272166893</c:v>
                </c:pt>
                <c:pt idx="64">
                  <c:v>2928.7163880726475</c:v>
                </c:pt>
                <c:pt idx="65">
                  <c:v>2907.3410760176739</c:v>
                </c:pt>
                <c:pt idx="66">
                  <c:v>2886.0701681979695</c:v>
                </c:pt>
                <c:pt idx="67">
                  <c:v>2864.9018261023475</c:v>
                </c:pt>
                <c:pt idx="68">
                  <c:v>2843.8342911185218</c:v>
                </c:pt>
                <c:pt idx="69">
                  <c:v>2822.865880379718</c:v>
                </c:pt>
                <c:pt idx="70">
                  <c:v>2801.9949828795015</c:v>
                </c:pt>
                <c:pt idx="71">
                  <c:v>2781.2200558345294</c:v>
                </c:pt>
                <c:pt idx="72">
                  <c:v>2760.5396212767741</c:v>
                </c:pt>
                <c:pt idx="73">
                  <c:v>2739.9522628582577</c:v>
                </c:pt>
                <c:pt idx="74">
                  <c:v>2719.4566228528092</c:v>
                </c:pt>
                <c:pt idx="75">
                  <c:v>2699.0513993406203</c:v>
                </c:pt>
                <c:pt idx="76">
                  <c:v>3060.656277745622</c:v>
                </c:pt>
                <c:pt idx="77">
                  <c:v>2658.5072574321221</c:v>
                </c:pt>
                <c:pt idx="78">
                  <c:v>2638.3659911944424</c:v>
                </c:pt>
                <c:pt idx="79">
                  <c:v>2618.3104412214352</c:v>
                </c:pt>
                <c:pt idx="80">
                  <c:v>2598.3395479345263</c:v>
                </c:pt>
                <c:pt idx="81">
                  <c:v>2578.4522938458495</c:v>
                </c:pt>
                <c:pt idx="82">
                  <c:v>2558.6477017101529</c:v>
                </c:pt>
                <c:pt idx="83">
                  <c:v>2538.9248327800124</c:v>
                </c:pt>
                <c:pt idx="84">
                  <c:v>2519.2827851575839</c:v>
                </c:pt>
                <c:pt idx="85">
                  <c:v>2499.7206922366117</c:v>
                </c:pt>
                <c:pt idx="86">
                  <c:v>2480.2377212288675</c:v>
                </c:pt>
                <c:pt idx="87">
                  <c:v>2460.8330717696672</c:v>
                </c:pt>
                <c:pt idx="88">
                  <c:v>2441.5059745974077</c:v>
                </c:pt>
                <c:pt idx="89">
                  <c:v>2422.2556903025793</c:v>
                </c:pt>
                <c:pt idx="90">
                  <c:v>2403.0815081418577</c:v>
                </c:pt>
                <c:pt idx="91">
                  <c:v>2383.9827449133491</c:v>
                </c:pt>
                <c:pt idx="92">
                  <c:v>2364.9587438892358</c:v>
                </c:pt>
                <c:pt idx="93">
                  <c:v>2346.0088738023605</c:v>
                </c:pt>
                <c:pt idx="94">
                  <c:v>2327.1325278835602</c:v>
                </c:pt>
                <c:pt idx="95">
                  <c:v>2308.3291229467004</c:v>
                </c:pt>
                <c:pt idx="96">
                  <c:v>2289.5980985186602</c:v>
                </c:pt>
                <c:pt idx="97">
                  <c:v>2270.9389160116166</c:v>
                </c:pt>
                <c:pt idx="98">
                  <c:v>2252.351057935221</c:v>
                </c:pt>
                <c:pt idx="99">
                  <c:v>2233.8340271463776</c:v>
                </c:pt>
                <c:pt idx="100">
                  <c:v>2215.3873461344856</c:v>
                </c:pt>
                <c:pt idx="101">
                  <c:v>2197.0105563401867</c:v>
                </c:pt>
                <c:pt idx="102">
                  <c:v>2178.703217505717</c:v>
                </c:pt>
                <c:pt idx="103">
                  <c:v>2160.464907055145</c:v>
                </c:pt>
                <c:pt idx="104">
                  <c:v>2142.295219502857</c:v>
                </c:pt>
                <c:pt idx="105">
                  <c:v>2124.1937658887496</c:v>
                </c:pt>
                <c:pt idx="106">
                  <c:v>2106.1601732387071</c:v>
                </c:pt>
                <c:pt idx="107">
                  <c:v>2088.1940840489956</c:v>
                </c:pt>
                <c:pt idx="108">
                  <c:v>2070.2951557933279</c:v>
                </c:pt>
                <c:pt idx="109">
                  <c:v>2052.4630604514077</c:v>
                </c:pt>
                <c:pt idx="110">
                  <c:v>2034.6974840578098</c:v>
                </c:pt>
                <c:pt idx="111">
                  <c:v>2016.9981262701792</c:v>
                </c:pt>
                <c:pt idx="112">
                  <c:v>1999.3646999557541</c:v>
                </c:pt>
                <c:pt idx="113">
                  <c:v>1981.7969307952424</c:v>
                </c:pt>
                <c:pt idx="114">
                  <c:v>1964.2945569032449</c:v>
                </c:pt>
                <c:pt idx="115">
                  <c:v>1946.8573284643217</c:v>
                </c:pt>
                <c:pt idx="116">
                  <c:v>1929.4850073839925</c:v>
                </c:pt>
                <c:pt idx="117">
                  <c:v>1912.1773669538811</c:v>
                </c:pt>
                <c:pt idx="118">
                  <c:v>1894.9341915303494</c:v>
                </c:pt>
                <c:pt idx="119">
                  <c:v>1877.7552762259459</c:v>
                </c:pt>
                <c:pt idx="120">
                  <c:v>1860.6404266130417</c:v>
                </c:pt>
                <c:pt idx="121">
                  <c:v>1843.5894584391242</c:v>
                </c:pt>
                <c:pt idx="122">
                  <c:v>1826.6021973531049</c:v>
                </c:pt>
                <c:pt idx="123">
                  <c:v>1809.6784786422093</c:v>
                </c:pt>
                <c:pt idx="124">
                  <c:v>1792.8181469789004</c:v>
                </c:pt>
                <c:pt idx="125">
                  <c:v>1776.0210561773833</c:v>
                </c:pt>
                <c:pt idx="126">
                  <c:v>1759.2870689592603</c:v>
                </c:pt>
                <c:pt idx="127">
                  <c:v>1742.6160567278889</c:v>
                </c:pt>
                <c:pt idx="128">
                  <c:v>1726.0078993510822</c:v>
                </c:pt>
                <c:pt idx="129">
                  <c:v>1709.4624849517354</c:v>
                </c:pt>
                <c:pt idx="130">
                  <c:v>1692.9797097060568</c:v>
                </c:pt>
              </c:numCache>
            </c:numRef>
          </c:yVal>
          <c:smooth val="0"/>
          <c:extLst>
            <c:ext xmlns:c16="http://schemas.microsoft.com/office/drawing/2014/chart" uri="{C3380CC4-5D6E-409C-BE32-E72D297353CC}">
              <c16:uniqueId val="{00000001-D06F-2546-A8B2-B6AE9A9111E3}"/>
            </c:ext>
          </c:extLst>
        </c:ser>
        <c:dLbls>
          <c:showLegendKey val="0"/>
          <c:showVal val="0"/>
          <c:showCatName val="0"/>
          <c:showSerName val="0"/>
          <c:showPercent val="0"/>
          <c:showBubbleSize val="0"/>
        </c:dLbls>
        <c:axId val="305858591"/>
        <c:axId val="305838351"/>
      </c:scatterChart>
      <c:valAx>
        <c:axId val="3058585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a:t>
                </a:r>
                <a:r>
                  <a:rPr lang="en-US" baseline="0"/>
                  <a:t> (KCAS)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838351"/>
        <c:crosses val="autoZero"/>
        <c:crossBetween val="midCat"/>
      </c:valAx>
      <c:valAx>
        <c:axId val="3058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Thrust</a:t>
                </a:r>
                <a:r>
                  <a:rPr lang="en-US" baseline="0"/>
                  <a:t> (lbf)</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85859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Thrust</a:t>
            </a:r>
            <a:r>
              <a:rPr lang="en-US" baseline="0"/>
              <a:t> vs Airspeed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Thrust Available</c:v>
          </c:tx>
          <c:spPr>
            <a:ln w="25400" cap="rnd">
              <a:solidFill>
                <a:schemeClr val="accent1"/>
              </a:solidFill>
              <a:round/>
            </a:ln>
            <a:effectLst/>
          </c:spPr>
          <c:marker>
            <c:symbol val="none"/>
          </c:marker>
          <c:xVal>
            <c:numRef>
              <c:f>Thrust!$D$162:$D$361</c:f>
              <c:numCache>
                <c:formatCode>General</c:formatCode>
                <c:ptCount val="200"/>
                <c:pt idx="0">
                  <c:v>3.3336950000000001</c:v>
                </c:pt>
                <c:pt idx="1">
                  <c:v>6.6673900000000001</c:v>
                </c:pt>
                <c:pt idx="2">
                  <c:v>10.001085</c:v>
                </c:pt>
                <c:pt idx="3">
                  <c:v>13.33478</c:v>
                </c:pt>
                <c:pt idx="4">
                  <c:v>16.668475000000001</c:v>
                </c:pt>
                <c:pt idx="5">
                  <c:v>20.00217</c:v>
                </c:pt>
                <c:pt idx="6">
                  <c:v>23.335865000000002</c:v>
                </c:pt>
                <c:pt idx="7">
                  <c:v>26.669560000000001</c:v>
                </c:pt>
                <c:pt idx="8">
                  <c:v>30.003254999999999</c:v>
                </c:pt>
                <c:pt idx="9">
                  <c:v>33.336950000000002</c:v>
                </c:pt>
                <c:pt idx="10">
                  <c:v>36.670645</c:v>
                </c:pt>
                <c:pt idx="11">
                  <c:v>40.004339999999999</c:v>
                </c:pt>
                <c:pt idx="12">
                  <c:v>43.338035000000005</c:v>
                </c:pt>
                <c:pt idx="13">
                  <c:v>46.671730000000004</c:v>
                </c:pt>
                <c:pt idx="14">
                  <c:v>50.005425000000002</c:v>
                </c:pt>
                <c:pt idx="15">
                  <c:v>53.339120000000001</c:v>
                </c:pt>
                <c:pt idx="16">
                  <c:v>56.672815000000007</c:v>
                </c:pt>
                <c:pt idx="17">
                  <c:v>60.006509999999999</c:v>
                </c:pt>
                <c:pt idx="18">
                  <c:v>63.340205000000005</c:v>
                </c:pt>
                <c:pt idx="19">
                  <c:v>66.673900000000003</c:v>
                </c:pt>
                <c:pt idx="20">
                  <c:v>70.007594999999995</c:v>
                </c:pt>
                <c:pt idx="21">
                  <c:v>73.341290000000001</c:v>
                </c:pt>
                <c:pt idx="22">
                  <c:v>76.674985000000007</c:v>
                </c:pt>
                <c:pt idx="23">
                  <c:v>80.008679999999998</c:v>
                </c:pt>
                <c:pt idx="24">
                  <c:v>83.342375000000004</c:v>
                </c:pt>
                <c:pt idx="25">
                  <c:v>86.67607000000001</c:v>
                </c:pt>
                <c:pt idx="26">
                  <c:v>90.009765000000016</c:v>
                </c:pt>
                <c:pt idx="27">
                  <c:v>93.343460000000007</c:v>
                </c:pt>
                <c:pt idx="28">
                  <c:v>96.677154999999999</c:v>
                </c:pt>
                <c:pt idx="29">
                  <c:v>100.01085</c:v>
                </c:pt>
                <c:pt idx="30">
                  <c:v>103.34454500000001</c:v>
                </c:pt>
                <c:pt idx="31">
                  <c:v>106.67824</c:v>
                </c:pt>
                <c:pt idx="32">
                  <c:v>110.01193500000001</c:v>
                </c:pt>
                <c:pt idx="33">
                  <c:v>113.34563000000001</c:v>
                </c:pt>
                <c:pt idx="34">
                  <c:v>116.67932499999999</c:v>
                </c:pt>
                <c:pt idx="35">
                  <c:v>120.01302</c:v>
                </c:pt>
                <c:pt idx="36">
                  <c:v>123.346715</c:v>
                </c:pt>
                <c:pt idx="37">
                  <c:v>126.68041000000001</c:v>
                </c:pt>
                <c:pt idx="38">
                  <c:v>130.014105</c:v>
                </c:pt>
                <c:pt idx="39">
                  <c:v>133.34780000000001</c:v>
                </c:pt>
                <c:pt idx="40">
                  <c:v>136.68149500000001</c:v>
                </c:pt>
                <c:pt idx="41">
                  <c:v>140.01518999999999</c:v>
                </c:pt>
                <c:pt idx="42">
                  <c:v>143.348885</c:v>
                </c:pt>
                <c:pt idx="43">
                  <c:v>146.68258</c:v>
                </c:pt>
                <c:pt idx="44">
                  <c:v>150.01627500000001</c:v>
                </c:pt>
                <c:pt idx="45">
                  <c:v>153.34997000000001</c:v>
                </c:pt>
                <c:pt idx="46">
                  <c:v>156.68366499999999</c:v>
                </c:pt>
                <c:pt idx="47">
                  <c:v>160.01736</c:v>
                </c:pt>
                <c:pt idx="48">
                  <c:v>163.351055</c:v>
                </c:pt>
                <c:pt idx="49">
                  <c:v>166.68475000000001</c:v>
                </c:pt>
                <c:pt idx="50">
                  <c:v>170.01844500000001</c:v>
                </c:pt>
                <c:pt idx="51">
                  <c:v>173.35214000000002</c:v>
                </c:pt>
                <c:pt idx="52">
                  <c:v>176.68583500000003</c:v>
                </c:pt>
                <c:pt idx="53">
                  <c:v>180.01953000000003</c:v>
                </c:pt>
                <c:pt idx="54">
                  <c:v>183.35322500000004</c:v>
                </c:pt>
                <c:pt idx="55">
                  <c:v>186.68692000000001</c:v>
                </c:pt>
                <c:pt idx="56">
                  <c:v>190.02061499999999</c:v>
                </c:pt>
                <c:pt idx="57">
                  <c:v>193.35431</c:v>
                </c:pt>
                <c:pt idx="58">
                  <c:v>196.688005</c:v>
                </c:pt>
                <c:pt idx="59">
                  <c:v>200.02170000000001</c:v>
                </c:pt>
                <c:pt idx="60">
                  <c:v>203.35539500000002</c:v>
                </c:pt>
                <c:pt idx="61">
                  <c:v>206.68909000000002</c:v>
                </c:pt>
                <c:pt idx="62">
                  <c:v>210.022785</c:v>
                </c:pt>
                <c:pt idx="63">
                  <c:v>213.35648</c:v>
                </c:pt>
                <c:pt idx="64">
                  <c:v>216.69017500000001</c:v>
                </c:pt>
                <c:pt idx="65">
                  <c:v>220.02387000000002</c:v>
                </c:pt>
                <c:pt idx="66">
                  <c:v>223.35756500000002</c:v>
                </c:pt>
                <c:pt idx="67">
                  <c:v>226.69126000000003</c:v>
                </c:pt>
                <c:pt idx="68">
                  <c:v>230.02495500000001</c:v>
                </c:pt>
                <c:pt idx="69">
                  <c:v>233.35864999999998</c:v>
                </c:pt>
                <c:pt idx="70">
                  <c:v>236.69234499999999</c:v>
                </c:pt>
                <c:pt idx="71">
                  <c:v>240.02603999999999</c:v>
                </c:pt>
                <c:pt idx="72">
                  <c:v>243.359735</c:v>
                </c:pt>
                <c:pt idx="73">
                  <c:v>246.69343000000001</c:v>
                </c:pt>
                <c:pt idx="74">
                  <c:v>250.02712500000001</c:v>
                </c:pt>
                <c:pt idx="75">
                  <c:v>253.36082000000002</c:v>
                </c:pt>
                <c:pt idx="76">
                  <c:v>256.69451500000002</c:v>
                </c:pt>
                <c:pt idx="77">
                  <c:v>260.02821</c:v>
                </c:pt>
                <c:pt idx="78">
                  <c:v>263.36190500000004</c:v>
                </c:pt>
                <c:pt idx="79">
                  <c:v>266.69560000000001</c:v>
                </c:pt>
                <c:pt idx="80">
                  <c:v>270.02929500000005</c:v>
                </c:pt>
                <c:pt idx="81">
                  <c:v>273.36299000000002</c:v>
                </c:pt>
                <c:pt idx="82">
                  <c:v>276.696685</c:v>
                </c:pt>
                <c:pt idx="83">
                  <c:v>280.03037999999998</c:v>
                </c:pt>
                <c:pt idx="84">
                  <c:v>283.36407500000001</c:v>
                </c:pt>
                <c:pt idx="85">
                  <c:v>286.69776999999999</c:v>
                </c:pt>
                <c:pt idx="86">
                  <c:v>290.03146500000003</c:v>
                </c:pt>
                <c:pt idx="87">
                  <c:v>293.36516</c:v>
                </c:pt>
                <c:pt idx="88">
                  <c:v>296.69885500000004</c:v>
                </c:pt>
                <c:pt idx="89">
                  <c:v>300.03255000000001</c:v>
                </c:pt>
                <c:pt idx="90">
                  <c:v>303.36624500000005</c:v>
                </c:pt>
                <c:pt idx="91">
                  <c:v>306.69994000000003</c:v>
                </c:pt>
                <c:pt idx="92">
                  <c:v>310.033635</c:v>
                </c:pt>
                <c:pt idx="93">
                  <c:v>313.36732999999998</c:v>
                </c:pt>
                <c:pt idx="94">
                  <c:v>316.70102500000002</c:v>
                </c:pt>
                <c:pt idx="95">
                  <c:v>320.03471999999999</c:v>
                </c:pt>
                <c:pt idx="96">
                  <c:v>323.36841500000003</c:v>
                </c:pt>
                <c:pt idx="97">
                  <c:v>326.70211</c:v>
                </c:pt>
                <c:pt idx="98">
                  <c:v>330.03580500000004</c:v>
                </c:pt>
                <c:pt idx="99">
                  <c:v>333.36950000000002</c:v>
                </c:pt>
                <c:pt idx="100">
                  <c:v>336.70319499999999</c:v>
                </c:pt>
                <c:pt idx="101">
                  <c:v>340.03689000000003</c:v>
                </c:pt>
                <c:pt idx="102">
                  <c:v>343.37058500000001</c:v>
                </c:pt>
                <c:pt idx="103">
                  <c:v>346.70428000000004</c:v>
                </c:pt>
                <c:pt idx="104">
                  <c:v>350.03797500000002</c:v>
                </c:pt>
                <c:pt idx="105">
                  <c:v>353.37167000000005</c:v>
                </c:pt>
                <c:pt idx="106">
                  <c:v>356.70536500000003</c:v>
                </c:pt>
                <c:pt idx="107">
                  <c:v>360.03906000000006</c:v>
                </c:pt>
                <c:pt idx="108">
                  <c:v>363.37275500000004</c:v>
                </c:pt>
                <c:pt idx="109">
                  <c:v>366.70645000000007</c:v>
                </c:pt>
                <c:pt idx="110">
                  <c:v>370.04014500000005</c:v>
                </c:pt>
                <c:pt idx="111">
                  <c:v>373.37384000000003</c:v>
                </c:pt>
                <c:pt idx="112">
                  <c:v>376.70753500000001</c:v>
                </c:pt>
                <c:pt idx="113">
                  <c:v>380.04122999999998</c:v>
                </c:pt>
                <c:pt idx="114">
                  <c:v>383.37492499999996</c:v>
                </c:pt>
                <c:pt idx="115">
                  <c:v>386.70862</c:v>
                </c:pt>
                <c:pt idx="116">
                  <c:v>390.04231499999997</c:v>
                </c:pt>
                <c:pt idx="117">
                  <c:v>393.37601000000001</c:v>
                </c:pt>
                <c:pt idx="118">
                  <c:v>396.70970499999999</c:v>
                </c:pt>
                <c:pt idx="119">
                  <c:v>400.04340000000002</c:v>
                </c:pt>
                <c:pt idx="120">
                  <c:v>403.377095</c:v>
                </c:pt>
                <c:pt idx="121">
                  <c:v>406.71079000000003</c:v>
                </c:pt>
                <c:pt idx="122">
                  <c:v>410.04448500000001</c:v>
                </c:pt>
                <c:pt idx="123">
                  <c:v>413.37818000000004</c:v>
                </c:pt>
                <c:pt idx="124">
                  <c:v>416.71187500000002</c:v>
                </c:pt>
                <c:pt idx="125">
                  <c:v>420.04557</c:v>
                </c:pt>
                <c:pt idx="126">
                  <c:v>423.37926500000003</c:v>
                </c:pt>
                <c:pt idx="127">
                  <c:v>426.71296000000001</c:v>
                </c:pt>
                <c:pt idx="128">
                  <c:v>430.04665500000004</c:v>
                </c:pt>
                <c:pt idx="129">
                  <c:v>433.38035000000002</c:v>
                </c:pt>
                <c:pt idx="130">
                  <c:v>436.71404500000006</c:v>
                </c:pt>
                <c:pt idx="131">
                  <c:v>440.04774000000003</c:v>
                </c:pt>
                <c:pt idx="132">
                  <c:v>443.38143500000007</c:v>
                </c:pt>
                <c:pt idx="133">
                  <c:v>446.71513000000004</c:v>
                </c:pt>
                <c:pt idx="134">
                  <c:v>450.04882500000008</c:v>
                </c:pt>
                <c:pt idx="135">
                  <c:v>453.38252000000006</c:v>
                </c:pt>
                <c:pt idx="136">
                  <c:v>456.71621500000003</c:v>
                </c:pt>
                <c:pt idx="137">
                  <c:v>460.04991000000001</c:v>
                </c:pt>
                <c:pt idx="138">
                  <c:v>463.38360499999999</c:v>
                </c:pt>
                <c:pt idx="139">
                  <c:v>466.71729999999997</c:v>
                </c:pt>
                <c:pt idx="140">
                  <c:v>470.050995</c:v>
                </c:pt>
                <c:pt idx="141">
                  <c:v>473.38468999999998</c:v>
                </c:pt>
                <c:pt idx="142">
                  <c:v>476.71838500000001</c:v>
                </c:pt>
                <c:pt idx="143">
                  <c:v>480.05207999999999</c:v>
                </c:pt>
                <c:pt idx="144">
                  <c:v>483.38577500000002</c:v>
                </c:pt>
                <c:pt idx="145">
                  <c:v>486.71947</c:v>
                </c:pt>
                <c:pt idx="146">
                  <c:v>490.05316500000004</c:v>
                </c:pt>
                <c:pt idx="147">
                  <c:v>493.38686000000001</c:v>
                </c:pt>
                <c:pt idx="148">
                  <c:v>496.72055500000005</c:v>
                </c:pt>
                <c:pt idx="149">
                  <c:v>500.05425000000002</c:v>
                </c:pt>
                <c:pt idx="150">
                  <c:v>503.387945</c:v>
                </c:pt>
                <c:pt idx="151">
                  <c:v>506.72164000000004</c:v>
                </c:pt>
                <c:pt idx="152">
                  <c:v>510.05533500000001</c:v>
                </c:pt>
                <c:pt idx="153">
                  <c:v>513.38903000000005</c:v>
                </c:pt>
                <c:pt idx="154">
                  <c:v>516.72272500000008</c:v>
                </c:pt>
                <c:pt idx="155">
                  <c:v>520.05642</c:v>
                </c:pt>
                <c:pt idx="156">
                  <c:v>523.39011500000004</c:v>
                </c:pt>
                <c:pt idx="157">
                  <c:v>526.72381000000007</c:v>
                </c:pt>
                <c:pt idx="158">
                  <c:v>530.05750500000011</c:v>
                </c:pt>
                <c:pt idx="159">
                  <c:v>533.39120000000003</c:v>
                </c:pt>
                <c:pt idx="160">
                  <c:v>536.72489500000006</c:v>
                </c:pt>
                <c:pt idx="161">
                  <c:v>540.05859000000009</c:v>
                </c:pt>
                <c:pt idx="162">
                  <c:v>543.39228500000002</c:v>
                </c:pt>
                <c:pt idx="163">
                  <c:v>546.72598000000005</c:v>
                </c:pt>
                <c:pt idx="164">
                  <c:v>550.05967499999997</c:v>
                </c:pt>
                <c:pt idx="165">
                  <c:v>553.39337</c:v>
                </c:pt>
                <c:pt idx="166">
                  <c:v>556.72706500000004</c:v>
                </c:pt>
                <c:pt idx="167">
                  <c:v>560.06075999999996</c:v>
                </c:pt>
                <c:pt idx="168">
                  <c:v>563.39445499999999</c:v>
                </c:pt>
                <c:pt idx="169">
                  <c:v>566.72815000000003</c:v>
                </c:pt>
                <c:pt idx="170">
                  <c:v>570.06184500000006</c:v>
                </c:pt>
                <c:pt idx="171">
                  <c:v>573.39553999999998</c:v>
                </c:pt>
                <c:pt idx="172">
                  <c:v>576.72923500000002</c:v>
                </c:pt>
                <c:pt idx="173">
                  <c:v>580.06293000000005</c:v>
                </c:pt>
                <c:pt idx="174">
                  <c:v>583.39662500000009</c:v>
                </c:pt>
                <c:pt idx="175">
                  <c:v>586.73032000000001</c:v>
                </c:pt>
                <c:pt idx="176">
                  <c:v>590.06401500000004</c:v>
                </c:pt>
                <c:pt idx="177">
                  <c:v>593.39771000000007</c:v>
                </c:pt>
                <c:pt idx="178">
                  <c:v>596.731405</c:v>
                </c:pt>
                <c:pt idx="179">
                  <c:v>600.06510000000003</c:v>
                </c:pt>
                <c:pt idx="180">
                  <c:v>603.39879500000006</c:v>
                </c:pt>
                <c:pt idx="181">
                  <c:v>606.7324900000001</c:v>
                </c:pt>
                <c:pt idx="182">
                  <c:v>610.06618500000002</c:v>
                </c:pt>
                <c:pt idx="183">
                  <c:v>613.39988000000005</c:v>
                </c:pt>
                <c:pt idx="184">
                  <c:v>616.73357500000009</c:v>
                </c:pt>
                <c:pt idx="185">
                  <c:v>620.06727000000001</c:v>
                </c:pt>
                <c:pt idx="186">
                  <c:v>623.40096500000004</c:v>
                </c:pt>
                <c:pt idx="187">
                  <c:v>626.73465999999996</c:v>
                </c:pt>
                <c:pt idx="188">
                  <c:v>630.068355</c:v>
                </c:pt>
                <c:pt idx="189">
                  <c:v>633.40205000000003</c:v>
                </c:pt>
                <c:pt idx="190">
                  <c:v>636.73574499999995</c:v>
                </c:pt>
                <c:pt idx="191">
                  <c:v>640.06943999999999</c:v>
                </c:pt>
                <c:pt idx="192">
                  <c:v>643.40313500000002</c:v>
                </c:pt>
                <c:pt idx="193">
                  <c:v>646.73683000000005</c:v>
                </c:pt>
                <c:pt idx="194">
                  <c:v>650.07052499999998</c:v>
                </c:pt>
                <c:pt idx="195">
                  <c:v>653.40422000000001</c:v>
                </c:pt>
                <c:pt idx="196">
                  <c:v>656.73791500000004</c:v>
                </c:pt>
                <c:pt idx="197">
                  <c:v>660.07161000000008</c:v>
                </c:pt>
                <c:pt idx="198">
                  <c:v>663.405305</c:v>
                </c:pt>
                <c:pt idx="199">
                  <c:v>666.73900000000003</c:v>
                </c:pt>
              </c:numCache>
            </c:numRef>
          </c:xVal>
          <c:yVal>
            <c:numRef>
              <c:f>Thrust!$M$162:$M$361</c:f>
              <c:numCache>
                <c:formatCode>General</c:formatCode>
                <c:ptCount val="200"/>
                <c:pt idx="0">
                  <c:v>17618.368318602286</c:v>
                </c:pt>
                <c:pt idx="1">
                  <c:v>11164.885966655074</c:v>
                </c:pt>
                <c:pt idx="2">
                  <c:v>8988.0594973874468</c:v>
                </c:pt>
                <c:pt idx="3">
                  <c:v>7882.258976369616</c:v>
                </c:pt>
                <c:pt idx="4">
                  <c:v>7205.7446584673271</c:v>
                </c:pt>
                <c:pt idx="5">
                  <c:v>6744.3751600317328</c:v>
                </c:pt>
                <c:pt idx="6">
                  <c:v>6406.2675704179665</c:v>
                </c:pt>
                <c:pt idx="7">
                  <c:v>6145.4215331455916</c:v>
                </c:pt>
                <c:pt idx="8">
                  <c:v>5936.2459990240795</c:v>
                </c:pt>
                <c:pt idx="9">
                  <c:v>5763.363691268094</c:v>
                </c:pt>
                <c:pt idx="10">
                  <c:v>5616.9737621710765</c:v>
                </c:pt>
                <c:pt idx="11">
                  <c:v>5490.5315325030879</c:v>
                </c:pt>
                <c:pt idx="12">
                  <c:v>5379.4982211499309</c:v>
                </c:pt>
                <c:pt idx="13">
                  <c:v>5280.6259670030295</c:v>
                </c:pt>
                <c:pt idx="14">
                  <c:v>5191.5285054409796</c:v>
                </c:pt>
                <c:pt idx="15">
                  <c:v>5110.4126223204248</c:v>
                </c:pt>
                <c:pt idx="16">
                  <c:v>5035.9042420626392</c:v>
                </c:pt>
                <c:pt idx="17">
                  <c:v>4966.9323850716974</c:v>
                </c:pt>
                <c:pt idx="18">
                  <c:v>4902.6496985968361</c:v>
                </c:pt>
                <c:pt idx="19">
                  <c:v>4842.3767766829533</c:v>
                </c:pt>
                <c:pt idx="20">
                  <c:v>4785.5623507339606</c:v>
                </c:pt>
                <c:pt idx="21">
                  <c:v>4731.7543088125567</c:v>
                </c:pt>
                <c:pt idx="22">
                  <c:v>4680.578253589907</c:v>
                </c:pt>
                <c:pt idx="23">
                  <c:v>4631.7214042507585</c:v>
                </c:pt>
                <c:pt idx="24">
                  <c:v>4584.9203490538757</c:v>
                </c:pt>
                <c:pt idx="25">
                  <c:v>4539.9516140814103</c:v>
                </c:pt>
                <c:pt idx="26">
                  <c:v>4496.6243197566482</c:v>
                </c:pt>
                <c:pt idx="27">
                  <c:v>4454.7744044920964</c:v>
                </c:pt>
                <c:pt idx="28">
                  <c:v>4414.2600382046348</c:v>
                </c:pt>
                <c:pt idx="29">
                  <c:v>4374.9579488514246</c:v>
                </c:pt>
                <c:pt idx="30">
                  <c:v>4336.760456443315</c:v>
                </c:pt>
                <c:pt idx="31">
                  <c:v>4299.5730602705444</c:v>
                </c:pt>
                <c:pt idx="32">
                  <c:v>4263.3124623900667</c:v>
                </c:pt>
                <c:pt idx="33">
                  <c:v>4227.9049378769296</c:v>
                </c:pt>
                <c:pt idx="34">
                  <c:v>4193.2849827480586</c:v>
                </c:pt>
                <c:pt idx="35">
                  <c:v>4159.3941857803693</c:v>
                </c:pt>
                <c:pt idx="36">
                  <c:v>4126.1802820409521</c:v>
                </c:pt>
                <c:pt idx="37">
                  <c:v>4093.5963548019217</c:v>
                </c:pt>
                <c:pt idx="38">
                  <c:v>4061.6001593283113</c:v>
                </c:pt>
                <c:pt idx="39">
                  <c:v>4030.1535473129429</c:v>
                </c:pt>
                <c:pt idx="40">
                  <c:v>3999.2219748602192</c:v>
                </c:pt>
                <c:pt idx="41">
                  <c:v>3968.7740801663103</c:v>
                </c:pt>
                <c:pt idx="42">
                  <c:v>3938.781319611197</c:v>
                </c:pt>
                <c:pt idx="43">
                  <c:v>3909.2176530220613</c:v>
                </c:pt>
                <c:pt idx="44">
                  <c:v>3880.0592705038916</c:v>
                </c:pt>
                <c:pt idx="45">
                  <c:v>3851.2843545502956</c:v>
                </c:pt>
                <c:pt idx="46">
                  <c:v>3822.8728722131218</c:v>
                </c:pt>
                <c:pt idx="47">
                  <c:v>3794.8063929759746</c:v>
                </c:pt>
                <c:pt idx="48">
                  <c:v>3767.0679286844579</c:v>
                </c:pt>
                <c:pt idx="49">
                  <c:v>3739.6417924668594</c:v>
                </c:pt>
                <c:pt idx="50">
                  <c:v>3712.5134740575968</c:v>
                </c:pt>
                <c:pt idx="51">
                  <c:v>3685.669529331904</c:v>
                </c:pt>
                <c:pt idx="52">
                  <c:v>3659.097482189306</c:v>
                </c:pt>
                <c:pt idx="53">
                  <c:v>3632.7857371978698</c:v>
                </c:pt>
                <c:pt idx="54">
                  <c:v>3606.7235016409691</c:v>
                </c:pt>
                <c:pt idx="55">
                  <c:v>3580.900715801185</c:v>
                </c:pt>
                <c:pt idx="56">
                  <c:v>3555.3079904786355</c:v>
                </c:pt>
                <c:pt idx="57">
                  <c:v>3529.9365508784281</c:v>
                </c:pt>
                <c:pt idx="58">
                  <c:v>3504.7781861186149</c:v>
                </c:pt>
                <c:pt idx="59">
                  <c:v>3479.8252037091324</c:v>
                </c:pt>
                <c:pt idx="60">
                  <c:v>3455.0703884368777</c:v>
                </c:pt>
                <c:pt idx="61">
                  <c:v>3430.5069651644699</c:v>
                </c:pt>
                <c:pt idx="62">
                  <c:v>3406.1285651123217</c:v>
                </c:pt>
                <c:pt idx="63">
                  <c:v>3381.9291952470749</c:v>
                </c:pt>
                <c:pt idx="64">
                  <c:v>3357.9032104455196</c:v>
                </c:pt>
                <c:pt idx="65">
                  <c:v>3334.0452881428914</c:v>
                </c:pt>
                <c:pt idx="66">
                  <c:v>3310.3504052089957</c:v>
                </c:pt>
                <c:pt idx="67">
                  <c:v>3286.8138168254636</c:v>
                </c:pt>
                <c:pt idx="68">
                  <c:v>3263.4310371636129</c:v>
                </c:pt>
                <c:pt idx="69">
                  <c:v>3240.1978216850403</c:v>
                </c:pt>
                <c:pt idx="70">
                  <c:v>3217.1101509069958</c:v>
                </c:pt>
                <c:pt idx="71">
                  <c:v>3194.1642154919518</c:v>
                </c:pt>
                <c:pt idx="72">
                  <c:v>3171.3564025360743</c:v>
                </c:pt>
                <c:pt idx="73">
                  <c:v>3148.6832829447167</c:v>
                </c:pt>
                <c:pt idx="74">
                  <c:v>3126.1415997948925</c:v>
                </c:pt>
                <c:pt idx="75">
                  <c:v>3103.7282575950821</c:v>
                </c:pt>
                <c:pt idx="76">
                  <c:v>3081.4403123619986</c:v>
                </c:pt>
                <c:pt idx="77">
                  <c:v>3059.2749624420694</c:v>
                </c:pt>
                <c:pt idx="78">
                  <c:v>3037.2295400126368</c:v>
                </c:pt>
                <c:pt idx="79">
                  <c:v>3015.3015032043168</c:v>
                </c:pt>
                <c:pt idx="80">
                  <c:v>2993.4884287916875</c:v>
                </c:pt>
                <c:pt idx="81">
                  <c:v>2971.7880054045681</c:v>
                </c:pt>
                <c:pt idx="82">
                  <c:v>2950.1980272166893</c:v>
                </c:pt>
                <c:pt idx="83">
                  <c:v>2928.7163880726475</c:v>
                </c:pt>
                <c:pt idx="84">
                  <c:v>2907.3410760176739</c:v>
                </c:pt>
                <c:pt idx="85">
                  <c:v>2886.0701681979695</c:v>
                </c:pt>
                <c:pt idx="86">
                  <c:v>2864.9018261023475</c:v>
                </c:pt>
                <c:pt idx="87">
                  <c:v>2843.8342911185218</c:v>
                </c:pt>
                <c:pt idx="88">
                  <c:v>2822.865880379718</c:v>
                </c:pt>
                <c:pt idx="89">
                  <c:v>2801.9949828795015</c:v>
                </c:pt>
                <c:pt idx="90">
                  <c:v>2781.2200558345294</c:v>
                </c:pt>
                <c:pt idx="91">
                  <c:v>2760.5396212767741</c:v>
                </c:pt>
                <c:pt idx="92">
                  <c:v>2739.9522628582577</c:v>
                </c:pt>
                <c:pt idx="93">
                  <c:v>2719.4566228528092</c:v>
                </c:pt>
                <c:pt idx="94">
                  <c:v>2699.0513993406203</c:v>
                </c:pt>
                <c:pt idx="95">
                  <c:v>3060.656277745622</c:v>
                </c:pt>
                <c:pt idx="96">
                  <c:v>2658.5072574321221</c:v>
                </c:pt>
                <c:pt idx="97">
                  <c:v>2638.3659911944424</c:v>
                </c:pt>
                <c:pt idx="98">
                  <c:v>2618.3104412214352</c:v>
                </c:pt>
                <c:pt idx="99">
                  <c:v>2598.3395479345263</c:v>
                </c:pt>
                <c:pt idx="100">
                  <c:v>2578.4522938458495</c:v>
                </c:pt>
                <c:pt idx="101">
                  <c:v>2558.6477017101529</c:v>
                </c:pt>
                <c:pt idx="102">
                  <c:v>2538.9248327800124</c:v>
                </c:pt>
                <c:pt idx="103">
                  <c:v>2519.2827851575839</c:v>
                </c:pt>
                <c:pt idx="104">
                  <c:v>2499.7206922366117</c:v>
                </c:pt>
                <c:pt idx="105">
                  <c:v>2480.2377212288675</c:v>
                </c:pt>
                <c:pt idx="106">
                  <c:v>2460.8330717696672</c:v>
                </c:pt>
                <c:pt idx="107">
                  <c:v>2441.5059745974077</c:v>
                </c:pt>
                <c:pt idx="108">
                  <c:v>2422.2556903025793</c:v>
                </c:pt>
                <c:pt idx="109">
                  <c:v>2403.0815081418577</c:v>
                </c:pt>
                <c:pt idx="110">
                  <c:v>2383.9827449133491</c:v>
                </c:pt>
                <c:pt idx="111">
                  <c:v>2364.9587438892358</c:v>
                </c:pt>
                <c:pt idx="112">
                  <c:v>2346.0088738023605</c:v>
                </c:pt>
                <c:pt idx="113">
                  <c:v>2327.1325278835602</c:v>
                </c:pt>
                <c:pt idx="114">
                  <c:v>2308.3291229467004</c:v>
                </c:pt>
                <c:pt idx="115">
                  <c:v>2289.5980985186602</c:v>
                </c:pt>
                <c:pt idx="116">
                  <c:v>2270.9389160116166</c:v>
                </c:pt>
                <c:pt idx="117">
                  <c:v>2252.351057935221</c:v>
                </c:pt>
                <c:pt idx="118">
                  <c:v>2233.8340271463776</c:v>
                </c:pt>
                <c:pt idx="119">
                  <c:v>2215.3873461344856</c:v>
                </c:pt>
                <c:pt idx="120">
                  <c:v>2197.0105563401867</c:v>
                </c:pt>
                <c:pt idx="121">
                  <c:v>2178.703217505717</c:v>
                </c:pt>
                <c:pt idx="122">
                  <c:v>2160.464907055145</c:v>
                </c:pt>
                <c:pt idx="123">
                  <c:v>2142.295219502857</c:v>
                </c:pt>
                <c:pt idx="124">
                  <c:v>2124.1937658887496</c:v>
                </c:pt>
                <c:pt idx="125">
                  <c:v>2106.1601732387071</c:v>
                </c:pt>
                <c:pt idx="126">
                  <c:v>2088.1940840489956</c:v>
                </c:pt>
                <c:pt idx="127">
                  <c:v>2070.2951557933279</c:v>
                </c:pt>
                <c:pt idx="128">
                  <c:v>2052.4630604514077</c:v>
                </c:pt>
                <c:pt idx="129">
                  <c:v>2034.6974840578098</c:v>
                </c:pt>
                <c:pt idx="130">
                  <c:v>2016.9981262701792</c:v>
                </c:pt>
                <c:pt idx="131">
                  <c:v>1999.3646999557541</c:v>
                </c:pt>
                <c:pt idx="132">
                  <c:v>1981.7969307952424</c:v>
                </c:pt>
                <c:pt idx="133">
                  <c:v>1964.2945569032449</c:v>
                </c:pt>
                <c:pt idx="134">
                  <c:v>1946.8573284643217</c:v>
                </c:pt>
                <c:pt idx="135">
                  <c:v>1929.4850073839925</c:v>
                </c:pt>
                <c:pt idx="136">
                  <c:v>1912.1773669538811</c:v>
                </c:pt>
                <c:pt idx="137">
                  <c:v>1894.9341915303494</c:v>
                </c:pt>
                <c:pt idx="138">
                  <c:v>1877.7552762259459</c:v>
                </c:pt>
                <c:pt idx="139">
                  <c:v>1860.6404266130417</c:v>
                </c:pt>
                <c:pt idx="140">
                  <c:v>1843.5894584391242</c:v>
                </c:pt>
                <c:pt idx="141">
                  <c:v>1826.6021973531049</c:v>
                </c:pt>
                <c:pt idx="142">
                  <c:v>1809.6784786422093</c:v>
                </c:pt>
                <c:pt idx="143">
                  <c:v>1792.8181469789004</c:v>
                </c:pt>
                <c:pt idx="144">
                  <c:v>1776.0210561773833</c:v>
                </c:pt>
                <c:pt idx="145">
                  <c:v>1759.2870689592603</c:v>
                </c:pt>
                <c:pt idx="146">
                  <c:v>1742.6160567278889</c:v>
                </c:pt>
                <c:pt idx="147">
                  <c:v>1726.0078993510822</c:v>
                </c:pt>
                <c:pt idx="148">
                  <c:v>1709.4624849517354</c:v>
                </c:pt>
                <c:pt idx="149">
                  <c:v>1692.9797097060568</c:v>
                </c:pt>
                <c:pt idx="150">
                  <c:v>1676.5594776490389</c:v>
                </c:pt>
                <c:pt idx="151">
                  <c:v>1660.2017004868596</c:v>
                </c:pt>
                <c:pt idx="152">
                  <c:v>1643.9062974159028</c:v>
                </c:pt>
                <c:pt idx="153">
                  <c:v>1627.6731949481195</c:v>
                </c:pt>
                <c:pt idx="154">
                  <c:v>1611.5023267424353</c:v>
                </c:pt>
                <c:pt idx="155">
                  <c:v>1595.3936334419532</c:v>
                </c:pt>
                <c:pt idx="156">
                  <c:v>1579.3470625167038</c:v>
                </c:pt>
                <c:pt idx="157">
                  <c:v>1563.3625681117014</c:v>
                </c:pt>
                <c:pt idx="158">
                  <c:v>1547.4401109000846</c:v>
                </c:pt>
                <c:pt idx="159">
                  <c:v>1531.5796579411128</c:v>
                </c:pt>
                <c:pt idx="160">
                  <c:v>1515.7811825428371</c:v>
                </c:pt>
                <c:pt idx="161">
                  <c:v>1500.0446641292367</c:v>
                </c:pt>
                <c:pt idx="162">
                  <c:v>1484.3700881116258</c:v>
                </c:pt>
                <c:pt idx="163">
                  <c:v>1468.7574457641763</c:v>
                </c:pt>
                <c:pt idx="164">
                  <c:v>1453.2067341033671</c:v>
                </c:pt>
                <c:pt idx="165">
                  <c:v>1437.7179557712184</c:v>
                </c:pt>
                <c:pt idx="166">
                  <c:v>1422.2911189221318</c:v>
                </c:pt>
                <c:pt idx="167">
                  <c:v>1406.9262371132215</c:v>
                </c:pt>
                <c:pt idx="168">
                  <c:v>1391.6233291979615</c:v>
                </c:pt>
                <c:pt idx="169">
                  <c:v>1376.382419223042</c:v>
                </c:pt>
                <c:pt idx="170">
                  <c:v>1361.2035363283032</c:v>
                </c:pt>
                <c:pt idx="171">
                  <c:v>1346.0867146496016</c:v>
                </c:pt>
                <c:pt idx="172">
                  <c:v>1331.0319932245243</c:v>
                </c:pt>
                <c:pt idx="173">
                  <c:v>1316.0394159008217</c:v>
                </c:pt>
                <c:pt idx="174">
                  <c:v>1301.1090312474439</c:v>
                </c:pt>
                <c:pt idx="175">
                  <c:v>1286.2408924681104</c:v>
                </c:pt>
                <c:pt idx="176">
                  <c:v>1271.4350573172619</c:v>
                </c:pt>
                <c:pt idx="177">
                  <c:v>1256.6915880183637</c:v>
                </c:pt>
                <c:pt idx="178">
                  <c:v>1242.0105511844165</c:v>
                </c:pt>
                <c:pt idx="179">
                  <c:v>1227.3920177406299</c:v>
                </c:pt>
                <c:pt idx="180">
                  <c:v>1212.8360628491357</c:v>
                </c:pt>
                <c:pt idx="181">
                  <c:v>1198.3427658357011</c:v>
                </c:pt>
                <c:pt idx="182">
                  <c:v>1183.9122101183493</c:v>
                </c:pt>
                <c:pt idx="183">
                  <c:v>1169.5444831377872</c:v>
                </c:pt>
                <c:pt idx="184">
                  <c:v>1155.2396762896437</c:v>
                </c:pt>
                <c:pt idx="185">
                  <c:v>1140.9978848583512</c:v>
                </c:pt>
                <c:pt idx="186">
                  <c:v>1126.8192079527048</c:v>
                </c:pt>
                <c:pt idx="187">
                  <c:v>1112.7037484429673</c:v>
                </c:pt>
                <c:pt idx="188">
                  <c:v>1098.6516128994845</c:v>
                </c:pt>
                <c:pt idx="189">
                  <c:v>1084.6629115327735</c:v>
                </c:pt>
                <c:pt idx="190">
                  <c:v>1070.737758134992</c:v>
                </c:pt>
                <c:pt idx="191">
                  <c:v>1056.8762700227574</c:v>
                </c:pt>
                <c:pt idx="192">
                  <c:v>1043.0785679812702</c:v>
                </c:pt>
                <c:pt idx="193">
                  <c:v>1029.3447762096782</c:v>
                </c:pt>
                <c:pt idx="194">
                  <c:v>1015.6750222676351</c:v>
                </c:pt>
                <c:pt idx="195">
                  <c:v>1002.0694370230304</c:v>
                </c:pt>
                <c:pt idx="196">
                  <c:v>988.52815460080524</c:v>
                </c:pt>
                <c:pt idx="197">
                  <c:v>975.05131233286704</c:v>
                </c:pt>
                <c:pt idx="198">
                  <c:v>961.63905070901126</c:v>
                </c:pt>
                <c:pt idx="199">
                  <c:v>948.29151332883271</c:v>
                </c:pt>
              </c:numCache>
            </c:numRef>
          </c:yVal>
          <c:smooth val="0"/>
          <c:extLst>
            <c:ext xmlns:c16="http://schemas.microsoft.com/office/drawing/2014/chart" uri="{C3380CC4-5D6E-409C-BE32-E72D297353CC}">
              <c16:uniqueId val="{00000000-BEFB-0742-9CF6-123541C36B64}"/>
            </c:ext>
          </c:extLst>
        </c:ser>
        <c:ser>
          <c:idx val="1"/>
          <c:order val="1"/>
          <c:tx>
            <c:v>Thrust Required</c:v>
          </c:tx>
          <c:spPr>
            <a:ln w="25400" cap="rnd">
              <a:solidFill>
                <a:schemeClr val="accent2"/>
              </a:solidFill>
              <a:round/>
            </a:ln>
            <a:effectLst/>
          </c:spPr>
          <c:marker>
            <c:symbol val="none"/>
          </c:marker>
          <c:xVal>
            <c:numRef>
              <c:f>Thrust!$D$162:$D$361</c:f>
              <c:numCache>
                <c:formatCode>General</c:formatCode>
                <c:ptCount val="200"/>
                <c:pt idx="0">
                  <c:v>3.3336950000000001</c:v>
                </c:pt>
                <c:pt idx="1">
                  <c:v>6.6673900000000001</c:v>
                </c:pt>
                <c:pt idx="2">
                  <c:v>10.001085</c:v>
                </c:pt>
                <c:pt idx="3">
                  <c:v>13.33478</c:v>
                </c:pt>
                <c:pt idx="4">
                  <c:v>16.668475000000001</c:v>
                </c:pt>
                <c:pt idx="5">
                  <c:v>20.00217</c:v>
                </c:pt>
                <c:pt idx="6">
                  <c:v>23.335865000000002</c:v>
                </c:pt>
                <c:pt idx="7">
                  <c:v>26.669560000000001</c:v>
                </c:pt>
                <c:pt idx="8">
                  <c:v>30.003254999999999</c:v>
                </c:pt>
                <c:pt idx="9">
                  <c:v>33.336950000000002</c:v>
                </c:pt>
                <c:pt idx="10">
                  <c:v>36.670645</c:v>
                </c:pt>
                <c:pt idx="11">
                  <c:v>40.004339999999999</c:v>
                </c:pt>
                <c:pt idx="12">
                  <c:v>43.338035000000005</c:v>
                </c:pt>
                <c:pt idx="13">
                  <c:v>46.671730000000004</c:v>
                </c:pt>
                <c:pt idx="14">
                  <c:v>50.005425000000002</c:v>
                </c:pt>
                <c:pt idx="15">
                  <c:v>53.339120000000001</c:v>
                </c:pt>
                <c:pt idx="16">
                  <c:v>56.672815000000007</c:v>
                </c:pt>
                <c:pt idx="17">
                  <c:v>60.006509999999999</c:v>
                </c:pt>
                <c:pt idx="18">
                  <c:v>63.340205000000005</c:v>
                </c:pt>
                <c:pt idx="19">
                  <c:v>66.673900000000003</c:v>
                </c:pt>
                <c:pt idx="20">
                  <c:v>70.007594999999995</c:v>
                </c:pt>
                <c:pt idx="21">
                  <c:v>73.341290000000001</c:v>
                </c:pt>
                <c:pt idx="22">
                  <c:v>76.674985000000007</c:v>
                </c:pt>
                <c:pt idx="23">
                  <c:v>80.008679999999998</c:v>
                </c:pt>
                <c:pt idx="24">
                  <c:v>83.342375000000004</c:v>
                </c:pt>
                <c:pt idx="25">
                  <c:v>86.67607000000001</c:v>
                </c:pt>
                <c:pt idx="26">
                  <c:v>90.009765000000016</c:v>
                </c:pt>
                <c:pt idx="27">
                  <c:v>93.343460000000007</c:v>
                </c:pt>
                <c:pt idx="28">
                  <c:v>96.677154999999999</c:v>
                </c:pt>
                <c:pt idx="29">
                  <c:v>100.01085</c:v>
                </c:pt>
                <c:pt idx="30">
                  <c:v>103.34454500000001</c:v>
                </c:pt>
                <c:pt idx="31">
                  <c:v>106.67824</c:v>
                </c:pt>
                <c:pt idx="32">
                  <c:v>110.01193500000001</c:v>
                </c:pt>
                <c:pt idx="33">
                  <c:v>113.34563000000001</c:v>
                </c:pt>
                <c:pt idx="34">
                  <c:v>116.67932499999999</c:v>
                </c:pt>
                <c:pt idx="35">
                  <c:v>120.01302</c:v>
                </c:pt>
                <c:pt idx="36">
                  <c:v>123.346715</c:v>
                </c:pt>
                <c:pt idx="37">
                  <c:v>126.68041000000001</c:v>
                </c:pt>
                <c:pt idx="38">
                  <c:v>130.014105</c:v>
                </c:pt>
                <c:pt idx="39">
                  <c:v>133.34780000000001</c:v>
                </c:pt>
                <c:pt idx="40">
                  <c:v>136.68149500000001</c:v>
                </c:pt>
                <c:pt idx="41">
                  <c:v>140.01518999999999</c:v>
                </c:pt>
                <c:pt idx="42">
                  <c:v>143.348885</c:v>
                </c:pt>
                <c:pt idx="43">
                  <c:v>146.68258</c:v>
                </c:pt>
                <c:pt idx="44">
                  <c:v>150.01627500000001</c:v>
                </c:pt>
                <c:pt idx="45">
                  <c:v>153.34997000000001</c:v>
                </c:pt>
                <c:pt idx="46">
                  <c:v>156.68366499999999</c:v>
                </c:pt>
                <c:pt idx="47">
                  <c:v>160.01736</c:v>
                </c:pt>
                <c:pt idx="48">
                  <c:v>163.351055</c:v>
                </c:pt>
                <c:pt idx="49">
                  <c:v>166.68475000000001</c:v>
                </c:pt>
                <c:pt idx="50">
                  <c:v>170.01844500000001</c:v>
                </c:pt>
                <c:pt idx="51">
                  <c:v>173.35214000000002</c:v>
                </c:pt>
                <c:pt idx="52">
                  <c:v>176.68583500000003</c:v>
                </c:pt>
                <c:pt idx="53">
                  <c:v>180.01953000000003</c:v>
                </c:pt>
                <c:pt idx="54">
                  <c:v>183.35322500000004</c:v>
                </c:pt>
                <c:pt idx="55">
                  <c:v>186.68692000000001</c:v>
                </c:pt>
                <c:pt idx="56">
                  <c:v>190.02061499999999</c:v>
                </c:pt>
                <c:pt idx="57">
                  <c:v>193.35431</c:v>
                </c:pt>
                <c:pt idx="58">
                  <c:v>196.688005</c:v>
                </c:pt>
                <c:pt idx="59">
                  <c:v>200.02170000000001</c:v>
                </c:pt>
                <c:pt idx="60">
                  <c:v>203.35539500000002</c:v>
                </c:pt>
                <c:pt idx="61">
                  <c:v>206.68909000000002</c:v>
                </c:pt>
                <c:pt idx="62">
                  <c:v>210.022785</c:v>
                </c:pt>
                <c:pt idx="63">
                  <c:v>213.35648</c:v>
                </c:pt>
                <c:pt idx="64">
                  <c:v>216.69017500000001</c:v>
                </c:pt>
                <c:pt idx="65">
                  <c:v>220.02387000000002</c:v>
                </c:pt>
                <c:pt idx="66">
                  <c:v>223.35756500000002</c:v>
                </c:pt>
                <c:pt idx="67">
                  <c:v>226.69126000000003</c:v>
                </c:pt>
                <c:pt idx="68">
                  <c:v>230.02495500000001</c:v>
                </c:pt>
                <c:pt idx="69">
                  <c:v>233.35864999999998</c:v>
                </c:pt>
                <c:pt idx="70">
                  <c:v>236.69234499999999</c:v>
                </c:pt>
                <c:pt idx="71">
                  <c:v>240.02603999999999</c:v>
                </c:pt>
                <c:pt idx="72">
                  <c:v>243.359735</c:v>
                </c:pt>
                <c:pt idx="73">
                  <c:v>246.69343000000001</c:v>
                </c:pt>
                <c:pt idx="74">
                  <c:v>250.02712500000001</c:v>
                </c:pt>
                <c:pt idx="75">
                  <c:v>253.36082000000002</c:v>
                </c:pt>
                <c:pt idx="76">
                  <c:v>256.69451500000002</c:v>
                </c:pt>
                <c:pt idx="77">
                  <c:v>260.02821</c:v>
                </c:pt>
                <c:pt idx="78">
                  <c:v>263.36190500000004</c:v>
                </c:pt>
                <c:pt idx="79">
                  <c:v>266.69560000000001</c:v>
                </c:pt>
                <c:pt idx="80">
                  <c:v>270.02929500000005</c:v>
                </c:pt>
                <c:pt idx="81">
                  <c:v>273.36299000000002</c:v>
                </c:pt>
                <c:pt idx="82">
                  <c:v>276.696685</c:v>
                </c:pt>
                <c:pt idx="83">
                  <c:v>280.03037999999998</c:v>
                </c:pt>
                <c:pt idx="84">
                  <c:v>283.36407500000001</c:v>
                </c:pt>
                <c:pt idx="85">
                  <c:v>286.69776999999999</c:v>
                </c:pt>
                <c:pt idx="86">
                  <c:v>290.03146500000003</c:v>
                </c:pt>
                <c:pt idx="87">
                  <c:v>293.36516</c:v>
                </c:pt>
                <c:pt idx="88">
                  <c:v>296.69885500000004</c:v>
                </c:pt>
                <c:pt idx="89">
                  <c:v>300.03255000000001</c:v>
                </c:pt>
                <c:pt idx="90">
                  <c:v>303.36624500000005</c:v>
                </c:pt>
                <c:pt idx="91">
                  <c:v>306.69994000000003</c:v>
                </c:pt>
                <c:pt idx="92">
                  <c:v>310.033635</c:v>
                </c:pt>
                <c:pt idx="93">
                  <c:v>313.36732999999998</c:v>
                </c:pt>
                <c:pt idx="94">
                  <c:v>316.70102500000002</c:v>
                </c:pt>
                <c:pt idx="95">
                  <c:v>320.03471999999999</c:v>
                </c:pt>
                <c:pt idx="96">
                  <c:v>323.36841500000003</c:v>
                </c:pt>
                <c:pt idx="97">
                  <c:v>326.70211</c:v>
                </c:pt>
                <c:pt idx="98">
                  <c:v>330.03580500000004</c:v>
                </c:pt>
                <c:pt idx="99">
                  <c:v>333.36950000000002</c:v>
                </c:pt>
                <c:pt idx="100">
                  <c:v>336.70319499999999</c:v>
                </c:pt>
                <c:pt idx="101">
                  <c:v>340.03689000000003</c:v>
                </c:pt>
                <c:pt idx="102">
                  <c:v>343.37058500000001</c:v>
                </c:pt>
                <c:pt idx="103">
                  <c:v>346.70428000000004</c:v>
                </c:pt>
                <c:pt idx="104">
                  <c:v>350.03797500000002</c:v>
                </c:pt>
                <c:pt idx="105">
                  <c:v>353.37167000000005</c:v>
                </c:pt>
                <c:pt idx="106">
                  <c:v>356.70536500000003</c:v>
                </c:pt>
                <c:pt idx="107">
                  <c:v>360.03906000000006</c:v>
                </c:pt>
                <c:pt idx="108">
                  <c:v>363.37275500000004</c:v>
                </c:pt>
                <c:pt idx="109">
                  <c:v>366.70645000000007</c:v>
                </c:pt>
                <c:pt idx="110">
                  <c:v>370.04014500000005</c:v>
                </c:pt>
                <c:pt idx="111">
                  <c:v>373.37384000000003</c:v>
                </c:pt>
                <c:pt idx="112">
                  <c:v>376.70753500000001</c:v>
                </c:pt>
                <c:pt idx="113">
                  <c:v>380.04122999999998</c:v>
                </c:pt>
                <c:pt idx="114">
                  <c:v>383.37492499999996</c:v>
                </c:pt>
                <c:pt idx="115">
                  <c:v>386.70862</c:v>
                </c:pt>
                <c:pt idx="116">
                  <c:v>390.04231499999997</c:v>
                </c:pt>
                <c:pt idx="117">
                  <c:v>393.37601000000001</c:v>
                </c:pt>
                <c:pt idx="118">
                  <c:v>396.70970499999999</c:v>
                </c:pt>
                <c:pt idx="119">
                  <c:v>400.04340000000002</c:v>
                </c:pt>
                <c:pt idx="120">
                  <c:v>403.377095</c:v>
                </c:pt>
                <c:pt idx="121">
                  <c:v>406.71079000000003</c:v>
                </c:pt>
                <c:pt idx="122">
                  <c:v>410.04448500000001</c:v>
                </c:pt>
                <c:pt idx="123">
                  <c:v>413.37818000000004</c:v>
                </c:pt>
                <c:pt idx="124">
                  <c:v>416.71187500000002</c:v>
                </c:pt>
                <c:pt idx="125">
                  <c:v>420.04557</c:v>
                </c:pt>
                <c:pt idx="126">
                  <c:v>423.37926500000003</c:v>
                </c:pt>
                <c:pt idx="127">
                  <c:v>426.71296000000001</c:v>
                </c:pt>
                <c:pt idx="128">
                  <c:v>430.04665500000004</c:v>
                </c:pt>
                <c:pt idx="129">
                  <c:v>433.38035000000002</c:v>
                </c:pt>
                <c:pt idx="130">
                  <c:v>436.71404500000006</c:v>
                </c:pt>
                <c:pt idx="131">
                  <c:v>440.04774000000003</c:v>
                </c:pt>
                <c:pt idx="132">
                  <c:v>443.38143500000007</c:v>
                </c:pt>
                <c:pt idx="133">
                  <c:v>446.71513000000004</c:v>
                </c:pt>
                <c:pt idx="134">
                  <c:v>450.04882500000008</c:v>
                </c:pt>
                <c:pt idx="135">
                  <c:v>453.38252000000006</c:v>
                </c:pt>
                <c:pt idx="136">
                  <c:v>456.71621500000003</c:v>
                </c:pt>
                <c:pt idx="137">
                  <c:v>460.04991000000001</c:v>
                </c:pt>
                <c:pt idx="138">
                  <c:v>463.38360499999999</c:v>
                </c:pt>
                <c:pt idx="139">
                  <c:v>466.71729999999997</c:v>
                </c:pt>
                <c:pt idx="140">
                  <c:v>470.050995</c:v>
                </c:pt>
                <c:pt idx="141">
                  <c:v>473.38468999999998</c:v>
                </c:pt>
                <c:pt idx="142">
                  <c:v>476.71838500000001</c:v>
                </c:pt>
                <c:pt idx="143">
                  <c:v>480.05207999999999</c:v>
                </c:pt>
                <c:pt idx="144">
                  <c:v>483.38577500000002</c:v>
                </c:pt>
                <c:pt idx="145">
                  <c:v>486.71947</c:v>
                </c:pt>
                <c:pt idx="146">
                  <c:v>490.05316500000004</c:v>
                </c:pt>
                <c:pt idx="147">
                  <c:v>493.38686000000001</c:v>
                </c:pt>
                <c:pt idx="148">
                  <c:v>496.72055500000005</c:v>
                </c:pt>
                <c:pt idx="149">
                  <c:v>500.05425000000002</c:v>
                </c:pt>
                <c:pt idx="150">
                  <c:v>503.387945</c:v>
                </c:pt>
                <c:pt idx="151">
                  <c:v>506.72164000000004</c:v>
                </c:pt>
                <c:pt idx="152">
                  <c:v>510.05533500000001</c:v>
                </c:pt>
                <c:pt idx="153">
                  <c:v>513.38903000000005</c:v>
                </c:pt>
                <c:pt idx="154">
                  <c:v>516.72272500000008</c:v>
                </c:pt>
                <c:pt idx="155">
                  <c:v>520.05642</c:v>
                </c:pt>
                <c:pt idx="156">
                  <c:v>523.39011500000004</c:v>
                </c:pt>
                <c:pt idx="157">
                  <c:v>526.72381000000007</c:v>
                </c:pt>
                <c:pt idx="158">
                  <c:v>530.05750500000011</c:v>
                </c:pt>
                <c:pt idx="159">
                  <c:v>533.39120000000003</c:v>
                </c:pt>
                <c:pt idx="160">
                  <c:v>536.72489500000006</c:v>
                </c:pt>
                <c:pt idx="161">
                  <c:v>540.05859000000009</c:v>
                </c:pt>
                <c:pt idx="162">
                  <c:v>543.39228500000002</c:v>
                </c:pt>
                <c:pt idx="163">
                  <c:v>546.72598000000005</c:v>
                </c:pt>
                <c:pt idx="164">
                  <c:v>550.05967499999997</c:v>
                </c:pt>
                <c:pt idx="165">
                  <c:v>553.39337</c:v>
                </c:pt>
                <c:pt idx="166">
                  <c:v>556.72706500000004</c:v>
                </c:pt>
                <c:pt idx="167">
                  <c:v>560.06075999999996</c:v>
                </c:pt>
                <c:pt idx="168">
                  <c:v>563.39445499999999</c:v>
                </c:pt>
                <c:pt idx="169">
                  <c:v>566.72815000000003</c:v>
                </c:pt>
                <c:pt idx="170">
                  <c:v>570.06184500000006</c:v>
                </c:pt>
                <c:pt idx="171">
                  <c:v>573.39553999999998</c:v>
                </c:pt>
                <c:pt idx="172">
                  <c:v>576.72923500000002</c:v>
                </c:pt>
                <c:pt idx="173">
                  <c:v>580.06293000000005</c:v>
                </c:pt>
                <c:pt idx="174">
                  <c:v>583.39662500000009</c:v>
                </c:pt>
                <c:pt idx="175">
                  <c:v>586.73032000000001</c:v>
                </c:pt>
                <c:pt idx="176">
                  <c:v>590.06401500000004</c:v>
                </c:pt>
                <c:pt idx="177">
                  <c:v>593.39771000000007</c:v>
                </c:pt>
                <c:pt idx="178">
                  <c:v>596.731405</c:v>
                </c:pt>
                <c:pt idx="179">
                  <c:v>600.06510000000003</c:v>
                </c:pt>
                <c:pt idx="180">
                  <c:v>603.39879500000006</c:v>
                </c:pt>
                <c:pt idx="181">
                  <c:v>606.7324900000001</c:v>
                </c:pt>
                <c:pt idx="182">
                  <c:v>610.06618500000002</c:v>
                </c:pt>
                <c:pt idx="183">
                  <c:v>613.39988000000005</c:v>
                </c:pt>
                <c:pt idx="184">
                  <c:v>616.73357500000009</c:v>
                </c:pt>
                <c:pt idx="185">
                  <c:v>620.06727000000001</c:v>
                </c:pt>
                <c:pt idx="186">
                  <c:v>623.40096500000004</c:v>
                </c:pt>
                <c:pt idx="187">
                  <c:v>626.73465999999996</c:v>
                </c:pt>
                <c:pt idx="188">
                  <c:v>630.068355</c:v>
                </c:pt>
                <c:pt idx="189">
                  <c:v>633.40205000000003</c:v>
                </c:pt>
                <c:pt idx="190">
                  <c:v>636.73574499999995</c:v>
                </c:pt>
                <c:pt idx="191">
                  <c:v>640.06943999999999</c:v>
                </c:pt>
                <c:pt idx="192">
                  <c:v>643.40313500000002</c:v>
                </c:pt>
                <c:pt idx="193">
                  <c:v>646.73683000000005</c:v>
                </c:pt>
                <c:pt idx="194">
                  <c:v>650.07052499999998</c:v>
                </c:pt>
                <c:pt idx="195">
                  <c:v>653.40422000000001</c:v>
                </c:pt>
                <c:pt idx="196">
                  <c:v>656.73791500000004</c:v>
                </c:pt>
                <c:pt idx="197">
                  <c:v>660.07161000000008</c:v>
                </c:pt>
                <c:pt idx="198">
                  <c:v>663.405305</c:v>
                </c:pt>
                <c:pt idx="199">
                  <c:v>666.73900000000003</c:v>
                </c:pt>
              </c:numCache>
            </c:numRef>
          </c:xVal>
          <c:yVal>
            <c:numRef>
              <c:f>Thrust!$O$162:$O$361</c:f>
              <c:numCache>
                <c:formatCode>0.00</c:formatCode>
                <c:ptCount val="200"/>
                <c:pt idx="0">
                  <c:v>0.2111373574839388</c:v>
                </c:pt>
                <c:pt idx="1">
                  <c:v>0.84454942993575521</c:v>
                </c:pt>
                <c:pt idx="2">
                  <c:v>1.900236217355449</c:v>
                </c:pt>
                <c:pt idx="3">
                  <c:v>3.3781977197430209</c:v>
                </c:pt>
                <c:pt idx="4">
                  <c:v>5.2784339370984696</c:v>
                </c:pt>
                <c:pt idx="5">
                  <c:v>7.600944869421796</c:v>
                </c:pt>
                <c:pt idx="6">
                  <c:v>10.345730516713004</c:v>
                </c:pt>
                <c:pt idx="7">
                  <c:v>13.512790878972083</c:v>
                </c:pt>
                <c:pt idx="8">
                  <c:v>17.102125956199039</c:v>
                </c:pt>
                <c:pt idx="9">
                  <c:v>21.113735748393879</c:v>
                </c:pt>
                <c:pt idx="10">
                  <c:v>25.547620255556595</c:v>
                </c:pt>
                <c:pt idx="11">
                  <c:v>30.403779477687184</c:v>
                </c:pt>
                <c:pt idx="12">
                  <c:v>35.682213414785657</c:v>
                </c:pt>
                <c:pt idx="13">
                  <c:v>41.382922066852018</c:v>
                </c:pt>
                <c:pt idx="14">
                  <c:v>47.505905433886234</c:v>
                </c:pt>
                <c:pt idx="15">
                  <c:v>54.051163515888334</c:v>
                </c:pt>
                <c:pt idx="16">
                  <c:v>61.018696312858317</c:v>
                </c:pt>
                <c:pt idx="17">
                  <c:v>68.408503824796156</c:v>
                </c:pt>
                <c:pt idx="18">
                  <c:v>76.220586051701915</c:v>
                </c:pt>
                <c:pt idx="19">
                  <c:v>84.454942993575514</c:v>
                </c:pt>
                <c:pt idx="20">
                  <c:v>93.111574650416998</c:v>
                </c:pt>
                <c:pt idx="21">
                  <c:v>102.19048102222638</c:v>
                </c:pt>
                <c:pt idx="22">
                  <c:v>111.69166210900363</c:v>
                </c:pt>
                <c:pt idx="23">
                  <c:v>121.61511791074874</c:v>
                </c:pt>
                <c:pt idx="24">
                  <c:v>131.96084842746177</c:v>
                </c:pt>
                <c:pt idx="25">
                  <c:v>142.72885365914263</c:v>
                </c:pt>
                <c:pt idx="26">
                  <c:v>153.91913360579142</c:v>
                </c:pt>
                <c:pt idx="27">
                  <c:v>165.53168826740807</c:v>
                </c:pt>
                <c:pt idx="28">
                  <c:v>177.56651764399251</c:v>
                </c:pt>
                <c:pt idx="29">
                  <c:v>190.02362173554494</c:v>
                </c:pt>
                <c:pt idx="30">
                  <c:v>202.9030005420652</c:v>
                </c:pt>
                <c:pt idx="31">
                  <c:v>216.20465406355333</c:v>
                </c:pt>
                <c:pt idx="32">
                  <c:v>229.92858230000937</c:v>
                </c:pt>
                <c:pt idx="33">
                  <c:v>244.07478525143327</c:v>
                </c:pt>
                <c:pt idx="34">
                  <c:v>258.64326291782493</c:v>
                </c:pt>
                <c:pt idx="35">
                  <c:v>273.63401529918463</c:v>
                </c:pt>
                <c:pt idx="36">
                  <c:v>289.04704239551216</c:v>
                </c:pt>
                <c:pt idx="37">
                  <c:v>304.88234420680766</c:v>
                </c:pt>
                <c:pt idx="38">
                  <c:v>321.13992073307094</c:v>
                </c:pt>
                <c:pt idx="39">
                  <c:v>337.81977197430206</c:v>
                </c:pt>
                <c:pt idx="40">
                  <c:v>354.92189793050119</c:v>
                </c:pt>
                <c:pt idx="41">
                  <c:v>372.44629860166799</c:v>
                </c:pt>
                <c:pt idx="42">
                  <c:v>390.3929739878028</c:v>
                </c:pt>
                <c:pt idx="43">
                  <c:v>408.76192408890552</c:v>
                </c:pt>
                <c:pt idx="44">
                  <c:v>427.55314890497607</c:v>
                </c:pt>
                <c:pt idx="45">
                  <c:v>446.76664843601452</c:v>
                </c:pt>
                <c:pt idx="46">
                  <c:v>466.4024226820207</c:v>
                </c:pt>
                <c:pt idx="47">
                  <c:v>486.46047164299495</c:v>
                </c:pt>
                <c:pt idx="48">
                  <c:v>506.94079531893698</c:v>
                </c:pt>
                <c:pt idx="49">
                  <c:v>527.84339370984708</c:v>
                </c:pt>
                <c:pt idx="50">
                  <c:v>549.16826681572491</c:v>
                </c:pt>
                <c:pt idx="51">
                  <c:v>570.91541463657052</c:v>
                </c:pt>
                <c:pt idx="52">
                  <c:v>593.08483717238437</c:v>
                </c:pt>
                <c:pt idx="53">
                  <c:v>615.67653442316566</c:v>
                </c:pt>
                <c:pt idx="54">
                  <c:v>638.69050638891508</c:v>
                </c:pt>
                <c:pt idx="55">
                  <c:v>662.12675306963229</c:v>
                </c:pt>
                <c:pt idx="56">
                  <c:v>685.98527446531705</c:v>
                </c:pt>
                <c:pt idx="57">
                  <c:v>710.26607057597005</c:v>
                </c:pt>
                <c:pt idx="58">
                  <c:v>734.96914140159106</c:v>
                </c:pt>
                <c:pt idx="59">
                  <c:v>760.09448694217974</c:v>
                </c:pt>
                <c:pt idx="60">
                  <c:v>785.64210719773632</c:v>
                </c:pt>
                <c:pt idx="61">
                  <c:v>811.6120021682608</c:v>
                </c:pt>
                <c:pt idx="62">
                  <c:v>838.00417185375318</c:v>
                </c:pt>
                <c:pt idx="63">
                  <c:v>864.81861625421334</c:v>
                </c:pt>
                <c:pt idx="64">
                  <c:v>892.05533536964128</c:v>
                </c:pt>
                <c:pt idx="65">
                  <c:v>919.71432920003747</c:v>
                </c:pt>
                <c:pt idx="66">
                  <c:v>947.79559774540121</c:v>
                </c:pt>
                <c:pt idx="67">
                  <c:v>976.29914100573308</c:v>
                </c:pt>
                <c:pt idx="68">
                  <c:v>1005.2249589810327</c:v>
                </c:pt>
                <c:pt idx="69">
                  <c:v>1034.5730516712997</c:v>
                </c:pt>
                <c:pt idx="70">
                  <c:v>1064.3434190765352</c:v>
                </c:pt>
                <c:pt idx="71">
                  <c:v>1094.5360611967385</c:v>
                </c:pt>
                <c:pt idx="72">
                  <c:v>1125.1509780319097</c:v>
                </c:pt>
                <c:pt idx="73">
                  <c:v>1156.1881695820487</c:v>
                </c:pt>
                <c:pt idx="74">
                  <c:v>1187.6476358471559</c:v>
                </c:pt>
                <c:pt idx="75">
                  <c:v>1219.5293768272306</c:v>
                </c:pt>
                <c:pt idx="76">
                  <c:v>1251.8333925222732</c:v>
                </c:pt>
                <c:pt idx="77">
                  <c:v>1284.5596829322837</c:v>
                </c:pt>
                <c:pt idx="78">
                  <c:v>1317.7082480572624</c:v>
                </c:pt>
                <c:pt idx="79">
                  <c:v>1351.2790878972082</c:v>
                </c:pt>
                <c:pt idx="80">
                  <c:v>1385.2722024521229</c:v>
                </c:pt>
                <c:pt idx="81">
                  <c:v>1419.6875917220048</c:v>
                </c:pt>
                <c:pt idx="82">
                  <c:v>1454.5252557068543</c:v>
                </c:pt>
                <c:pt idx="83">
                  <c:v>1489.785194406672</c:v>
                </c:pt>
                <c:pt idx="84">
                  <c:v>1525.467407821458</c:v>
                </c:pt>
                <c:pt idx="85">
                  <c:v>1561.5718959512112</c:v>
                </c:pt>
                <c:pt idx="86">
                  <c:v>1598.0986587959328</c:v>
                </c:pt>
                <c:pt idx="87">
                  <c:v>1635.0476963556221</c:v>
                </c:pt>
                <c:pt idx="88">
                  <c:v>1672.4190086302797</c:v>
                </c:pt>
                <c:pt idx="89">
                  <c:v>1710.2125956199043</c:v>
                </c:pt>
                <c:pt idx="90">
                  <c:v>1748.4284573244975</c:v>
                </c:pt>
                <c:pt idx="91">
                  <c:v>1787.0665937440581</c:v>
                </c:pt>
                <c:pt idx="92">
                  <c:v>1826.1270048785864</c:v>
                </c:pt>
                <c:pt idx="93">
                  <c:v>1865.6096907280828</c:v>
                </c:pt>
                <c:pt idx="94">
                  <c:v>1905.5146512925471</c:v>
                </c:pt>
                <c:pt idx="95">
                  <c:v>1945.8418865719798</c:v>
                </c:pt>
                <c:pt idx="96">
                  <c:v>1986.5913965663806</c:v>
                </c:pt>
                <c:pt idx="97">
                  <c:v>2027.7631812757479</c:v>
                </c:pt>
                <c:pt idx="98">
                  <c:v>2069.3572407000847</c:v>
                </c:pt>
                <c:pt idx="99">
                  <c:v>2111.3735748393883</c:v>
                </c:pt>
                <c:pt idx="100">
                  <c:v>2153.8121836936589</c:v>
                </c:pt>
                <c:pt idx="101">
                  <c:v>2196.6730672628996</c:v>
                </c:pt>
                <c:pt idx="102">
                  <c:v>2239.9562255471069</c:v>
                </c:pt>
                <c:pt idx="103">
                  <c:v>2283.6616585462821</c:v>
                </c:pt>
                <c:pt idx="104">
                  <c:v>2327.7893662604251</c:v>
                </c:pt>
                <c:pt idx="105">
                  <c:v>2372.3393486895375</c:v>
                </c:pt>
                <c:pt idx="106">
                  <c:v>2417.3116058336154</c:v>
                </c:pt>
                <c:pt idx="107">
                  <c:v>2462.7061376926627</c:v>
                </c:pt>
                <c:pt idx="108">
                  <c:v>2508.5229442666778</c:v>
                </c:pt>
                <c:pt idx="109">
                  <c:v>2554.7620255556603</c:v>
                </c:pt>
                <c:pt idx="110">
                  <c:v>2601.4233815596103</c:v>
                </c:pt>
                <c:pt idx="111">
                  <c:v>2648.5070122785291</c:v>
                </c:pt>
                <c:pt idx="112">
                  <c:v>2696.012917712414</c:v>
                </c:pt>
                <c:pt idx="113">
                  <c:v>2743.9410978612682</c:v>
                </c:pt>
                <c:pt idx="114">
                  <c:v>2792.2915527250902</c:v>
                </c:pt>
                <c:pt idx="115">
                  <c:v>2841.0642823038802</c:v>
                </c:pt>
                <c:pt idx="116">
                  <c:v>2890.2592865976376</c:v>
                </c:pt>
                <c:pt idx="117">
                  <c:v>2939.8765656063642</c:v>
                </c:pt>
                <c:pt idx="118">
                  <c:v>2989.9161193300565</c:v>
                </c:pt>
                <c:pt idx="119">
                  <c:v>3040.377947768719</c:v>
                </c:pt>
                <c:pt idx="120">
                  <c:v>3091.2620509223484</c:v>
                </c:pt>
                <c:pt idx="121">
                  <c:v>3142.5684287909453</c:v>
                </c:pt>
                <c:pt idx="122">
                  <c:v>3194.2970813745101</c:v>
                </c:pt>
                <c:pt idx="123">
                  <c:v>3246.4480086730432</c:v>
                </c:pt>
                <c:pt idx="124">
                  <c:v>3299.0212106865438</c:v>
                </c:pt>
                <c:pt idx="125">
                  <c:v>3352.0166874150127</c:v>
                </c:pt>
                <c:pt idx="126">
                  <c:v>3405.4344388584486</c:v>
                </c:pt>
                <c:pt idx="127">
                  <c:v>3459.2744650168534</c:v>
                </c:pt>
                <c:pt idx="128">
                  <c:v>3513.5367658902264</c:v>
                </c:pt>
                <c:pt idx="129">
                  <c:v>3568.2213414785651</c:v>
                </c:pt>
                <c:pt idx="130">
                  <c:v>3623.3281917818745</c:v>
                </c:pt>
                <c:pt idx="131">
                  <c:v>3678.8573168001499</c:v>
                </c:pt>
                <c:pt idx="132">
                  <c:v>3734.8087165333941</c:v>
                </c:pt>
                <c:pt idx="133">
                  <c:v>3791.1823909816048</c:v>
                </c:pt>
                <c:pt idx="134">
                  <c:v>3847.9783401447858</c:v>
                </c:pt>
                <c:pt idx="135">
                  <c:v>3905.1965640229323</c:v>
                </c:pt>
                <c:pt idx="136">
                  <c:v>3962.8370626160481</c:v>
                </c:pt>
                <c:pt idx="137">
                  <c:v>4020.8998359241309</c:v>
                </c:pt>
                <c:pt idx="138">
                  <c:v>4079.3848839471807</c:v>
                </c:pt>
                <c:pt idx="139">
                  <c:v>4138.2922066851988</c:v>
                </c:pt>
                <c:pt idx="140">
                  <c:v>4197.6218041381881</c:v>
                </c:pt>
                <c:pt idx="141">
                  <c:v>4257.3736763061406</c:v>
                </c:pt>
                <c:pt idx="142">
                  <c:v>4317.5478231890647</c:v>
                </c:pt>
                <c:pt idx="143">
                  <c:v>4378.144244786954</c:v>
                </c:pt>
                <c:pt idx="144">
                  <c:v>4439.162941099813</c:v>
                </c:pt>
                <c:pt idx="145">
                  <c:v>4500.603912127639</c:v>
                </c:pt>
                <c:pt idx="146">
                  <c:v>4562.4671578704347</c:v>
                </c:pt>
                <c:pt idx="147">
                  <c:v>4624.7526783281946</c:v>
                </c:pt>
                <c:pt idx="148">
                  <c:v>4687.4604735009261</c:v>
                </c:pt>
                <c:pt idx="149">
                  <c:v>4750.5905433886237</c:v>
                </c:pt>
                <c:pt idx="150">
                  <c:v>4814.1428879912883</c:v>
                </c:pt>
                <c:pt idx="151">
                  <c:v>4878.1175073089225</c:v>
                </c:pt>
                <c:pt idx="152">
                  <c:v>4942.5144013415247</c:v>
                </c:pt>
                <c:pt idx="153">
                  <c:v>5007.333570089093</c:v>
                </c:pt>
                <c:pt idx="154">
                  <c:v>5072.5750135516309</c:v>
                </c:pt>
                <c:pt idx="155">
                  <c:v>5138.238731729135</c:v>
                </c:pt>
                <c:pt idx="156">
                  <c:v>5204.3247246216069</c:v>
                </c:pt>
                <c:pt idx="157">
                  <c:v>5270.8329922290495</c:v>
                </c:pt>
                <c:pt idx="158">
                  <c:v>5337.7635345514582</c:v>
                </c:pt>
                <c:pt idx="159">
                  <c:v>5405.1163515888329</c:v>
                </c:pt>
                <c:pt idx="160">
                  <c:v>5472.8914433411792</c:v>
                </c:pt>
                <c:pt idx="161">
                  <c:v>5541.0888098084915</c:v>
                </c:pt>
                <c:pt idx="162">
                  <c:v>5609.7084509907691</c:v>
                </c:pt>
                <c:pt idx="163">
                  <c:v>5678.750366888019</c:v>
                </c:pt>
                <c:pt idx="164">
                  <c:v>5748.2145575002323</c:v>
                </c:pt>
                <c:pt idx="165">
                  <c:v>5818.1010228274172</c:v>
                </c:pt>
                <c:pt idx="166">
                  <c:v>5888.4097628695699</c:v>
                </c:pt>
                <c:pt idx="167">
                  <c:v>5959.1407776266878</c:v>
                </c:pt>
                <c:pt idx="168">
                  <c:v>6030.2940670987755</c:v>
                </c:pt>
                <c:pt idx="169">
                  <c:v>6101.8696312858319</c:v>
                </c:pt>
                <c:pt idx="170">
                  <c:v>6173.8674701878554</c:v>
                </c:pt>
                <c:pt idx="171">
                  <c:v>6246.2875838048449</c:v>
                </c:pt>
                <c:pt idx="172">
                  <c:v>6319.1299721368041</c:v>
                </c:pt>
                <c:pt idx="173">
                  <c:v>6392.3946351837312</c:v>
                </c:pt>
                <c:pt idx="174">
                  <c:v>6466.0815729456272</c:v>
                </c:pt>
                <c:pt idx="175">
                  <c:v>6540.1907854224883</c:v>
                </c:pt>
                <c:pt idx="176">
                  <c:v>6614.7222726143191</c:v>
                </c:pt>
                <c:pt idx="177">
                  <c:v>6689.6760345211187</c:v>
                </c:pt>
                <c:pt idx="178">
                  <c:v>6765.0520711428826</c:v>
                </c:pt>
                <c:pt idx="179">
                  <c:v>6840.8503824796171</c:v>
                </c:pt>
                <c:pt idx="180">
                  <c:v>6917.0709685313195</c:v>
                </c:pt>
                <c:pt idx="181">
                  <c:v>6993.7138292979898</c:v>
                </c:pt>
                <c:pt idx="182">
                  <c:v>7070.7789647796262</c:v>
                </c:pt>
                <c:pt idx="183">
                  <c:v>7148.2663749762323</c:v>
                </c:pt>
                <c:pt idx="184">
                  <c:v>7226.1760598878072</c:v>
                </c:pt>
                <c:pt idx="185">
                  <c:v>7304.5080195143455</c:v>
                </c:pt>
                <c:pt idx="186">
                  <c:v>7383.262253855858</c:v>
                </c:pt>
                <c:pt idx="187">
                  <c:v>7462.4387629123312</c:v>
                </c:pt>
                <c:pt idx="188">
                  <c:v>7542.0375466837786</c:v>
                </c:pt>
                <c:pt idx="189">
                  <c:v>7622.0586051701885</c:v>
                </c:pt>
                <c:pt idx="190">
                  <c:v>7702.5019383715671</c:v>
                </c:pt>
                <c:pt idx="191">
                  <c:v>7783.3675462879191</c:v>
                </c:pt>
                <c:pt idx="192">
                  <c:v>7864.6554289192363</c:v>
                </c:pt>
                <c:pt idx="193">
                  <c:v>7946.3655862655223</c:v>
                </c:pt>
                <c:pt idx="194">
                  <c:v>8028.4980183267717</c:v>
                </c:pt>
                <c:pt idx="195">
                  <c:v>8111.0527251029916</c:v>
                </c:pt>
                <c:pt idx="196">
                  <c:v>8194.0297065941795</c:v>
                </c:pt>
                <c:pt idx="197">
                  <c:v>8277.4289628003389</c:v>
                </c:pt>
                <c:pt idx="198">
                  <c:v>8361.2504937214599</c:v>
                </c:pt>
                <c:pt idx="199">
                  <c:v>8445.4942993575532</c:v>
                </c:pt>
              </c:numCache>
            </c:numRef>
          </c:yVal>
          <c:smooth val="0"/>
          <c:extLst>
            <c:ext xmlns:c16="http://schemas.microsoft.com/office/drawing/2014/chart" uri="{C3380CC4-5D6E-409C-BE32-E72D297353CC}">
              <c16:uniqueId val="{00000001-BEFB-0742-9CF6-123541C36B64}"/>
            </c:ext>
          </c:extLst>
        </c:ser>
        <c:dLbls>
          <c:showLegendKey val="0"/>
          <c:showVal val="0"/>
          <c:showCatName val="0"/>
          <c:showSerName val="0"/>
          <c:showPercent val="0"/>
          <c:showBubbleSize val="0"/>
        </c:dLbls>
        <c:axId val="442163407"/>
        <c:axId val="513986927"/>
      </c:scatterChart>
      <c:valAx>
        <c:axId val="442163407"/>
        <c:scaling>
          <c:orientation val="minMax"/>
          <c:max val="65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 (KCAS)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986927"/>
        <c:crosses val="autoZero"/>
        <c:crossBetween val="midCat"/>
      </c:valAx>
      <c:valAx>
        <c:axId val="5139869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Thrust (lbf)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163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Corrected Drag at Cruise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CL/CD</c:v>
          </c:tx>
          <c:spPr>
            <a:ln w="19050" cap="rnd">
              <a:solidFill>
                <a:srgbClr val="0F9ED5"/>
              </a:solidFill>
              <a:prstDash val="solid"/>
              <a:round/>
            </a:ln>
            <a:effectLst/>
          </c:spPr>
          <c:marker>
            <c:symbol val="none"/>
          </c:marker>
          <c:xVal>
            <c:numRef>
              <c:f>'Performance Analysis'!$A$84:$A$319</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'Performance Analysis'!$M$84:$M$319</c:f>
              <c:numCache>
                <c:formatCode>0.00</c:formatCode>
                <c:ptCount val="236"/>
                <c:pt idx="0">
                  <c:v>8.7936704762042268</c:v>
                </c:pt>
                <c:pt idx="1">
                  <c:v>9.0590983387544881</c:v>
                </c:pt>
                <c:pt idx="2">
                  <c:v>9.327246552751788</c:v>
                </c:pt>
                <c:pt idx="3">
                  <c:v>9.5979784637335328</c:v>
                </c:pt>
                <c:pt idx="4">
                  <c:v>9.8711508332846947</c:v>
                </c:pt>
                <c:pt idx="5">
                  <c:v>10.146613836781244</c:v>
                </c:pt>
                <c:pt idx="6">
                  <c:v>10.424211083367871</c:v>
                </c:pt>
                <c:pt idx="7">
                  <c:v>10.703779659319045</c:v>
                </c:pt>
                <c:pt idx="8">
                  <c:v>10.985150195864119</c:v>
                </c:pt>
                <c:pt idx="9">
                  <c:v>11.268146962475615</c:v>
                </c:pt>
                <c:pt idx="10">
                  <c:v>11.552587986524175</c:v>
                </c:pt>
                <c:pt idx="11">
                  <c:v>11.838285200094344</c:v>
                </c:pt>
                <c:pt idx="12">
                  <c:v>12.125044614632278</c:v>
                </c:pt>
                <c:pt idx="13">
                  <c:v>12.412666523959432</c:v>
                </c:pt>
                <c:pt idx="14">
                  <c:v>12.700945736036552</c:v>
                </c:pt>
                <c:pt idx="15">
                  <c:v>12.989671833699427</c:v>
                </c:pt>
                <c:pt idx="16">
                  <c:v>13.278629464413585</c:v>
                </c:pt>
                <c:pt idx="17">
                  <c:v>13.567598658910081</c:v>
                </c:pt>
                <c:pt idx="18">
                  <c:v>13.85635517836953</c:v>
                </c:pt>
                <c:pt idx="19">
                  <c:v>14.144670889619096</c:v>
                </c:pt>
                <c:pt idx="20">
                  <c:v>14.432314167597731</c:v>
                </c:pt>
                <c:pt idx="21">
                  <c:v>14.719050324131281</c:v>
                </c:pt>
                <c:pt idx="22">
                  <c:v>15.004642061842738</c:v>
                </c:pt>
                <c:pt idx="23">
                  <c:v>15.288849951806068</c:v>
                </c:pt>
                <c:pt idx="24">
                  <c:v>15.571432933337507</c:v>
                </c:pt>
                <c:pt idx="25">
                  <c:v>15.85214883410741</c:v>
                </c:pt>
                <c:pt idx="26">
                  <c:v>16.130754908552515</c:v>
                </c:pt>
                <c:pt idx="27">
                  <c:v>16.407008392373992</c:v>
                </c:pt>
                <c:pt idx="28">
                  <c:v>16.680667070724546</c:v>
                </c:pt>
                <c:pt idx="29">
                  <c:v>16.951489857519849</c:v>
                </c:pt>
                <c:pt idx="30">
                  <c:v>17.219237383158582</c:v>
                </c:pt>
                <c:pt idx="31">
                  <c:v>17.483672587803422</c:v>
                </c:pt>
                <c:pt idx="32">
                  <c:v>17.74456131726458</c:v>
                </c:pt>
                <c:pt idx="33">
                  <c:v>18.001672918439866</c:v>
                </c:pt>
                <c:pt idx="34">
                  <c:v>18.254780831202638</c:v>
                </c:pt>
                <c:pt idx="35">
                  <c:v>18.503663173592141</c:v>
                </c:pt>
                <c:pt idx="36">
                  <c:v>18.748103317151514</c:v>
                </c:pt>
                <c:pt idx="37">
                  <c:v>18.987890449277224</c:v>
                </c:pt>
                <c:pt idx="38">
                  <c:v>19.22282011949051</c:v>
                </c:pt>
                <c:pt idx="39">
                  <c:v>19.452694766616531</c:v>
                </c:pt>
                <c:pt idx="40">
                  <c:v>19.677324223959793</c:v>
                </c:pt>
                <c:pt idx="41">
                  <c:v>19.896526199694446</c:v>
                </c:pt>
                <c:pt idx="42">
                  <c:v>20.110126729843856</c:v>
                </c:pt>
                <c:pt idx="43">
                  <c:v>20.317960601403989</c:v>
                </c:pt>
                <c:pt idx="44">
                  <c:v>20.519871743367755</c:v>
                </c:pt>
                <c:pt idx="45">
                  <c:v>20.715713583630155</c:v>
                </c:pt>
                <c:pt idx="46">
                  <c:v>20.905349369994823</c:v>
                </c:pt>
                <c:pt idx="47">
                  <c:v>21.088652453757991</c:v>
                </c:pt>
                <c:pt idx="48">
                  <c:v>21.265506534613561</c:v>
                </c:pt>
                <c:pt idx="49">
                  <c:v>21.435805865899997</c:v>
                </c:pt>
                <c:pt idx="50">
                  <c:v>21.599455419492198</c:v>
                </c:pt>
                <c:pt idx="51">
                  <c:v>21.756371009927083</c:v>
                </c:pt>
                <c:pt idx="52">
                  <c:v>21.906479377636565</c:v>
                </c:pt>
                <c:pt idx="53">
                  <c:v>22.04971823144303</c:v>
                </c:pt>
                <c:pt idx="54">
                  <c:v>22.186036250747222</c:v>
                </c:pt>
                <c:pt idx="55">
                  <c:v>22.315393048103903</c:v>
                </c:pt>
                <c:pt idx="56">
                  <c:v>22.437759093134027</c:v>
                </c:pt>
                <c:pt idx="57">
                  <c:v>22.553115598960705</c:v>
                </c:pt>
                <c:pt idx="58">
                  <c:v>22.661454372578884</c:v>
                </c:pt>
                <c:pt idx="59">
                  <c:v>22.762777630771684</c:v>
                </c:pt>
                <c:pt idx="60">
                  <c:v>22.857097783370289</c:v>
                </c:pt>
                <c:pt idx="61">
                  <c:v>22.94443718581628</c:v>
                </c:pt>
                <c:pt idx="62">
                  <c:v>23.02482786312514</c:v>
                </c:pt>
                <c:pt idx="63">
                  <c:v>23.098311207466896</c:v>
                </c:pt>
                <c:pt idx="64">
                  <c:v>23.164937651673672</c:v>
                </c:pt>
                <c:pt idx="65">
                  <c:v>23.224766321054844</c:v>
                </c:pt>
                <c:pt idx="66">
                  <c:v>23.277864665948581</c:v>
                </c:pt>
                <c:pt idx="67">
                  <c:v>23.324308077464636</c:v>
                </c:pt>
                <c:pt idx="68">
                  <c:v>23.364179488877628</c:v>
                </c:pt>
                <c:pt idx="69">
                  <c:v>23.39756896511479</c:v>
                </c:pt>
                <c:pt idx="70">
                  <c:v>23.424573282747247</c:v>
                </c:pt>
                <c:pt idx="71">
                  <c:v>23.445295502841805</c:v>
                </c:pt>
                <c:pt idx="72">
                  <c:v>23.459844538962066</c:v>
                </c:pt>
                <c:pt idx="73">
                  <c:v>23.468334722524691</c:v>
                </c:pt>
                <c:pt idx="74">
                  <c:v>23.470885367621477</c:v>
                </c:pt>
                <c:pt idx="75">
                  <c:v>23.467620337311292</c:v>
                </c:pt>
                <c:pt idx="76">
                  <c:v>23.458667613270283</c:v>
                </c:pt>
                <c:pt idx="77">
                  <c:v>23.444158870565506</c:v>
                </c:pt>
                <c:pt idx="78">
                  <c:v>23.424229059188004</c:v>
                </c:pt>
                <c:pt idx="79">
                  <c:v>23.399015993848174</c:v>
                </c:pt>
                <c:pt idx="80">
                  <c:v>23.368659953400094</c:v>
                </c:pt>
                <c:pt idx="81">
                  <c:v>23.333303291124583</c:v>
                </c:pt>
                <c:pt idx="82">
                  <c:v>23.293090056963386</c:v>
                </c:pt>
                <c:pt idx="83">
                  <c:v>23.248165632661667</c:v>
                </c:pt>
                <c:pt idx="84">
                  <c:v>23.198676380642496</c:v>
                </c:pt>
                <c:pt idx="85">
                  <c:v>23.144769307307698</c:v>
                </c:pt>
                <c:pt idx="86">
                  <c:v>23.086591741334111</c:v>
                </c:pt>
                <c:pt idx="87">
                  <c:v>23.024291027414389</c:v>
                </c:pt>
                <c:pt idx="88">
                  <c:v>22.958014235777082</c:v>
                </c:pt>
                <c:pt idx="89">
                  <c:v>22.887907887712963</c:v>
                </c:pt>
                <c:pt idx="90">
                  <c:v>22.814117697233215</c:v>
                </c:pt>
                <c:pt idx="91">
                  <c:v>22.736788328890775</c:v>
                </c:pt>
                <c:pt idx="92">
                  <c:v>22.656063171709324</c:v>
                </c:pt>
                <c:pt idx="93">
                  <c:v>22.572084129084224</c:v>
                </c:pt>
                <c:pt idx="94">
                  <c:v>22.484991424447607</c:v>
                </c:pt>
                <c:pt idx="95">
                  <c:v>22.394923422424331</c:v>
                </c:pt>
                <c:pt idx="96">
                  <c:v>22.302016465147421</c:v>
                </c:pt>
                <c:pt idx="97">
                  <c:v>22.206404723350648</c:v>
                </c:pt>
                <c:pt idx="98">
                  <c:v>22.108220061811018</c:v>
                </c:pt>
                <c:pt idx="99">
                  <c:v>22.00759191867645</c:v>
                </c:pt>
                <c:pt idx="100">
                  <c:v>21.904647198181465</c:v>
                </c:pt>
                <c:pt idx="101">
                  <c:v>21.799510176228033</c:v>
                </c:pt>
                <c:pt idx="102">
                  <c:v>21.69230241828793</c:v>
                </c:pt>
                <c:pt idx="103">
                  <c:v>21.583142709067197</c:v>
                </c:pt>
                <c:pt idx="104">
                  <c:v>21.47214699336287</c:v>
                </c:pt>
                <c:pt idx="105">
                  <c:v>21.359428327535177</c:v>
                </c:pt>
                <c:pt idx="106">
                  <c:v>21.245096841016071</c:v>
                </c:pt>
                <c:pt idx="107">
                  <c:v>21.129259707276056</c:v>
                </c:pt>
                <c:pt idx="108">
                  <c:v>21.012021123675154</c:v>
                </c:pt>
                <c:pt idx="109">
                  <c:v>20.893482299631522</c:v>
                </c:pt>
                <c:pt idx="110">
                  <c:v>20.77374145255034</c:v>
                </c:pt>
                <c:pt idx="111">
                  <c:v>20.652893810967875</c:v>
                </c:pt>
                <c:pt idx="112">
                  <c:v>20.531031624379146</c:v>
                </c:pt>
                <c:pt idx="113">
                  <c:v>20.408244179233272</c:v>
                </c:pt>
                <c:pt idx="114">
                  <c:v>20.28461782059706</c:v>
                </c:pt>
                <c:pt idx="115">
                  <c:v>20.160235979005595</c:v>
                </c:pt>
                <c:pt idx="116">
                  <c:v>20.035179202037032</c:v>
                </c:pt>
                <c:pt idx="117">
                  <c:v>19.909525190168448</c:v>
                </c:pt>
                <c:pt idx="118">
                  <c:v>19.783348836489353</c:v>
                </c:pt>
                <c:pt idx="119">
                  <c:v>19.656722269869697</c:v>
                </c:pt>
                <c:pt idx="120">
                  <c:v>19.52971490119949</c:v>
                </c:pt>
                <c:pt idx="121">
                  <c:v>19.402393472337607</c:v>
                </c:pt>
                <c:pt idx="122">
                  <c:v>19.274822107427187</c:v>
                </c:pt>
                <c:pt idx="123">
                  <c:v>19.147062366255533</c:v>
                </c:pt>
                <c:pt idx="124">
                  <c:v>19.019173299355426</c:v>
                </c:pt>
                <c:pt idx="125">
                  <c:v>18.891211504564499</c:v>
                </c:pt>
                <c:pt idx="126">
                  <c:v>18.763231184777641</c:v>
                </c:pt>
                <c:pt idx="127">
                  <c:v>18.63528420664586</c:v>
                </c:pt>
                <c:pt idx="128">
                  <c:v>18.507420159992414</c:v>
                </c:pt>
                <c:pt idx="129">
                  <c:v>18.379686417734082</c:v>
                </c:pt>
                <c:pt idx="130">
                  <c:v>18.252128196111755</c:v>
                </c:pt>
                <c:pt idx="131">
                  <c:v>18.124788615050054</c:v>
                </c:pt>
                <c:pt idx="132">
                  <c:v>17.997708758480723</c:v>
                </c:pt>
                <c:pt idx="133">
                  <c:v>17.870927734478631</c:v>
                </c:pt>
                <c:pt idx="134">
                  <c:v>17.744482735072932</c:v>
                </c:pt>
                <c:pt idx="135">
                  <c:v>17.618409095608449</c:v>
                </c:pt>
                <c:pt idx="136">
                  <c:v>17.492740353544868</c:v>
                </c:pt>
                <c:pt idx="137">
                  <c:v>17.367508306592281</c:v>
                </c:pt>
                <c:pt idx="138">
                  <c:v>17.24274307009285</c:v>
                </c:pt>
                <c:pt idx="139">
                  <c:v>17.118473133568109</c:v>
                </c:pt>
                <c:pt idx="140">
                  <c:v>16.994725416361074</c:v>
                </c:pt>
                <c:pt idx="141">
                  <c:v>16.871525322311122</c:v>
                </c:pt>
                <c:pt idx="142">
                  <c:v>16.748896793407855</c:v>
                </c:pt>
                <c:pt idx="143">
                  <c:v>16.626862362377789</c:v>
                </c:pt>
                <c:pt idx="144">
                  <c:v>16.505443204164969</c:v>
                </c:pt>
                <c:pt idx="145">
                  <c:v>16.384659186273019</c:v>
                </c:pt>
                <c:pt idx="146">
                  <c:v>16.264528917942403</c:v>
                </c:pt>
                <c:pt idx="147">
                  <c:v>16.145069798142138</c:v>
                </c:pt>
                <c:pt idx="148">
                  <c:v>16.026298062360514</c:v>
                </c:pt>
                <c:pt idx="149">
                  <c:v>15.908228828183912</c:v>
                </c:pt>
                <c:pt idx="150">
                  <c:v>15.790876139657374</c:v>
                </c:pt>
                <c:pt idx="151">
                  <c:v>15.674253010424231</c:v>
                </c:pt>
                <c:pt idx="152">
                  <c:v>15.558371465645957</c:v>
                </c:pt>
                <c:pt idx="153">
                  <c:v>15.443242582706425</c:v>
                </c:pt>
                <c:pt idx="154">
                  <c:v>15.328876530707792</c:v>
                </c:pt>
                <c:pt idx="155">
                  <c:v>15.215282608767797</c:v>
                </c:pt>
                <c:pt idx="156">
                  <c:v>15.102469283130656</c:v>
                </c:pt>
                <c:pt idx="157">
                  <c:v>14.99044422310569</c:v>
                </c:pt>
                <c:pt idx="158">
                  <c:v>14.879214335849921</c:v>
                </c:pt>
                <c:pt idx="159">
                  <c:v>14.768785800012102</c:v>
                </c:pt>
                <c:pt idx="160">
                  <c:v>14.659164098257499</c:v>
                </c:pt>
                <c:pt idx="161">
                  <c:v>14.550354048693556</c:v>
                </c:pt>
                <c:pt idx="162">
                  <c:v>14.442359835217912</c:v>
                </c:pt>
                <c:pt idx="163">
                  <c:v>14.335185036810994</c:v>
                </c:pt>
                <c:pt idx="164">
                  <c:v>14.228832655796058</c:v>
                </c:pt>
                <c:pt idx="165">
                  <c:v>14.123305145090303</c:v>
                </c:pt>
                <c:pt idx="166">
                  <c:v>14.01860443447112</c:v>
                </c:pt>
                <c:pt idx="167">
                  <c:v>13.914731955881701</c:v>
                </c:pt>
                <c:pt idx="168">
                  <c:v>13.811688667800711</c:v>
                </c:pt>
                <c:pt idx="169">
                  <c:v>13.709475078700809</c:v>
                </c:pt>
                <c:pt idx="170">
                  <c:v>13.608091269620781</c:v>
                </c:pt>
                <c:pt idx="171">
                  <c:v>13.50753691587607</c:v>
                </c:pt>
                <c:pt idx="172">
                  <c:v>13.407811307932558</c:v>
                </c:pt>
                <c:pt idx="173">
                  <c:v>13.308913371468034</c:v>
                </c:pt>
                <c:pt idx="174">
                  <c:v>13.210841686645836</c:v>
                </c:pt>
                <c:pt idx="175">
                  <c:v>13.113594506624745</c:v>
                </c:pt>
                <c:pt idx="176">
                  <c:v>13.017169775328977</c:v>
                </c:pt>
                <c:pt idx="177">
                  <c:v>12.921565144501807</c:v>
                </c:pt>
                <c:pt idx="178">
                  <c:v>12.826777990065912</c:v>
                </c:pt>
                <c:pt idx="179">
                  <c:v>12.732805427813183</c:v>
                </c:pt>
                <c:pt idx="180">
                  <c:v>12.639644328446407</c:v>
                </c:pt>
                <c:pt idx="181">
                  <c:v>12.547291331994572</c:v>
                </c:pt>
                <c:pt idx="182">
                  <c:v>12.45574286162328</c:v>
                </c:pt>
                <c:pt idx="183">
                  <c:v>12.364995136861271</c:v>
                </c:pt>
                <c:pt idx="184">
                  <c:v>12.275044186263374</c:v>
                </c:pt>
                <c:pt idx="185">
                  <c:v>12.185885859530039</c:v>
                </c:pt>
                <c:pt idx="186">
                  <c:v>12.097515839102698</c:v>
                </c:pt>
                <c:pt idx="187">
                  <c:v>12.009929651254145</c:v>
                </c:pt>
                <c:pt idx="188">
                  <c:v>11.923122676692213</c:v>
                </c:pt>
                <c:pt idx="189">
                  <c:v>11.837090160694778</c:v>
                </c:pt>
                <c:pt idx="190">
                  <c:v>11.751827222793519</c:v>
                </c:pt>
                <c:pt idx="191">
                  <c:v>11.667328866023364</c:v>
                </c:pt>
                <c:pt idx="192">
                  <c:v>11.583589985754017</c:v>
                </c:pt>
                <c:pt idx="193">
                  <c:v>11.500605378119586</c:v>
                </c:pt>
                <c:pt idx="194">
                  <c:v>11.418369748061673</c:v>
                </c:pt>
                <c:pt idx="195">
                  <c:v>11.336877717000963</c:v>
                </c:pt>
                <c:pt idx="196">
                  <c:v>11.256123830151704</c:v>
                </c:pt>
                <c:pt idx="197">
                  <c:v>11.176102563493187</c:v>
                </c:pt>
                <c:pt idx="198">
                  <c:v>11.096808330411729</c:v>
                </c:pt>
                <c:pt idx="199">
                  <c:v>11.018235488026285</c:v>
                </c:pt>
                <c:pt idx="200">
                  <c:v>10.940378343210305</c:v>
                </c:pt>
                <c:pt idx="201">
                  <c:v>10.86323115832214</c:v>
                </c:pt>
                <c:pt idx="202">
                  <c:v>10.786788156655735</c:v>
                </c:pt>
                <c:pt idx="203">
                  <c:v>10.711043527623017</c:v>
                </c:pt>
                <c:pt idx="204">
                  <c:v>10.635991431679015</c:v>
                </c:pt>
                <c:pt idx="205">
                  <c:v>10.561626005000244</c:v>
                </c:pt>
                <c:pt idx="206">
                  <c:v>10.487941363926598</c:v>
                </c:pt>
                <c:pt idx="207">
                  <c:v>10.414931609176609</c:v>
                </c:pt>
                <c:pt idx="208">
                  <c:v>10.342590829845561</c:v>
                </c:pt>
                <c:pt idx="209">
                  <c:v>10.270913107195561</c:v>
                </c:pt>
                <c:pt idx="210">
                  <c:v>10.19989251824639</c:v>
                </c:pt>
                <c:pt idx="211">
                  <c:v>10.129523139175591</c:v>
                </c:pt>
                <c:pt idx="212">
                  <c:v>10.059799048535956</c:v>
                </c:pt>
                <c:pt idx="213">
                  <c:v>9.9907143302982018</c:v>
                </c:pt>
                <c:pt idx="214">
                  <c:v>9.9222630767264501</c:v>
                </c:pt>
                <c:pt idx="215">
                  <c:v>9.8544393910936687</c:v>
                </c:pt>
                <c:pt idx="216">
                  <c:v>9.7872373902441314</c:v>
                </c:pt>
                <c:pt idx="217">
                  <c:v>9.7206512070094853</c:v>
                </c:pt>
                <c:pt idx="218">
                  <c:v>9.6546749924850008</c:v>
                </c:pt>
                <c:pt idx="219">
                  <c:v>9.5893029181720255</c:v>
                </c:pt>
                <c:pt idx="220">
                  <c:v>9.5245291779927133</c:v>
                </c:pt>
                <c:pt idx="221">
                  <c:v>9.4603479901826333</c:v>
                </c:pt>
                <c:pt idx="222">
                  <c:v>9.3967535990668001</c:v>
                </c:pt>
                <c:pt idx="223">
                  <c:v>9.3337402767243347</c:v>
                </c:pt>
                <c:pt idx="224">
                  <c:v>9.2713023245468058</c:v>
                </c:pt>
                <c:pt idx="225">
                  <c:v>9.2094340746950945</c:v>
                </c:pt>
                <c:pt idx="226">
                  <c:v>9.1481298914594475</c:v>
                </c:pt>
                <c:pt idx="227">
                  <c:v>9.0873841725271074</c:v>
                </c:pt>
                <c:pt idx="228">
                  <c:v>9.0271913501618499</c:v>
                </c:pt>
                <c:pt idx="229">
                  <c:v>8.9675458922994995</c:v>
                </c:pt>
                <c:pt idx="230">
                  <c:v>8.9084423035633371</c:v>
                </c:pt>
                <c:pt idx="231">
                  <c:v>8.849875126203175</c:v>
                </c:pt>
                <c:pt idx="232">
                  <c:v>8.7918389409617088</c:v>
                </c:pt>
                <c:pt idx="233">
                  <c:v>8.7343283678715729</c:v>
                </c:pt>
                <c:pt idx="234">
                  <c:v>8.6773380669864633</c:v>
                </c:pt>
                <c:pt idx="235">
                  <c:v>8.6208627390494197</c:v>
                </c:pt>
              </c:numCache>
            </c:numRef>
          </c:yVal>
          <c:smooth val="0"/>
          <c:extLst>
            <c:ext xmlns:c16="http://schemas.microsoft.com/office/drawing/2014/chart" uri="{C3380CC4-5D6E-409C-BE32-E72D297353CC}">
              <c16:uniqueId val="{00000001-F283-408C-84A8-E9324EEBB40D}"/>
            </c:ext>
          </c:extLst>
        </c:ser>
        <c:ser>
          <c:idx val="1"/>
          <c:order val="1"/>
          <c:tx>
            <c:v>CL^1.5/CD</c:v>
          </c:tx>
          <c:spPr>
            <a:ln w="19050" cap="rnd">
              <a:solidFill>
                <a:srgbClr val="E87331"/>
              </a:solidFill>
              <a:prstDash val="solid"/>
              <a:round/>
            </a:ln>
            <a:effectLst/>
          </c:spPr>
          <c:marker>
            <c:symbol val="none"/>
          </c:marker>
          <c:xVal>
            <c:numRef>
              <c:f>'Performance Analysis'!$A$84:$A$319</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'Performance Analysis'!$N$84:$N$319</c:f>
              <c:numCache>
                <c:formatCode>0.00</c:formatCode>
                <c:ptCount val="236"/>
                <c:pt idx="0">
                  <c:v>14.636484364706295</c:v>
                </c:pt>
                <c:pt idx="1">
                  <c:v>14.849812871346598</c:v>
                </c:pt>
                <c:pt idx="2">
                  <c:v>15.061166048810149</c:v>
                </c:pt>
                <c:pt idx="3">
                  <c:v>15.270413626296826</c:v>
                </c:pt>
                <c:pt idx="4">
                  <c:v>15.477422561661015</c:v>
                </c:pt>
                <c:pt idx="5">
                  <c:v>15.682057235877203</c:v>
                </c:pt>
                <c:pt idx="6">
                  <c:v>15.88417966495204</c:v>
                </c:pt>
                <c:pt idx="7">
                  <c:v>16.083649729313095</c:v>
                </c:pt>
                <c:pt idx="8">
                  <c:v>16.28032542060032</c:v>
                </c:pt>
                <c:pt idx="9">
                  <c:v>16.474063105674524</c:v>
                </c:pt>
                <c:pt idx="10">
                  <c:v>16.664717807539418</c:v>
                </c:pt>
                <c:pt idx="11">
                  <c:v>16.852143502749783</c:v>
                </c:pt>
                <c:pt idx="12">
                  <c:v>17.036193434750029</c:v>
                </c:pt>
                <c:pt idx="13">
                  <c:v>17.216720442454189</c:v>
                </c:pt>
                <c:pt idx="14">
                  <c:v>17.393577303243184</c:v>
                </c:pt>
                <c:pt idx="15">
                  <c:v>17.566617089417296</c:v>
                </c:pt>
                <c:pt idx="16">
                  <c:v>17.735693537004199</c:v>
                </c:pt>
                <c:pt idx="17">
                  <c:v>17.900661425685712</c:v>
                </c:pt>
                <c:pt idx="18">
                  <c:v>18.06137696847194</c:v>
                </c:pt>
                <c:pt idx="19">
                  <c:v>18.217698209620877</c:v>
                </c:pt>
                <c:pt idx="20">
                  <c:v>18.369485429176702</c:v>
                </c:pt>
                <c:pt idx="21">
                  <c:v>18.516601552382387</c:v>
                </c:pt>
                <c:pt idx="22">
                  <c:v>18.658912562113485</c:v>
                </c:pt>
                <c:pt idx="23">
                  <c:v>18.796287912382173</c:v>
                </c:pt>
                <c:pt idx="24">
                  <c:v>18.928600940874773</c:v>
                </c:pt>
                <c:pt idx="25">
                  <c:v>19.055729278413992</c:v>
                </c:pt>
                <c:pt idx="26">
                  <c:v>19.177555253180671</c:v>
                </c:pt>
                <c:pt idx="27">
                  <c:v>19.293966287489436</c:v>
                </c:pt>
                <c:pt idx="28">
                  <c:v>19.404855284890619</c:v>
                </c:pt>
                <c:pt idx="29">
                  <c:v>19.510121005366955</c:v>
                </c:pt>
                <c:pt idx="30">
                  <c:v>19.609668426409559</c:v>
                </c:pt>
                <c:pt idx="31">
                  <c:v>19.703409087793634</c:v>
                </c:pt>
                <c:pt idx="32">
                  <c:v>19.791261417930553</c:v>
                </c:pt>
                <c:pt idx="33">
                  <c:v>19.873151039749672</c:v>
                </c:pt>
                <c:pt idx="34">
                  <c:v>19.949011054160028</c:v>
                </c:pt>
                <c:pt idx="35">
                  <c:v>20.018782299258294</c:v>
                </c:pt>
                <c:pt idx="36">
                  <c:v>20.082413583584778</c:v>
                </c:pt>
                <c:pt idx="37">
                  <c:v>20.139861891881836</c:v>
                </c:pt>
                <c:pt idx="38">
                  <c:v>20.191092561978554</c:v>
                </c:pt>
                <c:pt idx="39">
                  <c:v>20.236079431609351</c:v>
                </c:pt>
                <c:pt idx="40">
                  <c:v>20.274804954171131</c:v>
                </c:pt>
                <c:pt idx="41">
                  <c:v>20.307260282631326</c:v>
                </c:pt>
                <c:pt idx="42">
                  <c:v>20.333445321015738</c:v>
                </c:pt>
                <c:pt idx="43">
                  <c:v>20.353368743127703</c:v>
                </c:pt>
                <c:pt idx="44">
                  <c:v>20.367047978376853</c:v>
                </c:pt>
                <c:pt idx="45">
                  <c:v>20.374509164823682</c:v>
                </c:pt>
                <c:pt idx="46">
                  <c:v>20.375787069772944</c:v>
                </c:pt>
                <c:pt idx="47">
                  <c:v>20.370924978472029</c:v>
                </c:pt>
                <c:pt idx="48">
                  <c:v>20.359974551687365</c:v>
                </c:pt>
                <c:pt idx="49">
                  <c:v>20.342995653140338</c:v>
                </c:pt>
                <c:pt idx="50">
                  <c:v>20.320056147981958</c:v>
                </c:pt>
                <c:pt idx="51">
                  <c:v>20.291231673670204</c:v>
                </c:pt>
                <c:pt idx="52">
                  <c:v>20.256605384784514</c:v>
                </c:pt>
                <c:pt idx="53">
                  <c:v>20.216267673465619</c:v>
                </c:pt>
                <c:pt idx="54">
                  <c:v>20.170315867305447</c:v>
                </c:pt>
                <c:pt idx="55">
                  <c:v>20.118853906629376</c:v>
                </c:pt>
                <c:pt idx="56">
                  <c:v>20.061992003211341</c:v>
                </c:pt>
                <c:pt idx="57">
                  <c:v>19.999846282539959</c:v>
                </c:pt>
                <c:pt idx="58">
                  <c:v>19.932538411811926</c:v>
                </c:pt>
                <c:pt idx="59">
                  <c:v>19.860195215865716</c:v>
                </c:pt>
                <c:pt idx="60">
                  <c:v>19.782948283286125</c:v>
                </c:pt>
                <c:pt idx="61">
                  <c:v>19.700933564907661</c:v>
                </c:pt>
                <c:pt idx="62">
                  <c:v>0</c:v>
                </c:pt>
                <c:pt idx="63">
                  <c:v>19.523163940769077</c:v>
                </c:pt>
                <c:pt idx="64">
                  <c:v>19.427699071889126</c:v>
                </c:pt>
                <c:pt idx="65">
                  <c:v>19.328045669435085</c:v>
                </c:pt>
                <c:pt idx="66">
                  <c:v>19.22435535884355</c:v>
                </c:pt>
                <c:pt idx="67">
                  <c:v>19.116781679158155</c:v>
                </c:pt>
                <c:pt idx="68">
                  <c:v>19.005479686844755</c:v>
                </c:pt>
                <c:pt idx="69">
                  <c:v>18.890605567733974</c:v>
                </c:pt>
                <c:pt idx="70">
                  <c:v>18.772316258600352</c:v>
                </c:pt>
                <c:pt idx="71">
                  <c:v>18.650769079757069</c:v>
                </c:pt>
                <c:pt idx="72">
                  <c:v>18.526121379910759</c:v>
                </c:pt>
                <c:pt idx="73">
                  <c:v>18.398530194384087</c:v>
                </c:pt>
                <c:pt idx="74">
                  <c:v>18.268151917675414</c:v>
                </c:pt>
                <c:pt idx="75">
                  <c:v>18.135141991187517</c:v>
                </c:pt>
                <c:pt idx="76">
                  <c:v>17.999654606821238</c:v>
                </c:pt>
                <c:pt idx="77">
                  <c:v>17.861842426996827</c:v>
                </c:pt>
                <c:pt idx="78">
                  <c:v>17.721856321536542</c:v>
                </c:pt>
                <c:pt idx="79">
                  <c:v>17.579845121718019</c:v>
                </c:pt>
                <c:pt idx="80">
                  <c:v>17.435955391689184</c:v>
                </c:pt>
                <c:pt idx="81">
                  <c:v>17.290331217323466</c:v>
                </c:pt>
                <c:pt idx="82">
                  <c:v>17.143114012488979</c:v>
                </c:pt>
                <c:pt idx="83">
                  <c:v>16.99444234260762</c:v>
                </c:pt>
                <c:pt idx="84">
                  <c:v>16.844451765289868</c:v>
                </c:pt>
                <c:pt idx="85">
                  <c:v>16.693274687749341</c:v>
                </c:pt>
                <c:pt idx="86">
                  <c:v>16.541040240626817</c:v>
                </c:pt>
                <c:pt idx="87">
                  <c:v>16.387874167787803</c:v>
                </c:pt>
                <c:pt idx="88">
                  <c:v>16.233898731599499</c:v>
                </c:pt>
                <c:pt idx="89">
                  <c:v>16.079232633142951</c:v>
                </c:pt>
                <c:pt idx="90">
                  <c:v>15.92399094677368</c:v>
                </c:pt>
                <c:pt idx="91">
                  <c:v>15.76828506840852</c:v>
                </c:pt>
                <c:pt idx="92">
                  <c:v>15.612222676888544</c:v>
                </c:pt>
                <c:pt idx="93">
                  <c:v>15.455907707745723</c:v>
                </c:pt>
                <c:pt idx="94">
                  <c:v>15.299440338685956</c:v>
                </c:pt>
                <c:pt idx="95">
                  <c:v>15.142916986091048</c:v>
                </c:pt>
                <c:pt idx="96">
                  <c:v>14.98643031183779</c:v>
                </c:pt>
                <c:pt idx="97">
                  <c:v>14.830069239733193</c:v>
                </c:pt>
                <c:pt idx="98">
                  <c:v>14.673918980869111</c:v>
                </c:pt>
                <c:pt idx="99">
                  <c:v>14.518061067209187</c:v>
                </c:pt>
                <c:pt idx="100">
                  <c:v>14.362573392732736</c:v>
                </c:pt>
                <c:pt idx="101">
                  <c:v>14.207530261476187</c:v>
                </c:pt>
                <c:pt idx="102">
                  <c:v>14.053002441830833</c:v>
                </c:pt>
                <c:pt idx="103">
                  <c:v>13.899057226475831</c:v>
                </c:pt>
                <c:pt idx="104">
                  <c:v>13.745758497348369</c:v>
                </c:pt>
                <c:pt idx="105">
                  <c:v>13.59316679507644</c:v>
                </c:pt>
                <c:pt idx="106">
                  <c:v>13.44133939232519</c:v>
                </c:pt>
                <c:pt idx="107">
                  <c:v>13.290330370533926</c:v>
                </c:pt>
                <c:pt idx="108">
                  <c:v>13.140190699547567</c:v>
                </c:pt>
                <c:pt idx="109">
                  <c:v>12.990968319673881</c:v>
                </c:pt>
                <c:pt idx="110">
                  <c:v>12.842708225724817</c:v>
                </c:pt>
                <c:pt idx="111">
                  <c:v>12.695452552628076</c:v>
                </c:pt>
                <c:pt idx="112">
                  <c:v>12.549240662221774</c:v>
                </c:pt>
                <c:pt idx="113">
                  <c:v>12.404109230872157</c:v>
                </c:pt>
                <c:pt idx="114">
                  <c:v>12.260092337580367</c:v>
                </c:pt>
                <c:pt idx="115">
                  <c:v>12.117221552269868</c:v>
                </c:pt>
                <c:pt idx="116">
                  <c:v>11.975526023971049</c:v>
                </c:pt>
                <c:pt idx="117">
                  <c:v>11.835032568643433</c:v>
                </c:pt>
                <c:pt idx="118">
                  <c:v>11.695765756399108</c:v>
                </c:pt>
                <c:pt idx="119">
                  <c:v>11.557747997913124</c:v>
                </c:pt>
                <c:pt idx="120">
                  <c:v>11.4209996298276</c:v>
                </c:pt>
                <c:pt idx="121">
                  <c:v>11.285538998976733</c:v>
                </c:pt>
                <c:pt idx="122">
                  <c:v>11.151382545278558</c:v>
                </c:pt>
                <c:pt idx="123">
                  <c:v>11.018544883157793</c:v>
                </c:pt>
                <c:pt idx="124">
                  <c:v>10.887038881380652</c:v>
                </c:pt>
                <c:pt idx="125">
                  <c:v>10.756875741198783</c:v>
                </c:pt>
                <c:pt idx="126">
                  <c:v>10.628065072714195</c:v>
                </c:pt>
                <c:pt idx="127">
                  <c:v>10.500614969391112</c:v>
                </c:pt>
                <c:pt idx="128">
                  <c:v>10.374532080653449</c:v>
                </c:pt>
                <c:pt idx="129">
                  <c:v>10.249821682518716</c:v>
                </c:pt>
                <c:pt idx="130">
                  <c:v>10.126487746230179</c:v>
                </c:pt>
                <c:pt idx="131">
                  <c:v>10.004533004859246</c:v>
                </c:pt>
                <c:pt idx="132">
                  <c:v>9.8839590178595031</c:v>
                </c:pt>
                <c:pt idx="133">
                  <c:v>9.7647662335621206</c:v>
                </c:pt>
                <c:pt idx="134">
                  <c:v>9.6469540496104127</c:v>
                </c:pt>
                <c:pt idx="135">
                  <c:v>9.5305208713380356</c:v>
                </c:pt>
                <c:pt idx="136">
                  <c:v>9.4154641681019662</c:v>
                </c:pt>
                <c:pt idx="137">
                  <c:v>9.3017805275867822</c:v>
                </c:pt>
                <c:pt idx="138">
                  <c:v>9.1894657081021052</c:v>
                </c:pt>
                <c:pt idx="139">
                  <c:v>9.0785146888993911</c:v>
                </c:pt>
                <c:pt idx="140">
                  <c:v>8.9689217185383274</c:v>
                </c:pt>
                <c:pt idx="141">
                  <c:v>8.8606803613365379</c:v>
                </c:pt>
                <c:pt idx="142">
                  <c:v>8.7537835419392547</c:v>
                </c:pt>
                <c:pt idx="143">
                  <c:v>8.6482235880482801</c:v>
                </c:pt>
                <c:pt idx="144">
                  <c:v>8.5439922713517067</c:v>
                </c:pt>
                <c:pt idx="145">
                  <c:v>8.441080846697659</c:v>
                </c:pt>
                <c:pt idx="146">
                  <c:v>8.3394800895568473</c:v>
                </c:pt>
                <c:pt idx="147">
                  <c:v>8.2391803318198669</c:v>
                </c:pt>
                <c:pt idx="148">
                  <c:v>8.1401714959760767</c:v>
                </c:pt>
                <c:pt idx="149">
                  <c:v>8.0424431277215369</c:v>
                </c:pt>
                <c:pt idx="150">
                  <c:v>7.9459844270439284</c:v>
                </c:pt>
                <c:pt idx="151">
                  <c:v>7.8507842778324646</c:v>
                </c:pt>
                <c:pt idx="152">
                  <c:v>7.7568312760609581</c:v>
                </c:pt>
                <c:pt idx="153">
                  <c:v>7.6641137565919424</c:v>
                </c:pt>
                <c:pt idx="154">
                  <c:v>7.5726198186494846</c:v>
                </c:pt>
                <c:pt idx="155">
                  <c:v>7.4823373500078549</c:v>
                </c:pt>
                <c:pt idx="156">
                  <c:v>7.3932540499427049</c:v>
                </c:pt>
                <c:pt idx="157">
                  <c:v>7.3053574509906678</c:v>
                </c:pt>
                <c:pt idx="158">
                  <c:v>7.218634939562623</c:v>
                </c:pt>
                <c:pt idx="159">
                  <c:v>7.1330737754549487</c:v>
                </c:pt>
                <c:pt idx="160">
                  <c:v>7.0486611103022616</c:v>
                </c:pt>
                <c:pt idx="161">
                  <c:v>6.9653840050141431</c:v>
                </c:pt>
                <c:pt idx="162">
                  <c:v>6.8832294462373236</c:v>
                </c:pt>
                <c:pt idx="163">
                  <c:v>6.8021843618839046</c:v>
                </c:pt>
                <c:pt idx="164">
                  <c:v>6.7222356357648705</c:v>
                </c:pt>
                <c:pt idx="165">
                  <c:v>6.6433701213672665</c:v>
                </c:pt>
                <c:pt idx="166">
                  <c:v>6.5655746548123091</c:v>
                </c:pt>
                <c:pt idx="167">
                  <c:v>6.4888360670303724</c:v>
                </c:pt>
                <c:pt idx="168">
                  <c:v>6.4131411951878645</c:v>
                </c:pt>
                <c:pt idx="169">
                  <c:v>6.3384768933998643</c:v>
                </c:pt>
                <c:pt idx="170">
                  <c:v>6.2648300427611714</c:v>
                </c:pt>
                <c:pt idx="171">
                  <c:v>6.1921875607273433</c:v>
                </c:pt>
                <c:pt idx="172">
                  <c:v>6.1205364098762587</c:v>
                </c:pt>
                <c:pt idx="173">
                  <c:v>6.0498636060795716</c:v>
                </c:pt>
                <c:pt idx="174">
                  <c:v>5.9801562261123706</c:v>
                </c:pt>
                <c:pt idx="175">
                  <c:v>5.9114014147283394</c:v>
                </c:pt>
                <c:pt idx="176">
                  <c:v>5.8435863912266015</c:v>
                </c:pt>
                <c:pt idx="177">
                  <c:v>5.7766984555354952</c:v>
                </c:pt>
                <c:pt idx="178">
                  <c:v>5.710724993837462</c:v>
                </c:pt>
                <c:pt idx="179">
                  <c:v>5.6456534837583403</c:v>
                </c:pt>
                <c:pt idx="180">
                  <c:v>5.5814714991433227</c:v>
                </c:pt>
                <c:pt idx="181">
                  <c:v>5.5181667144410023</c:v>
                </c:pt>
                <c:pt idx="182">
                  <c:v>5.4557269087159286</c:v>
                </c:pt>
                <c:pt idx="183">
                  <c:v>5.3941399693094016</c:v>
                </c:pt>
                <c:pt idx="184">
                  <c:v>5.3333938951671822</c:v>
                </c:pt>
                <c:pt idx="185">
                  <c:v>5.2734767998521486</c:v>
                </c:pt>
                <c:pt idx="186">
                  <c:v>5.2143769142590379</c:v>
                </c:pt>
                <c:pt idx="187">
                  <c:v>5.156082589047716</c:v>
                </c:pt>
                <c:pt idx="188">
                  <c:v>5.0985822968106591</c:v>
                </c:pt>
                <c:pt idx="189">
                  <c:v>5.0418646339895732</c:v>
                </c:pt>
                <c:pt idx="190">
                  <c:v>4.9859183225554791</c:v>
                </c:pt>
                <c:pt idx="191">
                  <c:v>4.9307322114658962</c:v>
                </c:pt>
                <c:pt idx="192">
                  <c:v>4.8762952779120434</c:v>
                </c:pt>
                <c:pt idx="193">
                  <c:v>4.8225966283685215</c:v>
                </c:pt>
                <c:pt idx="194">
                  <c:v>4.76962549945722</c:v>
                </c:pt>
                <c:pt idx="195">
                  <c:v>4.7173712586367023</c:v>
                </c:pt>
                <c:pt idx="196">
                  <c:v>4.6658234047277007</c:v>
                </c:pt>
                <c:pt idx="197">
                  <c:v>4.6149715682849575</c:v>
                </c:pt>
                <c:pt idx="198">
                  <c:v>4.5648055118250417</c:v>
                </c:pt>
                <c:pt idx="199">
                  <c:v>4.5153151299193217</c:v>
                </c:pt>
                <c:pt idx="200">
                  <c:v>4.4664904491608484</c:v>
                </c:pt>
                <c:pt idx="201">
                  <c:v>4.4183216280134046</c:v>
                </c:pt>
                <c:pt idx="202">
                  <c:v>4.3707989565506624</c:v>
                </c:pt>
                <c:pt idx="203">
                  <c:v>4.3239128560928179</c:v>
                </c:pt>
                <c:pt idx="204">
                  <c:v>4.2776538787478868</c:v>
                </c:pt>
                <c:pt idx="205">
                  <c:v>4.2320127068643369</c:v>
                </c:pt>
                <c:pt idx="206">
                  <c:v>4.1869801524013894</c:v>
                </c:pt>
                <c:pt idx="207">
                  <c:v>4.1425471562231095</c:v>
                </c:pt>
                <c:pt idx="208">
                  <c:v>4.0987047873219344</c:v>
                </c:pt>
                <c:pt idx="209">
                  <c:v>4.0554442419770602</c:v>
                </c:pt>
                <c:pt idx="210">
                  <c:v>4.0127568428528217</c:v>
                </c:pt>
                <c:pt idx="211">
                  <c:v>3.9706340380419016</c:v>
                </c:pt>
                <c:pt idx="212">
                  <c:v>3.9290674000579324</c:v>
                </c:pt>
                <c:pt idx="213">
                  <c:v>3.8880486247818093</c:v>
                </c:pt>
                <c:pt idx="214">
                  <c:v>3.8475695303658517</c:v>
                </c:pt>
                <c:pt idx="215">
                  <c:v>3.8076220560995804</c:v>
                </c:pt>
                <c:pt idx="216">
                  <c:v>3.7681982612408418</c:v>
                </c:pt>
                <c:pt idx="217">
                  <c:v>3.7292903238156048</c:v>
                </c:pt>
                <c:pt idx="218">
                  <c:v>3.6908905393897955</c:v>
                </c:pt>
                <c:pt idx="219">
                  <c:v>3.6529913198160746</c:v>
                </c:pt>
                <c:pt idx="220">
                  <c:v>3.6155851919585218</c:v>
                </c:pt>
                <c:pt idx="221">
                  <c:v>3.5786647963978986</c:v>
                </c:pt>
                <c:pt idx="222">
                  <c:v>3.5422228861200087</c:v>
                </c:pt>
                <c:pt idx="223">
                  <c:v>3.5062523251895521</c:v>
                </c:pt>
                <c:pt idx="224">
                  <c:v>3.4707460874117269</c:v>
                </c:pt>
                <c:pt idx="225">
                  <c:v>3.4356972549836473</c:v>
                </c:pt>
                <c:pt idx="226">
                  <c:v>3.4010990171375859</c:v>
                </c:pt>
                <c:pt idx="227">
                  <c:v>3.3669446687778373</c:v>
                </c:pt>
                <c:pt idx="228">
                  <c:v>3.3332276091129884</c:v>
                </c:pt>
                <c:pt idx="229">
                  <c:v>3.2999413402851627</c:v>
                </c:pt>
                <c:pt idx="230">
                  <c:v>3.2670794659977815</c:v>
                </c:pt>
                <c:pt idx="231">
                  <c:v>3.2346356901432252</c:v>
                </c:pt>
                <c:pt idx="232">
                  <c:v>3.2026038154317495</c:v>
                </c:pt>
                <c:pt idx="233">
                  <c:v>3.1709777420228193</c:v>
                </c:pt>
                <c:pt idx="234">
                  <c:v>3.1397514661600865</c:v>
                </c:pt>
                <c:pt idx="235">
                  <c:v>3.108919078810974</c:v>
                </c:pt>
              </c:numCache>
            </c:numRef>
          </c:yVal>
          <c:smooth val="0"/>
          <c:extLst>
            <c:ext xmlns:c16="http://schemas.microsoft.com/office/drawing/2014/chart" uri="{C3380CC4-5D6E-409C-BE32-E72D297353CC}">
              <c16:uniqueId val="{00000003-F283-408C-84A8-E9324EEBB40D}"/>
            </c:ext>
          </c:extLst>
        </c:ser>
        <c:ser>
          <c:idx val="2"/>
          <c:order val="2"/>
          <c:tx>
            <c:v>CL^0.5/CD</c:v>
          </c:tx>
          <c:spPr>
            <a:ln w="19050" cap="rnd">
              <a:solidFill>
                <a:srgbClr val="4EA72E"/>
              </a:solidFill>
              <a:prstDash val="solid"/>
              <a:round/>
            </a:ln>
            <a:effectLst/>
          </c:spPr>
          <c:marker>
            <c:symbol val="none"/>
          </c:marker>
          <c:xVal>
            <c:numRef>
              <c:f>'Performance Analysis'!$A$84:$A$319</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'Performance Analysis'!$O$84:$O$319</c:f>
              <c:numCache>
                <c:formatCode>0.00</c:formatCode>
                <c:ptCount val="236"/>
                <c:pt idx="0">
                  <c:v>5.2832796809138411</c:v>
                </c:pt>
                <c:pt idx="1">
                  <c:v>5.5264846380372186</c:v>
                </c:pt>
                <c:pt idx="2">
                  <c:v>5.7762810644195133</c:v>
                </c:pt>
                <c:pt idx="3">
                  <c:v>6.0326585019054715</c:v>
                </c:pt>
                <c:pt idx="4">
                  <c:v>6.2955972407721124</c:v>
                </c:pt>
                <c:pt idx="5">
                  <c:v>6.5650680139863473</c:v>
                </c:pt>
                <c:pt idx="6">
                  <c:v>6.8410317059289989</c:v>
                </c:pt>
                <c:pt idx="7">
                  <c:v>7.1234390777885492</c:v>
                </c:pt>
                <c:pt idx="8">
                  <c:v>7.4122305118667446</c:v>
                </c:pt>
                <c:pt idx="9">
                  <c:v>7.7073357770623669</c:v>
                </c:pt>
                <c:pt idx="10">
                  <c:v>8.008673817806983</c:v>
                </c:pt>
                <c:pt idx="11">
                  <c:v>8.3161525687165661</c:v>
                </c:pt>
                <c:pt idx="12">
                  <c:v>8.6296687971939772</c:v>
                </c:pt>
                <c:pt idx="13">
                  <c:v>8.9491079761680972</c:v>
                </c:pt>
                <c:pt idx="14">
                  <c:v>9.2743441890856264</c:v>
                </c:pt>
                <c:pt idx="15">
                  <c:v>9.6052400691794908</c:v>
                </c:pt>
                <c:pt idx="16">
                  <c:v>9.9416467749236848</c:v>
                </c:pt>
                <c:pt idx="17">
                  <c:v>10.283404003447719</c:v>
                </c:pt>
                <c:pt idx="18">
                  <c:v>10.63034004352393</c:v>
                </c:pt>
                <c:pt idx="19">
                  <c:v>10.982271869559176</c:v>
                </c:pt>
                <c:pt idx="20">
                  <c:v>11.339005277818366</c:v>
                </c:pt>
                <c:pt idx="21">
                  <c:v>11.700335065882243</c:v>
                </c:pt>
                <c:pt idx="22">
                  <c:v>12.066045256097116</c:v>
                </c:pt>
                <c:pt idx="23">
                  <c:v>12.435909363510911</c:v>
                </c:pt>
                <c:pt idx="24">
                  <c:v>12.809690708510567</c:v>
                </c:pt>
                <c:pt idx="25">
                  <c:v>13.187142774081638</c:v>
                </c:pt>
                <c:pt idx="26">
                  <c:v>13.568009607305692</c:v>
                </c:pt>
                <c:pt idx="27">
                  <c:v>13.952026264396364</c:v>
                </c:pt>
                <c:pt idx="28">
                  <c:v>14.338919298254515</c:v>
                </c:pt>
                <c:pt idx="29">
                  <c:v>14.728407287199891</c:v>
                </c:pt>
                <c:pt idx="30">
                  <c:v>15.120201403214351</c:v>
                </c:pt>
                <c:pt idx="31">
                  <c:v>15.51400601771388</c:v>
                </c:pt>
                <c:pt idx="32">
                  <c:v>15.90951934255671</c:v>
                </c:pt>
                <c:pt idx="33">
                  <c:v>16.30643410369678</c:v>
                </c:pt>
                <c:pt idx="34">
                  <c:v>16.704438244609239</c:v>
                </c:pt>
                <c:pt idx="35">
                  <c:v>17.103215656350667</c:v>
                </c:pt>
                <c:pt idx="36">
                  <c:v>17.502446930875585</c:v>
                </c:pt>
                <c:pt idx="37">
                  <c:v>17.901810134015022</c:v>
                </c:pt>
                <c:pt idx="38">
                  <c:v>18.300981594335266</c:v>
                </c:pt>
                <c:pt idx="39">
                  <c:v>18.699636703939142</c:v>
                </c:pt>
                <c:pt idx="40">
                  <c:v>19.097450727148768</c:v>
                </c:pt>
                <c:pt idx="41">
                  <c:v>19.494099612920913</c:v>
                </c:pt>
                <c:pt idx="42">
                  <c:v>19.889260806794649</c:v>
                </c:pt>
                <c:pt idx="43">
                  <c:v>20.282614058156486</c:v>
                </c:pt>
                <c:pt idx="44">
                  <c:v>20.673842218631581</c:v>
                </c:pt>
                <c:pt idx="45">
                  <c:v>21.062632027470123</c:v>
                </c:pt>
                <c:pt idx="46">
                  <c:v>21.448674879895723</c:v>
                </c:pt>
                <c:pt idx="47">
                  <c:v>21.831667574515368</c:v>
                </c:pt>
                <c:pt idx="48">
                  <c:v>22.211313036057472</c:v>
                </c:pt>
                <c:pt idx="49">
                  <c:v>22.587321009903519</c:v>
                </c:pt>
                <c:pt idx="50">
                  <c:v>22.959408725106496</c:v>
                </c:pt>
                <c:pt idx="51">
                  <c:v>23.327301522844401</c:v>
                </c:pt>
                <c:pt idx="52">
                  <c:v>23.690733447534214</c:v>
                </c:pt>
                <c:pt idx="53">
                  <c:v>24.049447798129837</c:v>
                </c:pt>
                <c:pt idx="54">
                  <c:v>24.403197637441142</c:v>
                </c:pt>
                <c:pt idx="55">
                  <c:v>24.75174625763724</c:v>
                </c:pt>
                <c:pt idx="56">
                  <c:v>25.094867600432227</c:v>
                </c:pt>
                <c:pt idx="57">
                  <c:v>25.432346630790583</c:v>
                </c:pt>
                <c:pt idx="58">
                  <c:v>25.76397966333041</c:v>
                </c:pt>
                <c:pt idx="59">
                  <c:v>26.089574640939578</c:v>
                </c:pt>
                <c:pt idx="60">
                  <c:v>26.408951365451774</c:v>
                </c:pt>
                <c:pt idx="61">
                  <c:v>26.721941680550824</c:v>
                </c:pt>
                <c:pt idx="62">
                  <c:v>27.028389607380845</c:v>
                </c:pt>
                <c:pt idx="63">
                  <c:v>27.328151433633522</c:v>
                </c:pt>
                <c:pt idx="64">
                  <c:v>27.621095757159519</c:v>
                </c:pt>
                <c:pt idx="65">
                  <c:v>27.907103485407305</c:v>
                </c:pt>
                <c:pt idx="66">
                  <c:v>28.186067792226517</c:v>
                </c:pt>
                <c:pt idx="67">
                  <c:v>28.457894033784829</c:v>
                </c:pt>
                <c:pt idx="68">
                  <c:v>28.722499625533874</c:v>
                </c:pt>
                <c:pt idx="69">
                  <c:v>28.979813882322876</c:v>
                </c:pt>
                <c:pt idx="70">
                  <c:v>29.229777823895844</c:v>
                </c:pt>
                <c:pt idx="71">
                  <c:v>29.47234394812066</c:v>
                </c:pt>
                <c:pt idx="72">
                  <c:v>29.707475974386572</c:v>
                </c:pt>
                <c:pt idx="73">
                  <c:v>29.935148559669791</c:v>
                </c:pt>
                <c:pt idx="74">
                  <c:v>30.155346989807967</c:v>
                </c:pt>
                <c:pt idx="75">
                  <c:v>30.368066848542163</c:v>
                </c:pt>
                <c:pt idx="76">
                  <c:v>30.573313666882704</c:v>
                </c:pt>
                <c:pt idx="77">
                  <c:v>30.771102555332874</c:v>
                </c:pt>
                <c:pt idx="78">
                  <c:v>30.961457821464506</c:v>
                </c:pt>
                <c:pt idx="79">
                  <c:v>31.14441257528302</c:v>
                </c:pt>
                <c:pt idx="80">
                  <c:v>31.320008324748308</c:v>
                </c:pt>
                <c:pt idx="81">
                  <c:v>31.48829456373392</c:v>
                </c:pt>
                <c:pt idx="82">
                  <c:v>31.649328354611583</c:v>
                </c:pt>
                <c:pt idx="83">
                  <c:v>31.803173907543499</c:v>
                </c:pt>
                <c:pt idx="84">
                  <c:v>31.949902158452275</c:v>
                </c:pt>
                <c:pt idx="85">
                  <c:v>32.089590347519469</c:v>
                </c:pt>
                <c:pt idx="86">
                  <c:v>32.222321599940614</c:v>
                </c:pt>
                <c:pt idx="87">
                  <c:v>32.348184510537727</c:v>
                </c:pt>
                <c:pt idx="88">
                  <c:v>32.46727273370221</c:v>
                </c:pt>
                <c:pt idx="89">
                  <c:v>32.579684580012021</c:v>
                </c:pt>
                <c:pt idx="90">
                  <c:v>32.685522620738716</c:v>
                </c:pt>
                <c:pt idx="91">
                  <c:v>32.784893301333504</c:v>
                </c:pt>
                <c:pt idx="92">
                  <c:v>32.877906564857021</c:v>
                </c:pt>
                <c:pt idx="93">
                  <c:v>32.964675486197464</c:v>
                </c:pt>
                <c:pt idx="94">
                  <c:v>33.045315917804707</c:v>
                </c:pt>
                <c:pt idx="95">
                  <c:v>33.119946147556227</c:v>
                </c:pt>
                <c:pt idx="96">
                  <c:v>33.188686569264327</c:v>
                </c:pt>
                <c:pt idx="97">
                  <c:v>33.251659366232438</c:v>
                </c:pt>
                <c:pt idx="98">
                  <c:v>33.308988208173538</c:v>
                </c:pt>
                <c:pt idx="99">
                  <c:v>33.360797961714084</c:v>
                </c:pt>
                <c:pt idx="100">
                  <c:v>33.407214414624207</c:v>
                </c:pt>
                <c:pt idx="101">
                  <c:v>33.448364013837661</c:v>
                </c:pt>
                <c:pt idx="102">
                  <c:v>33.484373617254995</c:v>
                </c:pt>
                <c:pt idx="103">
                  <c:v>33.515370259258532</c:v>
                </c:pt>
                <c:pt idx="104">
                  <c:v>33.541480929809865</c:v>
                </c:pt>
                <c:pt idx="105">
                  <c:v>33.562832366947838</c:v>
                </c:pt>
                <c:pt idx="106">
                  <c:v>33.579550862458525</c:v>
                </c:pt>
                <c:pt idx="107">
                  <c:v>33.59176208044736</c:v>
                </c:pt>
                <c:pt idx="108">
                  <c:v>33.599590888507606</c:v>
                </c:pt>
                <c:pt idx="109">
                  <c:v>33.603161201148581</c:v>
                </c:pt>
                <c:pt idx="110">
                  <c:v>33.602595835120482</c:v>
                </c:pt>
                <c:pt idx="111">
                  <c:v>33.598016376250953</c:v>
                </c:pt>
                <c:pt idx="112">
                  <c:v>33.589543057390721</c:v>
                </c:pt>
                <c:pt idx="113">
                  <c:v>33.577294647051737</c:v>
                </c:pt>
                <c:pt idx="114">
                  <c:v>33.561388348310757</c:v>
                </c:pt>
                <c:pt idx="115">
                  <c:v>33.541939707544238</c:v>
                </c:pt>
                <c:pt idx="116">
                  <c:v>33.519062532555985</c:v>
                </c:pt>
                <c:pt idx="117">
                  <c:v>33.492868819657794</c:v>
                </c:pt>
                <c:pt idx="118">
                  <c:v>33.463468689263742</c:v>
                </c:pt>
                <c:pt idx="119">
                  <c:v>33.43097032956225</c:v>
                </c:pt>
                <c:pt idx="120">
                  <c:v>33.395479947834552</c:v>
                </c:pt>
                <c:pt idx="121">
                  <c:v>33.357101728995147</c:v>
                </c:pt>
                <c:pt idx="122">
                  <c:v>33.315937800937803</c:v>
                </c:pt>
                <c:pt idx="123">
                  <c:v>33.272088206279783</c:v>
                </c:pt>
                <c:pt idx="124">
                  <c:v>33.225650880107928</c:v>
                </c:pt>
                <c:pt idx="125">
                  <c:v>33.176721633340946</c:v>
                </c:pt>
                <c:pt idx="126">
                  <c:v>33.125394141334844</c:v>
                </c:pt>
                <c:pt idx="127">
                  <c:v>33.071759937370764</c:v>
                </c:pt>
                <c:pt idx="128">
                  <c:v>33.015908410677874</c:v>
                </c:pt>
                <c:pt idx="129">
                  <c:v>32.95792680865712</c:v>
                </c:pt>
                <c:pt idx="130">
                  <c:v>32.897900242985727</c:v>
                </c:pt>
                <c:pt idx="131">
                  <c:v>32.835911699295735</c:v>
                </c:pt>
                <c:pt idx="132">
                  <c:v>32.772042050134083</c:v>
                </c:pt>
                <c:pt idx="133">
                  <c:v>32.706370070925232</c:v>
                </c:pt>
                <c:pt idx="134">
                  <c:v>32.638972458671248</c:v>
                </c:pt>
                <c:pt idx="135">
                  <c:v>32.56992385313761</c:v>
                </c:pt>
                <c:pt idx="136">
                  <c:v>32.499296860286577</c:v>
                </c:pt>
                <c:pt idx="137">
                  <c:v>32.427162077732397</c:v>
                </c:pt>
                <c:pt idx="138">
                  <c:v>32.353588122006137</c:v>
                </c:pt>
                <c:pt idx="139">
                  <c:v>32.278641657429468</c:v>
                </c:pt>
                <c:pt idx="140">
                  <c:v>32.20238742640943</c:v>
                </c:pt>
                <c:pt idx="141">
                  <c:v>32.124888280977245</c:v>
                </c:pt>
                <c:pt idx="142">
                  <c:v>32.046205215405877</c:v>
                </c:pt>
                <c:pt idx="143">
                  <c:v>31.966397399751379</c:v>
                </c:pt>
                <c:pt idx="144">
                  <c:v>31.885522214173974</c:v>
                </c:pt>
                <c:pt idx="145">
                  <c:v>31.803635283904114</c:v>
                </c:pt>
                <c:pt idx="146">
                  <c:v>31.720790514728812</c:v>
                </c:pt>
                <c:pt idx="147">
                  <c:v>31.637040128882116</c:v>
                </c:pt>
                <c:pt idx="148">
                  <c:v>31.552434701232631</c:v>
                </c:pt>
                <c:pt idx="149">
                  <c:v>31.467023195668915</c:v>
                </c:pt>
                <c:pt idx="150">
                  <c:v>31.380853001591472</c:v>
                </c:pt>
                <c:pt idx="151">
                  <c:v>31.29396997042744</c:v>
                </c:pt>
                <c:pt idx="152">
                  <c:v>31.206418452091135</c:v>
                </c:pt>
                <c:pt idx="153">
                  <c:v>31.118241331319918</c:v>
                </c:pt>
                <c:pt idx="154">
                  <c:v>31.029480063821548</c:v>
                </c:pt>
                <c:pt idx="155">
                  <c:v>30.940174712174503</c:v>
                </c:pt>
                <c:pt idx="156">
                  <c:v>30.850363981428789</c:v>
                </c:pt>
                <c:pt idx="157">
                  <c:v>30.760085254359428</c:v>
                </c:pt>
                <c:pt idx="158">
                  <c:v>30.669374626330097</c:v>
                </c:pt>
                <c:pt idx="159">
                  <c:v>30.578266939728604</c:v>
                </c:pt>
                <c:pt idx="160">
                  <c:v>30.486795817940315</c:v>
                </c:pt>
                <c:pt idx="161">
                  <c:v>30.394993698829545</c:v>
                </c:pt>
                <c:pt idx="162">
                  <c:v>30.302891867702531</c:v>
                </c:pt>
                <c:pt idx="163">
                  <c:v>30.210520489729284</c:v>
                </c:pt>
                <c:pt idx="164">
                  <c:v>30.117908641804405</c:v>
                </c:pt>
                <c:pt idx="165">
                  <c:v>30.025084343830294</c:v>
                </c:pt>
                <c:pt idx="166">
                  <c:v>29.932074589408703</c:v>
                </c:pt>
                <c:pt idx="167">
                  <c:v>29.838905375929123</c:v>
                </c:pt>
                <c:pt idx="168">
                  <c:v>29.745601734044854</c:v>
                </c:pt>
                <c:pt idx="169">
                  <c:v>29.652187756529823</c:v>
                </c:pt>
                <c:pt idx="170">
                  <c:v>29.558686626511051</c:v>
                </c:pt>
                <c:pt idx="171">
                  <c:v>29.46512064507354</c:v>
                </c:pt>
                <c:pt idx="172">
                  <c:v>29.371511258236048</c:v>
                </c:pt>
                <c:pt idx="173">
                  <c:v>29.277879083297634</c:v>
                </c:pt>
                <c:pt idx="174">
                  <c:v>29.18424393455636</c:v>
                </c:pt>
                <c:pt idx="175">
                  <c:v>29.090624848402619</c:v>
                </c:pt>
                <c:pt idx="176">
                  <c:v>28.997040107790788</c:v>
                </c:pt>
                <c:pt idx="177">
                  <c:v>28.903507266093975</c:v>
                </c:pt>
                <c:pt idx="178">
                  <c:v>28.810043170347416</c:v>
                </c:pt>
                <c:pt idx="179">
                  <c:v>28.716663983886924</c:v>
                </c:pt>
                <c:pt idx="180">
                  <c:v>28.623385208389656</c:v>
                </c:pt>
                <c:pt idx="181">
                  <c:v>28.530221705324909</c:v>
                </c:pt>
                <c:pt idx="182">
                  <c:v>28.43718771682337</c:v>
                </c:pt>
                <c:pt idx="183">
                  <c:v>28.344296885973719</c:v>
                </c:pt>
                <c:pt idx="184">
                  <c:v>28.25156227655582</c:v>
                </c:pt>
                <c:pt idx="185">
                  <c:v>28.158996392220295</c:v>
                </c:pt>
                <c:pt idx="186">
                  <c:v>28.066611195124349</c:v>
                </c:pt>
                <c:pt idx="187">
                  <c:v>27.97441812403418</c:v>
                </c:pt>
                <c:pt idx="188">
                  <c:v>27.882428111904488</c:v>
                </c:pt>
                <c:pt idx="189">
                  <c:v>27.790651602945623</c:v>
                </c:pt>
                <c:pt idx="190">
                  <c:v>27.699098569189232</c:v>
                </c:pt>
                <c:pt idx="191">
                  <c:v>27.607778526563276</c:v>
                </c:pt>
                <c:pt idx="192">
                  <c:v>27.516700550487261</c:v>
                </c:pt>
                <c:pt idx="193">
                  <c:v>27.425873290998808</c:v>
                </c:pt>
                <c:pt idx="194">
                  <c:v>27.335304987422397</c:v>
                </c:pt>
                <c:pt idx="195">
                  <c:v>27.245003482591283</c:v>
                </c:pt>
                <c:pt idx="196">
                  <c:v>27.154976236633502</c:v>
                </c:pt>
                <c:pt idx="197">
                  <c:v>27.065230340332743</c:v>
                </c:pt>
                <c:pt idx="198">
                  <c:v>26.975772528074977</c:v>
                </c:pt>
                <c:pt idx="199">
                  <c:v>26.886609190391312</c:v>
                </c:pt>
                <c:pt idx="200">
                  <c:v>26.797746386107786</c:v>
                </c:pt>
                <c:pt idx="201">
                  <c:v>26.709189854112392</c:v>
                </c:pt>
                <c:pt idx="202">
                  <c:v>26.62094502474967</c:v>
                </c:pt>
                <c:pt idx="203">
                  <c:v>26.533017030852996</c:v>
                </c:pt>
                <c:pt idx="204">
                  <c:v>26.445410718424473</c:v>
                </c:pt>
                <c:pt idx="205">
                  <c:v>26.358130656972349</c:v>
                </c:pt>
                <c:pt idx="206">
                  <c:v>26.2711811495154</c:v>
                </c:pt>
                <c:pt idx="207">
                  <c:v>26.184566242263919</c:v>
                </c:pt>
                <c:pt idx="208">
                  <c:v>26.098289733986526</c:v>
                </c:pt>
                <c:pt idx="209">
                  <c:v>26.012355185071808</c:v>
                </c:pt>
                <c:pt idx="210">
                  <c:v>25.926765926293761</c:v>
                </c:pt>
                <c:pt idx="211">
                  <c:v>25.841525067289741</c:v>
                </c:pt>
                <c:pt idx="212">
                  <c:v>25.756635504759419</c:v>
                </c:pt>
                <c:pt idx="213">
                  <c:v>25.672099930393042</c:v>
                </c:pt>
                <c:pt idx="214">
                  <c:v>25.587920838537169</c:v>
                </c:pt>
                <c:pt idx="215">
                  <c:v>25.504100533605804</c:v>
                </c:pt>
                <c:pt idx="216">
                  <c:v>25.420641137244669</c:v>
                </c:pt>
                <c:pt idx="217">
                  <c:v>25.337544595256109</c:v>
                </c:pt>
                <c:pt idx="218">
                  <c:v>25.254812684292133</c:v>
                </c:pt>
                <c:pt idx="219">
                  <c:v>25.172447018322622</c:v>
                </c:pt>
                <c:pt idx="220">
                  <c:v>25.090449054885735</c:v>
                </c:pt>
                <c:pt idx="221">
                  <c:v>25.008820101127341</c:v>
                </c:pt>
                <c:pt idx="222">
                  <c:v>24.927561319636098</c:v>
                </c:pt>
                <c:pt idx="223">
                  <c:v>24.846673734080543</c:v>
                </c:pt>
                <c:pt idx="224">
                  <c:v>24.766158234654551</c:v>
                </c:pt>
                <c:pt idx="225">
                  <c:v>24.686015583337173</c:v>
                </c:pt>
                <c:pt idx="226">
                  <c:v>24.606246418972862</c:v>
                </c:pt>
                <c:pt idx="227">
                  <c:v>24.526851262177697</c:v>
                </c:pt>
                <c:pt idx="228">
                  <c:v>24.447830520077332</c:v>
                </c:pt>
                <c:pt idx="229">
                  <c:v>24.36918449088202</c:v>
                </c:pt>
                <c:pt idx="230">
                  <c:v>24.290913368303958</c:v>
                </c:pt>
                <c:pt idx="231">
                  <c:v>24.213017245822119</c:v>
                </c:pt>
                <c:pt idx="232">
                  <c:v>24.135496120799516</c:v>
                </c:pt>
                <c:pt idx="233">
                  <c:v>24.058349898457632</c:v>
                </c:pt>
                <c:pt idx="234">
                  <c:v>23.981578395712813</c:v>
                </c:pt>
                <c:pt idx="235">
                  <c:v>23.905181344879043</c:v>
                </c:pt>
              </c:numCache>
            </c:numRef>
          </c:yVal>
          <c:smooth val="0"/>
          <c:extLst>
            <c:ext xmlns:c16="http://schemas.microsoft.com/office/drawing/2014/chart" uri="{C3380CC4-5D6E-409C-BE32-E72D297353CC}">
              <c16:uniqueId val="{00000004-F283-408C-84A8-E9324EEBB40D}"/>
            </c:ext>
          </c:extLst>
        </c:ser>
        <c:dLbls>
          <c:showLegendKey val="0"/>
          <c:showVal val="0"/>
          <c:showCatName val="0"/>
          <c:showSerName val="0"/>
          <c:showPercent val="0"/>
          <c:showBubbleSize val="0"/>
        </c:dLbls>
        <c:axId val="158697479"/>
        <c:axId val="158699527"/>
      </c:scatterChart>
      <c:valAx>
        <c:axId val="1586974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Calibrated Airspeed, KCAS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99527"/>
        <c:crosses val="autoZero"/>
        <c:crossBetween val="midCat"/>
      </c:valAx>
      <c:valAx>
        <c:axId val="158699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Lift-to-Drag Ratio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97479"/>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r>
              <a:rPr lang="en-US"/>
              <a:t>Thrust Performance at Cruise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a:ea typeface="Times New Roman"/>
              <a:cs typeface="Times New Roman"/>
            </a:defRPr>
          </a:pPr>
          <a:endParaRPr lang="en-US"/>
        </a:p>
      </c:txPr>
    </c:title>
    <c:autoTitleDeleted val="0"/>
    <c:plotArea>
      <c:layout/>
      <c:scatterChart>
        <c:scatterStyle val="lineMarker"/>
        <c:varyColors val="0"/>
        <c:ser>
          <c:idx val="0"/>
          <c:order val="0"/>
          <c:tx>
            <c:v>Propeller Thrust</c:v>
          </c:tx>
          <c:spPr>
            <a:ln w="25400" cap="rnd">
              <a:solidFill>
                <a:srgbClr val="0070C0"/>
              </a:solidFill>
              <a:prstDash val="solid"/>
              <a:round/>
            </a:ln>
            <a:effectLst/>
          </c:spPr>
          <c:marker>
            <c:symbol val="none"/>
          </c:marker>
          <c:xVal>
            <c:numRef>
              <c:f>'Performance Analysis'!$A$84:$A$326</c:f>
              <c:numCache>
                <c:formatCode>General</c:formatCode>
                <c:ptCount val="243"/>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pt idx="236">
                  <c:v>301</c:v>
                </c:pt>
                <c:pt idx="237">
                  <c:v>302</c:v>
                </c:pt>
                <c:pt idx="238">
                  <c:v>303</c:v>
                </c:pt>
                <c:pt idx="239">
                  <c:v>304</c:v>
                </c:pt>
                <c:pt idx="240">
                  <c:v>305</c:v>
                </c:pt>
                <c:pt idx="241">
                  <c:v>306</c:v>
                </c:pt>
                <c:pt idx="242">
                  <c:v>307</c:v>
                </c:pt>
              </c:numCache>
            </c:numRef>
          </c:xVal>
          <c:yVal>
            <c:numRef>
              <c:f>'Performance Analysis'!$R$84:$R$326</c:f>
              <c:numCache>
                <c:formatCode>0</c:formatCode>
                <c:ptCount val="243"/>
                <c:pt idx="0">
                  <c:v>2708.371769631146</c:v>
                </c:pt>
                <c:pt idx="1">
                  <c:v>2693.735857685203</c:v>
                </c:pt>
                <c:pt idx="2">
                  <c:v>2679.3205445599938</c:v>
                </c:pt>
                <c:pt idx="3">
                  <c:v>2665.1160979546062</c:v>
                </c:pt>
                <c:pt idx="4">
                  <c:v>2651.113349759481</c:v>
                </c:pt>
                <c:pt idx="5">
                  <c:v>2637.3036557570363</c:v>
                </c:pt>
                <c:pt idx="6">
                  <c:v>2623.6788587278634</c:v>
                </c:pt>
                <c:pt idx="7">
                  <c:v>2610.2312546314074</c:v>
                </c:pt>
                <c:pt idx="8">
                  <c:v>2596.9535615663262</c:v>
                </c:pt>
                <c:pt idx="9">
                  <c:v>2583.838891247563</c:v>
                </c:pt>
                <c:pt idx="10">
                  <c:v>2570.8807227652637</c:v>
                </c:pt>
                <c:pt idx="11">
                  <c:v>2558.0728784153598</c:v>
                </c:pt>
                <c:pt idx="12">
                  <c:v>2545.4095014134714</c:v>
                </c:pt>
                <c:pt idx="13">
                  <c:v>2532.8850353231346</c:v>
                </c:pt>
                <c:pt idx="14">
                  <c:v>2520.4942050464456</c:v>
                </c:pt>
                <c:pt idx="15">
                  <c:v>2508.23199924039</c:v>
                </c:pt>
                <c:pt idx="16">
                  <c:v>2496.0936540356865</c:v>
                </c:pt>
                <c:pt idx="17">
                  <c:v>2484.0746379469183</c:v>
                </c:pt>
                <c:pt idx="18">
                  <c:v>2472.1706378735112</c:v>
                </c:pt>
                <c:pt idx="19">
                  <c:v>2460.3775461006289</c:v>
                </c:pt>
                <c:pt idx="20">
                  <c:v>2448.6914482176676</c:v>
                </c:pt>
                <c:pt idx="21">
                  <c:v>2437.1086118796279</c:v>
                </c:pt>
                <c:pt idx="22">
                  <c:v>2425.6254763435809</c:v>
                </c:pt>
                <c:pt idx="23">
                  <c:v>2414.2386427185511</c:v>
                </c:pt>
                <c:pt idx="24">
                  <c:v>2402.9448648727043</c:v>
                </c:pt>
                <c:pt idx="25">
                  <c:v>2391.7410409467379</c:v>
                </c:pt>
                <c:pt idx="26">
                  <c:v>2380.6242054268073</c:v>
                </c:pt>
                <c:pt idx="27">
                  <c:v>2369.5915217344545</c:v>
                </c:pt>
                <c:pt idx="28">
                  <c:v>2358.6402752945983</c:v>
                </c:pt>
                <c:pt idx="29">
                  <c:v>2347.7678670459863</c:v>
                </c:pt>
                <c:pt idx="30">
                  <c:v>2336.971807361529</c:v>
                </c:pt>
                <c:pt idx="31">
                  <c:v>2326.2497103485944</c:v>
                </c:pt>
                <c:pt idx="32">
                  <c:v>2315.5992885018795</c:v>
                </c:pt>
                <c:pt idx="33">
                  <c:v>2305.0183476836419</c:v>
                </c:pt>
                <c:pt idx="34">
                  <c:v>2294.5047824081707</c:v>
                </c:pt>
                <c:pt idx="35">
                  <c:v>2284.0565714091822</c:v>
                </c:pt>
                <c:pt idx="36">
                  <c:v>2273.6717734705439</c:v>
                </c:pt>
                <c:pt idx="37">
                  <c:v>2263.348523502244</c:v>
                </c:pt>
                <c:pt idx="38">
                  <c:v>2253.0850288449551</c:v>
                </c:pt>
                <c:pt idx="39">
                  <c:v>2242.8795657877804</c:v>
                </c:pt>
                <c:pt idx="40">
                  <c:v>2232.7304762850031</c:v>
                </c:pt>
                <c:pt idx="41">
                  <c:v>2222.6361648586681</c:v>
                </c:pt>
                <c:pt idx="42">
                  <c:v>2212.5950956748575</c:v>
                </c:pt>
                <c:pt idx="43">
                  <c:v>2202.6057897823889</c:v>
                </c:pt>
                <c:pt idx="44">
                  <c:v>2192.6668225035191</c:v>
                </c:pt>
                <c:pt idx="45">
                  <c:v>2182.7768209669689</c:v>
                </c:pt>
                <c:pt idx="46">
                  <c:v>2172.9344617742968</c:v>
                </c:pt>
                <c:pt idx="47">
                  <c:v>2163.1384687912914</c:v>
                </c:pt>
                <c:pt idx="48">
                  <c:v>2153.3876110566343</c:v>
                </c:pt>
                <c:pt idx="49">
                  <c:v>2143.6807008006331</c:v>
                </c:pt>
                <c:pt idx="50">
                  <c:v>2134.0165915673219</c:v>
                </c:pt>
                <c:pt idx="51">
                  <c:v>2124.3941764337001</c:v>
                </c:pt>
                <c:pt idx="52">
                  <c:v>2114.8123863202882</c:v>
                </c:pt>
                <c:pt idx="53">
                  <c:v>2105.2701883875902</c:v>
                </c:pt>
                <c:pt idx="54">
                  <c:v>2095.7665845134024</c:v>
                </c:pt>
                <c:pt idx="55">
                  <c:v>2086.3006098462624</c:v>
                </c:pt>
                <c:pt idx="56">
                  <c:v>2076.8713314306247</c:v>
                </c:pt>
                <c:pt idx="57">
                  <c:v>2067.4778468996469</c:v>
                </c:pt>
                <c:pt idx="58">
                  <c:v>2058.1192832317533</c:v>
                </c:pt>
                <c:pt idx="59">
                  <c:v>2048.7947955673526</c:v>
                </c:pt>
                <c:pt idx="60">
                  <c:v>2039.5035660823617</c:v>
                </c:pt>
                <c:pt idx="61">
                  <c:v>2030.2448029153654</c:v>
                </c:pt>
                <c:pt idx="62">
                  <c:v>2021.0177391454667</c:v>
                </c:pt>
                <c:pt idx="63">
                  <c:v>2011.8216318180455</c:v>
                </c:pt>
                <c:pt idx="64">
                  <c:v>2002.6557610158357</c:v>
                </c:pt>
                <c:pt idx="65">
                  <c:v>1993.5194289728695</c:v>
                </c:pt>
                <c:pt idx="66">
                  <c:v>1984.4119592290135</c:v>
                </c:pt>
                <c:pt idx="67">
                  <c:v>1975.3326958229225</c:v>
                </c:pt>
                <c:pt idx="68">
                  <c:v>1966.2810025214144</c:v>
                </c:pt>
                <c:pt idx="69">
                  <c:v>1957.2562620833426</c:v>
                </c:pt>
                <c:pt idx="70">
                  <c:v>1948.2578755561851</c:v>
                </c:pt>
                <c:pt idx="71">
                  <c:v>1939.285261603673</c:v>
                </c:pt>
                <c:pt idx="72">
                  <c:v>1930.3378558628572</c:v>
                </c:pt>
                <c:pt idx="73">
                  <c:v>1921.4151103291351</c:v>
                </c:pt>
                <c:pt idx="74">
                  <c:v>1912.5164927678211</c:v>
                </c:pt>
                <c:pt idx="75">
                  <c:v>1903.641486150937</c:v>
                </c:pt>
                <c:pt idx="76">
                  <c:v>1894.7895881179613</c:v>
                </c:pt>
                <c:pt idx="77">
                  <c:v>1885.9603104593746</c:v>
                </c:pt>
                <c:pt idx="78">
                  <c:v>1877.1531786218688</c:v>
                </c:pt>
                <c:pt idx="79">
                  <c:v>1868.3677312341711</c:v>
                </c:pt>
                <c:pt idx="80">
                  <c:v>1859.6035196524927</c:v>
                </c:pt>
                <c:pt idx="81">
                  <c:v>1850.8601075246552</c:v>
                </c:pt>
                <c:pt idx="82">
                  <c:v>1842.1370703720074</c:v>
                </c:pt>
                <c:pt idx="83">
                  <c:v>1833.4339951882978</c:v>
                </c:pt>
                <c:pt idx="84">
                  <c:v>1824.750480054686</c:v>
                </c:pt>
                <c:pt idx="85">
                  <c:v>1816.0861337701722</c:v>
                </c:pt>
                <c:pt idx="86">
                  <c:v>1807.4405754966949</c:v>
                </c:pt>
                <c:pt idx="87">
                  <c:v>1798.8134344182447</c:v>
                </c:pt>
                <c:pt idx="88">
                  <c:v>1790.2043494133527</c:v>
                </c:pt>
                <c:pt idx="89">
                  <c:v>1781.6129687403245</c:v>
                </c:pt>
                <c:pt idx="90">
                  <c:v>1773.0389497346735</c:v>
                </c:pt>
                <c:pt idx="91">
                  <c:v>1764.4819585181815</c:v>
                </c:pt>
                <c:pt idx="92">
                  <c:v>1755.9416697190791</c:v>
                </c:pt>
                <c:pt idx="93">
                  <c:v>1747.4177662028605</c:v>
                </c:pt>
                <c:pt idx="94">
                  <c:v>1738.9099388132443</c:v>
                </c:pt>
                <c:pt idx="95">
                  <c:v>1730.417886122857</c:v>
                </c:pt>
                <c:pt idx="96">
                  <c:v>1721.9413141932037</c:v>
                </c:pt>
                <c:pt idx="97">
                  <c:v>1713.4799363435297</c:v>
                </c:pt>
                <c:pt idx="98">
                  <c:v>1705.0334729281913</c:v>
                </c:pt>
                <c:pt idx="99">
                  <c:v>1696.6016511221699</c:v>
                </c:pt>
                <c:pt idx="100">
                  <c:v>1688.184204714388</c:v>
                </c:pt>
                <c:pt idx="101">
                  <c:v>1679.780873908491</c:v>
                </c:pt>
                <c:pt idx="102">
                  <c:v>1671.3914051307922</c:v>
                </c:pt>
                <c:pt idx="103">
                  <c:v>1663.0155508450744</c:v>
                </c:pt>
                <c:pt idx="104">
                  <c:v>1654.6530693739646</c:v>
                </c:pt>
                <c:pt idx="105">
                  <c:v>1646.3037247266177</c:v>
                </c:pt>
                <c:pt idx="106">
                  <c:v>1637.9672864324402</c:v>
                </c:pt>
                <c:pt idx="107">
                  <c:v>1629.6435293806221</c:v>
                </c:pt>
                <c:pt idx="108">
                  <c:v>1621.3322336652254</c:v>
                </c:pt>
                <c:pt idx="109">
                  <c:v>1613.0331844356228</c:v>
                </c:pt>
                <c:pt idx="110">
                  <c:v>1604.746171752058</c:v>
                </c:pt>
                <c:pt idx="111">
                  <c:v>1596.4709904461326</c:v>
                </c:pt>
                <c:pt idx="112">
                  <c:v>1588.2074399860214</c:v>
                </c:pt>
                <c:pt idx="113">
                  <c:v>1579.9553243462335</c:v>
                </c:pt>
                <c:pt idx="114">
                  <c:v>1571.7144518817363</c:v>
                </c:pt>
                <c:pt idx="115">
                  <c:v>1563.4846352062743</c:v>
                </c:pt>
                <c:pt idx="116">
                  <c:v>1555.2656910747257</c:v>
                </c:pt>
                <c:pt idx="117">
                  <c:v>1547.0574402693333</c:v>
                </c:pt>
                <c:pt idx="118">
                  <c:v>1538.8597074896688</c:v>
                </c:pt>
                <c:pt idx="119">
                  <c:v>1530.6723212461818</c:v>
                </c:pt>
                <c:pt idx="120">
                  <c:v>1522.495113757205</c:v>
                </c:pt>
                <c:pt idx="121">
                  <c:v>1514.3279208492781</c:v>
                </c:pt>
                <c:pt idx="122">
                  <c:v>1506.1705818606729</c:v>
                </c:pt>
                <c:pt idx="123">
                  <c:v>1498.0229395479964</c:v>
                </c:pt>
                <c:pt idx="124">
                  <c:v>1489.8848399957574</c:v>
                </c:pt>
                <c:pt idx="125">
                  <c:v>1481.7561325287916</c:v>
                </c:pt>
                <c:pt idx="126">
                  <c:v>1473.6366696274351</c:v>
                </c:pt>
                <c:pt idx="127">
                  <c:v>1465.5263068453494</c:v>
                </c:pt>
                <c:pt idx="128">
                  <c:v>1457.4249027299034</c:v>
                </c:pt>
                <c:pt idx="129">
                  <c:v>1449.3323187450158</c:v>
                </c:pt>
                <c:pt idx="130">
                  <c:v>1441.2484191963702</c:v>
                </c:pt>
                <c:pt idx="131">
                  <c:v>1433.1730711589216</c:v>
                </c:pt>
                <c:pt idx="132">
                  <c:v>1425.1061444066115</c:v>
                </c:pt>
                <c:pt idx="133">
                  <c:v>1417.0475113442103</c:v>
                </c:pt>
                <c:pt idx="134">
                  <c:v>1408.9970469412169</c:v>
                </c:pt>
                <c:pt idx="135">
                  <c:v>1400.9546286677398</c:v>
                </c:pt>
                <c:pt idx="136">
                  <c:v>1392.9201364322948</c:v>
                </c:pt>
                <c:pt idx="137">
                  <c:v>1384.8934525214454</c:v>
                </c:pt>
                <c:pt idx="138">
                  <c:v>1376.8744615412309</c:v>
                </c:pt>
                <c:pt idx="139">
                  <c:v>1368.8630503603199</c:v>
                </c:pt>
                <c:pt idx="140">
                  <c:v>1360.8591080548197</c:v>
                </c:pt>
                <c:pt idx="141">
                  <c:v>1352.8625258546999</c:v>
                </c:pt>
                <c:pt idx="142">
                  <c:v>1344.8731970917665</c:v>
                </c:pt>
                <c:pt idx="143">
                  <c:v>1336.8910171491366</c:v>
                </c:pt>
                <c:pt idx="144">
                  <c:v>1328.9158834121658</c:v>
                </c:pt>
                <c:pt idx="145">
                  <c:v>1320.9476952207724</c:v>
                </c:pt>
                <c:pt idx="146">
                  <c:v>1312.9863538231236</c:v>
                </c:pt>
                <c:pt idx="147">
                  <c:v>1305.0317623306296</c:v>
                </c:pt>
                <c:pt idx="148">
                  <c:v>1297.083825674202</c:v>
                </c:pt>
                <c:pt idx="149">
                  <c:v>1289.1424505617481</c:v>
                </c:pt>
                <c:pt idx="150">
                  <c:v>1281.2075454368396</c:v>
                </c:pt>
                <c:pt idx="151">
                  <c:v>1273.2790204385385</c:v>
                </c:pt>
                <c:pt idx="152">
                  <c:v>1265.356787362329</c:v>
                </c:pt>
                <c:pt idx="153">
                  <c:v>1257.4407596221279</c:v>
                </c:pt>
                <c:pt idx="154">
                  <c:v>1249.5308522133321</c:v>
                </c:pt>
                <c:pt idx="155">
                  <c:v>1241.626981676877</c:v>
                </c:pt>
                <c:pt idx="156">
                  <c:v>1233.7290660642695</c:v>
                </c:pt>
                <c:pt idx="157">
                  <c:v>1225.8370249035652</c:v>
                </c:pt>
                <c:pt idx="158">
                  <c:v>1217.9507791662636</c:v>
                </c:pt>
                <c:pt idx="159">
                  <c:v>1210.070251235087</c:v>
                </c:pt>
                <c:pt idx="160">
                  <c:v>1202.1953648726205</c:v>
                </c:pt>
                <c:pt idx="161">
                  <c:v>1194.3260451907831</c:v>
                </c:pt>
                <c:pt idx="162">
                  <c:v>1186.4622186211091</c:v>
                </c:pt>
                <c:pt idx="163">
                  <c:v>1178.6038128858065</c:v>
                </c:pt>
                <c:pt idx="164">
                  <c:v>1170.7507569695786</c:v>
                </c:pt>
                <c:pt idx="165">
                  <c:v>1162.9029810921757</c:v>
                </c:pt>
                <c:pt idx="166">
                  <c:v>1155.0604166816645</c:v>
                </c:pt>
                <c:pt idx="167">
                  <c:v>1147.2229963483887</c:v>
                </c:pt>
                <c:pt idx="168">
                  <c:v>1139.3906538595929</c:v>
                </c:pt>
                <c:pt idx="169">
                  <c:v>1131.5633241147073</c:v>
                </c:pt>
                <c:pt idx="170">
                  <c:v>1123.7409431212564</c:v>
                </c:pt>
                <c:pt idx="171">
                  <c:v>1115.9234479713828</c:v>
                </c:pt>
                <c:pt idx="172">
                  <c:v>1108.1107768189652</c:v>
                </c:pt>
                <c:pt idx="173">
                  <c:v>1100.3028688573138</c:v>
                </c:pt>
                <c:pt idx="174">
                  <c:v>1092.4996642974208</c:v>
                </c:pt>
                <c:pt idx="175">
                  <c:v>1084.7011043467674</c:v>
                </c:pt>
                <c:pt idx="176">
                  <c:v>1076.9071311886396</c:v>
                </c:pt>
                <c:pt idx="177">
                  <c:v>1069.1176879619729</c:v>
                </c:pt>
                <c:pt idx="178">
                  <c:v>1061.3327187416876</c:v>
                </c:pt>
                <c:pt idx="179">
                  <c:v>1053.5521685195085</c:v>
                </c:pt>
                <c:pt idx="180">
                  <c:v>1045.7759831852547</c:v>
                </c:pt>
                <c:pt idx="181">
                  <c:v>1038.004109508586</c:v>
                </c:pt>
                <c:pt idx="182">
                  <c:v>1030.2364951211912</c:v>
                </c:pt>
                <c:pt idx="183">
                  <c:v>1022.4730884994099</c:v>
                </c:pt>
                <c:pt idx="184">
                  <c:v>1014.7138389472706</c:v>
                </c:pt>
                <c:pt idx="185">
                  <c:v>1006.9586965799385</c:v>
                </c:pt>
                <c:pt idx="186">
                  <c:v>999.20761230755443</c:v>
                </c:pt>
                <c:pt idx="187">
                  <c:v>991.46053781946432</c:v>
                </c:pt>
                <c:pt idx="188">
                  <c:v>983.71742556882054</c:v>
                </c:pt>
                <c:pt idx="189">
                  <c:v>975.97822875754036</c:v>
                </c:pt>
                <c:pt idx="190">
                  <c:v>968.24290132163208</c:v>
                </c:pt>
                <c:pt idx="191">
                  <c:v>960.51139791685375</c:v>
                </c:pt>
                <c:pt idx="192">
                  <c:v>952.78367390470942</c:v>
                </c:pt>
                <c:pt idx="193">
                  <c:v>945.05968533877319</c:v>
                </c:pt>
                <c:pt idx="194">
                  <c:v>937.33938895132746</c:v>
                </c:pt>
                <c:pt idx="195">
                  <c:v>929.62274214031436</c:v>
                </c:pt>
                <c:pt idx="196">
                  <c:v>921.90970295657837</c:v>
                </c:pt>
                <c:pt idx="197">
                  <c:v>914.20023009141062</c:v>
                </c:pt>
                <c:pt idx="198">
                  <c:v>906.4942828643708</c:v>
                </c:pt>
                <c:pt idx="199">
                  <c:v>898.79182121138979</c:v>
                </c:pt>
                <c:pt idx="200">
                  <c:v>891.09280567313783</c:v>
                </c:pt>
                <c:pt idx="201">
                  <c:v>883.39719738366023</c:v>
                </c:pt>
                <c:pt idx="202">
                  <c:v>875.70495805926248</c:v>
                </c:pt>
                <c:pt idx="203">
                  <c:v>868.01604998764844</c:v>
                </c:pt>
                <c:pt idx="204">
                  <c:v>860.33043601730037</c:v>
                </c:pt>
                <c:pt idx="205">
                  <c:v>852.64807954709408</c:v>
                </c:pt>
                <c:pt idx="206">
                  <c:v>844.96894451614185</c:v>
                </c:pt>
                <c:pt idx="207">
                  <c:v>837.29299539386272</c:v>
                </c:pt>
                <c:pt idx="208">
                  <c:v>829.62019717027169</c:v>
                </c:pt>
                <c:pt idx="209">
                  <c:v>821.95051534647871</c:v>
                </c:pt>
                <c:pt idx="210">
                  <c:v>814.28391592539447</c:v>
                </c:pt>
                <c:pt idx="211">
                  <c:v>806.62036540264205</c:v>
                </c:pt>
                <c:pt idx="212">
                  <c:v>798.95983075766151</c:v>
                </c:pt>
                <c:pt idx="213">
                  <c:v>791.30227944500939</c:v>
                </c:pt>
                <c:pt idx="214">
                  <c:v>783.64767938584373</c:v>
                </c:pt>
                <c:pt idx="215">
                  <c:v>775.99599895959125</c:v>
                </c:pt>
                <c:pt idx="216">
                  <c:v>768.34720699579407</c:v>
                </c:pt>
                <c:pt idx="217">
                  <c:v>760.70127276612834</c:v>
                </c:pt>
                <c:pt idx="218">
                  <c:v>753.05816597659157</c:v>
                </c:pt>
                <c:pt idx="219">
                  <c:v>745.41785675985898</c:v>
                </c:pt>
                <c:pt idx="220">
                  <c:v>737.78031566779691</c:v>
                </c:pt>
                <c:pt idx="221">
                  <c:v>730.14551366413093</c:v>
                </c:pt>
                <c:pt idx="222">
                  <c:v>722.51342211727581</c:v>
                </c:pt>
                <c:pt idx="223">
                  <c:v>714.88401279330617</c:v>
                </c:pt>
                <c:pt idx="224">
                  <c:v>707.25725784907797</c:v>
                </c:pt>
                <c:pt idx="225">
                  <c:v>699.63312982549098</c:v>
                </c:pt>
                <c:pt idx="226">
                  <c:v>692.01160164088833</c:v>
                </c:pt>
                <c:pt idx="227">
                  <c:v>684.39264658459672</c:v>
                </c:pt>
                <c:pt idx="228">
                  <c:v>676.776238310591</c:v>
                </c:pt>
                <c:pt idx="229">
                  <c:v>669.16235083129743</c:v>
                </c:pt>
                <c:pt idx="230">
                  <c:v>661.55095851151589</c:v>
                </c:pt>
                <c:pt idx="231">
                  <c:v>653.94203606246697</c:v>
                </c:pt>
                <c:pt idx="232">
                  <c:v>646.33555853596135</c:v>
                </c:pt>
                <c:pt idx="233">
                  <c:v>638.7315013186851</c:v>
                </c:pt>
                <c:pt idx="234">
                  <c:v>631.12984012660002</c:v>
                </c:pt>
                <c:pt idx="235">
                  <c:v>623.53055099945254</c:v>
                </c:pt>
                <c:pt idx="236">
                  <c:v>615.93361029540108</c:v>
                </c:pt>
                <c:pt idx="237">
                  <c:v>608.33899468573861</c:v>
                </c:pt>
                <c:pt idx="238">
                  <c:v>600.74668114972769</c:v>
                </c:pt>
                <c:pt idx="239">
                  <c:v>593.15664696953786</c:v>
                </c:pt>
                <c:pt idx="240">
                  <c:v>585.56886972527445</c:v>
                </c:pt>
                <c:pt idx="241">
                  <c:v>577.98332729011634</c:v>
                </c:pt>
                <c:pt idx="242">
                  <c:v>570.39999782553639</c:v>
                </c:pt>
              </c:numCache>
            </c:numRef>
          </c:yVal>
          <c:smooth val="0"/>
          <c:extLst>
            <c:ext xmlns:c16="http://schemas.microsoft.com/office/drawing/2014/chart" uri="{C3380CC4-5D6E-409C-BE32-E72D297353CC}">
              <c16:uniqueId val="{00000000-6DC9-4CF7-BC35-B00C4B9B4C20}"/>
            </c:ext>
          </c:extLst>
        </c:ser>
        <c:ser>
          <c:idx val="1"/>
          <c:order val="1"/>
          <c:tx>
            <c:v>Drag</c:v>
          </c:tx>
          <c:spPr>
            <a:ln w="19050" cap="rnd">
              <a:solidFill>
                <a:srgbClr val="E87331"/>
              </a:solidFill>
              <a:prstDash val="solid"/>
              <a:round/>
            </a:ln>
            <a:effectLst/>
          </c:spPr>
          <c:marker>
            <c:symbol val="none"/>
          </c:marker>
          <c:xVal>
            <c:numRef>
              <c:f>'Performance Analysis'!$A$84:$A$326</c:f>
              <c:numCache>
                <c:formatCode>General</c:formatCode>
                <c:ptCount val="243"/>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pt idx="236">
                  <c:v>301</c:v>
                </c:pt>
                <c:pt idx="237">
                  <c:v>302</c:v>
                </c:pt>
                <c:pt idx="238">
                  <c:v>303</c:v>
                </c:pt>
                <c:pt idx="239">
                  <c:v>304</c:v>
                </c:pt>
                <c:pt idx="240">
                  <c:v>305</c:v>
                </c:pt>
                <c:pt idx="241">
                  <c:v>306</c:v>
                </c:pt>
                <c:pt idx="242">
                  <c:v>307</c:v>
                </c:pt>
              </c:numCache>
            </c:numRef>
          </c:xVal>
          <c:yVal>
            <c:numRef>
              <c:f>'Performance Analysis'!$S$84:$S$326</c:f>
              <c:numCache>
                <c:formatCode>0</c:formatCode>
                <c:ptCount val="243"/>
                <c:pt idx="0">
                  <c:v>2146.430213762952</c:v>
                </c:pt>
                <c:pt idx="1">
                  <c:v>2083.5406896129439</c:v>
                </c:pt>
                <c:pt idx="2">
                  <c:v>2023.6411563958677</c:v>
                </c:pt>
                <c:pt idx="3">
                  <c:v>1966.5599450259429</c:v>
                </c:pt>
                <c:pt idx="4">
                  <c:v>1912.1377353849239</c:v>
                </c:pt>
                <c:pt idx="5">
                  <c:v>1860.2265054750144</c:v>
                </c:pt>
                <c:pt idx="6">
                  <c:v>1810.6885834378015</c:v>
                </c:pt>
                <c:pt idx="7">
                  <c:v>1763.3957910901909</c:v>
                </c:pt>
                <c:pt idx="8">
                  <c:v>1718.2286690177789</c:v>
                </c:pt>
                <c:pt idx="9">
                  <c:v>1675.0757744690575</c:v>
                </c:pt>
                <c:pt idx="10">
                  <c:v>1633.8330443375326</c:v>
                </c:pt>
                <c:pt idx="11">
                  <c:v>1594.4032164261066</c:v>
                </c:pt>
                <c:pt idx="12">
                  <c:v>1556.6953029782671</c:v>
                </c:pt>
                <c:pt idx="13">
                  <c:v>1520.6241111502277</c:v>
                </c:pt>
                <c:pt idx="14">
                  <c:v>1486.1098057009824</c:v>
                </c:pt>
                <c:pt idx="15">
                  <c:v>1453.0775097052199</c:v>
                </c:pt>
                <c:pt idx="16">
                  <c:v>1421.4569395572453</c:v>
                </c:pt>
                <c:pt idx="17">
                  <c:v>1391.1820709410838</c:v>
                </c:pt>
                <c:pt idx="18">
                  <c:v>1362.1908328003044</c:v>
                </c:pt>
                <c:pt idx="19">
                  <c:v>1334.4248266569805</c:v>
                </c:pt>
                <c:pt idx="20">
                  <c:v>1307.8290689082025</c:v>
                </c:pt>
                <c:pt idx="21">
                  <c:v>1282.351753975269</c:v>
                </c:pt>
                <c:pt idx="22">
                  <c:v>1257.9440363992221</c:v>
                </c:pt>
                <c:pt idx="23">
                  <c:v>1234.5598301702412</c:v>
                </c:pt>
                <c:pt idx="24">
                  <c:v>1212.1556237505768</c:v>
                </c:pt>
                <c:pt idx="25">
                  <c:v>1190.6903094038985</c:v>
                </c:pt>
                <c:pt idx="26">
                  <c:v>1170.1250255803272</c:v>
                </c:pt>
                <c:pt idx="27">
                  <c:v>1150.4230112281246</c:v>
                </c:pt>
                <c:pt idx="28">
                  <c:v>1131.5494710116614</c:v>
                </c:pt>
                <c:pt idx="29">
                  <c:v>1113.4714505124671</c:v>
                </c:pt>
                <c:pt idx="30">
                  <c:v>1096.1577205771523</c:v>
                </c:pt>
                <c:pt idx="31">
                  <c:v>1079.5786700539775</c:v>
                </c:pt>
                <c:pt idx="32">
                  <c:v>1063.7062062298244</c:v>
                </c:pt>
                <c:pt idx="33">
                  <c:v>1048.5136623422122</c:v>
                </c:pt>
                <c:pt idx="34">
                  <c:v>1033.9757115975467</c:v>
                </c:pt>
                <c:pt idx="35">
                  <c:v>1020.0682871777419</c:v>
                </c:pt>
                <c:pt idx="36">
                  <c:v>1006.768507763257</c:v>
                </c:pt>
                <c:pt idx="37">
                  <c:v>994.05460814202672</c:v>
                </c:pt>
                <c:pt idx="38">
                  <c:v>981.90587451120939</c:v>
                </c:pt>
                <c:pt idx="39">
                  <c:v>970.30258411251407</c:v>
                </c:pt>
                <c:pt idx="40">
                  <c:v>959.22594887251717</c:v>
                </c:pt>
                <c:pt idx="41">
                  <c:v>948.6580627471476</c:v>
                </c:pt>
                <c:pt idx="42">
                  <c:v>938.58185249469852</c:v>
                </c:pt>
                <c:pt idx="43">
                  <c:v>928.98103162458733</c:v>
                </c:pt>
                <c:pt idx="44">
                  <c:v>919.84005728986119</c:v>
                </c:pt>
                <c:pt idx="45">
                  <c:v>911.14408991034168</c:v>
                </c:pt>
                <c:pt idx="46">
                  <c:v>902.87895533049743</c:v>
                </c:pt>
                <c:pt idx="47">
                  <c:v>895.03110933180938</c:v>
                </c:pt>
                <c:pt idx="48">
                  <c:v>887.58760433368627</c:v>
                </c:pt>
                <c:pt idx="49">
                  <c:v>880.53605813002264</c:v>
                </c:pt>
                <c:pt idx="50">
                  <c:v>873.86462452041542</c:v>
                </c:pt>
                <c:pt idx="51">
                  <c:v>867.56196570593693</c:v>
                </c:pt>
                <c:pt idx="52">
                  <c:v>861.61722632933515</c:v>
                </c:pt>
                <c:pt idx="53">
                  <c:v>856.02000904864792</c:v>
                </c:pt>
                <c:pt idx="54">
                  <c:v>850.76035154158251</c:v>
                </c:pt>
                <c:pt idx="55">
                  <c:v>845.82870484567923</c:v>
                </c:pt>
                <c:pt idx="56">
                  <c:v>841.21591294630525</c:v>
                </c:pt>
                <c:pt idx="57">
                  <c:v>836.91319353099925</c:v>
                </c:pt>
                <c:pt idx="58">
                  <c:v>832.91211983461142</c:v>
                </c:pt>
                <c:pt idx="59">
                  <c:v>829.20460350515305</c:v>
                </c:pt>
                <c:pt idx="60">
                  <c:v>825.78287842529721</c:v>
                </c:pt>
                <c:pt idx="61">
                  <c:v>822.63948542909088</c:v>
                </c:pt>
                <c:pt idx="62">
                  <c:v>819.76725785771475</c:v>
                </c:pt>
                <c:pt idx="63">
                  <c:v>817.15930790205812</c:v>
                </c:pt>
                <c:pt idx="64">
                  <c:v>814.8090136835001</c:v>
                </c:pt>
                <c:pt idx="65">
                  <c:v>812.71000702764945</c:v>
                </c:pt>
                <c:pt idx="66">
                  <c:v>810.85616188888673</c:v>
                </c:pt>
                <c:pt idx="67">
                  <c:v>809.24158338641371</c:v>
                </c:pt>
                <c:pt idx="68">
                  <c:v>807.86059741517249</c:v>
                </c:pt>
                <c:pt idx="69">
                  <c:v>806.70774079743785</c:v>
                </c:pt>
                <c:pt idx="70">
                  <c:v>805.77775194316496</c:v>
                </c:pt>
                <c:pt idx="71">
                  <c:v>805.06556198927683</c:v>
                </c:pt>
                <c:pt idx="72">
                  <c:v>804.56628639002417</c:v>
                </c:pt>
                <c:pt idx="73">
                  <c:v>804.27521693236929</c:v>
                </c:pt>
                <c:pt idx="74">
                  <c:v>804.18781415201386</c:v>
                </c:pt>
                <c:pt idx="75">
                  <c:v>804.29970012726596</c:v>
                </c:pt>
                <c:pt idx="76">
                  <c:v>804.60665162938085</c:v>
                </c:pt>
                <c:pt idx="77">
                  <c:v>805.10459360936375</c:v>
                </c:pt>
                <c:pt idx="78">
                  <c:v>805.7895930024813</c:v>
                </c:pt>
                <c:pt idx="79">
                  <c:v>806.65785283288926</c:v>
                </c:pt>
                <c:pt idx="80">
                  <c:v>807.7057066018765</c:v>
                </c:pt>
                <c:pt idx="81">
                  <c:v>808.92961294424117</c:v>
                </c:pt>
                <c:pt idx="82">
                  <c:v>810.32615053825316</c:v>
                </c:pt>
                <c:pt idx="83">
                  <c:v>811.89201325554279</c:v>
                </c:pt>
                <c:pt idx="84">
                  <c:v>813.62400553808016</c:v>
                </c:pt>
                <c:pt idx="85">
                  <c:v>815.51903799017066</c:v>
                </c:pt>
                <c:pt idx="86">
                  <c:v>817.57412317411502</c:v>
                </c:pt>
                <c:pt idx="87">
                  <c:v>819.78637159884988</c:v>
                </c:pt>
                <c:pt idx="88">
                  <c:v>822.15298789151211</c:v>
                </c:pt>
                <c:pt idx="89">
                  <c:v>824.67126714245319</c:v>
                </c:pt>
                <c:pt idx="90">
                  <c:v>827.33859141478297</c:v>
                </c:pt>
                <c:pt idx="91">
                  <c:v>830.15242641003317</c:v>
                </c:pt>
                <c:pt idx="92">
                  <c:v>833.11031828200646</c:v>
                </c:pt>
                <c:pt idx="93">
                  <c:v>836.20989059133819</c:v>
                </c:pt>
                <c:pt idx="94">
                  <c:v>839.44884139370788</c:v>
                </c:pt>
                <c:pt idx="95">
                  <c:v>842.82494045504143</c:v>
                </c:pt>
                <c:pt idx="96">
                  <c:v>846.33602658741609</c:v>
                </c:pt>
                <c:pt idx="97">
                  <c:v>849.98000509971871</c:v>
                </c:pt>
                <c:pt idx="98">
                  <c:v>853.75484535745284</c:v>
                </c:pt>
                <c:pt idx="99">
                  <c:v>857.65857844637617</c:v>
                </c:pt>
                <c:pt idx="100">
                  <c:v>861.68929493495853</c:v>
                </c:pt>
                <c:pt idx="101">
                  <c:v>865.84514273090599</c:v>
                </c:pt>
                <c:pt idx="102">
                  <c:v>870.12432502726062</c:v>
                </c:pt>
                <c:pt idx="103">
                  <c:v>874.52509833382658</c:v>
                </c:pt>
                <c:pt idx="104">
                  <c:v>879.04577058988741</c:v>
                </c:pt>
                <c:pt idx="105">
                  <c:v>883.68469935441044</c:v>
                </c:pt>
                <c:pt idx="106">
                  <c:v>888.44029007011488</c:v>
                </c:pt>
                <c:pt idx="107">
                  <c:v>893.31099439798265</c:v>
                </c:pt>
                <c:pt idx="108">
                  <c:v>898.29530861896581</c:v>
                </c:pt>
                <c:pt idx="109">
                  <c:v>903.39177209980357</c:v>
                </c:pt>
                <c:pt idx="110">
                  <c:v>908.59896582003341</c:v>
                </c:pt>
                <c:pt idx="111">
                  <c:v>913.91551095741795</c:v>
                </c:pt>
                <c:pt idx="112">
                  <c:v>919.34006752915786</c:v>
                </c:pt>
                <c:pt idx="113">
                  <c:v>924.87133308638829</c:v>
                </c:pt>
                <c:pt idx="114">
                  <c:v>930.50804145958671</c:v>
                </c:pt>
                <c:pt idx="115">
                  <c:v>936.2489615526323</c:v>
                </c:pt>
                <c:pt idx="116">
                  <c:v>942.09289618337561</c:v>
                </c:pt>
                <c:pt idx="117">
                  <c:v>948.03868096867984</c:v>
                </c:pt>
                <c:pt idx="118">
                  <c:v>954.08518325199066</c:v>
                </c:pt>
                <c:pt idx="119">
                  <c:v>960.23130107159636</c:v>
                </c:pt>
                <c:pt idx="120">
                  <c:v>966.47596216782051</c:v>
                </c:pt>
                <c:pt idx="121">
                  <c:v>972.81812302747483</c:v>
                </c:pt>
                <c:pt idx="122">
                  <c:v>979.25676796398932</c:v>
                </c:pt>
                <c:pt idx="123">
                  <c:v>985.7909082316977</c:v>
                </c:pt>
                <c:pt idx="124">
                  <c:v>992.4195811728415</c:v>
                </c:pt>
                <c:pt idx="125">
                  <c:v>999.14184939591723</c:v>
                </c:pt>
                <c:pt idx="126">
                  <c:v>1005.9567999840579</c:v>
                </c:pt>
                <c:pt idx="127">
                  <c:v>1012.8635437321988</c:v>
                </c:pt>
                <c:pt idx="128">
                  <c:v>1019.8612144118382</c:v>
                </c:pt>
                <c:pt idx="129">
                  <c:v>1026.9489680622628</c:v>
                </c:pt>
                <c:pt idx="130">
                  <c:v>1034.1259823071443</c:v>
                </c:pt>
                <c:pt idx="131">
                  <c:v>1041.3914556954887</c:v>
                </c:pt>
                <c:pt idx="132">
                  <c:v>1048.7446070659348</c:v>
                </c:pt>
                <c:pt idx="133">
                  <c:v>1056.1846749334786</c:v>
                </c:pt>
                <c:pt idx="134">
                  <c:v>1063.7109168977092</c:v>
                </c:pt>
                <c:pt idx="135">
                  <c:v>1071.3226090717105</c:v>
                </c:pt>
                <c:pt idx="136">
                  <c:v>1079.0190455307948</c:v>
                </c:pt>
                <c:pt idx="137">
                  <c:v>1086.7995377802995</c:v>
                </c:pt>
                <c:pt idx="138">
                  <c:v>1094.6634142416854</c:v>
                </c:pt>
                <c:pt idx="139">
                  <c:v>1102.6100197562287</c:v>
                </c:pt>
                <c:pt idx="140">
                  <c:v>1110.6387151056149</c:v>
                </c:pt>
                <c:pt idx="141">
                  <c:v>1118.7488765487883</c:v>
                </c:pt>
                <c:pt idx="142">
                  <c:v>1126.9398953744196</c:v>
                </c:pt>
                <c:pt idx="143">
                  <c:v>1135.2111774684054</c:v>
                </c:pt>
                <c:pt idx="144">
                  <c:v>1143.5621428958116</c:v>
                </c:pt>
                <c:pt idx="145">
                  <c:v>1151.9922254967241</c:v>
                </c:pt>
                <c:pt idx="146">
                  <c:v>1160.5008724954725</c:v>
                </c:pt>
                <c:pt idx="147">
                  <c:v>1169.0875441227267</c:v>
                </c:pt>
                <c:pt idx="148">
                  <c:v>1177.7517132499845</c:v>
                </c:pt>
                <c:pt idx="149">
                  <c:v>1186.4928650359864</c:v>
                </c:pt>
                <c:pt idx="150">
                  <c:v>1195.3104965846148</c:v>
                </c:pt>
                <c:pt idx="151">
                  <c:v>1204.204116613857</c:v>
                </c:pt>
                <c:pt idx="152">
                  <c:v>1213.1732451354185</c:v>
                </c:pt>
                <c:pt idx="153">
                  <c:v>1222.2174131446013</c:v>
                </c:pt>
                <c:pt idx="154">
                  <c:v>1231.3361623200751</c:v>
                </c:pt>
                <c:pt idx="155">
                  <c:v>1240.5290447331745</c:v>
                </c:pt>
                <c:pt idx="156">
                  <c:v>1249.7956225663861</c:v>
                </c:pt>
                <c:pt idx="157">
                  <c:v>1259.1354678406931</c:v>
                </c:pt>
                <c:pt idx="158">
                  <c:v>1268.548162151455</c:v>
                </c:pt>
                <c:pt idx="159">
                  <c:v>1278.033296412528</c:v>
                </c:pt>
                <c:pt idx="160">
                  <c:v>1287.5904706083227</c:v>
                </c:pt>
                <c:pt idx="161">
                  <c:v>1297.21929355353</c:v>
                </c:pt>
                <c:pt idx="162">
                  <c:v>1306.9193826602373</c:v>
                </c:pt>
                <c:pt idx="163">
                  <c:v>1316.6903637121752</c:v>
                </c:pt>
                <c:pt idx="164">
                  <c:v>1326.5318706458568</c:v>
                </c:pt>
                <c:pt idx="165">
                  <c:v>1336.4435453383612</c:v>
                </c:pt>
                <c:pt idx="166">
                  <c:v>1346.4250374015278</c:v>
                </c:pt>
                <c:pt idx="167">
                  <c:v>1356.4760039823559</c:v>
                </c:pt>
                <c:pt idx="168">
                  <c:v>1366.5961095693842</c:v>
                </c:pt>
                <c:pt idx="169">
                  <c:v>1376.785025804847</c:v>
                </c:pt>
                <c:pt idx="170">
                  <c:v>1387.0424313024171</c:v>
                </c:pt>
                <c:pt idx="171">
                  <c:v>1397.3680114703436</c:v>
                </c:pt>
                <c:pt idx="172">
                  <c:v>1407.7614583398001</c:v>
                </c:pt>
                <c:pt idx="173">
                  <c:v>1418.2224703982727</c:v>
                </c:pt>
                <c:pt idx="174">
                  <c:v>1428.7507524278162</c:v>
                </c:pt>
                <c:pt idx="175">
                  <c:v>1439.3460153480194</c:v>
                </c:pt>
                <c:pt idx="176">
                  <c:v>1450.0079760635203</c:v>
                </c:pt>
                <c:pt idx="177">
                  <c:v>1460.7363573159257</c:v>
                </c:pt>
                <c:pt idx="178">
                  <c:v>1471.5308875399824</c:v>
                </c:pt>
                <c:pt idx="179">
                  <c:v>1482.391300723875</c:v>
                </c:pt>
                <c:pt idx="180">
                  <c:v>1493.3173362734967</c:v>
                </c:pt>
                <c:pt idx="181">
                  <c:v>1504.3087388805811</c:v>
                </c:pt>
                <c:pt idx="182">
                  <c:v>1515.3652583945634</c:v>
                </c:pt>
                <c:pt idx="183">
                  <c:v>1526.4866496980467</c:v>
                </c:pt>
                <c:pt idx="184">
                  <c:v>1537.6726725857684</c:v>
                </c:pt>
                <c:pt idx="185">
                  <c:v>1548.9230916469403</c:v>
                </c:pt>
                <c:pt idx="186">
                  <c:v>1560.2376761508754</c:v>
                </c:pt>
                <c:pt idx="187">
                  <c:v>1571.6161999357728</c:v>
                </c:pt>
                <c:pt idx="188">
                  <c:v>1583.0584413005822</c:v>
                </c:pt>
                <c:pt idx="189">
                  <c:v>1594.5641828998396</c:v>
                </c:pt>
                <c:pt idx="190">
                  <c:v>1606.1332116413837</c:v>
                </c:pt>
                <c:pt idx="191">
                  <c:v>1617.7653185868639</c:v>
                </c:pt>
                <c:pt idx="192">
                  <c:v>1629.4602988549545</c:v>
                </c:pt>
                <c:pt idx="193">
                  <c:v>1641.2179515271891</c:v>
                </c:pt>
                <c:pt idx="194">
                  <c:v>1653.0380795563333</c:v>
                </c:pt>
                <c:pt idx="195">
                  <c:v>1664.9204896772192</c:v>
                </c:pt>
                <c:pt idx="196">
                  <c:v>1676.8649923199728</c:v>
                </c:pt>
                <c:pt idx="197">
                  <c:v>1688.8714015255473</c:v>
                </c:pt>
                <c:pt idx="198">
                  <c:v>1700.9395348635055</c:v>
                </c:pt>
                <c:pt idx="199">
                  <c:v>1713.0692133519749</c:v>
                </c:pt>
                <c:pt idx="200">
                  <c:v>1725.2602613797164</c:v>
                </c:pt>
                <c:pt idx="201">
                  <c:v>1737.5125066302376</c:v>
                </c:pt>
                <c:pt idx="202">
                  <c:v>1749.8257800078909</c:v>
                </c:pt>
                <c:pt idx="203">
                  <c:v>1762.1999155659034</c:v>
                </c:pt>
                <c:pt idx="204">
                  <c:v>1774.6347504362705</c:v>
                </c:pt>
                <c:pt idx="205">
                  <c:v>1787.1301247614631</c:v>
                </c:pt>
                <c:pt idx="206">
                  <c:v>1799.6858816279039</c:v>
                </c:pt>
                <c:pt idx="207">
                  <c:v>1812.3018670011445</c:v>
                </c:pt>
                <c:pt idx="208">
                  <c:v>1824.9779296627023</c:v>
                </c:pt>
                <c:pt idx="209">
                  <c:v>1837.7139211485119</c:v>
                </c:pt>
                <c:pt idx="210">
                  <c:v>1850.5096956889379</c:v>
                </c:pt>
                <c:pt idx="211">
                  <c:v>1863.365110150306</c:v>
                </c:pt>
                <c:pt idx="212">
                  <c:v>1876.2800239779101</c:v>
                </c:pt>
                <c:pt idx="213">
                  <c:v>1889.2542991404521</c:v>
                </c:pt>
                <c:pt idx="214">
                  <c:v>1902.287800075871</c:v>
                </c:pt>
                <c:pt idx="215">
                  <c:v>1915.3803936385273</c:v>
                </c:pt>
                <c:pt idx="216">
                  <c:v>1928.5319490476959</c:v>
                </c:pt>
                <c:pt idx="217">
                  <c:v>1941.7423378373442</c:v>
                </c:pt>
                <c:pt idx="218">
                  <c:v>1955.011433807136</c:v>
                </c:pt>
                <c:pt idx="219">
                  <c:v>1968.3391129746556</c:v>
                </c:pt>
                <c:pt idx="220">
                  <c:v>1981.7252535287932</c:v>
                </c:pt>
                <c:pt idx="221">
                  <c:v>1995.169735784277</c:v>
                </c:pt>
                <c:pt idx="222">
                  <c:v>2008.6724421373028</c:v>
                </c:pt>
                <c:pt idx="223">
                  <c:v>2022.2332570222491</c:v>
                </c:pt>
                <c:pt idx="224">
                  <c:v>2035.8520668694339</c:v>
                </c:pt>
                <c:pt idx="225">
                  <c:v>2049.5287600638926</c:v>
                </c:pt>
                <c:pt idx="226">
                  <c:v>2063.2632269051414</c:v>
                </c:pt>
                <c:pt idx="227">
                  <c:v>2077.0553595679071</c:v>
                </c:pt>
                <c:pt idx="228">
                  <c:v>2090.9050520637948</c:v>
                </c:pt>
                <c:pt idx="229">
                  <c:v>2104.8122002038604</c:v>
                </c:pt>
                <c:pt idx="230">
                  <c:v>2118.7767015620771</c:v>
                </c:pt>
                <c:pt idx="231">
                  <c:v>2132.7984554396603</c:v>
                </c:pt>
                <c:pt idx="232">
                  <c:v>2146.8773628302306</c:v>
                </c:pt>
                <c:pt idx="233">
                  <c:v>2161.0133263857992</c:v>
                </c:pt>
                <c:pt idx="234">
                  <c:v>2175.2062503835423</c:v>
                </c:pt>
                <c:pt idx="235">
                  <c:v>2189.4560406933533</c:v>
                </c:pt>
                <c:pt idx="236">
                  <c:v>2203.7626047461472</c:v>
                </c:pt>
                <c:pt idx="237">
                  <c:v>2218.1258515028976</c:v>
                </c:pt>
                <c:pt idx="238">
                  <c:v>2232.54569142439</c:v>
                </c:pt>
                <c:pt idx="239">
                  <c:v>2247.0220364416664</c:v>
                </c:pt>
                <c:pt idx="240">
                  <c:v>2261.5547999271544</c:v>
                </c:pt>
                <c:pt idx="241">
                  <c:v>2276.1438966664441</c:v>
                </c:pt>
                <c:pt idx="242">
                  <c:v>2290.7892428307223</c:v>
                </c:pt>
              </c:numCache>
            </c:numRef>
          </c:yVal>
          <c:smooth val="0"/>
          <c:extLst>
            <c:ext xmlns:c16="http://schemas.microsoft.com/office/drawing/2014/chart" uri="{C3380CC4-5D6E-409C-BE32-E72D297353CC}">
              <c16:uniqueId val="{00000001-0571-4812-A1E8-5DBEF2B43BA7}"/>
            </c:ext>
          </c:extLst>
        </c:ser>
        <c:ser>
          <c:idx val="2"/>
          <c:order val="2"/>
          <c:tx>
            <c:v>Combined Thrust</c:v>
          </c:tx>
          <c:spPr>
            <a:ln w="19050" cap="rnd">
              <a:solidFill>
                <a:schemeClr val="accent3"/>
              </a:solidFill>
              <a:round/>
            </a:ln>
            <a:effectLst/>
          </c:spPr>
          <c:marker>
            <c:symbol val="none"/>
          </c:marker>
          <c:xVal>
            <c:numRef>
              <c:f>'Performance Analysis'!$A$84:$A$326</c:f>
              <c:numCache>
                <c:formatCode>General</c:formatCode>
                <c:ptCount val="243"/>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pt idx="236">
                  <c:v>301</c:v>
                </c:pt>
                <c:pt idx="237">
                  <c:v>302</c:v>
                </c:pt>
                <c:pt idx="238">
                  <c:v>303</c:v>
                </c:pt>
                <c:pt idx="239">
                  <c:v>304</c:v>
                </c:pt>
                <c:pt idx="240">
                  <c:v>305</c:v>
                </c:pt>
                <c:pt idx="241">
                  <c:v>306</c:v>
                </c:pt>
                <c:pt idx="242">
                  <c:v>307</c:v>
                </c:pt>
              </c:numCache>
            </c:numRef>
          </c:xVal>
          <c:yVal>
            <c:numRef>
              <c:f>'Performance Analysis'!$T$84:$T$326</c:f>
              <c:numCache>
                <c:formatCode>0</c:formatCode>
                <c:ptCount val="243"/>
                <c:pt idx="0">
                  <c:v>4520.1317696311462</c:v>
                </c:pt>
                <c:pt idx="1">
                  <c:v>4505.4958576852032</c:v>
                </c:pt>
                <c:pt idx="2">
                  <c:v>4491.0805445599935</c:v>
                </c:pt>
                <c:pt idx="3">
                  <c:v>4476.8760979546059</c:v>
                </c:pt>
                <c:pt idx="4">
                  <c:v>4462.8733497594812</c:v>
                </c:pt>
                <c:pt idx="5">
                  <c:v>4449.063655757036</c:v>
                </c:pt>
                <c:pt idx="6">
                  <c:v>4435.4388587278636</c:v>
                </c:pt>
                <c:pt idx="7">
                  <c:v>4421.9912546314072</c:v>
                </c:pt>
                <c:pt idx="8">
                  <c:v>4408.7135615663265</c:v>
                </c:pt>
                <c:pt idx="9">
                  <c:v>4395.5988912475632</c:v>
                </c:pt>
                <c:pt idx="10">
                  <c:v>4382.6407227652635</c:v>
                </c:pt>
                <c:pt idx="11">
                  <c:v>4369.83287841536</c:v>
                </c:pt>
                <c:pt idx="12">
                  <c:v>4357.1695014134712</c:v>
                </c:pt>
                <c:pt idx="13">
                  <c:v>4344.6450353231348</c:v>
                </c:pt>
                <c:pt idx="14">
                  <c:v>4332.2542050464453</c:v>
                </c:pt>
                <c:pt idx="15">
                  <c:v>4319.9919992403902</c:v>
                </c:pt>
                <c:pt idx="16">
                  <c:v>4307.8536540356863</c:v>
                </c:pt>
                <c:pt idx="17">
                  <c:v>4295.8346379469185</c:v>
                </c:pt>
                <c:pt idx="18">
                  <c:v>4283.9306378735109</c:v>
                </c:pt>
                <c:pt idx="19">
                  <c:v>4272.1375461006292</c:v>
                </c:pt>
                <c:pt idx="20">
                  <c:v>4260.4514482176673</c:v>
                </c:pt>
                <c:pt idx="21">
                  <c:v>4248.8686118796277</c:v>
                </c:pt>
                <c:pt idx="22">
                  <c:v>4237.3854763435811</c:v>
                </c:pt>
                <c:pt idx="23">
                  <c:v>4225.9986427185513</c:v>
                </c:pt>
                <c:pt idx="24">
                  <c:v>4214.7048648727041</c:v>
                </c:pt>
                <c:pt idx="25">
                  <c:v>4203.5010409467377</c:v>
                </c:pt>
                <c:pt idx="26">
                  <c:v>4192.3842054268071</c:v>
                </c:pt>
                <c:pt idx="27">
                  <c:v>4181.3515217344548</c:v>
                </c:pt>
                <c:pt idx="28">
                  <c:v>4170.400275294598</c:v>
                </c:pt>
                <c:pt idx="29">
                  <c:v>4159.5278670459866</c:v>
                </c:pt>
                <c:pt idx="30">
                  <c:v>4148.7318073615288</c:v>
                </c:pt>
                <c:pt idx="31">
                  <c:v>4138.0097103485941</c:v>
                </c:pt>
                <c:pt idx="32">
                  <c:v>4127.3592885018797</c:v>
                </c:pt>
                <c:pt idx="33">
                  <c:v>4116.7783476836421</c:v>
                </c:pt>
                <c:pt idx="34">
                  <c:v>4106.2647824081705</c:v>
                </c:pt>
                <c:pt idx="35">
                  <c:v>4095.816571409182</c:v>
                </c:pt>
                <c:pt idx="36">
                  <c:v>4085.4317734705437</c:v>
                </c:pt>
                <c:pt idx="37">
                  <c:v>4075.1085235022438</c:v>
                </c:pt>
                <c:pt idx="38">
                  <c:v>4064.8450288449549</c:v>
                </c:pt>
                <c:pt idx="39">
                  <c:v>4054.6395657877802</c:v>
                </c:pt>
                <c:pt idx="40">
                  <c:v>4044.4904762850028</c:v>
                </c:pt>
                <c:pt idx="41">
                  <c:v>4034.3961648586683</c:v>
                </c:pt>
                <c:pt idx="42">
                  <c:v>4024.3550956748577</c:v>
                </c:pt>
                <c:pt idx="43">
                  <c:v>4014.3657897823887</c:v>
                </c:pt>
                <c:pt idx="44">
                  <c:v>4004.4268225035194</c:v>
                </c:pt>
                <c:pt idx="45">
                  <c:v>3994.5368209669687</c:v>
                </c:pt>
                <c:pt idx="46">
                  <c:v>3984.6944617742965</c:v>
                </c:pt>
                <c:pt idx="47">
                  <c:v>3974.8984687912916</c:v>
                </c:pt>
                <c:pt idx="48">
                  <c:v>3965.1476110566346</c:v>
                </c:pt>
                <c:pt idx="49">
                  <c:v>3955.4407008006328</c:v>
                </c:pt>
                <c:pt idx="50">
                  <c:v>3945.7765915673217</c:v>
                </c:pt>
                <c:pt idx="51">
                  <c:v>3936.1541764336998</c:v>
                </c:pt>
                <c:pt idx="52">
                  <c:v>3926.5723863202884</c:v>
                </c:pt>
                <c:pt idx="53">
                  <c:v>3917.03018838759</c:v>
                </c:pt>
                <c:pt idx="54">
                  <c:v>3907.5265845134027</c:v>
                </c:pt>
                <c:pt idx="55">
                  <c:v>3898.0606098462622</c:v>
                </c:pt>
                <c:pt idx="56">
                  <c:v>3888.6313314306244</c:v>
                </c:pt>
                <c:pt idx="57">
                  <c:v>3879.2378468996467</c:v>
                </c:pt>
                <c:pt idx="58">
                  <c:v>3869.8792832317531</c:v>
                </c:pt>
                <c:pt idx="59">
                  <c:v>3860.5547955673528</c:v>
                </c:pt>
                <c:pt idx="60">
                  <c:v>3851.2635660823616</c:v>
                </c:pt>
                <c:pt idx="61">
                  <c:v>3842.0048029153654</c:v>
                </c:pt>
                <c:pt idx="62">
                  <c:v>3832.7777391454665</c:v>
                </c:pt>
                <c:pt idx="63">
                  <c:v>3823.5816318180455</c:v>
                </c:pt>
                <c:pt idx="64">
                  <c:v>3814.4157610158354</c:v>
                </c:pt>
                <c:pt idx="65">
                  <c:v>3805.2794289728695</c:v>
                </c:pt>
                <c:pt idx="66">
                  <c:v>3796.1719592290137</c:v>
                </c:pt>
                <c:pt idx="67">
                  <c:v>3787.0926958229225</c:v>
                </c:pt>
                <c:pt idx="68">
                  <c:v>3778.0410025214142</c:v>
                </c:pt>
                <c:pt idx="69">
                  <c:v>3769.0162620833426</c:v>
                </c:pt>
                <c:pt idx="70">
                  <c:v>3760.0178755561851</c:v>
                </c:pt>
                <c:pt idx="71">
                  <c:v>3751.0452616036728</c:v>
                </c:pt>
                <c:pt idx="72">
                  <c:v>3742.0978558628572</c:v>
                </c:pt>
                <c:pt idx="73">
                  <c:v>3733.1751103291354</c:v>
                </c:pt>
                <c:pt idx="74">
                  <c:v>3724.2764927678209</c:v>
                </c:pt>
                <c:pt idx="75">
                  <c:v>3715.4014861509368</c:v>
                </c:pt>
                <c:pt idx="76">
                  <c:v>3706.5495881179613</c:v>
                </c:pt>
                <c:pt idx="77">
                  <c:v>3697.7203104593746</c:v>
                </c:pt>
                <c:pt idx="78">
                  <c:v>3688.9131786218686</c:v>
                </c:pt>
                <c:pt idx="79">
                  <c:v>3680.1277312341708</c:v>
                </c:pt>
                <c:pt idx="80">
                  <c:v>3671.3635196524929</c:v>
                </c:pt>
                <c:pt idx="81">
                  <c:v>3662.6201075246554</c:v>
                </c:pt>
                <c:pt idx="82">
                  <c:v>3653.8970703720074</c:v>
                </c:pt>
                <c:pt idx="83">
                  <c:v>3645.1939951882978</c:v>
                </c:pt>
                <c:pt idx="84">
                  <c:v>3636.510480054686</c:v>
                </c:pt>
                <c:pt idx="85">
                  <c:v>3627.8461337701719</c:v>
                </c:pt>
                <c:pt idx="86">
                  <c:v>3619.2005754966949</c:v>
                </c:pt>
                <c:pt idx="87">
                  <c:v>3610.5734344182447</c:v>
                </c:pt>
                <c:pt idx="88">
                  <c:v>3601.9643494133525</c:v>
                </c:pt>
                <c:pt idx="89">
                  <c:v>3593.3729687403247</c:v>
                </c:pt>
                <c:pt idx="90">
                  <c:v>3584.7989497346734</c:v>
                </c:pt>
                <c:pt idx="91">
                  <c:v>3576.2419585181815</c:v>
                </c:pt>
                <c:pt idx="92">
                  <c:v>3567.7016697190793</c:v>
                </c:pt>
                <c:pt idx="93">
                  <c:v>3559.1777662028608</c:v>
                </c:pt>
                <c:pt idx="94">
                  <c:v>3550.6699388132442</c:v>
                </c:pt>
                <c:pt idx="95">
                  <c:v>3542.1778861228568</c:v>
                </c:pt>
                <c:pt idx="96">
                  <c:v>3533.7013141932039</c:v>
                </c:pt>
                <c:pt idx="97">
                  <c:v>3525.2399363435297</c:v>
                </c:pt>
                <c:pt idx="98">
                  <c:v>3516.7934729281915</c:v>
                </c:pt>
                <c:pt idx="99">
                  <c:v>3508.3616511221699</c:v>
                </c:pt>
                <c:pt idx="100">
                  <c:v>3499.944204714388</c:v>
                </c:pt>
                <c:pt idx="101">
                  <c:v>3491.540873908491</c:v>
                </c:pt>
                <c:pt idx="102">
                  <c:v>3483.1514051307922</c:v>
                </c:pt>
                <c:pt idx="103">
                  <c:v>3474.7755508450746</c:v>
                </c:pt>
                <c:pt idx="104">
                  <c:v>3466.4130693739644</c:v>
                </c:pt>
                <c:pt idx="105">
                  <c:v>3458.0637247266177</c:v>
                </c:pt>
                <c:pt idx="106">
                  <c:v>3449.7272864324405</c:v>
                </c:pt>
                <c:pt idx="107">
                  <c:v>3441.4035293806219</c:v>
                </c:pt>
                <c:pt idx="108">
                  <c:v>3433.0922336652256</c:v>
                </c:pt>
                <c:pt idx="109">
                  <c:v>3424.7931844356226</c:v>
                </c:pt>
                <c:pt idx="110">
                  <c:v>3416.506171752058</c:v>
                </c:pt>
                <c:pt idx="111">
                  <c:v>3408.2309904461326</c:v>
                </c:pt>
                <c:pt idx="112">
                  <c:v>3399.9674399860214</c:v>
                </c:pt>
                <c:pt idx="113">
                  <c:v>3391.7153243462335</c:v>
                </c:pt>
                <c:pt idx="114">
                  <c:v>3383.4744518817361</c:v>
                </c:pt>
                <c:pt idx="115">
                  <c:v>3375.2446352062743</c:v>
                </c:pt>
                <c:pt idx="116">
                  <c:v>3367.0256910747257</c:v>
                </c:pt>
                <c:pt idx="117">
                  <c:v>3358.817440269333</c:v>
                </c:pt>
                <c:pt idx="118">
                  <c:v>3350.6197074896691</c:v>
                </c:pt>
                <c:pt idx="119">
                  <c:v>3342.4323212461818</c:v>
                </c:pt>
                <c:pt idx="120">
                  <c:v>3334.255113757205</c:v>
                </c:pt>
                <c:pt idx="121">
                  <c:v>3326.0879208492779</c:v>
                </c:pt>
                <c:pt idx="122">
                  <c:v>3317.9305818606726</c:v>
                </c:pt>
                <c:pt idx="123">
                  <c:v>3309.7829395479966</c:v>
                </c:pt>
                <c:pt idx="124">
                  <c:v>3301.6448399957571</c:v>
                </c:pt>
                <c:pt idx="125">
                  <c:v>3293.5161325287918</c:v>
                </c:pt>
                <c:pt idx="126">
                  <c:v>3285.3966696274351</c:v>
                </c:pt>
                <c:pt idx="127">
                  <c:v>3277.2863068453494</c:v>
                </c:pt>
                <c:pt idx="128">
                  <c:v>3269.1849027299031</c:v>
                </c:pt>
                <c:pt idx="129">
                  <c:v>3261.0923187450157</c:v>
                </c:pt>
                <c:pt idx="130">
                  <c:v>3253.0084191963701</c:v>
                </c:pt>
                <c:pt idx="131">
                  <c:v>3244.9330711589218</c:v>
                </c:pt>
                <c:pt idx="132">
                  <c:v>3236.8661444066115</c:v>
                </c:pt>
                <c:pt idx="133">
                  <c:v>3228.8075113442101</c:v>
                </c:pt>
                <c:pt idx="134">
                  <c:v>3220.7570469412167</c:v>
                </c:pt>
                <c:pt idx="135">
                  <c:v>3212.7146286677398</c:v>
                </c:pt>
                <c:pt idx="136">
                  <c:v>3204.6801364322946</c:v>
                </c:pt>
                <c:pt idx="137">
                  <c:v>3196.6534525214456</c:v>
                </c:pt>
                <c:pt idx="138">
                  <c:v>3188.6344615412308</c:v>
                </c:pt>
                <c:pt idx="139">
                  <c:v>3180.6230503603201</c:v>
                </c:pt>
                <c:pt idx="140">
                  <c:v>3172.6191080548197</c:v>
                </c:pt>
                <c:pt idx="141">
                  <c:v>3164.6225258547001</c:v>
                </c:pt>
                <c:pt idx="142">
                  <c:v>3156.6331970917663</c:v>
                </c:pt>
                <c:pt idx="143">
                  <c:v>3148.6510171491364</c:v>
                </c:pt>
                <c:pt idx="144">
                  <c:v>3140.6758834121656</c:v>
                </c:pt>
                <c:pt idx="145">
                  <c:v>3132.7076952207726</c:v>
                </c:pt>
                <c:pt idx="146">
                  <c:v>3124.7463538231236</c:v>
                </c:pt>
                <c:pt idx="147">
                  <c:v>3116.7917623306294</c:v>
                </c:pt>
                <c:pt idx="148">
                  <c:v>3108.843825674202</c:v>
                </c:pt>
                <c:pt idx="149">
                  <c:v>3100.9024505617481</c:v>
                </c:pt>
                <c:pt idx="150">
                  <c:v>3092.9675454368398</c:v>
                </c:pt>
                <c:pt idx="151">
                  <c:v>3085.0390204385385</c:v>
                </c:pt>
                <c:pt idx="152">
                  <c:v>3077.116787362329</c:v>
                </c:pt>
                <c:pt idx="153">
                  <c:v>3069.2007596221279</c:v>
                </c:pt>
                <c:pt idx="154">
                  <c:v>3061.2908522133321</c:v>
                </c:pt>
                <c:pt idx="155">
                  <c:v>3053.386981676877</c:v>
                </c:pt>
                <c:pt idx="156">
                  <c:v>3045.4890660642695</c:v>
                </c:pt>
                <c:pt idx="157">
                  <c:v>3037.5970249035654</c:v>
                </c:pt>
                <c:pt idx="158">
                  <c:v>3029.7107791662638</c:v>
                </c:pt>
                <c:pt idx="159">
                  <c:v>3021.830251235087</c:v>
                </c:pt>
                <c:pt idx="160">
                  <c:v>3013.9553648726205</c:v>
                </c:pt>
                <c:pt idx="161">
                  <c:v>3006.0860451907829</c:v>
                </c:pt>
                <c:pt idx="162">
                  <c:v>2998.2222186211093</c:v>
                </c:pt>
                <c:pt idx="163">
                  <c:v>2990.3638128858065</c:v>
                </c:pt>
                <c:pt idx="164">
                  <c:v>2982.5107569695783</c:v>
                </c:pt>
                <c:pt idx="165">
                  <c:v>2974.6629810921759</c:v>
                </c:pt>
                <c:pt idx="166">
                  <c:v>2966.8204166816645</c:v>
                </c:pt>
                <c:pt idx="167">
                  <c:v>2958.982996348389</c:v>
                </c:pt>
                <c:pt idx="168">
                  <c:v>2951.1506538595931</c:v>
                </c:pt>
                <c:pt idx="169">
                  <c:v>2943.3233241147072</c:v>
                </c:pt>
                <c:pt idx="170">
                  <c:v>2935.5009431212566</c:v>
                </c:pt>
                <c:pt idx="171">
                  <c:v>2927.6834479713825</c:v>
                </c:pt>
                <c:pt idx="172">
                  <c:v>2919.8707768189652</c:v>
                </c:pt>
                <c:pt idx="173">
                  <c:v>2912.0628688573138</c:v>
                </c:pt>
                <c:pt idx="174">
                  <c:v>2904.2596642974208</c:v>
                </c:pt>
                <c:pt idx="175">
                  <c:v>2896.4611043467676</c:v>
                </c:pt>
                <c:pt idx="176">
                  <c:v>2888.6671311886394</c:v>
                </c:pt>
                <c:pt idx="177">
                  <c:v>2880.8776879619727</c:v>
                </c:pt>
                <c:pt idx="178">
                  <c:v>2873.0927187416873</c:v>
                </c:pt>
                <c:pt idx="179">
                  <c:v>2865.3121685195083</c:v>
                </c:pt>
                <c:pt idx="180">
                  <c:v>2857.5359831852547</c:v>
                </c:pt>
                <c:pt idx="181">
                  <c:v>2849.764109508586</c:v>
                </c:pt>
                <c:pt idx="182">
                  <c:v>2841.9964951211914</c:v>
                </c:pt>
                <c:pt idx="183">
                  <c:v>2834.2330884994099</c:v>
                </c:pt>
                <c:pt idx="184">
                  <c:v>2826.4738389472705</c:v>
                </c:pt>
                <c:pt idx="185">
                  <c:v>2818.7186965799383</c:v>
                </c:pt>
                <c:pt idx="186">
                  <c:v>2810.9676123075542</c:v>
                </c:pt>
                <c:pt idx="187">
                  <c:v>2803.2205378194644</c:v>
                </c:pt>
                <c:pt idx="188">
                  <c:v>2795.4774255688208</c:v>
                </c:pt>
                <c:pt idx="189">
                  <c:v>2787.7382287575401</c:v>
                </c:pt>
                <c:pt idx="190">
                  <c:v>2780.0029013216322</c:v>
                </c:pt>
                <c:pt idx="191">
                  <c:v>2772.2713979168539</c:v>
                </c:pt>
                <c:pt idx="192">
                  <c:v>2764.5436739047095</c:v>
                </c:pt>
                <c:pt idx="193">
                  <c:v>2756.8196853387731</c:v>
                </c:pt>
                <c:pt idx="194">
                  <c:v>2749.0993889513275</c:v>
                </c:pt>
                <c:pt idx="195">
                  <c:v>2741.3827421403143</c:v>
                </c:pt>
                <c:pt idx="196">
                  <c:v>2733.6697029565785</c:v>
                </c:pt>
                <c:pt idx="197">
                  <c:v>2725.9602300914107</c:v>
                </c:pt>
                <c:pt idx="198">
                  <c:v>2718.2542828643709</c:v>
                </c:pt>
                <c:pt idx="199">
                  <c:v>2710.5518212113898</c:v>
                </c:pt>
                <c:pt idx="200">
                  <c:v>2702.8528056731379</c:v>
                </c:pt>
                <c:pt idx="201">
                  <c:v>2695.1571973836603</c:v>
                </c:pt>
                <c:pt idx="202">
                  <c:v>2687.4649580592622</c:v>
                </c:pt>
                <c:pt idx="203">
                  <c:v>2679.7760499876485</c:v>
                </c:pt>
                <c:pt idx="204">
                  <c:v>2672.0904360173004</c:v>
                </c:pt>
                <c:pt idx="205">
                  <c:v>2664.4080795470941</c:v>
                </c:pt>
                <c:pt idx="206">
                  <c:v>2656.7289445161418</c:v>
                </c:pt>
                <c:pt idx="207">
                  <c:v>2649.0529953938626</c:v>
                </c:pt>
                <c:pt idx="208">
                  <c:v>2641.3801971702715</c:v>
                </c:pt>
                <c:pt idx="209">
                  <c:v>2633.7105153464786</c:v>
                </c:pt>
                <c:pt idx="210">
                  <c:v>2626.0439159253947</c:v>
                </c:pt>
                <c:pt idx="211">
                  <c:v>2618.3803654026419</c:v>
                </c:pt>
                <c:pt idx="212">
                  <c:v>2610.7198307576614</c:v>
                </c:pt>
                <c:pt idx="213">
                  <c:v>2603.0622794450092</c:v>
                </c:pt>
                <c:pt idx="214">
                  <c:v>2595.4076793858439</c:v>
                </c:pt>
                <c:pt idx="215">
                  <c:v>2587.7559989595911</c:v>
                </c:pt>
                <c:pt idx="216">
                  <c:v>2580.1072069957941</c:v>
                </c:pt>
                <c:pt idx="217">
                  <c:v>2572.4612727661283</c:v>
                </c:pt>
                <c:pt idx="218">
                  <c:v>2564.8181659765914</c:v>
                </c:pt>
                <c:pt idx="219">
                  <c:v>2557.177856759859</c:v>
                </c:pt>
                <c:pt idx="220">
                  <c:v>2549.5403156677967</c:v>
                </c:pt>
                <c:pt idx="221">
                  <c:v>2541.9055136641309</c:v>
                </c:pt>
                <c:pt idx="222">
                  <c:v>2534.2734221172759</c:v>
                </c:pt>
                <c:pt idx="223">
                  <c:v>2526.644012793306</c:v>
                </c:pt>
                <c:pt idx="224">
                  <c:v>2519.0172578490779</c:v>
                </c:pt>
                <c:pt idx="225">
                  <c:v>2511.3931298254911</c:v>
                </c:pt>
                <c:pt idx="226">
                  <c:v>2503.7716016408885</c:v>
                </c:pt>
                <c:pt idx="227">
                  <c:v>2496.1526465845968</c:v>
                </c:pt>
                <c:pt idx="228">
                  <c:v>2488.5362383105912</c:v>
                </c:pt>
                <c:pt idx="229">
                  <c:v>2480.9223508312975</c:v>
                </c:pt>
                <c:pt idx="230">
                  <c:v>2473.3109585115158</c:v>
                </c:pt>
                <c:pt idx="231">
                  <c:v>2465.702036062467</c:v>
                </c:pt>
                <c:pt idx="232">
                  <c:v>2458.0955585359616</c:v>
                </c:pt>
                <c:pt idx="233">
                  <c:v>2450.4915013186851</c:v>
                </c:pt>
                <c:pt idx="234">
                  <c:v>2442.8898401266001</c:v>
                </c:pt>
                <c:pt idx="235">
                  <c:v>2435.2905509994525</c:v>
                </c:pt>
                <c:pt idx="236">
                  <c:v>2427.693610295401</c:v>
                </c:pt>
                <c:pt idx="237">
                  <c:v>2420.0989946857385</c:v>
                </c:pt>
                <c:pt idx="238">
                  <c:v>2412.5066811497277</c:v>
                </c:pt>
                <c:pt idx="239">
                  <c:v>2404.9166469695379</c:v>
                </c:pt>
                <c:pt idx="240">
                  <c:v>2397.3288697252747</c:v>
                </c:pt>
                <c:pt idx="241">
                  <c:v>2389.7433272901162</c:v>
                </c:pt>
                <c:pt idx="242">
                  <c:v>2382.1599978255363</c:v>
                </c:pt>
              </c:numCache>
            </c:numRef>
          </c:yVal>
          <c:smooth val="0"/>
          <c:extLst>
            <c:ext xmlns:c16="http://schemas.microsoft.com/office/drawing/2014/chart" uri="{C3380CC4-5D6E-409C-BE32-E72D297353CC}">
              <c16:uniqueId val="{00000001-E5F4-4000-9D4C-FCC0D2ACB7E4}"/>
            </c:ext>
          </c:extLst>
        </c:ser>
        <c:dLbls>
          <c:showLegendKey val="0"/>
          <c:showVal val="0"/>
          <c:showCatName val="0"/>
          <c:showSerName val="0"/>
          <c:showPercent val="0"/>
          <c:showBubbleSize val="0"/>
        </c:dLbls>
        <c:axId val="158697479"/>
        <c:axId val="158699527"/>
      </c:scatterChart>
      <c:valAx>
        <c:axId val="1586974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r>
                  <a:rPr lang="en-US"/>
                  <a:t>Calibrated Airspeed, (KCAS)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crossAx val="158699527"/>
        <c:crosses val="autoZero"/>
        <c:crossBetween val="midCat"/>
      </c:valAx>
      <c:valAx>
        <c:axId val="158699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r>
                  <a:rPr lang="en-US"/>
                  <a:t>Thrust (lb)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crossAx val="15869747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Angle of Descent vs Airpseed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solidFill>
                <a:schemeClr val="accent1"/>
              </a:solidFill>
              <a:round/>
            </a:ln>
            <a:effectLst/>
          </c:spPr>
          <c:marker>
            <c:symbol val="none"/>
          </c:marker>
          <c:xVal>
            <c:numRef>
              <c:f>'Performance Analysis'!$A$84:$A$319</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'Performance Analysis'!$Z$84:$Z$319</c:f>
              <c:numCache>
                <c:formatCode>General</c:formatCode>
                <c:ptCount val="236"/>
                <c:pt idx="0">
                  <c:v>-6.5296958366689308</c:v>
                </c:pt>
                <c:pt idx="1">
                  <c:v>-6.3375823350579639</c:v>
                </c:pt>
                <c:pt idx="2">
                  <c:v>-6.1546691211458624</c:v>
                </c:pt>
                <c:pt idx="3">
                  <c:v>-5.9804207254853488</c:v>
                </c:pt>
                <c:pt idx="4">
                  <c:v>-5.8143410085104312</c:v>
                </c:pt>
                <c:pt idx="5">
                  <c:v>-5.6559697113238405</c:v>
                </c:pt>
                <c:pt idx="6">
                  <c:v>-5.5048793583168418</c:v>
                </c:pt>
                <c:pt idx="7">
                  <c:v>-5.3606724706629194</c:v>
                </c:pt>
                <c:pt idx="8">
                  <c:v>-5.2229790550906579</c:v>
                </c:pt>
                <c:pt idx="9">
                  <c:v>-5.0914543369236842</c:v>
                </c:pt>
                <c:pt idx="10">
                  <c:v>-4.9657767103025661</c:v>
                </c:pt>
                <c:pt idx="11">
                  <c:v>-4.845645881877914</c:v>
                </c:pt>
                <c:pt idx="12">
                  <c:v>-4.7307811871714129</c:v>
                </c:pt>
                <c:pt idx="13">
                  <c:v>-4.6209200613131678</c:v>
                </c:pt>
                <c:pt idx="14">
                  <c:v>-4.5158166480387019</c:v>
                </c:pt>
                <c:pt idx="15">
                  <c:v>-4.4152405327170703</c:v>
                </c:pt>
                <c:pt idx="16">
                  <c:v>-4.318975586824207</c:v>
                </c:pt>
                <c:pt idx="17">
                  <c:v>-4.2268189127079001</c:v>
                </c:pt>
                <c:pt idx="18">
                  <c:v>-4.1385798787425507</c:v>
                </c:pt>
                <c:pt idx="19">
                  <c:v>-4.0540792360676878</c:v>
                </c:pt>
                <c:pt idx="20">
                  <c:v>-3.9731483090657709</c:v>
                </c:pt>
                <c:pt idx="21">
                  <c:v>-3.8956282525800114</c:v>
                </c:pt>
                <c:pt idx="22">
                  <c:v>-3.8213693696172202</c:v>
                </c:pt>
                <c:pt idx="23">
                  <c:v>-3.7502304839374223</c:v>
                </c:pt>
                <c:pt idx="24">
                  <c:v>-3.6820783625121853</c:v>
                </c:pt>
                <c:pt idx="25">
                  <c:v>-3.6167871833474869</c:v>
                </c:pt>
                <c:pt idx="26">
                  <c:v>-3.5542380446222941</c:v>
                </c:pt>
                <c:pt idx="27">
                  <c:v>-3.4943185114986806</c:v>
                </c:pt>
                <c:pt idx="28">
                  <c:v>-3.43692219731905</c:v>
                </c:pt>
                <c:pt idx="29">
                  <c:v>-3.3819483762265294</c:v>
                </c:pt>
                <c:pt idx="30">
                  <c:v>-3.3293016245305109</c:v>
                </c:pt>
                <c:pt idx="31">
                  <c:v>-3.2788914883947249</c:v>
                </c:pt>
                <c:pt idx="32">
                  <c:v>-3.2306321756536489</c:v>
                </c:pt>
                <c:pt idx="33">
                  <c:v>-3.1844422697677266</c:v>
                </c:pt>
                <c:pt idx="34">
                  <c:v>-3.1402444641113703</c:v>
                </c:pt>
                <c:pt idx="35">
                  <c:v>-3.0979653149525408</c:v>
                </c:pt>
                <c:pt idx="36">
                  <c:v>-3.057535011630895</c:v>
                </c:pt>
                <c:pt idx="37">
                  <c:v>-3.0188871625748428</c:v>
                </c:pt>
                <c:pt idx="38">
                  <c:v>-2.9819585959181296</c:v>
                </c:pt>
                <c:pt idx="39">
                  <c:v>-2.9466891735849639</c:v>
                </c:pt>
                <c:pt idx="40">
                  <c:v>-2.9130216178107395</c:v>
                </c:pt>
                <c:pt idx="41">
                  <c:v>-2.8809013491539845</c:v>
                </c:pt>
                <c:pt idx="42">
                  <c:v>-2.8502763351353311</c:v>
                </c:pt>
                <c:pt idx="43">
                  <c:v>-2.8210969487120297</c:v>
                </c:pt>
                <c:pt idx="44">
                  <c:v>-2.7933158358623995</c:v>
                </c:pt>
                <c:pt idx="45">
                  <c:v>-2.7668877916145149</c:v>
                </c:pt>
                <c:pt idx="46">
                  <c:v>-2.7417696439077406</c:v>
                </c:pt>
                <c:pt idx="47">
                  <c:v>-2.7179201447253134</c:v>
                </c:pt>
                <c:pt idx="48">
                  <c:v>-2.6952998679811606</c:v>
                </c:pt>
                <c:pt idx="49">
                  <c:v>-2.6738711136852369</c:v>
                </c:pt>
                <c:pt idx="50">
                  <c:v>-2.6535978179491151</c:v>
                </c:pt>
                <c:pt idx="51">
                  <c:v>-2.6344454684277894</c:v>
                </c:pt>
                <c:pt idx="52">
                  <c:v>-2.6163810248248738</c:v>
                </c:pt>
                <c:pt idx="53">
                  <c:v>-2.5993728441169961</c:v>
                </c:pt>
                <c:pt idx="54">
                  <c:v>-2.583390610179308</c:v>
                </c:pt>
                <c:pt idx="55">
                  <c:v>-2.568405267518052</c:v>
                </c:pt>
                <c:pt idx="56">
                  <c:v>-2.554388958838036</c:v>
                </c:pt>
                <c:pt idx="57">
                  <c:v>-2.5413149661930823</c:v>
                </c:pt>
                <c:pt idx="58">
                  <c:v>-2.5291576554859763</c:v>
                </c:pt>
                <c:pt idx="59">
                  <c:v>-2.5178924241014866</c:v>
                </c:pt>
                <c:pt idx="60">
                  <c:v>-2.5074956514716371</c:v>
                </c:pt>
                <c:pt idx="61">
                  <c:v>-2.4979446523868201</c:v>
                </c:pt>
                <c:pt idx="62">
                  <c:v>-2.489217632879575</c:v>
                </c:pt>
                <c:pt idx="63">
                  <c:v>-2.4812936485200874</c:v>
                </c:pt>
                <c:pt idx="64">
                  <c:v>-2.4741525649737004</c:v>
                </c:pt>
                <c:pt idx="65">
                  <c:v>-2.4677750206811342</c:v>
                </c:pt>
                <c:pt idx="66">
                  <c:v>-2.4621423915317058</c:v>
                </c:pt>
                <c:pt idx="67">
                  <c:v>-2.4572367574086771</c:v>
                </c:pt>
                <c:pt idx="68">
                  <c:v>-2.453040870494096</c:v>
                </c:pt>
                <c:pt idx="69">
                  <c:v>-2.449538125228039</c:v>
                </c:pt>
                <c:pt idx="70">
                  <c:v>-2.4467125298241972</c:v>
                </c:pt>
                <c:pt idx="71">
                  <c:v>-2.4445486792502464</c:v>
                </c:pt>
                <c:pt idx="72">
                  <c:v>-2.4430317295874642</c:v>
                </c:pt>
                <c:pt idx="73">
                  <c:v>-2.4421473736896315</c:v>
                </c:pt>
                <c:pt idx="74">
                  <c:v>-2.4418818180664701</c:v>
                </c:pt>
                <c:pt idx="75">
                  <c:v>-2.4422217609216381</c:v>
                </c:pt>
                <c:pt idx="76">
                  <c:v>-2.4431543712798023</c:v>
                </c:pt>
                <c:pt idx="77">
                  <c:v>-2.4446672691414575</c:v>
                </c:pt>
                <c:pt idx="78">
                  <c:v>-2.4467485066080168</c:v>
                </c:pt>
                <c:pt idx="79">
                  <c:v>-2.449386549923295</c:v>
                </c:pt>
                <c:pt idx="80">
                  <c:v>-2.452570262380863</c:v>
                </c:pt>
                <c:pt idx="81">
                  <c:v>-2.4562888880498406</c:v>
                </c:pt>
                <c:pt idx="82">
                  <c:v>-2.4605320362746412</c:v>
                </c:pt>
                <c:pt idx="83">
                  <c:v>-2.4652896669068389</c:v>
                </c:pt>
                <c:pt idx="84">
                  <c:v>-2.4705520762299038</c:v>
                </c:pt>
                <c:pt idx="85">
                  <c:v>-2.4763098835398658</c:v>
                </c:pt>
                <c:pt idx="86">
                  <c:v>-2.4825540183472015</c:v>
                </c:pt>
                <c:pt idx="87">
                  <c:v>-2.4892757081672654</c:v>
                </c:pt>
                <c:pt idx="88">
                  <c:v>-2.4964664668685392</c:v>
                </c:pt>
                <c:pt idx="89">
                  <c:v>-2.5041180835497334</c:v>
                </c:pt>
                <c:pt idx="90">
                  <c:v>-2.5122226119184847</c:v>
                </c:pt>
                <c:pt idx="91">
                  <c:v>-2.520772360145966</c:v>
                </c:pt>
                <c:pt idx="92">
                  <c:v>-2.5297598811731614</c:v>
                </c:pt>
                <c:pt idx="93">
                  <c:v>-2.539177963445987</c:v>
                </c:pt>
                <c:pt idx="94">
                  <c:v>-2.5490196220576973</c:v>
                </c:pt>
                <c:pt idx="95">
                  <c:v>-2.5592780902782368</c:v>
                </c:pt>
                <c:pt idx="96">
                  <c:v>-2.5699468114513473</c:v>
                </c:pt>
                <c:pt idx="97">
                  <c:v>-2.5810194312412733</c:v>
                </c:pt>
                <c:pt idx="98">
                  <c:v>-2.5924897902119586</c:v>
                </c:pt>
                <c:pt idx="99">
                  <c:v>-2.6043519167225044</c:v>
                </c:pt>
                <c:pt idx="100">
                  <c:v>-2.6166000201236077</c:v>
                </c:pt>
                <c:pt idx="101">
                  <c:v>-2.6292284842404841</c:v>
                </c:pt>
                <c:pt idx="102">
                  <c:v>-2.6422318611285562</c:v>
                </c:pt>
                <c:pt idx="103">
                  <c:v>-2.6556048650889732</c:v>
                </c:pt>
                <c:pt idx="104">
                  <c:v>-2.6693423669316463</c:v>
                </c:pt>
                <c:pt idx="105">
                  <c:v>-2.683439388474183</c:v>
                </c:pt>
                <c:pt idx="106">
                  <c:v>-2.6978910972657189</c:v>
                </c:pt>
                <c:pt idx="107">
                  <c:v>-2.712692801525165</c:v>
                </c:pt>
                <c:pt idx="108">
                  <c:v>-2.7278399452840243</c:v>
                </c:pt>
                <c:pt idx="109">
                  <c:v>-2.7433281037243193</c:v>
                </c:pt>
                <c:pt idx="110">
                  <c:v>-2.7591529787028013</c:v>
                </c:pt>
                <c:pt idx="111">
                  <c:v>-2.7753103944529274</c:v>
                </c:pt>
                <c:pt idx="112">
                  <c:v>-2.7917962934566178</c:v>
                </c:pt>
                <c:pt idx="113">
                  <c:v>-2.8086067324781676</c:v>
                </c:pt>
                <c:pt idx="114">
                  <c:v>-2.8257378787530727</c:v>
                </c:pt>
                <c:pt idx="115">
                  <c:v>-2.8431860063249053</c:v>
                </c:pt>
                <c:pt idx="116">
                  <c:v>-2.8609474925237044</c:v>
                </c:pt>
                <c:pt idx="117">
                  <c:v>-2.879018814579668</c:v>
                </c:pt>
                <c:pt idx="118">
                  <c:v>-2.8973965463662514</c:v>
                </c:pt>
                <c:pt idx="119">
                  <c:v>-2.9160773552670416</c:v>
                </c:pt>
                <c:pt idx="120">
                  <c:v>-2.9350579991610934</c:v>
                </c:pt>
                <c:pt idx="121">
                  <c:v>-2.9543353235215912</c:v>
                </c:pt>
                <c:pt idx="122">
                  <c:v>-2.9739062586230669</c:v>
                </c:pt>
                <c:pt idx="123">
                  <c:v>-2.993767816852491</c:v>
                </c:pt>
                <c:pt idx="124">
                  <c:v>-3.0139170901199064</c:v>
                </c:pt>
                <c:pt idx="125">
                  <c:v>-3.0343512473643841</c:v>
                </c:pt>
                <c:pt idx="126">
                  <c:v>-3.0550675321513427</c:v>
                </c:pt>
                <c:pt idx="127">
                  <c:v>-3.0760632603574063</c:v>
                </c:pt>
                <c:pt idx="128">
                  <c:v>-3.0973358179392059</c:v>
                </c:pt>
                <c:pt idx="129">
                  <c:v>-3.1188826587826473</c:v>
                </c:pt>
                <c:pt idx="130">
                  <c:v>-3.1407013026293691</c:v>
                </c:pt>
                <c:pt idx="131">
                  <c:v>-3.1627893330772316</c:v>
                </c:pt>
                <c:pt idx="132">
                  <c:v>-3.1851443956518444</c:v>
                </c:pt>
                <c:pt idx="133">
                  <c:v>-3.2077641959462748</c:v>
                </c:pt>
                <c:pt idx="134">
                  <c:v>-3.2306464978261791</c:v>
                </c:pt>
                <c:pt idx="135">
                  <c:v>-3.2537891216977801</c:v>
                </c:pt>
                <c:pt idx="136">
                  <c:v>-3.2771899428361526</c:v>
                </c:pt>
                <c:pt idx="137">
                  <c:v>-3.3008468897714791</c:v>
                </c:pt>
                <c:pt idx="138">
                  <c:v>-3.3247579427309573</c:v>
                </c:pt>
                <c:pt idx="139">
                  <c:v>-3.3489211321342065</c:v>
                </c:pt>
                <c:pt idx="140">
                  <c:v>-3.3733345371400718</c:v>
                </c:pt>
                <c:pt idx="141">
                  <c:v>-3.397996284242859</c:v>
                </c:pt>
                <c:pt idx="142">
                  <c:v>-3.4229045459160612</c:v>
                </c:pt>
                <c:pt idx="143">
                  <c:v>-3.4480575393017858</c:v>
                </c:pt>
                <c:pt idx="144">
                  <c:v>-3.4734535249441176</c:v>
                </c:pt>
                <c:pt idx="145">
                  <c:v>-3.499090805564756</c:v>
                </c:pt>
                <c:pt idx="146">
                  <c:v>-3.5249677248793203</c:v>
                </c:pt>
                <c:pt idx="147">
                  <c:v>-3.5510826664528059</c:v>
                </c:pt>
                <c:pt idx="148">
                  <c:v>-3.5774340525927055</c:v>
                </c:pt>
                <c:pt idx="149">
                  <c:v>-3.6040203432784108</c:v>
                </c:pt>
                <c:pt idx="150">
                  <c:v>-3.6308400351255226</c:v>
                </c:pt>
                <c:pt idx="151">
                  <c:v>-3.6578916603838216</c:v>
                </c:pt>
                <c:pt idx="152">
                  <c:v>-3.6851737859675997</c:v>
                </c:pt>
                <c:pt idx="153">
                  <c:v>-3.7126850125172366</c:v>
                </c:pt>
                <c:pt idx="154">
                  <c:v>-3.7404239734908273</c:v>
                </c:pt>
                <c:pt idx="155">
                  <c:v>-3.768389334284806</c:v>
                </c:pt>
                <c:pt idx="156">
                  <c:v>-3.7965797913824941</c:v>
                </c:pt>
                <c:pt idx="157">
                  <c:v>-3.8249940715296034</c:v>
                </c:pt>
                <c:pt idx="158">
                  <c:v>-3.8536309309356742</c:v>
                </c:pt>
                <c:pt idx="159">
                  <c:v>-3.8824891545005915</c:v>
                </c:pt>
                <c:pt idx="160">
                  <c:v>-3.911567555065238</c:v>
                </c:pt>
                <c:pt idx="161">
                  <c:v>-3.9408649726854539</c:v>
                </c:pt>
                <c:pt idx="162">
                  <c:v>-3.9703802739284906</c:v>
                </c:pt>
                <c:pt idx="163">
                  <c:v>-4.0001123511911434</c:v>
                </c:pt>
                <c:pt idx="164">
                  <c:v>-4.0300601220388481</c:v>
                </c:pt>
                <c:pt idx="165">
                  <c:v>-4.0602225285649887</c:v>
                </c:pt>
                <c:pt idx="166">
                  <c:v>-4.0905985367697006</c:v>
                </c:pt>
                <c:pt idx="167">
                  <c:v>-4.12118713595755</c:v>
                </c:pt>
                <c:pt idx="168">
                  <c:v>-4.1519873381534209</c:v>
                </c:pt>
                <c:pt idx="169">
                  <c:v>-4.1829981775359402</c:v>
                </c:pt>
                <c:pt idx="170">
                  <c:v>-4.214218709887926</c:v>
                </c:pt>
                <c:pt idx="171">
                  <c:v>-4.2456480120632518</c:v>
                </c:pt>
                <c:pt idx="172">
                  <c:v>-4.2772851814695363</c:v>
                </c:pt>
                <c:pt idx="173">
                  <c:v>-4.3091293355661957</c:v>
                </c:pt>
                <c:pt idx="174">
                  <c:v>-4.3411796113772869</c:v>
                </c:pt>
                <c:pt idx="175">
                  <c:v>-4.3734351650186989</c:v>
                </c:pt>
                <c:pt idx="176">
                  <c:v>-4.4058951712391794</c:v>
                </c:pt>
                <c:pt idx="177">
                  <c:v>-4.4385588229747599</c:v>
                </c:pt>
                <c:pt idx="178">
                  <c:v>-4.4714253309161389</c:v>
                </c:pt>
                <c:pt idx="179">
                  <c:v>-4.5044939230886056</c:v>
                </c:pt>
                <c:pt idx="180">
                  <c:v>-4.5377638444440613</c:v>
                </c:pt>
                <c:pt idx="181">
                  <c:v>-4.5712343564648101</c:v>
                </c:pt>
                <c:pt idx="182">
                  <c:v>-4.6049047367786846</c:v>
                </c:pt>
                <c:pt idx="183">
                  <c:v>-4.6387742787851529</c:v>
                </c:pt>
                <c:pt idx="184">
                  <c:v>-4.6728422912920848</c:v>
                </c:pt>
                <c:pt idx="185">
                  <c:v>-4.7071080981627924</c:v>
                </c:pt>
                <c:pt idx="186">
                  <c:v>-4.7415710379730731</c:v>
                </c:pt>
                <c:pt idx="187">
                  <c:v>-4.7762304636778836</c:v>
                </c:pt>
                <c:pt idx="188">
                  <c:v>-4.8110857422873812</c:v>
                </c:pt>
                <c:pt idx="189">
                  <c:v>-4.8461362545520164</c:v>
                </c:pt>
                <c:pt idx="190">
                  <c:v>-4.881381394656418</c:v>
                </c:pt>
                <c:pt idx="191">
                  <c:v>-4.9168205699217644</c:v>
                </c:pt>
                <c:pt idx="192">
                  <c:v>-4.9524532005164179</c:v>
                </c:pt>
                <c:pt idx="193">
                  <c:v>-4.9882787191745237</c:v>
                </c:pt>
                <c:pt idx="194">
                  <c:v>-5.0242965709223739</c:v>
                </c:pt>
                <c:pt idx="195">
                  <c:v>-5.0605062128122436</c:v>
                </c:pt>
                <c:pt idx="196">
                  <c:v>-5.0969071136635549</c:v>
                </c:pt>
                <c:pt idx="197">
                  <c:v>-5.1334987538110486</c:v>
                </c:pt>
                <c:pt idx="198">
                  <c:v>-5.1702806248598216</c:v>
                </c:pt>
                <c:pt idx="199">
                  <c:v>-5.2072522294469969</c:v>
                </c:pt>
                <c:pt idx="200">
                  <c:v>-5.2444130810098395</c:v>
                </c:pt>
                <c:pt idx="201">
                  <c:v>-5.2817627035601005</c:v>
                </c:pt>
                <c:pt idx="202">
                  <c:v>-5.3193006314644302</c:v>
                </c:pt>
                <c:pt idx="203">
                  <c:v>-5.3570264092306887</c:v>
                </c:pt>
                <c:pt idx="204">
                  <c:v>-5.3949395912999289</c:v>
                </c:pt>
                <c:pt idx="205">
                  <c:v>-5.43303974184394</c:v>
                </c:pt>
                <c:pt idx="206">
                  <c:v>-5.4713264345681747</c:v>
                </c:pt>
                <c:pt idx="207">
                  <c:v>-5.5097992525198825</c:v>
                </c:pt>
                <c:pt idx="208">
                  <c:v>-5.5484577879013139</c:v>
                </c:pt>
                <c:pt idx="209">
                  <c:v>-5.5873016418878434</c:v>
                </c:pt>
                <c:pt idx="210">
                  <c:v>-5.6263304244508898</c:v>
                </c:pt>
                <c:pt idx="211">
                  <c:v>-5.6655437541854639</c:v>
                </c:pt>
                <c:pt idx="212">
                  <c:v>-5.7049412581422159</c:v>
                </c:pt>
                <c:pt idx="213">
                  <c:v>-5.7445225716639019</c:v>
                </c:pt>
                <c:pt idx="214">
                  <c:v>-5.784287338226064</c:v>
                </c:pt>
                <c:pt idx="215">
                  <c:v>-5.8242352092818859</c:v>
                </c:pt>
                <c:pt idx="216">
                  <c:v>-5.8643658441110285</c:v>
                </c:pt>
                <c:pt idx="217">
                  <c:v>-5.9046789096724321</c:v>
                </c:pt>
                <c:pt idx="218">
                  <c:v>-5.9451740804608351</c:v>
                </c:pt>
                <c:pt idx="219">
                  <c:v>-5.9858510383670751</c:v>
                </c:pt>
                <c:pt idx="220">
                  <c:v>-6.0267094725419073</c:v>
                </c:pt>
                <c:pt idx="221">
                  <c:v>-6.0677490792633737</c:v>
                </c:pt>
                <c:pt idx="222">
                  <c:v>-6.108969561807517</c:v>
                </c:pt>
                <c:pt idx="223">
                  <c:v>-6.1503706303224277</c:v>
                </c:pt>
                <c:pt idx="224">
                  <c:v>-6.1919520017054994</c:v>
                </c:pt>
                <c:pt idx="225">
                  <c:v>-6.233713399483813</c:v>
                </c:pt>
                <c:pt idx="226">
                  <c:v>-6.2756545536975414</c:v>
                </c:pt>
                <c:pt idx="227">
                  <c:v>-6.3177752007863379</c:v>
                </c:pt>
                <c:pt idx="228">
                  <c:v>-6.3600750834785957</c:v>
                </c:pt>
                <c:pt idx="229">
                  <c:v>-6.402553950683509</c:v>
                </c:pt>
                <c:pt idx="230">
                  <c:v>-6.4452115573858428</c:v>
                </c:pt>
                <c:pt idx="231">
                  <c:v>-6.4880476645434104</c:v>
                </c:pt>
                <c:pt idx="232">
                  <c:v>-6.5310620389870762</c:v>
                </c:pt>
                <c:pt idx="233">
                  <c:v>-6.5742544533233218</c:v>
                </c:pt>
                <c:pt idx="234">
                  <c:v>-6.617624685839222</c:v>
                </c:pt>
                <c:pt idx="235">
                  <c:v>-6.6611725204098624</c:v>
                </c:pt>
              </c:numCache>
            </c:numRef>
          </c:yVal>
          <c:smooth val="0"/>
          <c:extLst>
            <c:ext xmlns:c16="http://schemas.microsoft.com/office/drawing/2014/chart" uri="{C3380CC4-5D6E-409C-BE32-E72D297353CC}">
              <c16:uniqueId val="{00000000-3C52-1149-AE04-D8AFD72648EA}"/>
            </c:ext>
          </c:extLst>
        </c:ser>
        <c:ser>
          <c:idx val="1"/>
          <c:order val="1"/>
          <c:spPr>
            <a:ln w="19050" cap="rnd">
              <a:solidFill>
                <a:schemeClr val="accent2"/>
              </a:solidFill>
              <a:round/>
            </a:ln>
            <a:effectLst/>
          </c:spPr>
          <c:marker>
            <c:symbol val="none"/>
          </c:marker>
          <c:xVal>
            <c:numRef>
              <c:f>'Performance Analysis'!$X$40:$X$56</c:f>
              <c:numCache>
                <c:formatCode>General</c:formatCode>
                <c:ptCount val="17"/>
                <c:pt idx="0">
                  <c:v>182</c:v>
                </c:pt>
                <c:pt idx="1">
                  <c:v>182</c:v>
                </c:pt>
                <c:pt idx="2">
                  <c:v>182</c:v>
                </c:pt>
                <c:pt idx="3">
                  <c:v>182</c:v>
                </c:pt>
                <c:pt idx="4">
                  <c:v>182</c:v>
                </c:pt>
                <c:pt idx="5">
                  <c:v>182</c:v>
                </c:pt>
                <c:pt idx="6">
                  <c:v>182</c:v>
                </c:pt>
                <c:pt idx="7">
                  <c:v>182</c:v>
                </c:pt>
                <c:pt idx="8">
                  <c:v>182</c:v>
                </c:pt>
                <c:pt idx="9">
                  <c:v>182</c:v>
                </c:pt>
                <c:pt idx="10">
                  <c:v>182</c:v>
                </c:pt>
                <c:pt idx="11">
                  <c:v>182</c:v>
                </c:pt>
                <c:pt idx="12">
                  <c:v>182</c:v>
                </c:pt>
                <c:pt idx="13">
                  <c:v>182</c:v>
                </c:pt>
                <c:pt idx="14">
                  <c:v>182</c:v>
                </c:pt>
                <c:pt idx="15">
                  <c:v>182</c:v>
                </c:pt>
                <c:pt idx="16">
                  <c:v>182</c:v>
                </c:pt>
              </c:numCache>
            </c:numRef>
          </c:xVal>
          <c:yVal>
            <c:numRef>
              <c:f>'Performance Analysis'!$Y$40:$Y$56</c:f>
              <c:numCache>
                <c:formatCode>General</c:formatCode>
                <c:ptCount val="17"/>
                <c:pt idx="0">
                  <c:v>0</c:v>
                </c:pt>
                <c:pt idx="1">
                  <c:v>-0.5</c:v>
                </c:pt>
                <c:pt idx="2">
                  <c:v>-1</c:v>
                </c:pt>
                <c:pt idx="3">
                  <c:v>-1.5</c:v>
                </c:pt>
                <c:pt idx="4">
                  <c:v>-2</c:v>
                </c:pt>
                <c:pt idx="5">
                  <c:v>-2.5</c:v>
                </c:pt>
                <c:pt idx="6">
                  <c:v>-3</c:v>
                </c:pt>
                <c:pt idx="7">
                  <c:v>-3.5</c:v>
                </c:pt>
                <c:pt idx="8">
                  <c:v>-4</c:v>
                </c:pt>
                <c:pt idx="9">
                  <c:v>-4.5</c:v>
                </c:pt>
                <c:pt idx="10">
                  <c:v>-5</c:v>
                </c:pt>
                <c:pt idx="11">
                  <c:v>-5.5</c:v>
                </c:pt>
                <c:pt idx="12">
                  <c:v>-6</c:v>
                </c:pt>
                <c:pt idx="13">
                  <c:v>-6.5</c:v>
                </c:pt>
                <c:pt idx="14">
                  <c:v>-7</c:v>
                </c:pt>
                <c:pt idx="15">
                  <c:v>-7.5</c:v>
                </c:pt>
                <c:pt idx="16">
                  <c:v>-8</c:v>
                </c:pt>
              </c:numCache>
            </c:numRef>
          </c:yVal>
          <c:smooth val="0"/>
          <c:extLst>
            <c:ext xmlns:c16="http://schemas.microsoft.com/office/drawing/2014/chart" uri="{C3380CC4-5D6E-409C-BE32-E72D297353CC}">
              <c16:uniqueId val="{00000001-7B8A-3A4E-ACBC-3A4E1C3E797D}"/>
            </c:ext>
          </c:extLst>
        </c:ser>
        <c:dLbls>
          <c:showLegendKey val="0"/>
          <c:showVal val="0"/>
          <c:showCatName val="0"/>
          <c:showSerName val="0"/>
          <c:showPercent val="0"/>
          <c:showBubbleSize val="0"/>
        </c:dLbls>
        <c:axId val="616215695"/>
        <c:axId val="624717456"/>
      </c:scatterChart>
      <c:valAx>
        <c:axId val="6162156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Airpseed (KCAS)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717456"/>
        <c:crosses val="autoZero"/>
        <c:crossBetween val="midCat"/>
      </c:valAx>
      <c:valAx>
        <c:axId val="624717456"/>
        <c:scaling>
          <c:orientation val="minMax"/>
          <c:min val="-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Angle</a:t>
                </a:r>
                <a:r>
                  <a:rPr lang="en-US" baseline="0"/>
                  <a:t> of Descent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21569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Angle</a:t>
            </a:r>
            <a:r>
              <a:rPr lang="en-US" baseline="0"/>
              <a:t> of Climb vs Airspeed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Climb Performance at S-L</c:v>
          </c:tx>
          <c:spPr>
            <a:ln w="25400" cap="rnd">
              <a:solidFill>
                <a:schemeClr val="accent1"/>
              </a:solidFill>
              <a:round/>
            </a:ln>
            <a:effectLst/>
          </c:spPr>
          <c:marker>
            <c:symbol val="none"/>
          </c:marker>
          <c:xVal>
            <c:numRef>
              <c:f>'Performance Analysis'!$A$84:$A$326</c:f>
              <c:numCache>
                <c:formatCode>General</c:formatCode>
                <c:ptCount val="243"/>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pt idx="236">
                  <c:v>301</c:v>
                </c:pt>
                <c:pt idx="237">
                  <c:v>302</c:v>
                </c:pt>
                <c:pt idx="238">
                  <c:v>303</c:v>
                </c:pt>
                <c:pt idx="239">
                  <c:v>304</c:v>
                </c:pt>
                <c:pt idx="240">
                  <c:v>305</c:v>
                </c:pt>
                <c:pt idx="241">
                  <c:v>306</c:v>
                </c:pt>
                <c:pt idx="242">
                  <c:v>307</c:v>
                </c:pt>
              </c:numCache>
            </c:numRef>
          </c:xVal>
          <c:yVal>
            <c:numRef>
              <c:f>'Performance Analysis'!$AB$84:$AB$319</c:f>
              <c:numCache>
                <c:formatCode>General</c:formatCode>
                <c:ptCount val="236"/>
                <c:pt idx="0">
                  <c:v>7.2245904932490141</c:v>
                </c:pt>
                <c:pt idx="1">
                  <c:v>7.3722626566375684</c:v>
                </c:pt>
                <c:pt idx="2">
                  <c:v>7.5115046389953477</c:v>
                </c:pt>
                <c:pt idx="3">
                  <c:v>7.6428052066541605</c:v>
                </c:pt>
                <c:pt idx="4">
                  <c:v>7.7666177991607652</c:v>
                </c:pt>
                <c:pt idx="5">
                  <c:v>7.883363550882299</c:v>
                </c:pt>
                <c:pt idx="6">
                  <c:v>7.9934340140703188</c:v>
                </c:pt>
                <c:pt idx="7">
                  <c:v>8.0971936168632315</c:v>
                </c:pt>
                <c:pt idx="8">
                  <c:v>8.1949818855016456</c:v>
                </c:pt>
                <c:pt idx="9">
                  <c:v>8.287115456411259</c:v>
                </c:pt>
                <c:pt idx="10">
                  <c:v>8.373889900684139</c:v>
                </c:pt>
                <c:pt idx="11">
                  <c:v>8.4555813807863185</c:v>
                </c:pt>
                <c:pt idx="12">
                  <c:v>8.5324481569758781</c:v>
                </c:pt>
                <c:pt idx="13">
                  <c:v>8.604731958878622</c:v>
                </c:pt>
                <c:pt idx="14">
                  <c:v>8.6726592358935299</c:v>
                </c:pt>
                <c:pt idx="15">
                  <c:v>8.7364422985513404</c:v>
                </c:pt>
                <c:pt idx="16">
                  <c:v>8.7962803615942136</c:v>
                </c:pt>
                <c:pt idx="17">
                  <c:v>8.8523604983571467</c:v>
                </c:pt>
                <c:pt idx="18">
                  <c:v>8.9048585149885007</c:v>
                </c:pt>
                <c:pt idx="19">
                  <c:v>8.9539397521297897</c:v>
                </c:pt>
                <c:pt idx="20">
                  <c:v>8.9997598208661902</c:v>
                </c:pt>
                <c:pt idx="21">
                  <c:v>9.042465279045409</c:v>
                </c:pt>
                <c:pt idx="22">
                  <c:v>9.0821942534313322</c:v>
                </c:pt>
                <c:pt idx="23">
                  <c:v>9.1190770125997354</c:v>
                </c:pt>
                <c:pt idx="24">
                  <c:v>9.1532364949873894</c:v>
                </c:pt>
                <c:pt idx="25">
                  <c:v>9.1847887960652006</c:v>
                </c:pt>
                <c:pt idx="26">
                  <c:v>9.213843618213895</c:v>
                </c:pt>
                <c:pt idx="27">
                  <c:v>9.2405046865314588</c:v>
                </c:pt>
                <c:pt idx="28">
                  <c:v>9.2648701334897154</c:v>
                </c:pt>
                <c:pt idx="29">
                  <c:v>9.2870328550788468</c:v>
                </c:pt>
                <c:pt idx="30">
                  <c:v>9.3070808408295438</c:v>
                </c:pt>
                <c:pt idx="31">
                  <c:v>9.3250974798789894</c:v>
                </c:pt>
                <c:pt idx="32">
                  <c:v>9.3411618450469032</c:v>
                </c:pt>
                <c:pt idx="33">
                  <c:v>9.355348956707676</c:v>
                </c:pt>
                <c:pt idx="34">
                  <c:v>9.3677300280832299</c:v>
                </c:pt>
                <c:pt idx="35">
                  <c:v>9.3783726934353577</c:v>
                </c:pt>
                <c:pt idx="36">
                  <c:v>9.3873412205053217</c:v>
                </c:pt>
                <c:pt idx="37">
                  <c:v>9.3946967084300113</c:v>
                </c:pt>
                <c:pt idx="38">
                  <c:v>9.4004972722570752</c:v>
                </c:pt>
                <c:pt idx="39">
                  <c:v>9.4047982150846732</c:v>
                </c:pt>
                <c:pt idx="40">
                  <c:v>9.4076521887642919</c:v>
                </c:pt>
                <c:pt idx="41">
                  <c:v>9.4091093440253371</c:v>
                </c:pt>
                <c:pt idx="42">
                  <c:v>9.4092174708088265</c:v>
                </c:pt>
                <c:pt idx="43">
                  <c:v>9.408022129531842</c:v>
                </c:pt>
                <c:pt idx="44">
                  <c:v>9.4055667739453792</c:v>
                </c:pt>
                <c:pt idx="45">
                  <c:v>9.4018928661940606</c:v>
                </c:pt>
                <c:pt idx="46">
                  <c:v>9.3970399846373684</c:v>
                </c:pt>
                <c:pt idx="47">
                  <c:v>9.3910459249470257</c:v>
                </c:pt>
                <c:pt idx="48">
                  <c:v>9.3839467949545696</c:v>
                </c:pt>
                <c:pt idx="49">
                  <c:v>9.3757771036858877</c:v>
                </c:pt>
                <c:pt idx="50">
                  <c:v>9.3665698449853565</c:v>
                </c:pt>
                <c:pt idx="51">
                  <c:v>9.3563565761013443</c:v>
                </c:pt>
                <c:pt idx="52">
                  <c:v>9.3451674915761949</c:v>
                </c:pt>
                <c:pt idx="53">
                  <c:v>9.3330314927578861</c:v>
                </c:pt>
                <c:pt idx="54">
                  <c:v>9.3199762532266295</c:v>
                </c:pt>
                <c:pt idx="55">
                  <c:v>9.306028280407773</c:v>
                </c:pt>
                <c:pt idx="56">
                  <c:v>9.2912129736223985</c:v>
                </c:pt>
                <c:pt idx="57">
                  <c:v>9.2755546788083141</c:v>
                </c:pt>
                <c:pt idx="58">
                  <c:v>9.2590767401274849</c:v>
                </c:pt>
                <c:pt idx="59">
                  <c:v>9.2418015486600602</c:v>
                </c:pt>
                <c:pt idx="60">
                  <c:v>9.2237505883709954</c:v>
                </c:pt>
                <c:pt idx="61">
                  <c:v>9.2049444795219966</c:v>
                </c:pt>
                <c:pt idx="62">
                  <c:v>9.18540301968922</c:v>
                </c:pt>
                <c:pt idx="63">
                  <c:v>9.1651452225360792</c:v>
                </c:pt>
                <c:pt idx="64">
                  <c:v>9.1441893544800479</c:v>
                </c:pt>
                <c:pt idx="65">
                  <c:v>9.1225529693827969</c:v>
                </c:pt>
                <c:pt idx="66">
                  <c:v>9.1002529413840918</c:v>
                </c:pt>
                <c:pt idx="67">
                  <c:v>9.0773054959917889</c:v>
                </c:pt>
                <c:pt idx="68">
                  <c:v>9.0537262395326863</c:v>
                </c:pt>
                <c:pt idx="69">
                  <c:v>9.0295301870618356</c:v>
                </c:pt>
                <c:pt idx="70">
                  <c:v>9.004731788821644</c:v>
                </c:pt>
                <c:pt idx="71">
                  <c:v>8.9793449553359022</c:v>
                </c:pt>
                <c:pt idx="72">
                  <c:v>8.9533830812183961</c:v>
                </c:pt>
                <c:pt idx="73">
                  <c:v>8.9268590677705291</c:v>
                </c:pt>
                <c:pt idx="74">
                  <c:v>8.8997853444376318</c:v>
                </c:pt>
                <c:pt idx="75">
                  <c:v>8.8721738891890762</c:v>
                </c:pt>
                <c:pt idx="76">
                  <c:v>8.844036247883297</c:v>
                </c:pt>
                <c:pt idx="77">
                  <c:v>8.8153835526748097</c:v>
                </c:pt>
                <c:pt idx="78">
                  <c:v>8.786226539516889</c:v>
                </c:pt>
                <c:pt idx="79">
                  <c:v>8.7565755648100954</c:v>
                </c:pt>
                <c:pt idx="80">
                  <c:v>8.7264406212437784</c:v>
                </c:pt>
                <c:pt idx="81">
                  <c:v>8.6958313528748032</c:v>
                </c:pt>
                <c:pt idx="82">
                  <c:v>8.66475706948507</c:v>
                </c:pt>
                <c:pt idx="83">
                  <c:v>8.6332267602567097</c:v>
                </c:pt>
                <c:pt idx="84">
                  <c:v>8.6012491068017631</c:v>
                </c:pt>
                <c:pt idx="85">
                  <c:v>8.5688324955806987</c:v>
                </c:pt>
                <c:pt idx="86">
                  <c:v>8.535985029742216</c:v>
                </c:pt>
                <c:pt idx="87">
                  <c:v>8.5027145404148001</c:v>
                </c:pt>
                <c:pt idx="88">
                  <c:v>8.469028597478804</c:v>
                </c:pt>
                <c:pt idx="89">
                  <c:v>8.4349345198459762</c:v>
                </c:pt>
                <c:pt idx="90">
                  <c:v>8.4004393852719694</c:v>
                </c:pt>
                <c:pt idx="91">
                  <c:v>8.3655500397258127</c:v>
                </c:pt>
                <c:pt idx="92">
                  <c:v>8.3302731063389235</c:v>
                </c:pt>
                <c:pt idx="93">
                  <c:v>8.2946149939550331</c:v>
                </c:pt>
                <c:pt idx="94">
                  <c:v>8.258581905301126</c:v>
                </c:pt>
                <c:pt idx="95">
                  <c:v>8.2221798447984114</c:v>
                </c:pt>
                <c:pt idx="96">
                  <c:v>8.1854146260311751</c:v>
                </c:pt>
                <c:pt idx="97">
                  <c:v>8.1482918788905927</c:v>
                </c:pt>
                <c:pt idx="98">
                  <c:v>8.1108170564093456</c:v>
                </c:pt>
                <c:pt idx="99">
                  <c:v>8.0729954413022771</c:v>
                </c:pt>
                <c:pt idx="100">
                  <c:v>8.0348321522273292</c:v>
                </c:pt>
                <c:pt idx="101">
                  <c:v>7.9963321497802662</c:v>
                </c:pt>
                <c:pt idx="102">
                  <c:v>7.9575002422360717</c:v>
                </c:pt>
                <c:pt idx="103">
                  <c:v>7.9183410910489727</c:v>
                </c:pt>
                <c:pt idx="104">
                  <c:v>7.8788592161227227</c:v>
                </c:pt>
                <c:pt idx="105">
                  <c:v>7.8390590008618553</c:v>
                </c:pt>
                <c:pt idx="106">
                  <c:v>7.7989446970142735</c:v>
                </c:pt>
                <c:pt idx="107">
                  <c:v>7.7585204293148946</c:v>
                </c:pt>
                <c:pt idx="108">
                  <c:v>7.7177901999395822</c:v>
                </c:pt>
                <c:pt idx="109">
                  <c:v>7.676757892778121</c:v>
                </c:pt>
                <c:pt idx="110">
                  <c:v>7.6354272775345864</c:v>
                </c:pt>
                <c:pt idx="111">
                  <c:v>7.5938020136628976</c:v>
                </c:pt>
                <c:pt idx="112">
                  <c:v>7.551885654145134</c:v>
                </c:pt>
                <c:pt idx="113">
                  <c:v>7.509681649119667</c:v>
                </c:pt>
                <c:pt idx="114">
                  <c:v>7.4671933493658411</c:v>
                </c:pt>
                <c:pt idx="115">
                  <c:v>7.4244240096516325</c:v>
                </c:pt>
                <c:pt idx="116">
                  <c:v>7.381376791950383</c:v>
                </c:pt>
                <c:pt idx="117">
                  <c:v>7.3380547685323529</c:v>
                </c:pt>
                <c:pt idx="118">
                  <c:v>7.294460924936649</c:v>
                </c:pt>
                <c:pt idx="119">
                  <c:v>7.2505981628286866</c:v>
                </c:pt>
                <c:pt idx="120">
                  <c:v>7.2064693027482303</c:v>
                </c:pt>
                <c:pt idx="121">
                  <c:v>7.1620770867527339</c:v>
                </c:pt>
                <c:pt idx="122">
                  <c:v>7.1174241809604171</c:v>
                </c:pt>
                <c:pt idx="123">
                  <c:v>7.072513177997477</c:v>
                </c:pt>
                <c:pt idx="124">
                  <c:v>7.0273465993534252</c:v>
                </c:pt>
                <c:pt idx="125">
                  <c:v>6.9819268976485125</c:v>
                </c:pt>
                <c:pt idx="126">
                  <c:v>6.9362564588168603</c:v>
                </c:pt>
                <c:pt idx="127">
                  <c:v>6.8903376042089546</c:v>
                </c:pt>
                <c:pt idx="128">
                  <c:v>6.8441725926167418</c:v>
                </c:pt>
                <c:pt idx="129">
                  <c:v>6.7977636222246298</c:v>
                </c:pt>
                <c:pt idx="130">
                  <c:v>6.7511128324894054</c:v>
                </c:pt>
                <c:pt idx="131">
                  <c:v>6.7042223059519905</c:v>
                </c:pt>
                <c:pt idx="132">
                  <c:v>6.657094069983871</c:v>
                </c:pt>
                <c:pt idx="133">
                  <c:v>6.6097300984707985</c:v>
                </c:pt>
                <c:pt idx="134">
                  <c:v>6.5621323134363365</c:v>
                </c:pt>
                <c:pt idx="135">
                  <c:v>6.5143025866076476</c:v>
                </c:pt>
                <c:pt idx="136">
                  <c:v>6.4662427409258987</c:v>
                </c:pt>
                <c:pt idx="137">
                  <c:v>6.4179545520034109</c:v>
                </c:pt>
                <c:pt idx="138">
                  <c:v>6.3694397495297217</c:v>
                </c:pt>
                <c:pt idx="139">
                  <c:v>6.320700018628588</c:v>
                </c:pt>
                <c:pt idx="140">
                  <c:v>6.2717370011677938</c:v>
                </c:pt>
                <c:pt idx="141">
                  <c:v>6.2225522970236957</c:v>
                </c:pt>
                <c:pt idx="142">
                  <c:v>6.1731474653021943</c:v>
                </c:pt>
                <c:pt idx="143">
                  <c:v>6.1235240255178844</c:v>
                </c:pt>
                <c:pt idx="144">
                  <c:v>6.0736834587329342</c:v>
                </c:pt>
                <c:pt idx="145">
                  <c:v>6.0236272086572891</c:v>
                </c:pt>
                <c:pt idx="146">
                  <c:v>5.9733566827116666</c:v>
                </c:pt>
                <c:pt idx="147">
                  <c:v>5.9228732530547479</c:v>
                </c:pt>
                <c:pt idx="148">
                  <c:v>5.8721782575759187</c:v>
                </c:pt>
                <c:pt idx="149">
                  <c:v>5.8212730008548883</c:v>
                </c:pt>
                <c:pt idx="150">
                  <c:v>5.7701587550893869</c:v>
                </c:pt>
                <c:pt idx="151">
                  <c:v>5.7188367609921693</c:v>
                </c:pt>
                <c:pt idx="152">
                  <c:v>5.6673082286584462</c:v>
                </c:pt>
                <c:pt idx="153">
                  <c:v>5.6155743384048655</c:v>
                </c:pt>
                <c:pt idx="154">
                  <c:v>5.563636241581027</c:v>
                </c:pt>
                <c:pt idx="155">
                  <c:v>5.5114950613546307</c:v>
                </c:pt>
                <c:pt idx="156">
                  <c:v>5.4591518934711454</c:v>
                </c:pt>
                <c:pt idx="157">
                  <c:v>5.4066078069889514</c:v>
                </c:pt>
                <c:pt idx="158">
                  <c:v>5.3538638449908849</c:v>
                </c:pt>
                <c:pt idx="159">
                  <c:v>5.3009210252729142</c:v>
                </c:pt>
                <c:pt idx="160">
                  <c:v>5.247780341010964</c:v>
                </c:pt>
                <c:pt idx="161">
                  <c:v>5.1944427614064379</c:v>
                </c:pt>
                <c:pt idx="162">
                  <c:v>5.1409092323114018</c:v>
                </c:pt>
                <c:pt idx="163">
                  <c:v>5.0871806768340138</c:v>
                </c:pt>
                <c:pt idx="164">
                  <c:v>5.0332579959249726</c:v>
                </c:pt>
                <c:pt idx="165">
                  <c:v>4.9791420689455785</c:v>
                </c:pt>
                <c:pt idx="166">
                  <c:v>4.9248337542181515</c:v>
                </c:pt>
                <c:pt idx="167">
                  <c:v>4.8703338895593271</c:v>
                </c:pt>
                <c:pt idx="168">
                  <c:v>4.8156432927968487</c:v>
                </c:pt>
                <c:pt idx="169">
                  <c:v>4.7607627622704731</c:v>
                </c:pt>
                <c:pt idx="170">
                  <c:v>4.7056930773174717</c:v>
                </c:pt>
                <c:pt idx="171">
                  <c:v>4.6504349987432914</c:v>
                </c:pt>
                <c:pt idx="172">
                  <c:v>4.5949892692778702</c:v>
                </c:pt>
                <c:pt idx="173">
                  <c:v>4.539356614018093</c:v>
                </c:pt>
                <c:pt idx="174">
                  <c:v>4.4835377408568515</c:v>
                </c:pt>
                <c:pt idx="175">
                  <c:v>4.4275333408992035</c:v>
                </c:pt>
                <c:pt idx="176">
                  <c:v>4.371344088865956</c:v>
                </c:pt>
                <c:pt idx="177">
                  <c:v>4.3149706434852382</c:v>
                </c:pt>
                <c:pt idx="178">
                  <c:v>4.2584136478723442</c:v>
                </c:pt>
                <c:pt idx="179">
                  <c:v>4.2016737298982738</c:v>
                </c:pt>
                <c:pt idx="180">
                  <c:v>4.1447515025473756</c:v>
                </c:pt>
                <c:pt idx="181">
                  <c:v>4.0876475642644063</c:v>
                </c:pt>
                <c:pt idx="182">
                  <c:v>4.0303624992913569</c:v>
                </c:pt>
                <c:pt idx="183">
                  <c:v>3.9728968779944149</c:v>
                </c:pt>
                <c:pt idx="184">
                  <c:v>3.9152512571813358</c:v>
                </c:pt>
                <c:pt idx="185">
                  <c:v>3.8574261804095791</c:v>
                </c:pt>
                <c:pt idx="186">
                  <c:v>3.7994221782854396</c:v>
                </c:pt>
                <c:pt idx="187">
                  <c:v>3.7412397687545607</c:v>
                </c:pt>
                <c:pt idx="188">
                  <c:v>3.6828794573840136</c:v>
                </c:pt>
                <c:pt idx="189">
                  <c:v>3.624341737636235</c:v>
                </c:pt>
                <c:pt idx="190">
                  <c:v>3.5656270911351418</c:v>
                </c:pt>
                <c:pt idx="191">
                  <c:v>3.5067359879245714</c:v>
                </c:pt>
                <c:pt idx="192">
                  <c:v>3.4476688867193546</c:v>
                </c:pt>
                <c:pt idx="193">
                  <c:v>3.3884262351492307</c:v>
                </c:pt>
                <c:pt idx="194">
                  <c:v>3.329008469995836</c:v>
                </c:pt>
                <c:pt idx="195">
                  <c:v>3.2694160174229872</c:v>
                </c:pt>
                <c:pt idx="196">
                  <c:v>3.2096492932004037</c:v>
                </c:pt>
                <c:pt idx="197">
                  <c:v>3.1497087029211901</c:v>
                </c:pt>
                <c:pt idx="198">
                  <c:v>3.0895946422131537</c:v>
                </c:pt>
                <c:pt idx="199">
                  <c:v>3.029307496944218</c:v>
                </c:pt>
                <c:pt idx="200">
                  <c:v>2.9688476434220616</c:v>
                </c:pt>
                <c:pt idx="201">
                  <c:v>2.9082154485882241</c:v>
                </c:pt>
                <c:pt idx="202">
                  <c:v>2.8474112702067584</c:v>
                </c:pt>
                <c:pt idx="203">
                  <c:v>2.7864354570476695</c:v>
                </c:pt>
                <c:pt idx="204">
                  <c:v>2.7252883490652522</c:v>
                </c:pt>
                <c:pt idx="205">
                  <c:v>2.6639702775715168</c:v>
                </c:pt>
                <c:pt idx="206">
                  <c:v>2.6024815654047786</c:v>
                </c:pt>
                <c:pt idx="207">
                  <c:v>2.540822527093638</c:v>
                </c:pt>
                <c:pt idx="208">
                  <c:v>2.478993469016451</c:v>
                </c:pt>
                <c:pt idx="209">
                  <c:v>2.4169946895564043</c:v>
                </c:pt>
                <c:pt idx="210">
                  <c:v>2.3548264792523348</c:v>
                </c:pt>
                <c:pt idx="211">
                  <c:v>2.292489120945445</c:v>
                </c:pt>
                <c:pt idx="212">
                  <c:v>2.229982889921994</c:v>
                </c:pt>
                <c:pt idx="213">
                  <c:v>2.1673080540521026</c:v>
                </c:pt>
                <c:pt idx="214">
                  <c:v>2.1044648739247824</c:v>
                </c:pt>
                <c:pt idx="215">
                  <c:v>2.0414536029792711</c:v>
                </c:pt>
                <c:pt idx="216">
                  <c:v>1.9782744876328433</c:v>
                </c:pt>
                <c:pt idx="217">
                  <c:v>1.9149277674051031</c:v>
                </c:pt>
                <c:pt idx="218">
                  <c:v>1.8514136750389567</c:v>
                </c:pt>
                <c:pt idx="219">
                  <c:v>1.7877324366182816</c:v>
                </c:pt>
                <c:pt idx="220">
                  <c:v>1.7238842716824261</c:v>
                </c:pt>
                <c:pt idx="221">
                  <c:v>1.6598693933376072</c:v>
                </c:pt>
                <c:pt idx="222">
                  <c:v>1.5956880083653231</c:v>
                </c:pt>
                <c:pt idx="223">
                  <c:v>1.5313403173278115</c:v>
                </c:pt>
                <c:pt idx="224">
                  <c:v>1.4668265146707005</c:v>
                </c:pt>
                <c:pt idx="225">
                  <c:v>1.4021467888228609</c:v>
                </c:pt>
                <c:pt idx="226">
                  <c:v>1.3373013222935888</c:v>
                </c:pt>
                <c:pt idx="227">
                  <c:v>1.2722902917671768</c:v>
                </c:pt>
                <c:pt idx="228">
                  <c:v>1.2071138681949145</c:v>
                </c:pt>
                <c:pt idx="229">
                  <c:v>1.1417722168846498</c:v>
                </c:pt>
                <c:pt idx="230">
                  <c:v>1.0762654975879111</c:v>
                </c:pt>
                <c:pt idx="231">
                  <c:v>1.0105938645846919</c:v>
                </c:pt>
                <c:pt idx="232">
                  <c:v>0.94475746676595918</c:v>
                </c:pt>
                <c:pt idx="233">
                  <c:v>0.87875644771393102</c:v>
                </c:pt>
                <c:pt idx="234">
                  <c:v>0.81259094578020419</c:v>
                </c:pt>
                <c:pt idx="235">
                  <c:v>0.74626109416174513</c:v>
                </c:pt>
              </c:numCache>
            </c:numRef>
          </c:yVal>
          <c:smooth val="1"/>
          <c:extLst>
            <c:ext xmlns:c16="http://schemas.microsoft.com/office/drawing/2014/chart" uri="{C3380CC4-5D6E-409C-BE32-E72D297353CC}">
              <c16:uniqueId val="{00000000-BCC1-BA4D-B57B-DCC7F0D86BB0}"/>
            </c:ext>
          </c:extLst>
        </c:ser>
        <c:ser>
          <c:idx val="1"/>
          <c:order val="1"/>
          <c:tx>
            <c:v>Climb Performance at Cruise</c:v>
          </c:tx>
          <c:spPr>
            <a:ln w="25400" cap="rnd">
              <a:solidFill>
                <a:schemeClr val="accent2"/>
              </a:solidFill>
              <a:round/>
            </a:ln>
            <a:effectLst/>
          </c:spPr>
          <c:marker>
            <c:symbol val="none"/>
          </c:marker>
          <c:xVal>
            <c:numRef>
              <c:f>'Performance Analysis'!$A$84:$A$319</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'Performance Analysis'!$AG$84:$AG$319</c:f>
              <c:numCache>
                <c:formatCode>General</c:formatCode>
                <c:ptCount val="236"/>
                <c:pt idx="0">
                  <c:v>6.5125969056745312</c:v>
                </c:pt>
                <c:pt idx="1">
                  <c:v>6.6378691250703943</c:v>
                </c:pt>
                <c:pt idx="2">
                  <c:v>6.7560776766415778</c:v>
                </c:pt>
                <c:pt idx="3">
                  <c:v>6.8676276948273509</c:v>
                </c:pt>
                <c:pt idx="4">
                  <c:v>6.9728950719574065</c:v>
                </c:pt>
                <c:pt idx="5">
                  <c:v>7.0722289553195417</c:v>
                </c:pt>
                <c:pt idx="6">
                  <c:v>7.1659539982652589</c:v>
                </c:pt>
                <c:pt idx="7">
                  <c:v>7.2543723927910309</c:v>
                </c:pt>
                <c:pt idx="8">
                  <c:v>7.3377657076145129</c:v>
                </c:pt>
                <c:pt idx="9">
                  <c:v>7.4163965528168925</c:v>
                </c:pt>
                <c:pt idx="10">
                  <c:v>7.4905100895743546</c:v>
                </c:pt>
                <c:pt idx="11">
                  <c:v>7.5603354012934396</c:v>
                </c:pt>
                <c:pt idx="12">
                  <c:v>7.6260867405477013</c:v>
                </c:pt>
                <c:pt idx="13">
                  <c:v>7.6879646645444151</c:v>
                </c:pt>
                <c:pt idx="14">
                  <c:v>7.7461570703946423</c:v>
                </c:pt>
                <c:pt idx="15">
                  <c:v>7.8008401401883631</c:v>
                </c:pt>
                <c:pt idx="16">
                  <c:v>7.8521792047629511</c:v>
                </c:pt>
                <c:pt idx="17">
                  <c:v>7.9003295340763504</c:v>
                </c:pt>
                <c:pt idx="18">
                  <c:v>7.9454370612382803</c:v>
                </c:pt>
                <c:pt idx="19">
                  <c:v>7.9876390464966862</c:v>
                </c:pt>
                <c:pt idx="20">
                  <c:v>8.0270646868106699</c:v>
                </c:pt>
                <c:pt idx="21">
                  <c:v>8.0638356760521113</c:v>
                </c:pt>
                <c:pt idx="22">
                  <c:v>8.0980667203576111</c:v>
                </c:pt>
                <c:pt idx="23">
                  <c:v>8.1298660126907158</c:v>
                </c:pt>
                <c:pt idx="24">
                  <c:v>8.1593356702647739</c:v>
                </c:pt>
                <c:pt idx="25">
                  <c:v>8.1865721381127408</c:v>
                </c:pt>
                <c:pt idx="26">
                  <c:v>8.2116665617661582</c:v>
                </c:pt>
                <c:pt idx="27">
                  <c:v>8.234705131716705</c:v>
                </c:pt>
                <c:pt idx="28">
                  <c:v>8.255769402075849</c:v>
                </c:pt>
                <c:pt idx="29">
                  <c:v>8.2749365856177519</c:v>
                </c:pt>
                <c:pt idx="30">
                  <c:v>8.292279827184375</c:v>
                </c:pt>
                <c:pt idx="31">
                  <c:v>8.3078684572469079</c:v>
                </c:pt>
                <c:pt idx="32">
                  <c:v>8.3217682272519138</c:v>
                </c:pt>
                <c:pt idx="33">
                  <c:v>8.3340415282317224</c:v>
                </c:pt>
                <c:pt idx="34">
                  <c:v>8.3447475940246072</c:v>
                </c:pt>
                <c:pt idx="35">
                  <c:v>8.3539426903298075</c:v>
                </c:pt>
                <c:pt idx="36">
                  <c:v>8.3616802907138652</c:v>
                </c:pt>
                <c:pt idx="37">
                  <c:v>8.3680112405864708</c:v>
                </c:pt>
                <c:pt idx="38">
                  <c:v>8.3729839100757975</c:v>
                </c:pt>
                <c:pt idx="39">
                  <c:v>8.3766443366528556</c:v>
                </c:pt>
                <c:pt idx="40">
                  <c:v>8.3790363582823151</c:v>
                </c:pt>
                <c:pt idx="41">
                  <c:v>8.380201737811193</c:v>
                </c:pt>
                <c:pt idx="42">
                  <c:v>8.380180279247524</c:v>
                </c:pt>
                <c:pt idx="43">
                  <c:v>8.3790099365269519</c:v>
                </c:pt>
                <c:pt idx="44">
                  <c:v>8.3767269153160484</c:v>
                </c:pt>
                <c:pt idx="45">
                  <c:v>8.373365768356491</c:v>
                </c:pt>
                <c:pt idx="46">
                  <c:v>8.36895948481361</c:v>
                </c:pt>
                <c:pt idx="47">
                  <c:v>8.3635395740556593</c:v>
                </c:pt>
                <c:pt idx="48">
                  <c:v>8.357136144256442</c:v>
                </c:pt>
                <c:pt idx="49">
                  <c:v>8.3497779761830824</c:v>
                </c:pt>
                <c:pt idx="50">
                  <c:v>8.341492592502453</c:v>
                </c:pt>
                <c:pt idx="51">
                  <c:v>8.3323063229141638</c:v>
                </c:pt>
                <c:pt idx="52">
                  <c:v>8.3222443653943596</c:v>
                </c:pt>
                <c:pt idx="53">
                  <c:v>8.3113308438129359</c:v>
                </c:pt>
                <c:pt idx="54">
                  <c:v>8.299588862167198</c:v>
                </c:pt>
                <c:pt idx="55">
                  <c:v>8.2870405556566116</c:v>
                </c:pt>
                <c:pt idx="56">
                  <c:v>8.2737071388068752</c:v>
                </c:pt>
                <c:pt idx="57">
                  <c:v>8.2596089508360695</c:v>
                </c:pt>
                <c:pt idx="58">
                  <c:v>8.2447654984417351</c:v>
                </c:pt>
                <c:pt idx="59">
                  <c:v>8.2291954961747251</c:v>
                </c:pt>
                <c:pt idx="60">
                  <c:v>8.2129169045538184</c:v>
                </c:pt>
                <c:pt idx="61">
                  <c:v>8.1959469660640902</c:v>
                </c:pt>
                <c:pt idx="62">
                  <c:v>8.1783022391720319</c:v>
                </c:pt>
                <c:pt idx="63">
                  <c:v>8.1599986304809491</c:v>
                </c:pt>
                <c:pt idx="64">
                  <c:v>8.1410514251418018</c:v>
                </c:pt>
                <c:pt idx="65">
                  <c:v>8.121475315626407</c:v>
                </c:pt>
                <c:pt idx="66">
                  <c:v>8.101284428962952</c:v>
                </c:pt>
                <c:pt idx="67">
                  <c:v>8.0804923525266528</c:v>
                </c:pt>
                <c:pt idx="68">
                  <c:v>8.0591121584724004</c:v>
                </c:pt>
                <c:pt idx="69">
                  <c:v>8.0371564268902276</c:v>
                </c:pt>
                <c:pt idx="70">
                  <c:v>8.0146372677591398</c:v>
                </c:pt>
                <c:pt idx="71">
                  <c:v>7.991566341769941</c:v>
                </c:pt>
                <c:pt idx="72">
                  <c:v>7.9679548800828846</c:v>
                </c:pt>
                <c:pt idx="73">
                  <c:v>7.9438137030818847</c:v>
                </c:pt>
                <c:pt idx="74">
                  <c:v>7.9191532381829175</c:v>
                </c:pt>
                <c:pt idx="75">
                  <c:v>7.8939835367505786</c:v>
                </c:pt>
                <c:pt idx="76">
                  <c:v>7.8683142901733598</c:v>
                </c:pt>
                <c:pt idx="77">
                  <c:v>7.8421548451449805</c:v>
                </c:pt>
                <c:pt idx="78">
                  <c:v>7.8155142181961326</c:v>
                </c:pt>
                <c:pt idx="79">
                  <c:v>7.7884011095182624</c:v>
                </c:pt>
                <c:pt idx="80">
                  <c:v>7.7608239161184045</c:v>
                </c:pt>
                <c:pt idx="81">
                  <c:v>7.7327907443417185</c:v>
                </c:pt>
                <c:pt idx="82">
                  <c:v>7.7043094217960757</c:v>
                </c:pt>
                <c:pt idx="83">
                  <c:v>7.675387508711081</c:v>
                </c:pt>
                <c:pt idx="84">
                  <c:v>7.6460323087617859</c:v>
                </c:pt>
                <c:pt idx="85">
                  <c:v>7.6162508793857269</c:v>
                </c:pt>
                <c:pt idx="86">
                  <c:v>7.5860500416200667</c:v>
                </c:pt>
                <c:pt idx="87">
                  <c:v>7.555436389484127</c:v>
                </c:pt>
                <c:pt idx="88">
                  <c:v>7.5244162989310857</c:v>
                </c:pt>
                <c:pt idx="89">
                  <c:v>7.492995936391198</c:v>
                </c:pt>
                <c:pt idx="90">
                  <c:v>7.4611812669276709</c:v>
                </c:pt>
                <c:pt idx="91">
                  <c:v>7.4289780620250037</c:v>
                </c:pt>
                <c:pt idx="92">
                  <c:v>7.3963919070286215</c:v>
                </c:pt>
                <c:pt idx="93">
                  <c:v>7.3634282082533717</c:v>
                </c:pt>
                <c:pt idx="94">
                  <c:v>7.3300921997776065</c:v>
                </c:pt>
                <c:pt idx="95">
                  <c:v>7.2963889499386338</c:v>
                </c:pt>
                <c:pt idx="96">
                  <c:v>7.2623233675442345</c:v>
                </c:pt>
                <c:pt idx="97">
                  <c:v>7.2279002078144767</c:v>
                </c:pt>
                <c:pt idx="98">
                  <c:v>7.1931240780669361</c:v>
                </c:pt>
                <c:pt idx="99">
                  <c:v>7.1579994431579292</c:v>
                </c:pt>
                <c:pt idx="100">
                  <c:v>7.1225306306915437</c:v>
                </c:pt>
                <c:pt idx="101">
                  <c:v>7.0867218360077473</c:v>
                </c:pt>
                <c:pt idx="102">
                  <c:v>7.0505771269601167</c:v>
                </c:pt>
                <c:pt idx="103">
                  <c:v>7.0141004484932354</c:v>
                </c:pt>
                <c:pt idx="104">
                  <c:v>6.9772956270292799</c:v>
                </c:pt>
                <c:pt idx="105">
                  <c:v>6.9401663746727573</c:v>
                </c:pt>
                <c:pt idx="106">
                  <c:v>6.9027162932419568</c:v>
                </c:pt>
                <c:pt idx="107">
                  <c:v>6.8649488781351362</c:v>
                </c:pt>
                <c:pt idx="108">
                  <c:v>6.826867522039179</c:v>
                </c:pt>
                <c:pt idx="109">
                  <c:v>6.7884755184879042</c:v>
                </c:pt>
                <c:pt idx="110">
                  <c:v>6.7497760652769623</c:v>
                </c:pt>
                <c:pt idx="111">
                  <c:v>6.7107722677418398</c:v>
                </c:pt>
                <c:pt idx="112">
                  <c:v>6.6714671419051834</c:v>
                </c:pt>
                <c:pt idx="113">
                  <c:v>6.6318636174993069</c:v>
                </c:pt>
                <c:pt idx="114">
                  <c:v>6.5919645408695082</c:v>
                </c:pt>
                <c:pt idx="115">
                  <c:v>6.5517726777634913</c:v>
                </c:pt>
                <c:pt idx="116">
                  <c:v>6.5112907160119207</c:v>
                </c:pt>
                <c:pt idx="117">
                  <c:v>6.4705212681049558</c:v>
                </c:pt>
                <c:pt idx="118">
                  <c:v>6.429466873669285</c:v>
                </c:pt>
                <c:pt idx="119">
                  <c:v>6.3881300018500289</c:v>
                </c:pt>
                <c:pt idx="120">
                  <c:v>6.3465130536015826</c:v>
                </c:pt>
                <c:pt idx="121">
                  <c:v>6.3046183638914375</c:v>
                </c:pt>
                <c:pt idx="122">
                  <c:v>6.2624482038205613</c:v>
                </c:pt>
                <c:pt idx="123">
                  <c:v>6.2200047826640912</c:v>
                </c:pt>
                <c:pt idx="124">
                  <c:v>6.1772902498355009</c:v>
                </c:pt>
                <c:pt idx="125">
                  <c:v>6.1343066967777009</c:v>
                </c:pt>
                <c:pt idx="126">
                  <c:v>6.0910561587839691</c:v>
                </c:pt>
                <c:pt idx="127">
                  <c:v>6.0475406167517329</c:v>
                </c:pt>
                <c:pt idx="128">
                  <c:v>6.0037619988719992</c:v>
                </c:pt>
                <c:pt idx="129">
                  <c:v>5.9597221822570443</c:v>
                </c:pt>
                <c:pt idx="130">
                  <c:v>5.9154229945089529</c:v>
                </c:pt>
                <c:pt idx="131">
                  <c:v>5.8708662152314073</c:v>
                </c:pt>
                <c:pt idx="132">
                  <c:v>5.826053577487067</c:v>
                </c:pt>
                <c:pt idx="133">
                  <c:v>5.7809867692026833</c:v>
                </c:pt>
                <c:pt idx="134">
                  <c:v>5.7356674345241778</c:v>
                </c:pt>
                <c:pt idx="135">
                  <c:v>5.6900971751235243</c:v>
                </c:pt>
                <c:pt idx="136">
                  <c:v>5.6442775514595489</c:v>
                </c:pt>
                <c:pt idx="137">
                  <c:v>5.5982100839943252</c:v>
                </c:pt>
                <c:pt idx="138">
                  <c:v>5.551896254367005</c:v>
                </c:pt>
                <c:pt idx="139">
                  <c:v>5.5053375065267529</c:v>
                </c:pt>
                <c:pt idx="140">
                  <c:v>5.458535247826358</c:v>
                </c:pt>
                <c:pt idx="141">
                  <c:v>5.4114908500781054</c:v>
                </c:pt>
                <c:pt idx="142">
                  <c:v>5.3642056505733038</c:v>
                </c:pt>
                <c:pt idx="143">
                  <c:v>5.3166809530669408</c:v>
                </c:pt>
                <c:pt idx="144">
                  <c:v>5.2689180287287725</c:v>
                </c:pt>
                <c:pt idx="145">
                  <c:v>5.2209181170621441</c:v>
                </c:pt>
                <c:pt idx="146">
                  <c:v>5.1726824267917531</c:v>
                </c:pt>
                <c:pt idx="147">
                  <c:v>5.1242121367215541</c:v>
                </c:pt>
                <c:pt idx="148">
                  <c:v>5.0755083965639329</c:v>
                </c:pt>
                <c:pt idx="149">
                  <c:v>5.0265723277411869</c:v>
                </c:pt>
                <c:pt idx="150">
                  <c:v>4.9774050241604373</c:v>
                </c:pt>
                <c:pt idx="151">
                  <c:v>4.9280075529628391</c:v>
                </c:pt>
                <c:pt idx="152">
                  <c:v>4.8783809552481534</c:v>
                </c:pt>
                <c:pt idx="153">
                  <c:v>4.8285262467755397</c:v>
                </c:pt>
                <c:pt idx="154">
                  <c:v>4.7784444186414214</c:v>
                </c:pt>
                <c:pt idx="155">
                  <c:v>4.7281364379353015</c:v>
                </c:pt>
                <c:pt idx="156">
                  <c:v>4.677603248374341</c:v>
                </c:pt>
                <c:pt idx="157">
                  <c:v>4.6268457709173889</c:v>
                </c:pt>
                <c:pt idx="158">
                  <c:v>4.5758649043593138</c:v>
                </c:pt>
                <c:pt idx="159">
                  <c:v>4.5246615259062573</c:v>
                </c:pt>
                <c:pt idx="160">
                  <c:v>4.4732364917325453</c:v>
                </c:pt>
                <c:pt idx="161">
                  <c:v>4.421590637519861</c:v>
                </c:pt>
                <c:pt idx="162">
                  <c:v>4.3697247789793687</c:v>
                </c:pt>
                <c:pt idx="163">
                  <c:v>4.3176397123573498</c:v>
                </c:pt>
                <c:pt idx="164">
                  <c:v>4.265336214924897</c:v>
                </c:pt>
                <c:pt idx="165">
                  <c:v>4.2128150454523121</c:v>
                </c:pt>
                <c:pt idx="166">
                  <c:v>4.1600769446686776</c:v>
                </c:pt>
                <c:pt idx="167">
                  <c:v>4.107122635707114</c:v>
                </c:pt>
                <c:pt idx="168">
                  <c:v>4.0539528245362337</c:v>
                </c:pt>
                <c:pt idx="169">
                  <c:v>4.0005682003782868</c:v>
                </c:pt>
                <c:pt idx="170">
                  <c:v>3.9469694361144088</c:v>
                </c:pt>
                <c:pt idx="171">
                  <c:v>3.893157188677431</c:v>
                </c:pt>
                <c:pt idx="172">
                  <c:v>3.8391320994326943</c:v>
                </c:pt>
                <c:pt idx="173">
                  <c:v>3.7848947945472258</c:v>
                </c:pt>
                <c:pt idx="174">
                  <c:v>3.7304458853477165</c:v>
                </c:pt>
                <c:pt idx="175">
                  <c:v>3.6757859686676575</c:v>
                </c:pt>
                <c:pt idx="176">
                  <c:v>3.6209156271839733</c:v>
                </c:pt>
                <c:pt idx="177">
                  <c:v>3.5658354297435282</c:v>
                </c:pt>
                <c:pt idx="178">
                  <c:v>3.5105459316798502</c:v>
                </c:pt>
                <c:pt idx="179">
                  <c:v>3.4550476751203529</c:v>
                </c:pt>
                <c:pt idx="180">
                  <c:v>3.3993411892844025</c:v>
                </c:pt>
                <c:pt idx="181">
                  <c:v>3.3434269907725227</c:v>
                </c:pt>
                <c:pt idx="182">
                  <c:v>3.2873055838470027</c:v>
                </c:pt>
                <c:pt idx="183">
                  <c:v>3.2309774607042203</c:v>
                </c:pt>
                <c:pt idx="184">
                  <c:v>3.1744431017389108</c:v>
                </c:pt>
                <c:pt idx="185">
                  <c:v>3.1177029758007024</c:v>
                </c:pt>
                <c:pt idx="186">
                  <c:v>3.0607575404430416</c:v>
                </c:pt>
                <c:pt idx="187">
                  <c:v>3.0036072421649291</c:v>
                </c:pt>
                <c:pt idx="188">
                  <c:v>2.9462525166455267</c:v>
                </c:pt>
                <c:pt idx="189">
                  <c:v>2.8886937889719353</c:v>
                </c:pt>
                <c:pt idx="190">
                  <c:v>2.8309314738603963</c:v>
                </c:pt>
                <c:pt idx="191">
                  <c:v>2.7729659758710365</c:v>
                </c:pt>
                <c:pt idx="192">
                  <c:v>2.7147976896164123</c:v>
                </c:pt>
                <c:pt idx="193">
                  <c:v>2.6564269999640295</c:v>
                </c:pt>
                <c:pt idx="194">
                  <c:v>2.5978542822330346</c:v>
                </c:pt>
                <c:pt idx="195">
                  <c:v>2.5390799023852622</c:v>
                </c:pt>
                <c:pt idx="196">
                  <c:v>2.4801042172107559</c:v>
                </c:pt>
                <c:pt idx="197">
                  <c:v>2.4209275745080245</c:v>
                </c:pt>
                <c:pt idx="198">
                  <c:v>2.361550313259114</c:v>
                </c:pt>
                <c:pt idx="199">
                  <c:v>2.3019727637996898</c:v>
                </c:pt>
                <c:pt idx="200">
                  <c:v>2.2421952479842751</c:v>
                </c:pt>
                <c:pt idx="201">
                  <c:v>2.1822180793467862</c:v>
                </c:pt>
                <c:pt idx="202">
                  <c:v>2.1220415632564853</c:v>
                </c:pt>
                <c:pt idx="203">
                  <c:v>2.0616659970695457</c:v>
                </c:pt>
                <c:pt idx="204">
                  <c:v>2.0010916702762835</c:v>
                </c:pt>
                <c:pt idx="205">
                  <c:v>1.940318864644264</c:v>
                </c:pt>
                <c:pt idx="206">
                  <c:v>1.879347854357295</c:v>
                </c:pt>
                <c:pt idx="207">
                  <c:v>1.8181789061505564</c:v>
                </c:pt>
                <c:pt idx="208">
                  <c:v>1.7568122794418985</c:v>
                </c:pt>
                <c:pt idx="209">
                  <c:v>1.6952482264594104</c:v>
                </c:pt>
                <c:pt idx="210">
                  <c:v>1.6334869923654187</c:v>
                </c:pt>
                <c:pt idx="211">
                  <c:v>1.5715288153769891</c:v>
                </c:pt>
                <c:pt idx="212">
                  <c:v>1.5093739268830275</c:v>
                </c:pt>
                <c:pt idx="213">
                  <c:v>1.4470225515580779</c:v>
                </c:pt>
                <c:pt idx="214">
                  <c:v>1.3844749074729317</c:v>
                </c:pt>
                <c:pt idx="215">
                  <c:v>1.3217312062021302</c:v>
                </c:pt>
                <c:pt idx="216">
                  <c:v>1.2587916529283991</c:v>
                </c:pt>
                <c:pt idx="217">
                  <c:v>1.1956564465441883</c:v>
                </c:pt>
                <c:pt idx="218">
                  <c:v>1.1323257797503321</c:v>
                </c:pt>
                <c:pt idx="219">
                  <c:v>1.068799839151932</c:v>
                </c:pt>
                <c:pt idx="220">
                  <c:v>1.00507880535153</c:v>
                </c:pt>
                <c:pt idx="221">
                  <c:v>0.94116285303964287</c:v>
                </c:pt>
                <c:pt idx="222">
                  <c:v>0.87705215108277557</c:v>
                </c:pt>
                <c:pt idx="223">
                  <c:v>0.81274686260891005</c:v>
                </c:pt>
                <c:pt idx="224">
                  <c:v>0.74824714509058532</c:v>
                </c:pt>
                <c:pt idx="225">
                  <c:v>0.68355315042560627</c:v>
                </c:pt>
                <c:pt idx="226">
                  <c:v>0.61866502501550147</c:v>
                </c:pt>
                <c:pt idx="227">
                  <c:v>0.55358290984169645</c:v>
                </c:pt>
                <c:pt idx="228">
                  <c:v>0.48830694053953566</c:v>
                </c:pt>
                <c:pt idx="229">
                  <c:v>0.42283724747021673</c:v>
                </c:pt>
                <c:pt idx="230">
                  <c:v>0.35717395579061106</c:v>
                </c:pt>
                <c:pt idx="231">
                  <c:v>0.29131718552111618</c:v>
                </c:pt>
                <c:pt idx="232">
                  <c:v>0.22526705161154192</c:v>
                </c:pt>
                <c:pt idx="233">
                  <c:v>0.15902366400508514</c:v>
                </c:pt>
                <c:pt idx="234">
                  <c:v>9.258712770047843E-2</c:v>
                </c:pt>
                <c:pt idx="235">
                  <c:v>2.5957542812278956E-2</c:v>
                </c:pt>
              </c:numCache>
            </c:numRef>
          </c:yVal>
          <c:smooth val="1"/>
          <c:extLst>
            <c:ext xmlns:c16="http://schemas.microsoft.com/office/drawing/2014/chart" uri="{C3380CC4-5D6E-409C-BE32-E72D297353CC}">
              <c16:uniqueId val="{00000001-BCC1-BA4D-B57B-DCC7F0D86BB0}"/>
            </c:ext>
          </c:extLst>
        </c:ser>
        <c:dLbls>
          <c:showLegendKey val="0"/>
          <c:showVal val="0"/>
          <c:showCatName val="0"/>
          <c:showSerName val="0"/>
          <c:showPercent val="0"/>
          <c:showBubbleSize val="0"/>
        </c:dLbls>
        <c:axId val="750323551"/>
        <c:axId val="74643488"/>
      </c:scatterChart>
      <c:valAx>
        <c:axId val="7503235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a:t>
                </a:r>
                <a:r>
                  <a:rPr lang="en-US" baseline="0"/>
                  <a:t> (KCAS)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43488"/>
        <c:crosses val="autoZero"/>
        <c:crossBetween val="midCat"/>
      </c:valAx>
      <c:valAx>
        <c:axId val="74643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Climb</a:t>
                </a:r>
                <a:r>
                  <a:rPr lang="en-US" baseline="0"/>
                  <a:t> Angle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3235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Vertical</a:t>
            </a:r>
            <a:r>
              <a:rPr lang="en-US" baseline="0"/>
              <a:t> Speed vs Airspeed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Vertical Speed vs Airspeed at S-L</c:v>
          </c:tx>
          <c:spPr>
            <a:ln w="25400" cap="rnd">
              <a:solidFill>
                <a:schemeClr val="accent1"/>
              </a:solidFill>
              <a:round/>
            </a:ln>
            <a:effectLst/>
          </c:spPr>
          <c:marker>
            <c:symbol val="none"/>
          </c:marker>
          <c:xVal>
            <c:numRef>
              <c:f>'Performance Analysis'!$A$84:$A$319</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'Performance Analysis'!$AA$84:$AA$319</c:f>
              <c:numCache>
                <c:formatCode>General</c:formatCode>
                <c:ptCount val="236"/>
                <c:pt idx="0">
                  <c:v>1101.9202461356847</c:v>
                </c:pt>
                <c:pt idx="1">
                  <c:v>1141.6177875634271</c:v>
                </c:pt>
                <c:pt idx="2">
                  <c:v>1180.6794040952427</c:v>
                </c:pt>
                <c:pt idx="3">
                  <c:v>1219.1244038999359</c:v>
                </c:pt>
                <c:pt idx="4">
                  <c:v>1256.9709138671458</c:v>
                </c:pt>
                <c:pt idx="5">
                  <c:v>1294.2359639844367</c:v>
                </c:pt>
                <c:pt idx="6">
                  <c:v>1330.9355645839191</c:v>
                </c:pt>
                <c:pt idx="7">
                  <c:v>1367.0847771516569</c:v>
                </c:pt>
                <c:pt idx="8">
                  <c:v>1402.6977793171254</c:v>
                </c:pt>
                <c:pt idx="9">
                  <c:v>1437.7879245732456</c:v>
                </c:pt>
                <c:pt idx="10">
                  <c:v>1472.3677972188259</c:v>
                </c:pt>
                <c:pt idx="11">
                  <c:v>1506.4492629634376</c:v>
                </c:pt>
                <c:pt idx="12">
                  <c:v>1540.0435155890498</c:v>
                </c:pt>
                <c:pt idx="13">
                  <c:v>1573.1611200223153</c:v>
                </c:pt>
                <c:pt idx="14">
                  <c:v>1605.812052135539</c:v>
                </c:pt>
                <c:pt idx="15">
                  <c:v>1638.005735562577</c:v>
                </c:pt>
                <c:pt idx="16">
                  <c:v>1669.7510757876225</c:v>
                </c:pt>
                <c:pt idx="17">
                  <c:v>1701.0564917397046</c:v>
                </c:pt>
                <c:pt idx="18">
                  <c:v>1731.9299451032382</c:v>
                </c:pt>
                <c:pt idx="19">
                  <c:v>1762.3789675349649</c:v>
                </c:pt>
                <c:pt idx="20">
                  <c:v>1792.4106859596986</c:v>
                </c:pt>
                <c:pt idx="21">
                  <c:v>1822.0318461012519</c:v>
                </c:pt>
                <c:pt idx="22">
                  <c:v>1851.2488343905391</c:v>
                </c:pt>
                <c:pt idx="23">
                  <c:v>1880.0676983799444</c:v>
                </c:pt>
                <c:pt idx="24">
                  <c:v>1908.4941657814438</c:v>
                </c:pt>
                <c:pt idx="25">
                  <c:v>1936.5336622355167</c:v>
                </c:pt>
                <c:pt idx="26">
                  <c:v>1964.1913279084797</c:v>
                </c:pt>
                <c:pt idx="27">
                  <c:v>1991.4720330073847</c:v>
                </c:pt>
                <c:pt idx="28">
                  <c:v>2018.3803922939619</c:v>
                </c:pt>
                <c:pt idx="29">
                  <c:v>2044.9207786721349</c:v>
                </c:pt>
                <c:pt idx="30">
                  <c:v>2071.097335917379</c:v>
                </c:pt>
                <c:pt idx="31">
                  <c:v>2096.9139906104942</c:v>
                </c:pt>
                <c:pt idx="32">
                  <c:v>2122.3744633332094</c:v>
                </c:pt>
                <c:pt idx="33">
                  <c:v>2147.4822791783331</c:v>
                </c:pt>
                <c:pt idx="34">
                  <c:v>2172.2407776229402</c:v>
                </c:pt>
                <c:pt idx="35">
                  <c:v>2196.65312180915</c:v>
                </c:pt>
                <c:pt idx="36">
                  <c:v>2220.722307273586</c:v>
                </c:pt>
                <c:pt idx="37">
                  <c:v>2244.4511701633246</c:v>
                </c:pt>
                <c:pt idx="38">
                  <c:v>2267.8423949732623</c:v>
                </c:pt>
                <c:pt idx="39">
                  <c:v>2290.8985218370726</c:v>
                </c:pt>
                <c:pt idx="40">
                  <c:v>2313.6219534015636</c:v>
                </c:pt>
                <c:pt idx="41">
                  <c:v>2336.0149613118956</c:v>
                </c:pt>
                <c:pt idx="42">
                  <c:v>2358.0796923331609</c:v>
                </c:pt>
                <c:pt idx="43">
                  <c:v>2379.818174131864</c:v>
                </c:pt>
                <c:pt idx="44">
                  <c:v>2401.232320739166</c:v>
                </c:pt>
                <c:pt idx="45">
                  <c:v>2422.3239377161194</c:v>
                </c:pt>
                <c:pt idx="46">
                  <c:v>2443.0947270397132</c:v>
                </c:pt>
                <c:pt idx="47">
                  <c:v>2463.546291727163</c:v>
                </c:pt>
                <c:pt idx="48">
                  <c:v>2483.680140214658</c:v>
                </c:pt>
                <c:pt idx="49">
                  <c:v>2503.4976905056556</c:v>
                </c:pt>
                <c:pt idx="50">
                  <c:v>2523.0002741027365</c:v>
                </c:pt>
                <c:pt idx="51">
                  <c:v>2542.189139736091</c:v>
                </c:pt>
                <c:pt idx="52">
                  <c:v>2561.0654569008025</c:v>
                </c:pt>
                <c:pt idx="53">
                  <c:v>2579.630319214265</c:v>
                </c:pt>
                <c:pt idx="54">
                  <c:v>2597.8847476043247</c:v>
                </c:pt>
                <c:pt idx="55">
                  <c:v>2615.8296933380057</c:v>
                </c:pt>
                <c:pt idx="56">
                  <c:v>2633.4660409000621</c:v>
                </c:pt>
                <c:pt idx="57">
                  <c:v>2650.7946107299522</c:v>
                </c:pt>
                <c:pt idx="58">
                  <c:v>2667.8161618253075</c:v>
                </c:pt>
                <c:pt idx="59">
                  <c:v>2684.5313942194289</c:v>
                </c:pt>
                <c:pt idx="60">
                  <c:v>2700.9409513398514</c:v>
                </c:pt>
                <c:pt idx="61">
                  <c:v>2717.0454222546118</c:v>
                </c:pt>
                <c:pt idx="62">
                  <c:v>2732.8453438123861</c:v>
                </c:pt>
                <c:pt idx="63">
                  <c:v>2748.3412026823044</c:v>
                </c:pt>
                <c:pt idx="64">
                  <c:v>2763.5334372988982</c:v>
                </c:pt>
                <c:pt idx="65">
                  <c:v>2778.4224397172757</c:v>
                </c:pt>
                <c:pt idx="66">
                  <c:v>2793.0085573833294</c:v>
                </c:pt>
                <c:pt idx="67">
                  <c:v>2807.2920948234755</c:v>
                </c:pt>
                <c:pt idx="68">
                  <c:v>2821.2733152581759</c:v>
                </c:pt>
                <c:pt idx="69">
                  <c:v>2834.952442143197</c:v>
                </c:pt>
                <c:pt idx="70">
                  <c:v>2848.3296606423833</c:v>
                </c:pt>
                <c:pt idx="71">
                  <c:v>2861.4051190354389</c:v>
                </c:pt>
                <c:pt idx="72">
                  <c:v>2874.1789300640767</c:v>
                </c:pt>
                <c:pt idx="73">
                  <c:v>2886.6511722196165</c:v>
                </c:pt>
                <c:pt idx="74">
                  <c:v>2898.8218909750171</c:v>
                </c:pt>
                <c:pt idx="75">
                  <c:v>2910.6910999641063</c:v>
                </c:pt>
                <c:pt idx="76">
                  <c:v>2922.2587821106245</c:v>
                </c:pt>
                <c:pt idx="77">
                  <c:v>2933.5248907095629</c:v>
                </c:pt>
                <c:pt idx="78">
                  <c:v>2944.4893504631418</c:v>
                </c:pt>
                <c:pt idx="79">
                  <c:v>2955.1520584736113</c:v>
                </c:pt>
                <c:pt idx="80">
                  <c:v>2965.5128851949717</c:v>
                </c:pt>
                <c:pt idx="81">
                  <c:v>2975.5716753455863</c:v>
                </c:pt>
                <c:pt idx="82">
                  <c:v>2985.3282487835472</c:v>
                </c:pt>
                <c:pt idx="83">
                  <c:v>2994.7824013465442</c:v>
                </c:pt>
                <c:pt idx="84">
                  <c:v>3003.9339056579197</c:v>
                </c:pt>
                <c:pt idx="85">
                  <c:v>3012.7825119004838</c:v>
                </c:pt>
                <c:pt idx="86">
                  <c:v>3021.3279485595749</c:v>
                </c:pt>
                <c:pt idx="87">
                  <c:v>3029.5699231367889</c:v>
                </c:pt>
                <c:pt idx="88">
                  <c:v>3037.5081228357317</c:v>
                </c:pt>
                <c:pt idx="89">
                  <c:v>3045.1422152210389</c:v>
                </c:pt>
                <c:pt idx="90">
                  <c:v>3052.4718488518874</c:v>
                </c:pt>
                <c:pt idx="91">
                  <c:v>3059.4966538911563</c:v>
                </c:pt>
                <c:pt idx="92">
                  <c:v>3066.2162426912814</c:v>
                </c:pt>
                <c:pt idx="93">
                  <c:v>3072.6302103578892</c:v>
                </c:pt>
                <c:pt idx="94">
                  <c:v>3078.7381352921429</c:v>
                </c:pt>
                <c:pt idx="95">
                  <c:v>3084.5395797127608</c:v>
                </c:pt>
                <c:pt idx="96">
                  <c:v>3090.0340901585714</c:v>
                </c:pt>
                <c:pt idx="97">
                  <c:v>3095.2211979724652</c:v>
                </c:pt>
                <c:pt idx="98">
                  <c:v>3100.1004197675265</c:v>
                </c:pt>
                <c:pt idx="99">
                  <c:v>3104.6712578761117</c:v>
                </c:pt>
                <c:pt idx="100">
                  <c:v>3108.9332007826019</c:v>
                </c:pt>
                <c:pt idx="101">
                  <c:v>3112.8857235405048</c:v>
                </c:pt>
                <c:pt idx="102">
                  <c:v>3116.5282881745838</c:v>
                </c:pt>
                <c:pt idx="103">
                  <c:v>3119.8603440686111</c:v>
                </c:pt>
                <c:pt idx="104">
                  <c:v>3122.881328339367</c:v>
                </c:pt>
                <c:pt idx="105">
                  <c:v>3125.5906661974318</c:v>
                </c:pt>
                <c:pt idx="106">
                  <c:v>3127.9877712953198</c:v>
                </c:pt>
                <c:pt idx="107">
                  <c:v>3130.0720460634702</c:v>
                </c:pt>
                <c:pt idx="108">
                  <c:v>3131.8428820345853</c:v>
                </c:pt>
                <c:pt idx="109">
                  <c:v>3133.2996601567797</c:v>
                </c:pt>
                <c:pt idx="110">
                  <c:v>3134.4417510960056</c:v>
                </c:pt>
                <c:pt idx="111">
                  <c:v>3135.2685155281492</c:v>
                </c:pt>
                <c:pt idx="112">
                  <c:v>3135.779304421244</c:v>
                </c:pt>
                <c:pt idx="113">
                  <c:v>3135.9734593081603</c:v>
                </c:pt>
                <c:pt idx="114">
                  <c:v>3135.8503125501575</c:v>
                </c:pt>
                <c:pt idx="115">
                  <c:v>3135.4091875916506</c:v>
                </c:pt>
                <c:pt idx="116">
                  <c:v>3134.6493992065316</c:v>
                </c:pt>
                <c:pt idx="117">
                  <c:v>3133.5702537363723</c:v>
                </c:pt>
                <c:pt idx="118">
                  <c:v>3132.1710493208152</c:v>
                </c:pt>
                <c:pt idx="119">
                  <c:v>3130.4510761204506</c:v>
                </c:pt>
                <c:pt idx="120">
                  <c:v>3128.409616532465</c:v>
                </c:pt>
                <c:pt idx="121">
                  <c:v>3126.0459453993426</c:v>
                </c:pt>
                <c:pt idx="122">
                  <c:v>3123.3593302108534</c:v>
                </c:pt>
                <c:pt idx="123">
                  <c:v>3120.3490312996091</c:v>
                </c:pt>
                <c:pt idx="124">
                  <c:v>3117.0143020304035</c:v>
                </c:pt>
                <c:pt idx="125">
                  <c:v>3113.3543889835814</c:v>
                </c:pt>
                <c:pt idx="126">
                  <c:v>3109.3685321326338</c:v>
                </c:pt>
                <c:pt idx="127">
                  <c:v>3105.0559650162572</c:v>
                </c:pt>
                <c:pt idx="128">
                  <c:v>3100.4159149050565</c:v>
                </c:pt>
                <c:pt idx="129">
                  <c:v>3095.4476029630946</c:v>
                </c:pt>
                <c:pt idx="130">
                  <c:v>3090.1502444044704</c:v>
                </c:pt>
                <c:pt idx="131">
                  <c:v>3084.5230486450978</c:v>
                </c:pt>
                <c:pt idx="132">
                  <c:v>3078.5652194498784</c:v>
                </c:pt>
                <c:pt idx="133">
                  <c:v>3072.2759550753954</c:v>
                </c:pt>
                <c:pt idx="134">
                  <c:v>3065.6544484083188</c:v>
                </c:pt>
                <c:pt idx="135">
                  <c:v>3058.6998870996467</c:v>
                </c:pt>
                <c:pt idx="136">
                  <c:v>3051.4114536949537</c:v>
                </c:pt>
                <c:pt idx="137">
                  <c:v>3043.7883257607577</c:v>
                </c:pt>
                <c:pt idx="138">
                  <c:v>3035.8296760071562</c:v>
                </c:pt>
                <c:pt idx="139">
                  <c:v>3027.5346724068631</c:v>
                </c:pt>
                <c:pt idx="140">
                  <c:v>3018.9024783107443</c:v>
                </c:pt>
                <c:pt idx="141">
                  <c:v>3009.9322525600069</c:v>
                </c:pt>
                <c:pt idx="142">
                  <c:v>3000.6231495951224</c:v>
                </c:pt>
                <c:pt idx="143">
                  <c:v>2990.9743195616206</c:v>
                </c:pt>
                <c:pt idx="144">
                  <c:v>2980.9849084128318</c:v>
                </c:pt>
                <c:pt idx="145">
                  <c:v>2970.6540580097062</c:v>
                </c:pt>
                <c:pt idx="146">
                  <c:v>2959.9809062177846</c:v>
                </c:pt>
                <c:pt idx="147">
                  <c:v>2948.9645870014369</c:v>
                </c:pt>
                <c:pt idx="148">
                  <c:v>2937.6042305154347</c:v>
                </c:pt>
                <c:pt idx="149">
                  <c:v>2925.8989631939576</c:v>
                </c:pt>
                <c:pt idx="150">
                  <c:v>2913.8479078371274</c:v>
                </c:pt>
                <c:pt idx="151">
                  <c:v>2901.4501836951176</c:v>
                </c:pt>
                <c:pt idx="152">
                  <c:v>2888.7049065499605</c:v>
                </c:pt>
                <c:pt idx="153">
                  <c:v>2875.6111887950888</c:v>
                </c:pt>
                <c:pt idx="154">
                  <c:v>2862.1681395126952</c:v>
                </c:pt>
                <c:pt idx="155">
                  <c:v>2848.3748645489968</c:v>
                </c:pt>
                <c:pt idx="156">
                  <c:v>2834.2304665874381</c:v>
                </c:pt>
                <c:pt idx="157">
                  <c:v>2819.7340452199305</c:v>
                </c:pt>
                <c:pt idx="158">
                  <c:v>2804.8846970161712</c:v>
                </c:pt>
                <c:pt idx="159">
                  <c:v>2789.681515591094</c:v>
                </c:pt>
                <c:pt idx="160">
                  <c:v>2774.1235916705436</c:v>
                </c:pt>
                <c:pt idx="161">
                  <c:v>2758.2100131551801</c:v>
                </c:pt>
                <c:pt idx="162">
                  <c:v>2741.9398651827173</c:v>
                </c:pt>
                <c:pt idx="163">
                  <c:v>2725.3122301885091</c:v>
                </c:pt>
                <c:pt idx="164">
                  <c:v>2708.3261879645584</c:v>
                </c:pt>
                <c:pt idx="165">
                  <c:v>2690.9808157169714</c:v>
                </c:pt>
                <c:pt idx="166">
                  <c:v>2673.2751881219369</c:v>
                </c:pt>
                <c:pt idx="167">
                  <c:v>2655.2083773802547</c:v>
                </c:pt>
                <c:pt idx="168">
                  <c:v>2636.7794532704406</c:v>
                </c:pt>
                <c:pt idx="169">
                  <c:v>2617.9874832004989</c:v>
                </c:pt>
                <c:pt idx="170">
                  <c:v>2598.8315322583517</c:v>
                </c:pt>
                <c:pt idx="171">
                  <c:v>2579.3106632609952</c:v>
                </c:pt>
                <c:pt idx="172">
                  <c:v>2559.4239368024109</c:v>
                </c:pt>
                <c:pt idx="173">
                  <c:v>2539.1704113002656</c:v>
                </c:pt>
                <c:pt idx="174">
                  <c:v>2518.5491430414349</c:v>
                </c:pt>
                <c:pt idx="175">
                  <c:v>2497.5591862264137</c:v>
                </c:pt>
                <c:pt idx="176">
                  <c:v>2476.1995930125781</c:v>
                </c:pt>
                <c:pt idx="177">
                  <c:v>2454.4694135564146</c:v>
                </c:pt>
                <c:pt idx="178">
                  <c:v>2432.3676960546891</c:v>
                </c:pt>
                <c:pt idx="179">
                  <c:v>2409.893486784596</c:v>
                </c:pt>
                <c:pt idx="180">
                  <c:v>2387.0458301429435</c:v>
                </c:pt>
                <c:pt idx="181">
                  <c:v>2363.8237686843672</c:v>
                </c:pt>
                <c:pt idx="182">
                  <c:v>2340.2263431586221</c:v>
                </c:pt>
                <c:pt idx="183">
                  <c:v>2316.2525925469727</c:v>
                </c:pt>
                <c:pt idx="184">
                  <c:v>2291.901554097702</c:v>
                </c:pt>
                <c:pt idx="185">
                  <c:v>2267.1722633607774</c:v>
                </c:pt>
                <c:pt idx="186">
                  <c:v>2242.0637542216714</c:v>
                </c:pt>
                <c:pt idx="187">
                  <c:v>2216.575058934397</c:v>
                </c:pt>
                <c:pt idx="188">
                  <c:v>2190.7052081537468</c:v>
                </c:pt>
                <c:pt idx="189">
                  <c:v>2164.4532309667666</c:v>
                </c:pt>
                <c:pt idx="190">
                  <c:v>2137.8181549235082</c:v>
                </c:pt>
                <c:pt idx="191">
                  <c:v>2110.7990060670422</c:v>
                </c:pt>
                <c:pt idx="192">
                  <c:v>2083.3948089627756</c:v>
                </c:pt>
                <c:pt idx="193">
                  <c:v>2055.6045867270896</c:v>
                </c:pt>
                <c:pt idx="194">
                  <c:v>2027.4273610553123</c:v>
                </c:pt>
                <c:pt idx="195">
                  <c:v>1998.8621522490557</c:v>
                </c:pt>
                <c:pt idx="196">
                  <c:v>1969.9079792428979</c:v>
                </c:pt>
                <c:pt idx="197">
                  <c:v>1940.5638596304857</c:v>
                </c:pt>
                <c:pt idx="198">
                  <c:v>1910.8288096900221</c:v>
                </c:pt>
                <c:pt idx="199">
                  <c:v>1880.7018444091834</c:v>
                </c:pt>
                <c:pt idx="200">
                  <c:v>1850.1819775094611</c:v>
                </c:pt>
                <c:pt idx="201">
                  <c:v>1819.2682214699735</c:v>
                </c:pt>
                <c:pt idx="202">
                  <c:v>1787.9595875507214</c:v>
                </c:pt>
                <c:pt idx="203">
                  <c:v>1756.2550858153372</c:v>
                </c:pt>
                <c:pt idx="204">
                  <c:v>1724.15372515332</c:v>
                </c:pt>
                <c:pt idx="205">
                  <c:v>1691.6545133017883</c:v>
                </c:pt>
                <c:pt idx="206">
                  <c:v>1658.7564568667262</c:v>
                </c:pt>
                <c:pt idx="207">
                  <c:v>1625.458561343783</c:v>
                </c:pt>
                <c:pt idx="208">
                  <c:v>1591.7598311386134</c:v>
                </c:pt>
                <c:pt idx="209">
                  <c:v>1557.6592695867664</c:v>
                </c:pt>
                <c:pt idx="210">
                  <c:v>1523.1558789731355</c:v>
                </c:pt>
                <c:pt idx="211">
                  <c:v>1488.2486605509978</c:v>
                </c:pt>
                <c:pt idx="212">
                  <c:v>1452.9366145606348</c:v>
                </c:pt>
                <c:pt idx="213">
                  <c:v>1417.2187402475502</c:v>
                </c:pt>
                <c:pt idx="214">
                  <c:v>1381.0940358803014</c:v>
                </c:pt>
                <c:pt idx="215">
                  <c:v>1344.5614987679353</c:v>
                </c:pt>
                <c:pt idx="216">
                  <c:v>1307.6201252770768</c:v>
                </c:pt>
                <c:pt idx="217">
                  <c:v>1270.2689108486206</c:v>
                </c:pt>
                <c:pt idx="218">
                  <c:v>1232.5068500141003</c:v>
                </c:pt>
                <c:pt idx="219">
                  <c:v>1194.3329364116944</c:v>
                </c:pt>
                <c:pt idx="220">
                  <c:v>1155.7461628018984</c:v>
                </c:pt>
                <c:pt idx="221">
                  <c:v>1116.7455210828655</c:v>
                </c:pt>
                <c:pt idx="222">
                  <c:v>1077.3300023054387</c:v>
                </c:pt>
                <c:pt idx="223">
                  <c:v>1037.4985966878505</c:v>
                </c:pt>
                <c:pt idx="224">
                  <c:v>997.25029363013971</c:v>
                </c:pt>
                <c:pt idx="225">
                  <c:v>956.58408172824898</c:v>
                </c:pt>
                <c:pt idx="226">
                  <c:v>915.49894878784153</c:v>
                </c:pt>
                <c:pt idx="227">
                  <c:v>873.99388183784038</c:v>
                </c:pt>
                <c:pt idx="228">
                  <c:v>832.06786714367252</c:v>
                </c:pt>
                <c:pt idx="229">
                  <c:v>789.71989022026321</c:v>
                </c:pt>
                <c:pt idx="230">
                  <c:v>746.94893584475346</c:v>
                </c:pt>
                <c:pt idx="231">
                  <c:v>703.75398806895964</c:v>
                </c:pt>
                <c:pt idx="232">
                  <c:v>660.13403023158742</c:v>
                </c:pt>
                <c:pt idx="233">
                  <c:v>616.08804497019435</c:v>
                </c:pt>
                <c:pt idx="234">
                  <c:v>571.61501423292202</c:v>
                </c:pt>
                <c:pt idx="235">
                  <c:v>526.71391928997184</c:v>
                </c:pt>
              </c:numCache>
            </c:numRef>
          </c:yVal>
          <c:smooth val="1"/>
          <c:extLst>
            <c:ext xmlns:c16="http://schemas.microsoft.com/office/drawing/2014/chart" uri="{C3380CC4-5D6E-409C-BE32-E72D297353CC}">
              <c16:uniqueId val="{00000000-3614-7348-A2EC-108C7FBA73BD}"/>
            </c:ext>
          </c:extLst>
        </c:ser>
        <c:ser>
          <c:idx val="1"/>
          <c:order val="1"/>
          <c:tx>
            <c:v>Vertical Speed vs Airspeed at Cruise</c:v>
          </c:tx>
          <c:spPr>
            <a:ln w="25400" cap="rnd">
              <a:solidFill>
                <a:schemeClr val="accent2"/>
              </a:solidFill>
              <a:round/>
            </a:ln>
            <a:effectLst/>
          </c:spPr>
          <c:marker>
            <c:symbol val="none"/>
          </c:marker>
          <c:xVal>
            <c:numRef>
              <c:f>'Performance Analysis'!$A$84:$A$319</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'Performance Analysis'!$AH$84:$AH$319</c:f>
              <c:numCache>
                <c:formatCode>General</c:formatCode>
                <c:ptCount val="236"/>
                <c:pt idx="0">
                  <c:v>1101.9202461356847</c:v>
                </c:pt>
                <c:pt idx="1">
                  <c:v>1141.6177875634271</c:v>
                </c:pt>
                <c:pt idx="2">
                  <c:v>1180.6794040952427</c:v>
                </c:pt>
                <c:pt idx="3">
                  <c:v>1219.1244038999359</c:v>
                </c:pt>
                <c:pt idx="4">
                  <c:v>1256.9709138671458</c:v>
                </c:pt>
                <c:pt idx="5">
                  <c:v>1294.2359639844367</c:v>
                </c:pt>
                <c:pt idx="6">
                  <c:v>1330.9355645839191</c:v>
                </c:pt>
                <c:pt idx="7">
                  <c:v>1367.0847771516569</c:v>
                </c:pt>
                <c:pt idx="8">
                  <c:v>1402.6977793171254</c:v>
                </c:pt>
                <c:pt idx="9">
                  <c:v>1437.7879245732456</c:v>
                </c:pt>
                <c:pt idx="10">
                  <c:v>1472.3677972188259</c:v>
                </c:pt>
                <c:pt idx="11">
                  <c:v>1506.4492629634376</c:v>
                </c:pt>
                <c:pt idx="12">
                  <c:v>1540.0435155890498</c:v>
                </c:pt>
                <c:pt idx="13">
                  <c:v>1573.1611200223153</c:v>
                </c:pt>
                <c:pt idx="14">
                  <c:v>1605.812052135539</c:v>
                </c:pt>
                <c:pt idx="15">
                  <c:v>1638.005735562577</c:v>
                </c:pt>
                <c:pt idx="16">
                  <c:v>1669.7510757876225</c:v>
                </c:pt>
                <c:pt idx="17">
                  <c:v>1701.0564917397046</c:v>
                </c:pt>
                <c:pt idx="18">
                  <c:v>1731.9299451032382</c:v>
                </c:pt>
                <c:pt idx="19">
                  <c:v>1762.3789675349649</c:v>
                </c:pt>
                <c:pt idx="20">
                  <c:v>1792.4106859596986</c:v>
                </c:pt>
                <c:pt idx="21">
                  <c:v>1822.0318461012519</c:v>
                </c:pt>
                <c:pt idx="22">
                  <c:v>1851.2488343905391</c:v>
                </c:pt>
                <c:pt idx="23">
                  <c:v>1880.0676983799444</c:v>
                </c:pt>
                <c:pt idx="24">
                  <c:v>1908.4941657814438</c:v>
                </c:pt>
                <c:pt idx="25">
                  <c:v>1936.5336622355167</c:v>
                </c:pt>
                <c:pt idx="26">
                  <c:v>1964.1913279084797</c:v>
                </c:pt>
                <c:pt idx="27">
                  <c:v>1991.4720330073847</c:v>
                </c:pt>
                <c:pt idx="28">
                  <c:v>2018.3803922939619</c:v>
                </c:pt>
                <c:pt idx="29">
                  <c:v>2044.9207786721349</c:v>
                </c:pt>
                <c:pt idx="30">
                  <c:v>2071.097335917379</c:v>
                </c:pt>
                <c:pt idx="31">
                  <c:v>2096.9139906104942</c:v>
                </c:pt>
                <c:pt idx="32">
                  <c:v>2122.3744633332094</c:v>
                </c:pt>
                <c:pt idx="33">
                  <c:v>2147.4822791783331</c:v>
                </c:pt>
                <c:pt idx="34">
                  <c:v>2172.2407776229402</c:v>
                </c:pt>
                <c:pt idx="35">
                  <c:v>2196.65312180915</c:v>
                </c:pt>
                <c:pt idx="36">
                  <c:v>2220.722307273586</c:v>
                </c:pt>
                <c:pt idx="37">
                  <c:v>2244.4511701633246</c:v>
                </c:pt>
                <c:pt idx="38">
                  <c:v>2267.8423949732623</c:v>
                </c:pt>
                <c:pt idx="39">
                  <c:v>2290.8985218370726</c:v>
                </c:pt>
                <c:pt idx="40">
                  <c:v>2313.6219534015636</c:v>
                </c:pt>
                <c:pt idx="41">
                  <c:v>2336.0149613118956</c:v>
                </c:pt>
                <c:pt idx="42">
                  <c:v>2358.0796923331609</c:v>
                </c:pt>
                <c:pt idx="43">
                  <c:v>2379.818174131864</c:v>
                </c:pt>
                <c:pt idx="44">
                  <c:v>2401.232320739166</c:v>
                </c:pt>
                <c:pt idx="45">
                  <c:v>2422.3239377161194</c:v>
                </c:pt>
                <c:pt idx="46">
                  <c:v>2443.0947270397132</c:v>
                </c:pt>
                <c:pt idx="47">
                  <c:v>2463.546291727163</c:v>
                </c:pt>
                <c:pt idx="48">
                  <c:v>2483.680140214658</c:v>
                </c:pt>
                <c:pt idx="49">
                  <c:v>2503.4976905056556</c:v>
                </c:pt>
                <c:pt idx="50">
                  <c:v>2523.0002741027365</c:v>
                </c:pt>
                <c:pt idx="51">
                  <c:v>2542.189139736091</c:v>
                </c:pt>
                <c:pt idx="52">
                  <c:v>2561.0654569008025</c:v>
                </c:pt>
                <c:pt idx="53">
                  <c:v>2579.630319214265</c:v>
                </c:pt>
                <c:pt idx="54">
                  <c:v>2597.8847476043247</c:v>
                </c:pt>
                <c:pt idx="55">
                  <c:v>2615.8296933380057</c:v>
                </c:pt>
                <c:pt idx="56">
                  <c:v>2633.4660409000621</c:v>
                </c:pt>
                <c:pt idx="57">
                  <c:v>2650.7946107299522</c:v>
                </c:pt>
                <c:pt idx="58">
                  <c:v>2667.8161618253075</c:v>
                </c:pt>
                <c:pt idx="59">
                  <c:v>2684.5313942194289</c:v>
                </c:pt>
                <c:pt idx="60">
                  <c:v>2700.9409513398514</c:v>
                </c:pt>
                <c:pt idx="61">
                  <c:v>2717.0454222546118</c:v>
                </c:pt>
                <c:pt idx="62">
                  <c:v>2732.8453438123861</c:v>
                </c:pt>
                <c:pt idx="63">
                  <c:v>2748.3412026823044</c:v>
                </c:pt>
                <c:pt idx="64">
                  <c:v>2763.5334372988982</c:v>
                </c:pt>
                <c:pt idx="65">
                  <c:v>2778.4224397172757</c:v>
                </c:pt>
                <c:pt idx="66">
                  <c:v>2793.0085573833294</c:v>
                </c:pt>
                <c:pt idx="67">
                  <c:v>2807.2920948234755</c:v>
                </c:pt>
                <c:pt idx="68">
                  <c:v>2821.2733152581759</c:v>
                </c:pt>
                <c:pt idx="69">
                  <c:v>2834.952442143197</c:v>
                </c:pt>
                <c:pt idx="70">
                  <c:v>2848.3296606423833</c:v>
                </c:pt>
                <c:pt idx="71">
                  <c:v>2861.4051190354389</c:v>
                </c:pt>
                <c:pt idx="72">
                  <c:v>2874.1789300640767</c:v>
                </c:pt>
                <c:pt idx="73">
                  <c:v>2886.6511722196165</c:v>
                </c:pt>
                <c:pt idx="74">
                  <c:v>2898.8218909750171</c:v>
                </c:pt>
                <c:pt idx="75">
                  <c:v>2910.6910999641063</c:v>
                </c:pt>
                <c:pt idx="76">
                  <c:v>2922.2587821106245</c:v>
                </c:pt>
                <c:pt idx="77">
                  <c:v>2933.5248907095629</c:v>
                </c:pt>
                <c:pt idx="78">
                  <c:v>2944.4893504631418</c:v>
                </c:pt>
                <c:pt idx="79">
                  <c:v>2955.1520584736113</c:v>
                </c:pt>
                <c:pt idx="80">
                  <c:v>2965.5128851949717</c:v>
                </c:pt>
                <c:pt idx="81">
                  <c:v>2975.5716753455863</c:v>
                </c:pt>
                <c:pt idx="82">
                  <c:v>2985.3282487835472</c:v>
                </c:pt>
                <c:pt idx="83">
                  <c:v>2994.7824013465442</c:v>
                </c:pt>
                <c:pt idx="84">
                  <c:v>3003.9339056579197</c:v>
                </c:pt>
                <c:pt idx="85">
                  <c:v>3012.7825119004838</c:v>
                </c:pt>
                <c:pt idx="86">
                  <c:v>3021.3279485595749</c:v>
                </c:pt>
                <c:pt idx="87">
                  <c:v>3029.5699231367889</c:v>
                </c:pt>
                <c:pt idx="88">
                  <c:v>3037.5081228357317</c:v>
                </c:pt>
                <c:pt idx="89">
                  <c:v>3045.1422152210389</c:v>
                </c:pt>
                <c:pt idx="90">
                  <c:v>3052.4718488518874</c:v>
                </c:pt>
                <c:pt idx="91">
                  <c:v>3059.4966538911563</c:v>
                </c:pt>
                <c:pt idx="92">
                  <c:v>3066.2162426912814</c:v>
                </c:pt>
                <c:pt idx="93">
                  <c:v>3072.6302103578892</c:v>
                </c:pt>
                <c:pt idx="94">
                  <c:v>3078.7381352921429</c:v>
                </c:pt>
                <c:pt idx="95">
                  <c:v>3084.5395797127608</c:v>
                </c:pt>
                <c:pt idx="96">
                  <c:v>3090.0340901585714</c:v>
                </c:pt>
                <c:pt idx="97">
                  <c:v>3095.2211979724652</c:v>
                </c:pt>
                <c:pt idx="98">
                  <c:v>3100.1004197675265</c:v>
                </c:pt>
                <c:pt idx="99">
                  <c:v>3104.6712578761117</c:v>
                </c:pt>
                <c:pt idx="100">
                  <c:v>3108.9332007826019</c:v>
                </c:pt>
                <c:pt idx="101">
                  <c:v>3112.8857235405048</c:v>
                </c:pt>
                <c:pt idx="102">
                  <c:v>3116.5282881745838</c:v>
                </c:pt>
                <c:pt idx="103">
                  <c:v>3119.8603440686111</c:v>
                </c:pt>
                <c:pt idx="104">
                  <c:v>3122.881328339367</c:v>
                </c:pt>
                <c:pt idx="105">
                  <c:v>3125.5906661974318</c:v>
                </c:pt>
                <c:pt idx="106">
                  <c:v>3127.9877712953198</c:v>
                </c:pt>
                <c:pt idx="107">
                  <c:v>3130.0720460634702</c:v>
                </c:pt>
                <c:pt idx="108">
                  <c:v>3131.8428820345853</c:v>
                </c:pt>
                <c:pt idx="109">
                  <c:v>3133.2996601567797</c:v>
                </c:pt>
                <c:pt idx="110">
                  <c:v>3134.4417510960056</c:v>
                </c:pt>
                <c:pt idx="111">
                  <c:v>3135.2685155281492</c:v>
                </c:pt>
                <c:pt idx="112">
                  <c:v>3135.779304421244</c:v>
                </c:pt>
                <c:pt idx="113">
                  <c:v>3135.9734593081603</c:v>
                </c:pt>
                <c:pt idx="114">
                  <c:v>3135.8503125501575</c:v>
                </c:pt>
                <c:pt idx="115">
                  <c:v>3135.4091875916506</c:v>
                </c:pt>
                <c:pt idx="116">
                  <c:v>3134.6493992065316</c:v>
                </c:pt>
                <c:pt idx="117">
                  <c:v>3133.5702537363723</c:v>
                </c:pt>
                <c:pt idx="118">
                  <c:v>3132.1710493208152</c:v>
                </c:pt>
                <c:pt idx="119">
                  <c:v>3130.4510761204506</c:v>
                </c:pt>
                <c:pt idx="120">
                  <c:v>3128.409616532465</c:v>
                </c:pt>
                <c:pt idx="121">
                  <c:v>3126.0459453993426</c:v>
                </c:pt>
                <c:pt idx="122">
                  <c:v>3123.3593302108534</c:v>
                </c:pt>
                <c:pt idx="123">
                  <c:v>3120.3490312996091</c:v>
                </c:pt>
                <c:pt idx="124">
                  <c:v>3117.0143020304035</c:v>
                </c:pt>
                <c:pt idx="125">
                  <c:v>3113.3543889835814</c:v>
                </c:pt>
                <c:pt idx="126">
                  <c:v>3109.3685321326338</c:v>
                </c:pt>
                <c:pt idx="127">
                  <c:v>3105.0559650162572</c:v>
                </c:pt>
                <c:pt idx="128">
                  <c:v>3100.4159149050565</c:v>
                </c:pt>
                <c:pt idx="129">
                  <c:v>3095.4476029630946</c:v>
                </c:pt>
                <c:pt idx="130">
                  <c:v>3090.1502444044704</c:v>
                </c:pt>
                <c:pt idx="131">
                  <c:v>3084.5230486450978</c:v>
                </c:pt>
                <c:pt idx="132">
                  <c:v>3078.5652194498784</c:v>
                </c:pt>
                <c:pt idx="133">
                  <c:v>3072.2759550753954</c:v>
                </c:pt>
                <c:pt idx="134">
                  <c:v>3065.6544484083188</c:v>
                </c:pt>
                <c:pt idx="135">
                  <c:v>3058.6998870996467</c:v>
                </c:pt>
                <c:pt idx="136">
                  <c:v>3051.4114536949537</c:v>
                </c:pt>
                <c:pt idx="137">
                  <c:v>3043.7883257607577</c:v>
                </c:pt>
                <c:pt idx="138">
                  <c:v>3035.8296760071562</c:v>
                </c:pt>
                <c:pt idx="139">
                  <c:v>3027.5346724068631</c:v>
                </c:pt>
                <c:pt idx="140">
                  <c:v>3018.9024783107443</c:v>
                </c:pt>
                <c:pt idx="141">
                  <c:v>3009.9322525600069</c:v>
                </c:pt>
                <c:pt idx="142">
                  <c:v>3000.6231495951224</c:v>
                </c:pt>
                <c:pt idx="143">
                  <c:v>2990.9743195616206</c:v>
                </c:pt>
                <c:pt idx="144">
                  <c:v>2980.9849084128318</c:v>
                </c:pt>
                <c:pt idx="145">
                  <c:v>2970.6540580097062</c:v>
                </c:pt>
                <c:pt idx="146">
                  <c:v>2959.9809062177846</c:v>
                </c:pt>
                <c:pt idx="147">
                  <c:v>2948.9645870014369</c:v>
                </c:pt>
                <c:pt idx="148">
                  <c:v>2937.6042305154347</c:v>
                </c:pt>
                <c:pt idx="149">
                  <c:v>2925.8989631939576</c:v>
                </c:pt>
                <c:pt idx="150">
                  <c:v>2913.8479078371274</c:v>
                </c:pt>
                <c:pt idx="151">
                  <c:v>2901.4501836951176</c:v>
                </c:pt>
                <c:pt idx="152">
                  <c:v>2888.7049065499605</c:v>
                </c:pt>
                <c:pt idx="153">
                  <c:v>2875.6111887950888</c:v>
                </c:pt>
                <c:pt idx="154">
                  <c:v>2862.1681395126952</c:v>
                </c:pt>
                <c:pt idx="155">
                  <c:v>2848.3748645489968</c:v>
                </c:pt>
                <c:pt idx="156">
                  <c:v>2834.2304665874381</c:v>
                </c:pt>
                <c:pt idx="157">
                  <c:v>2819.7340452199305</c:v>
                </c:pt>
                <c:pt idx="158">
                  <c:v>2804.8846970161712</c:v>
                </c:pt>
                <c:pt idx="159">
                  <c:v>2789.681515591094</c:v>
                </c:pt>
                <c:pt idx="160">
                  <c:v>2774.1235916705436</c:v>
                </c:pt>
                <c:pt idx="161">
                  <c:v>2758.2100131551801</c:v>
                </c:pt>
                <c:pt idx="162">
                  <c:v>2741.9398651827173</c:v>
                </c:pt>
                <c:pt idx="163">
                  <c:v>2725.3122301885091</c:v>
                </c:pt>
                <c:pt idx="164">
                  <c:v>2708.3261879645584</c:v>
                </c:pt>
                <c:pt idx="165">
                  <c:v>2690.9808157169714</c:v>
                </c:pt>
                <c:pt idx="166">
                  <c:v>2673.2751881219369</c:v>
                </c:pt>
                <c:pt idx="167">
                  <c:v>2655.2083773802547</c:v>
                </c:pt>
                <c:pt idx="168">
                  <c:v>2636.7794532704406</c:v>
                </c:pt>
                <c:pt idx="169">
                  <c:v>2617.9874832004989</c:v>
                </c:pt>
                <c:pt idx="170">
                  <c:v>2598.8315322583517</c:v>
                </c:pt>
                <c:pt idx="171">
                  <c:v>2579.3106632609952</c:v>
                </c:pt>
                <c:pt idx="172">
                  <c:v>2559.4239368024109</c:v>
                </c:pt>
                <c:pt idx="173">
                  <c:v>2539.1704113002656</c:v>
                </c:pt>
                <c:pt idx="174">
                  <c:v>2518.5491430414349</c:v>
                </c:pt>
                <c:pt idx="175">
                  <c:v>2497.5591862264137</c:v>
                </c:pt>
                <c:pt idx="176">
                  <c:v>2476.1995930125781</c:v>
                </c:pt>
                <c:pt idx="177">
                  <c:v>2454.4694135564146</c:v>
                </c:pt>
                <c:pt idx="178">
                  <c:v>2432.3676960546891</c:v>
                </c:pt>
                <c:pt idx="179">
                  <c:v>2409.893486784596</c:v>
                </c:pt>
                <c:pt idx="180">
                  <c:v>2387.0458301429435</c:v>
                </c:pt>
                <c:pt idx="181">
                  <c:v>2363.8237686843672</c:v>
                </c:pt>
                <c:pt idx="182">
                  <c:v>2340.2263431586221</c:v>
                </c:pt>
                <c:pt idx="183">
                  <c:v>2316.2525925469727</c:v>
                </c:pt>
                <c:pt idx="184">
                  <c:v>2291.901554097702</c:v>
                </c:pt>
                <c:pt idx="185">
                  <c:v>2267.1722633607774</c:v>
                </c:pt>
                <c:pt idx="186">
                  <c:v>2242.0637542216714</c:v>
                </c:pt>
                <c:pt idx="187">
                  <c:v>2216.575058934397</c:v>
                </c:pt>
                <c:pt idx="188">
                  <c:v>2190.7052081537468</c:v>
                </c:pt>
                <c:pt idx="189">
                  <c:v>2164.4532309667666</c:v>
                </c:pt>
                <c:pt idx="190">
                  <c:v>2137.8181549235082</c:v>
                </c:pt>
                <c:pt idx="191">
                  <c:v>2110.7990060670422</c:v>
                </c:pt>
                <c:pt idx="192">
                  <c:v>2083.3948089627756</c:v>
                </c:pt>
                <c:pt idx="193">
                  <c:v>2055.6045867270896</c:v>
                </c:pt>
                <c:pt idx="194">
                  <c:v>2027.4273610553123</c:v>
                </c:pt>
                <c:pt idx="195">
                  <c:v>1998.8621522490557</c:v>
                </c:pt>
                <c:pt idx="196">
                  <c:v>1969.9079792428979</c:v>
                </c:pt>
                <c:pt idx="197">
                  <c:v>1940.5638596304857</c:v>
                </c:pt>
                <c:pt idx="198">
                  <c:v>1910.8288096900221</c:v>
                </c:pt>
                <c:pt idx="199">
                  <c:v>1880.7018444091834</c:v>
                </c:pt>
                <c:pt idx="200">
                  <c:v>1850.1819775094611</c:v>
                </c:pt>
                <c:pt idx="201">
                  <c:v>1819.2682214699735</c:v>
                </c:pt>
                <c:pt idx="202">
                  <c:v>1787.9595875507214</c:v>
                </c:pt>
                <c:pt idx="203">
                  <c:v>1756.2550858153372</c:v>
                </c:pt>
                <c:pt idx="204">
                  <c:v>1724.15372515332</c:v>
                </c:pt>
                <c:pt idx="205">
                  <c:v>1691.6545133017883</c:v>
                </c:pt>
                <c:pt idx="206">
                  <c:v>1658.7564568667262</c:v>
                </c:pt>
                <c:pt idx="207">
                  <c:v>1625.458561343783</c:v>
                </c:pt>
                <c:pt idx="208">
                  <c:v>1591.7598311386134</c:v>
                </c:pt>
                <c:pt idx="209">
                  <c:v>1557.6592695867664</c:v>
                </c:pt>
                <c:pt idx="210">
                  <c:v>1523.1558789731355</c:v>
                </c:pt>
                <c:pt idx="211">
                  <c:v>1488.2486605509978</c:v>
                </c:pt>
                <c:pt idx="212">
                  <c:v>1452.9366145606348</c:v>
                </c:pt>
                <c:pt idx="213">
                  <c:v>1417.2187402475502</c:v>
                </c:pt>
                <c:pt idx="214">
                  <c:v>1381.0940358803014</c:v>
                </c:pt>
                <c:pt idx="215">
                  <c:v>1344.5614987679353</c:v>
                </c:pt>
                <c:pt idx="216">
                  <c:v>1307.6201252770768</c:v>
                </c:pt>
                <c:pt idx="217">
                  <c:v>1270.2689108486206</c:v>
                </c:pt>
                <c:pt idx="218">
                  <c:v>1232.5068500141003</c:v>
                </c:pt>
                <c:pt idx="219">
                  <c:v>1194.3329364116944</c:v>
                </c:pt>
                <c:pt idx="220">
                  <c:v>1155.7461628018984</c:v>
                </c:pt>
                <c:pt idx="221">
                  <c:v>1116.7455210828655</c:v>
                </c:pt>
                <c:pt idx="222">
                  <c:v>1077.3300023054387</c:v>
                </c:pt>
                <c:pt idx="223">
                  <c:v>1037.4985966878505</c:v>
                </c:pt>
                <c:pt idx="224">
                  <c:v>997.25029363013971</c:v>
                </c:pt>
                <c:pt idx="225">
                  <c:v>956.58408172824898</c:v>
                </c:pt>
                <c:pt idx="226">
                  <c:v>915.49894878784153</c:v>
                </c:pt>
                <c:pt idx="227">
                  <c:v>873.99388183784038</c:v>
                </c:pt>
                <c:pt idx="228">
                  <c:v>832.06786714367252</c:v>
                </c:pt>
                <c:pt idx="229">
                  <c:v>789.71989022026321</c:v>
                </c:pt>
                <c:pt idx="230">
                  <c:v>746.94893584475346</c:v>
                </c:pt>
                <c:pt idx="231">
                  <c:v>703.75398806895964</c:v>
                </c:pt>
                <c:pt idx="232">
                  <c:v>660.13403023158742</c:v>
                </c:pt>
                <c:pt idx="233">
                  <c:v>616.08804497019435</c:v>
                </c:pt>
                <c:pt idx="234">
                  <c:v>571.61501423292202</c:v>
                </c:pt>
                <c:pt idx="235">
                  <c:v>526.71391928997184</c:v>
                </c:pt>
              </c:numCache>
            </c:numRef>
          </c:yVal>
          <c:smooth val="1"/>
          <c:extLst>
            <c:ext xmlns:c16="http://schemas.microsoft.com/office/drawing/2014/chart" uri="{C3380CC4-5D6E-409C-BE32-E72D297353CC}">
              <c16:uniqueId val="{00000001-3614-7348-A2EC-108C7FBA73BD}"/>
            </c:ext>
          </c:extLst>
        </c:ser>
        <c:dLbls>
          <c:showLegendKey val="0"/>
          <c:showVal val="0"/>
          <c:showCatName val="0"/>
          <c:showSerName val="0"/>
          <c:showPercent val="0"/>
          <c:showBubbleSize val="0"/>
        </c:dLbls>
        <c:axId val="1813605471"/>
        <c:axId val="837850848"/>
      </c:scatterChart>
      <c:valAx>
        <c:axId val="18136054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 (KCAS)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850848"/>
        <c:crosses val="autoZero"/>
        <c:crossBetween val="midCat"/>
      </c:valAx>
      <c:valAx>
        <c:axId val="837850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Vertical</a:t>
                </a:r>
                <a:r>
                  <a:rPr lang="en-US" baseline="0"/>
                  <a:t> Speed (ft/min)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6054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Rate</a:t>
            </a:r>
            <a:r>
              <a:rPr lang="en-US" baseline="0"/>
              <a:t> of Descent vs Airspeed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solidFill>
                <a:schemeClr val="accent1"/>
              </a:solidFill>
              <a:round/>
            </a:ln>
            <a:effectLst/>
          </c:spPr>
          <c:marker>
            <c:symbol val="none"/>
          </c:marker>
          <c:xVal>
            <c:numRef>
              <c:f>'Performance Analysis'!$A$84:$A$319</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'Performance Analysis'!$Y$84:$Y$319</c:f>
              <c:numCache>
                <c:formatCode>General</c:formatCode>
                <c:ptCount val="236"/>
                <c:pt idx="0">
                  <c:v>-996.416294885757</c:v>
                </c:pt>
                <c:pt idx="1">
                  <c:v>-982.10204042197211</c:v>
                </c:pt>
                <c:pt idx="2">
                  <c:v>-968.32021329358577</c:v>
                </c:pt>
                <c:pt idx="3">
                  <c:v>-955.05150533179631</c:v>
                </c:pt>
                <c:pt idx="4">
                  <c:v>-942.27778964696176</c:v>
                </c:pt>
                <c:pt idx="5">
                  <c:v>-929.98203625151939</c:v>
                </c:pt>
                <c:pt idx="6">
                  <c:v>-918.1482348133585</c:v>
                </c:pt>
                <c:pt idx="7">
                  <c:v>-906.7613238464138</c:v>
                </c:pt>
                <c:pt idx="8">
                  <c:v>-895.80712572121217</c:v>
                </c:pt>
                <c:pt idx="9">
                  <c:v>-885.27228694483131</c:v>
                </c:pt>
                <c:pt idx="10">
                  <c:v>-875.14422321846234</c:v>
                </c:pt>
                <c:pt idx="11">
                  <c:v>-865.41106883253553</c:v>
                </c:pt>
                <c:pt idx="12">
                  <c:v>-856.06163000508036</c:v>
                </c:pt>
                <c:pt idx="13">
                  <c:v>-847.08534180944434</c:v>
                </c:pt>
                <c:pt idx="14">
                  <c:v>-838.47222837332265</c:v>
                </c:pt>
                <c:pt idx="15">
                  <c:v>-830.21286606286048</c:v>
                </c:pt>
                <c:pt idx="16">
                  <c:v>-822.29834939386308</c:v>
                </c:pt>
                <c:pt idx="17">
                  <c:v>-814.72025943730148</c:v>
                </c:pt>
                <c:pt idx="18">
                  <c:v>-807.4706345087609</c:v>
                </c:pt>
                <c:pt idx="19">
                  <c:v>-800.5419429515</c:v>
                </c:pt>
                <c:pt idx="20">
                  <c:v>-793.92705784070495</c:v>
                </c:pt>
                <c:pt idx="21">
                  <c:v>-787.61923345256332</c:v>
                </c:pt>
                <c:pt idx="22">
                  <c:v>-781.61208335616061</c:v>
                </c:pt>
                <c:pt idx="23">
                  <c:v>-775.89955999911217</c:v>
                </c:pt>
                <c:pt idx="24">
                  <c:v>-770.47593566944147</c:v>
                </c:pt>
                <c:pt idx="25">
                  <c:v>-765.33578472667023</c:v>
                </c:pt>
                <c:pt idx="26">
                  <c:v>-760.47396700448257</c:v>
                </c:pt>
                <c:pt idx="27">
                  <c:v>-755.88561229582501</c:v>
                </c:pt>
                <c:pt idx="28">
                  <c:v>-751.56610583896781</c:v>
                </c:pt>
                <c:pt idx="29">
                  <c:v>-747.51107472998763</c:v>
                </c:pt>
                <c:pt idx="30">
                  <c:v>-743.71637519340891</c:v>
                </c:pt>
                <c:pt idx="31">
                  <c:v>-740.17808064843166</c:v>
                </c:pt>
                <c:pt idx="32">
                  <c:v>-736.89247051332813</c:v>
                </c:pt>
                <c:pt idx="33">
                  <c:v>-733.85601969528739</c:v>
                </c:pt>
                <c:pt idx="34">
                  <c:v>-731.06538871723694</c:v>
                </c:pt>
                <c:pt idx="35">
                  <c:v>-728.517414437056</c:v>
                </c:pt>
                <c:pt idx="36">
                  <c:v>-726.20910131812252</c:v>
                </c:pt>
                <c:pt idx="37">
                  <c:v>-724.1376132133571</c:v>
                </c:pt>
                <c:pt idx="38">
                  <c:v>-722.30026562786702</c:v>
                </c:pt>
                <c:pt idx="39">
                  <c:v>-720.69451842797537</c:v>
                </c:pt>
                <c:pt idx="40">
                  <c:v>-719.31796896687729</c:v>
                </c:pt>
                <c:pt idx="41">
                  <c:v>-718.1683455994106</c:v>
                </c:pt>
                <c:pt idx="42">
                  <c:v>-717.24350156048354</c:v>
                </c:pt>
                <c:pt idx="43">
                  <c:v>-716.54140918359008</c:v>
                </c:pt>
                <c:pt idx="44">
                  <c:v>-716.06015443757144</c:v>
                </c:pt>
                <c:pt idx="45">
                  <c:v>-715.79793176137423</c:v>
                </c:pt>
                <c:pt idx="46">
                  <c:v>-715.75303917800875</c:v>
                </c:pt>
                <c:pt idx="47">
                  <c:v>-715.92387367026026</c:v>
                </c:pt>
                <c:pt idx="48">
                  <c:v>-716.3089268019387</c:v>
                </c:pt>
                <c:pt idx="49">
                  <c:v>-716.90678056958768</c:v>
                </c:pt>
                <c:pt idx="50">
                  <c:v>-717.71610347062642</c:v>
                </c:pt>
                <c:pt idx="51">
                  <c:v>-718.73564677486388</c:v>
                </c:pt>
                <c:pt idx="52">
                  <c:v>-719.96424098721718</c:v>
                </c:pt>
                <c:pt idx="53">
                  <c:v>-721.40079249029145</c:v>
                </c:pt>
                <c:pt idx="54">
                  <c:v>-723.0442803562421</c:v>
                </c:pt>
                <c:pt idx="55">
                  <c:v>-724.89375331804376</c:v>
                </c:pt>
                <c:pt idx="56">
                  <c:v>-726.94832689094278</c:v>
                </c:pt>
                <c:pt idx="57">
                  <c:v>-729.20718063548043</c:v>
                </c:pt>
                <c:pt idx="58">
                  <c:v>-731.66955555402478</c:v>
                </c:pt>
                <c:pt idx="59">
                  <c:v>-734.33475161327783</c:v>
                </c:pt>
                <c:pt idx="60">
                  <c:v>-737.20212538570206</c:v>
                </c:pt>
                <c:pt idx="61">
                  <c:v>-740.27108780326023</c:v>
                </c:pt>
                <c:pt idx="62">
                  <c:v>-743.54110201727758</c:v>
                </c:pt>
                <c:pt idx="63">
                  <c:v>-747.01168135862349</c:v>
                </c:pt>
                <c:pt idx="64">
                  <c:v>-750.68238739276649</c:v>
                </c:pt>
                <c:pt idx="65">
                  <c:v>-754.55282806459843</c:v>
                </c:pt>
                <c:pt idx="66">
                  <c:v>-758.62265592822803</c:v>
                </c:pt>
                <c:pt idx="67">
                  <c:v>-762.89156645723608</c:v>
                </c:pt>
                <c:pt idx="68">
                  <c:v>-767.35929643116356</c:v>
                </c:pt>
                <c:pt idx="69">
                  <c:v>-772.02562239424219</c:v>
                </c:pt>
                <c:pt idx="70">
                  <c:v>-776.89035918263016</c:v>
                </c:pt>
                <c:pt idx="71">
                  <c:v>-781.95335851661946</c:v>
                </c:pt>
                <c:pt idx="72">
                  <c:v>-787.21450765450004</c:v>
                </c:pt>
                <c:pt idx="73">
                  <c:v>-792.67372810495158</c:v>
                </c:pt>
                <c:pt idx="74">
                  <c:v>-798.33097439501398</c:v>
                </c:pt>
                <c:pt idx="75">
                  <c:v>-804.18623289086111</c:v>
                </c:pt>
                <c:pt idx="76">
                  <c:v>-810.23952066875313</c:v>
                </c:pt>
                <c:pt idx="77">
                  <c:v>-816.49088443369624</c:v>
                </c:pt>
                <c:pt idx="78">
                  <c:v>-822.94039948347108</c:v>
                </c:pt>
                <c:pt idx="79">
                  <c:v>-829.58816871582917</c:v>
                </c:pt>
                <c:pt idx="80">
                  <c:v>-836.43432167676974</c:v>
                </c:pt>
                <c:pt idx="81">
                  <c:v>-843.4790136479271</c:v>
                </c:pt>
                <c:pt idx="82">
                  <c:v>-850.72242477121154</c:v>
                </c:pt>
                <c:pt idx="83">
                  <c:v>-858.16475920893265</c:v>
                </c:pt>
                <c:pt idx="84">
                  <c:v>-865.8062443377471</c:v>
                </c:pt>
                <c:pt idx="85">
                  <c:v>-873.64712997484617</c:v>
                </c:pt>
                <c:pt idx="86">
                  <c:v>-881.68768763489209</c:v>
                </c:pt>
                <c:pt idx="87">
                  <c:v>-889.9282098162862</c:v>
                </c:pt>
                <c:pt idx="88">
                  <c:v>-898.36900931542402</c:v>
                </c:pt>
                <c:pt idx="89">
                  <c:v>-907.0104185676721</c:v>
                </c:pt>
                <c:pt idx="90">
                  <c:v>-915.85278901384902</c:v>
                </c:pt>
                <c:pt idx="91">
                  <c:v>-924.89649049108107</c:v>
                </c:pt>
                <c:pt idx="92">
                  <c:v>-934.14191064692773</c:v>
                </c:pt>
                <c:pt idx="93">
                  <c:v>-943.58945437576438</c:v>
                </c:pt>
                <c:pt idx="94">
                  <c:v>-953.23954327642787</c:v>
                </c:pt>
                <c:pt idx="95">
                  <c:v>-963.09261513020056</c:v>
                </c:pt>
                <c:pt idx="96">
                  <c:v>-973.14912339825332</c:v>
                </c:pt>
                <c:pt idx="97">
                  <c:v>-983.40953673769468</c:v>
                </c:pt>
                <c:pt idx="98">
                  <c:v>-993.87433853544189</c:v>
                </c:pt>
                <c:pt idx="99">
                  <c:v>-1004.5440264591372</c:v>
                </c:pt>
                <c:pt idx="100">
                  <c:v>-1015.4191120244008</c:v>
                </c:pt>
                <c:pt idx="101">
                  <c:v>-1026.5001201777243</c:v>
                </c:pt>
                <c:pt idx="102">
                  <c:v>-1037.7875888943447</c:v>
                </c:pt>
                <c:pt idx="103">
                  <c:v>-1049.2820687904891</c:v>
                </c:pt>
                <c:pt idx="104">
                  <c:v>-1060.9841227493773</c:v>
                </c:pt>
                <c:pt idx="105">
                  <c:v>-1072.894325560429</c:v>
                </c:pt>
                <c:pt idx="106">
                  <c:v>-1085.0132635711311</c:v>
                </c:pt>
                <c:pt idx="107">
                  <c:v>-1097.3415343510424</c:v>
                </c:pt>
                <c:pt idx="108">
                  <c:v>-1109.8797463674634</c:v>
                </c:pt>
                <c:pt idx="109">
                  <c:v>-1122.6285186722762</c:v>
                </c:pt>
                <c:pt idx="110">
                  <c:v>-1135.588480599532</c:v>
                </c:pt>
                <c:pt idx="111">
                  <c:v>-1148.7602714733416</c:v>
                </c:pt>
                <c:pt idx="112">
                  <c:v>-1162.1445403256723</c:v>
                </c:pt>
                <c:pt idx="113">
                  <c:v>-1175.7419456236544</c:v>
                </c:pt>
                <c:pt idx="114">
                  <c:v>-1189.5531550060282</c:v>
                </c:pt>
                <c:pt idx="115">
                  <c:v>-1203.5788450283792</c:v>
                </c:pt>
                <c:pt idx="116">
                  <c:v>-1217.8197009168148</c:v>
                </c:pt>
                <c:pt idx="117">
                  <c:v>-1232.2764163297632</c:v>
                </c:pt>
                <c:pt idx="118">
                  <c:v>-1246.9496931275828</c:v>
                </c:pt>
                <c:pt idx="119">
                  <c:v>-1261.8402411496822</c:v>
                </c:pt>
                <c:pt idx="120">
                  <c:v>-1276.9487779988749</c:v>
                </c:pt>
                <c:pt idx="121">
                  <c:v>-1292.2760288326772</c:v>
                </c:pt>
                <c:pt idx="122">
                  <c:v>-1307.8227261613195</c:v>
                </c:pt>
                <c:pt idx="123">
                  <c:v>-1323.5896096521899</c:v>
                </c:pt>
                <c:pt idx="124">
                  <c:v>-1339.5774259404927</c:v>
                </c:pt>
                <c:pt idx="125">
                  <c:v>-1355.7869284458857</c:v>
                </c:pt>
                <c:pt idx="126">
                  <c:v>-1372.218877194877</c:v>
                </c:pt>
                <c:pt idx="127">
                  <c:v>-1388.8740386487698</c:v>
                </c:pt>
                <c:pt idx="128">
                  <c:v>-1405.7531855369589</c:v>
                </c:pt>
                <c:pt idx="129">
                  <c:v>-1422.8570966953821</c:v>
                </c:pt>
                <c:pt idx="130">
                  <c:v>-1440.1865569099418</c:v>
                </c:pt>
                <c:pt idx="131">
                  <c:v>-1457.7423567647213</c:v>
                </c:pt>
                <c:pt idx="132">
                  <c:v>-1475.5252924948197</c:v>
                </c:pt>
                <c:pt idx="133">
                  <c:v>-1493.5361658436545</c:v>
                </c:pt>
                <c:pt idx="134">
                  <c:v>-1511.7757839245564</c:v>
                </c:pt>
                <c:pt idx="135">
                  <c:v>-1530.2449590865265</c:v>
                </c:pt>
                <c:pt idx="136">
                  <c:v>-1548.9445087839899</c:v>
                </c:pt>
                <c:pt idx="137">
                  <c:v>-1567.8752554504292</c:v>
                </c:pt>
                <c:pt idx="138">
                  <c:v>-1587.0380263757456</c:v>
                </c:pt>
                <c:pt idx="139">
                  <c:v>-1606.4336535872276</c:v>
                </c:pt>
                <c:pt idx="140">
                  <c:v>-1626.0629737340075</c:v>
                </c:pt>
                <c:pt idx="141">
                  <c:v>-1645.9268279748796</c:v>
                </c:pt>
                <c:pt idx="142">
                  <c:v>-1666.0260618693694</c:v>
                </c:pt>
                <c:pt idx="143">
                  <c:v>-1686.3615252719505</c:v>
                </c:pt>
                <c:pt idx="144">
                  <c:v>-1706.9340722292911</c:v>
                </c:pt>
                <c:pt idx="145">
                  <c:v>-1727.7445608804426</c:v>
                </c:pt>
                <c:pt idx="146">
                  <c:v>-1748.793853359861</c:v>
                </c:pt>
                <c:pt idx="147">
                  <c:v>-1770.0828157031779</c:v>
                </c:pt>
                <c:pt idx="148">
                  <c:v>-1791.6123177556231</c:v>
                </c:pt>
                <c:pt idx="149">
                  <c:v>-1813.3832330830151</c:v>
                </c:pt>
                <c:pt idx="150">
                  <c:v>-1835.3964388852344</c:v>
                </c:pt>
                <c:pt idx="151">
                  <c:v>-1857.6528159121046</c:v>
                </c:pt>
                <c:pt idx="152">
                  <c:v>-1880.1532483815943</c:v>
                </c:pt>
                <c:pt idx="153">
                  <c:v>-1902.8986239002725</c:v>
                </c:pt>
                <c:pt idx="154">
                  <c:v>-1925.8898333859443</c:v>
                </c:pt>
                <c:pt idx="155">
                  <c:v>-1949.1277709923959</c:v>
                </c:pt>
                <c:pt idx="156">
                  <c:v>-1972.6133340361782</c:v>
                </c:pt>
                <c:pt idx="157">
                  <c:v>-1996.3474229253823</c:v>
                </c:pt>
                <c:pt idx="158">
                  <c:v>-2020.3309410903116</c:v>
                </c:pt>
                <c:pt idx="159">
                  <c:v>-2044.56479491603</c:v>
                </c:pt>
                <c:pt idx="160">
                  <c:v>-2069.0498936766958</c:v>
                </c:pt>
                <c:pt idx="161">
                  <c:v>-2093.7871494716464</c:v>
                </c:pt>
                <c:pt idx="162">
                  <c:v>-2118.7774771631703</c:v>
                </c:pt>
                <c:pt idx="163">
                  <c:v>-2144.0217943159105</c:v>
                </c:pt>
                <c:pt idx="164">
                  <c:v>-2169.5210211378667</c:v>
                </c:pt>
                <c:pt idx="165">
                  <c:v>-2195.2760804229333</c:v>
                </c:pt>
                <c:pt idx="166">
                  <c:v>-2221.2878974949181</c:v>
                </c:pt>
                <c:pt idx="167">
                  <c:v>-2247.557400153024</c:v>
                </c:pt>
                <c:pt idx="168">
                  <c:v>-2274.0855186187341</c:v>
                </c:pt>
                <c:pt idx="169">
                  <c:v>-2300.8731854840462</c:v>
                </c:pt>
                <c:pt idx="170">
                  <c:v>-2327.9213356610344</c:v>
                </c:pt>
                <c:pt idx="171">
                  <c:v>-2355.2309063327039</c:v>
                </c:pt>
                <c:pt idx="172">
                  <c:v>-2382.8028369050758</c:v>
                </c:pt>
                <c:pt idx="173">
                  <c:v>-2410.638068960483</c:v>
                </c:pt>
                <c:pt idx="174">
                  <c:v>-2438.737546212044</c:v>
                </c:pt>
                <c:pt idx="175">
                  <c:v>-2467.1022144592712</c:v>
                </c:pt>
                <c:pt idx="176">
                  <c:v>-2495.7330215447851</c:v>
                </c:pt>
                <c:pt idx="177">
                  <c:v>-2524.6309173120981</c:v>
                </c:pt>
                <c:pt idx="178">
                  <c:v>-2553.7968535644468</c:v>
                </c:pt>
                <c:pt idx="179">
                  <c:v>-2583.2317840246365</c:v>
                </c:pt>
                <c:pt idx="180">
                  <c:v>-2612.9366642958585</c:v>
                </c:pt>
                <c:pt idx="181">
                  <c:v>-2642.9124518234748</c:v>
                </c:pt>
                <c:pt idx="182">
                  <c:v>-2673.1601058577339</c:v>
                </c:pt>
                <c:pt idx="183">
                  <c:v>-2703.6805874173697</c:v>
                </c:pt>
                <c:pt idx="184">
                  <c:v>-2734.4748592541005</c:v>
                </c:pt>
                <c:pt idx="185">
                  <c:v>-2765.5438858179568</c:v>
                </c:pt>
                <c:pt idx="186">
                  <c:v>-2796.888633223467</c:v>
                </c:pt>
                <c:pt idx="187">
                  <c:v>-2828.5100692166188</c:v>
                </c:pt>
                <c:pt idx="188">
                  <c:v>-2860.4091631426204</c:v>
                </c:pt>
                <c:pt idx="189">
                  <c:v>-2892.5868859144239</c:v>
                </c:pt>
                <c:pt idx="190">
                  <c:v>-2925.0442099819775</c:v>
                </c:pt>
                <c:pt idx="191">
                  <c:v>-2957.7821093022117</c:v>
                </c:pt>
                <c:pt idx="192">
                  <c:v>-2990.8015593097184</c:v>
                </c:pt>
                <c:pt idx="193">
                  <c:v>-3024.103536888118</c:v>
                </c:pt>
                <c:pt idx="194">
                  <c:v>-3057.6890203420812</c:v>
                </c:pt>
                <c:pt idx="195">
                  <c:v>-3091.5589893699976</c:v>
                </c:pt>
                <c:pt idx="196">
                  <c:v>-3125.7144250372871</c:v>
                </c:pt>
                <c:pt idx="197">
                  <c:v>-3160.1563097503035</c:v>
                </c:pt>
                <c:pt idx="198">
                  <c:v>-3194.885627230844</c:v>
                </c:pt>
                <c:pt idx="199">
                  <c:v>-3229.9033624912327</c:v>
                </c:pt>
                <c:pt idx="200">
                  <c:v>-3265.210501809976</c:v>
                </c:pt>
                <c:pt idx="201">
                  <c:v>-3300.8080327079597</c:v>
                </c:pt>
                <c:pt idx="202">
                  <c:v>-3336.6969439251789</c:v>
                </c:pt>
                <c:pt idx="203">
                  <c:v>-3372.8782253980044</c:v>
                </c:pt>
                <c:pt idx="204">
                  <c:v>-3409.3528682369342</c:v>
                </c:pt>
                <c:pt idx="205">
                  <c:v>-3446.1218647048522</c:v>
                </c:pt>
                <c:pt idx="206">
                  <c:v>-3483.1862081957729</c:v>
                </c:pt>
                <c:pt idx="207">
                  <c:v>-3520.546893214047</c:v>
                </c:pt>
                <c:pt idx="208">
                  <c:v>-3558.2049153540197</c:v>
                </c:pt>
                <c:pt idx="209">
                  <c:v>-3596.161271280143</c:v>
                </c:pt>
                <c:pt idx="210">
                  <c:v>-3634.4169587075235</c:v>
                </c:pt>
                <c:pt idx="211">
                  <c:v>-3672.9729763828841</c:v>
                </c:pt>
                <c:pt idx="212">
                  <c:v>-3711.8303240659411</c:v>
                </c:pt>
                <c:pt idx="213">
                  <c:v>-3750.9900025111924</c:v>
                </c:pt>
                <c:pt idx="214">
                  <c:v>-3790.4530134500819</c:v>
                </c:pt>
                <c:pt idx="215">
                  <c:v>-3830.2203595735605</c:v>
                </c:pt>
                <c:pt idx="216">
                  <c:v>-3870.2930445150037</c:v>
                </c:pt>
                <c:pt idx="217">
                  <c:v>-3910.6720728335199</c:v>
                </c:pt>
                <c:pt idx="218">
                  <c:v>-3951.35844999757</c:v>
                </c:pt>
                <c:pt idx="219">
                  <c:v>-3992.35318236898</c:v>
                </c:pt>
                <c:pt idx="220">
                  <c:v>-4033.6572771872516</c:v>
                </c:pt>
                <c:pt idx="221">
                  <c:v>-4075.2717425542332</c:v>
                </c:pt>
                <c:pt idx="222">
                  <c:v>-4117.197587419083</c:v>
                </c:pt>
                <c:pt idx="223">
                  <c:v>-4159.4358215635639</c:v>
                </c:pt>
                <c:pt idx="224">
                  <c:v>-4201.9874555876404</c:v>
                </c:pt>
                <c:pt idx="225">
                  <c:v>-4244.8535008953722</c:v>
                </c:pt>
                <c:pt idx="226">
                  <c:v>-4288.0349696810918</c:v>
                </c:pt>
                <c:pt idx="227">
                  <c:v>-4331.532874915878</c:v>
                </c:pt>
                <c:pt idx="228">
                  <c:v>-4375.3482303343035</c:v>
                </c:pt>
                <c:pt idx="229">
                  <c:v>-4419.4820504214431</c:v>
                </c:pt>
                <c:pt idx="230">
                  <c:v>-4463.9353504001547</c:v>
                </c:pt>
                <c:pt idx="231">
                  <c:v>-4508.7091462186254</c:v>
                </c:pt>
                <c:pt idx="232">
                  <c:v>-4553.8044545381454</c:v>
                </c:pt>
                <c:pt idx="233">
                  <c:v>-4599.2222927211596</c:v>
                </c:pt>
                <c:pt idx="234">
                  <c:v>-4644.9636788195266</c:v>
                </c:pt>
                <c:pt idx="235">
                  <c:v>-4691.0296315630412</c:v>
                </c:pt>
              </c:numCache>
            </c:numRef>
          </c:yVal>
          <c:smooth val="0"/>
          <c:extLst>
            <c:ext xmlns:c16="http://schemas.microsoft.com/office/drawing/2014/chart" uri="{C3380CC4-5D6E-409C-BE32-E72D297353CC}">
              <c16:uniqueId val="{00000000-7CA5-254C-8148-0B8B6427AE49}"/>
            </c:ext>
          </c:extLst>
        </c:ser>
        <c:ser>
          <c:idx val="1"/>
          <c:order val="1"/>
          <c:spPr>
            <a:ln w="19050" cap="rnd">
              <a:solidFill>
                <a:schemeClr val="accent2"/>
              </a:solidFill>
              <a:round/>
            </a:ln>
            <a:effectLst/>
          </c:spPr>
          <c:marker>
            <c:symbol val="none"/>
          </c:marker>
          <c:xVal>
            <c:numRef>
              <c:f>'Performance Analysis'!$X$40:$X$47</c:f>
              <c:numCache>
                <c:formatCode>General</c:formatCode>
                <c:ptCount val="8"/>
                <c:pt idx="0">
                  <c:v>182</c:v>
                </c:pt>
                <c:pt idx="1">
                  <c:v>182</c:v>
                </c:pt>
                <c:pt idx="2">
                  <c:v>182</c:v>
                </c:pt>
                <c:pt idx="3">
                  <c:v>182</c:v>
                </c:pt>
                <c:pt idx="4">
                  <c:v>182</c:v>
                </c:pt>
                <c:pt idx="5">
                  <c:v>182</c:v>
                </c:pt>
                <c:pt idx="6">
                  <c:v>182</c:v>
                </c:pt>
                <c:pt idx="7">
                  <c:v>182</c:v>
                </c:pt>
              </c:numCache>
            </c:numRef>
          </c:xVal>
          <c:yVal>
            <c:numRef>
              <c:f>'Performance Analysis'!$Z$40:$Z$47</c:f>
              <c:numCache>
                <c:formatCode>General</c:formatCode>
                <c:ptCount val="8"/>
                <c:pt idx="0">
                  <c:v>-500</c:v>
                </c:pt>
                <c:pt idx="1">
                  <c:v>-1000</c:v>
                </c:pt>
                <c:pt idx="2">
                  <c:v>-1500</c:v>
                </c:pt>
                <c:pt idx="3">
                  <c:v>-2000</c:v>
                </c:pt>
                <c:pt idx="4">
                  <c:v>-2500</c:v>
                </c:pt>
                <c:pt idx="5">
                  <c:v>-3000</c:v>
                </c:pt>
                <c:pt idx="6">
                  <c:v>-3500</c:v>
                </c:pt>
                <c:pt idx="7">
                  <c:v>-4000</c:v>
                </c:pt>
              </c:numCache>
            </c:numRef>
          </c:yVal>
          <c:smooth val="0"/>
          <c:extLst>
            <c:ext xmlns:c16="http://schemas.microsoft.com/office/drawing/2014/chart" uri="{C3380CC4-5D6E-409C-BE32-E72D297353CC}">
              <c16:uniqueId val="{00000002-101B-2F48-A8AC-F7B6C1643B5C}"/>
            </c:ext>
          </c:extLst>
        </c:ser>
        <c:dLbls>
          <c:showLegendKey val="0"/>
          <c:showVal val="0"/>
          <c:showCatName val="0"/>
          <c:showSerName val="0"/>
          <c:showPercent val="0"/>
          <c:showBubbleSize val="0"/>
        </c:dLbls>
        <c:axId val="1880629792"/>
        <c:axId val="1880631504"/>
      </c:scatterChart>
      <c:valAx>
        <c:axId val="18806297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a:t>
                </a:r>
                <a:r>
                  <a:rPr lang="en-US" baseline="0"/>
                  <a:t> (KCAS)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631504"/>
        <c:crosses val="autoZero"/>
        <c:crossBetween val="midCat"/>
      </c:valAx>
      <c:valAx>
        <c:axId val="18806315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of Descent (fpm)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62979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Range vs Cruise Airspeed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solidFill>
                <a:schemeClr val="tx2"/>
              </a:solidFill>
              <a:round/>
            </a:ln>
            <a:effectLst/>
          </c:spPr>
          <c:marker>
            <c:symbol val="none"/>
          </c:marker>
          <c:xVal>
            <c:numRef>
              <c:f>'Performance Analysis'!$A$84:$A$319</c:f>
              <c:numCache>
                <c:formatCode>General</c:formatCode>
                <c:ptCount val="236"/>
                <c:pt idx="0">
                  <c:v>65</c:v>
                </c:pt>
                <c:pt idx="1">
                  <c:v>66</c:v>
                </c:pt>
                <c:pt idx="2">
                  <c:v>67</c:v>
                </c:pt>
                <c:pt idx="3">
                  <c:v>68</c:v>
                </c:pt>
                <c:pt idx="4">
                  <c:v>69</c:v>
                </c:pt>
                <c:pt idx="5">
                  <c:v>70</c:v>
                </c:pt>
                <c:pt idx="6">
                  <c:v>71</c:v>
                </c:pt>
                <c:pt idx="7">
                  <c:v>72</c:v>
                </c:pt>
                <c:pt idx="8">
                  <c:v>73</c:v>
                </c:pt>
                <c:pt idx="9">
                  <c:v>74</c:v>
                </c:pt>
                <c:pt idx="10">
                  <c:v>75</c:v>
                </c:pt>
                <c:pt idx="11">
                  <c:v>76</c:v>
                </c:pt>
                <c:pt idx="12">
                  <c:v>77</c:v>
                </c:pt>
                <c:pt idx="13">
                  <c:v>78</c:v>
                </c:pt>
                <c:pt idx="14">
                  <c:v>79</c:v>
                </c:pt>
                <c:pt idx="15">
                  <c:v>80</c:v>
                </c:pt>
                <c:pt idx="16">
                  <c:v>81</c:v>
                </c:pt>
                <c:pt idx="17">
                  <c:v>82</c:v>
                </c:pt>
                <c:pt idx="18">
                  <c:v>83</c:v>
                </c:pt>
                <c:pt idx="19">
                  <c:v>84</c:v>
                </c:pt>
                <c:pt idx="20">
                  <c:v>85</c:v>
                </c:pt>
                <c:pt idx="21">
                  <c:v>86</c:v>
                </c:pt>
                <c:pt idx="22">
                  <c:v>87</c:v>
                </c:pt>
                <c:pt idx="23">
                  <c:v>88</c:v>
                </c:pt>
                <c:pt idx="24">
                  <c:v>89</c:v>
                </c:pt>
                <c:pt idx="25">
                  <c:v>90</c:v>
                </c:pt>
                <c:pt idx="26">
                  <c:v>91</c:v>
                </c:pt>
                <c:pt idx="27">
                  <c:v>92</c:v>
                </c:pt>
                <c:pt idx="28">
                  <c:v>93</c:v>
                </c:pt>
                <c:pt idx="29">
                  <c:v>94</c:v>
                </c:pt>
                <c:pt idx="30">
                  <c:v>95</c:v>
                </c:pt>
                <c:pt idx="31">
                  <c:v>96</c:v>
                </c:pt>
                <c:pt idx="32">
                  <c:v>97</c:v>
                </c:pt>
                <c:pt idx="33">
                  <c:v>98</c:v>
                </c:pt>
                <c:pt idx="34">
                  <c:v>99</c:v>
                </c:pt>
                <c:pt idx="35">
                  <c:v>100</c:v>
                </c:pt>
                <c:pt idx="36">
                  <c:v>101</c:v>
                </c:pt>
                <c:pt idx="37">
                  <c:v>102</c:v>
                </c:pt>
                <c:pt idx="38">
                  <c:v>103</c:v>
                </c:pt>
                <c:pt idx="39">
                  <c:v>104</c:v>
                </c:pt>
                <c:pt idx="40">
                  <c:v>105</c:v>
                </c:pt>
                <c:pt idx="41">
                  <c:v>106</c:v>
                </c:pt>
                <c:pt idx="42">
                  <c:v>107</c:v>
                </c:pt>
                <c:pt idx="43">
                  <c:v>108</c:v>
                </c:pt>
                <c:pt idx="44">
                  <c:v>109</c:v>
                </c:pt>
                <c:pt idx="45">
                  <c:v>110</c:v>
                </c:pt>
                <c:pt idx="46">
                  <c:v>111</c:v>
                </c:pt>
                <c:pt idx="47">
                  <c:v>112</c:v>
                </c:pt>
                <c:pt idx="48">
                  <c:v>113</c:v>
                </c:pt>
                <c:pt idx="49">
                  <c:v>114</c:v>
                </c:pt>
                <c:pt idx="50">
                  <c:v>115</c:v>
                </c:pt>
                <c:pt idx="51">
                  <c:v>116</c:v>
                </c:pt>
                <c:pt idx="52">
                  <c:v>117</c:v>
                </c:pt>
                <c:pt idx="53">
                  <c:v>118</c:v>
                </c:pt>
                <c:pt idx="54">
                  <c:v>119</c:v>
                </c:pt>
                <c:pt idx="55">
                  <c:v>120</c:v>
                </c:pt>
                <c:pt idx="56">
                  <c:v>121</c:v>
                </c:pt>
                <c:pt idx="57">
                  <c:v>122</c:v>
                </c:pt>
                <c:pt idx="58">
                  <c:v>123</c:v>
                </c:pt>
                <c:pt idx="59">
                  <c:v>124</c:v>
                </c:pt>
                <c:pt idx="60">
                  <c:v>125</c:v>
                </c:pt>
                <c:pt idx="61">
                  <c:v>126</c:v>
                </c:pt>
                <c:pt idx="62">
                  <c:v>127</c:v>
                </c:pt>
                <c:pt idx="63">
                  <c:v>128</c:v>
                </c:pt>
                <c:pt idx="64">
                  <c:v>129</c:v>
                </c:pt>
                <c:pt idx="65">
                  <c:v>130</c:v>
                </c:pt>
                <c:pt idx="66">
                  <c:v>131</c:v>
                </c:pt>
                <c:pt idx="67">
                  <c:v>132</c:v>
                </c:pt>
                <c:pt idx="68">
                  <c:v>133</c:v>
                </c:pt>
                <c:pt idx="69">
                  <c:v>134</c:v>
                </c:pt>
                <c:pt idx="70">
                  <c:v>135</c:v>
                </c:pt>
                <c:pt idx="71">
                  <c:v>136</c:v>
                </c:pt>
                <c:pt idx="72">
                  <c:v>137</c:v>
                </c:pt>
                <c:pt idx="73">
                  <c:v>138</c:v>
                </c:pt>
                <c:pt idx="74">
                  <c:v>139</c:v>
                </c:pt>
                <c:pt idx="75">
                  <c:v>140</c:v>
                </c:pt>
                <c:pt idx="76">
                  <c:v>141</c:v>
                </c:pt>
                <c:pt idx="77">
                  <c:v>142</c:v>
                </c:pt>
                <c:pt idx="78">
                  <c:v>143</c:v>
                </c:pt>
                <c:pt idx="79">
                  <c:v>144</c:v>
                </c:pt>
                <c:pt idx="80">
                  <c:v>145</c:v>
                </c:pt>
                <c:pt idx="81">
                  <c:v>146</c:v>
                </c:pt>
                <c:pt idx="82">
                  <c:v>147</c:v>
                </c:pt>
                <c:pt idx="83">
                  <c:v>148</c:v>
                </c:pt>
                <c:pt idx="84">
                  <c:v>149</c:v>
                </c:pt>
                <c:pt idx="85">
                  <c:v>150</c:v>
                </c:pt>
                <c:pt idx="86">
                  <c:v>151</c:v>
                </c:pt>
                <c:pt idx="87">
                  <c:v>152</c:v>
                </c:pt>
                <c:pt idx="88">
                  <c:v>153</c:v>
                </c:pt>
                <c:pt idx="89">
                  <c:v>154</c:v>
                </c:pt>
                <c:pt idx="90">
                  <c:v>155</c:v>
                </c:pt>
                <c:pt idx="91">
                  <c:v>156</c:v>
                </c:pt>
                <c:pt idx="92">
                  <c:v>157</c:v>
                </c:pt>
                <c:pt idx="93">
                  <c:v>158</c:v>
                </c:pt>
                <c:pt idx="94">
                  <c:v>159</c:v>
                </c:pt>
                <c:pt idx="95">
                  <c:v>160</c:v>
                </c:pt>
                <c:pt idx="96">
                  <c:v>161</c:v>
                </c:pt>
                <c:pt idx="97">
                  <c:v>162</c:v>
                </c:pt>
                <c:pt idx="98">
                  <c:v>163</c:v>
                </c:pt>
                <c:pt idx="99">
                  <c:v>164</c:v>
                </c:pt>
                <c:pt idx="100">
                  <c:v>165</c:v>
                </c:pt>
                <c:pt idx="101">
                  <c:v>166</c:v>
                </c:pt>
                <c:pt idx="102">
                  <c:v>167</c:v>
                </c:pt>
                <c:pt idx="103">
                  <c:v>168</c:v>
                </c:pt>
                <c:pt idx="104">
                  <c:v>169</c:v>
                </c:pt>
                <c:pt idx="105">
                  <c:v>170</c:v>
                </c:pt>
                <c:pt idx="106">
                  <c:v>171</c:v>
                </c:pt>
                <c:pt idx="107">
                  <c:v>172</c:v>
                </c:pt>
                <c:pt idx="108">
                  <c:v>173</c:v>
                </c:pt>
                <c:pt idx="109">
                  <c:v>174</c:v>
                </c:pt>
                <c:pt idx="110">
                  <c:v>175</c:v>
                </c:pt>
                <c:pt idx="111">
                  <c:v>176</c:v>
                </c:pt>
                <c:pt idx="112">
                  <c:v>177</c:v>
                </c:pt>
                <c:pt idx="113">
                  <c:v>178</c:v>
                </c:pt>
                <c:pt idx="114">
                  <c:v>179</c:v>
                </c:pt>
                <c:pt idx="115">
                  <c:v>180</c:v>
                </c:pt>
                <c:pt idx="116">
                  <c:v>181</c:v>
                </c:pt>
                <c:pt idx="117">
                  <c:v>182</c:v>
                </c:pt>
                <c:pt idx="118">
                  <c:v>183</c:v>
                </c:pt>
                <c:pt idx="119">
                  <c:v>184</c:v>
                </c:pt>
                <c:pt idx="120">
                  <c:v>185</c:v>
                </c:pt>
                <c:pt idx="121">
                  <c:v>186</c:v>
                </c:pt>
                <c:pt idx="122">
                  <c:v>187</c:v>
                </c:pt>
                <c:pt idx="123">
                  <c:v>188</c:v>
                </c:pt>
                <c:pt idx="124">
                  <c:v>189</c:v>
                </c:pt>
                <c:pt idx="125">
                  <c:v>190</c:v>
                </c:pt>
                <c:pt idx="126">
                  <c:v>191</c:v>
                </c:pt>
                <c:pt idx="127">
                  <c:v>192</c:v>
                </c:pt>
                <c:pt idx="128">
                  <c:v>193</c:v>
                </c:pt>
                <c:pt idx="129">
                  <c:v>194</c:v>
                </c:pt>
                <c:pt idx="130">
                  <c:v>195</c:v>
                </c:pt>
                <c:pt idx="131">
                  <c:v>196</c:v>
                </c:pt>
                <c:pt idx="132">
                  <c:v>197</c:v>
                </c:pt>
                <c:pt idx="133">
                  <c:v>198</c:v>
                </c:pt>
                <c:pt idx="134">
                  <c:v>199</c:v>
                </c:pt>
                <c:pt idx="135">
                  <c:v>200</c:v>
                </c:pt>
                <c:pt idx="136">
                  <c:v>201</c:v>
                </c:pt>
                <c:pt idx="137">
                  <c:v>202</c:v>
                </c:pt>
                <c:pt idx="138">
                  <c:v>203</c:v>
                </c:pt>
                <c:pt idx="139">
                  <c:v>204</c:v>
                </c:pt>
                <c:pt idx="140">
                  <c:v>205</c:v>
                </c:pt>
                <c:pt idx="141">
                  <c:v>206</c:v>
                </c:pt>
                <c:pt idx="142">
                  <c:v>207</c:v>
                </c:pt>
                <c:pt idx="143">
                  <c:v>208</c:v>
                </c:pt>
                <c:pt idx="144">
                  <c:v>209</c:v>
                </c:pt>
                <c:pt idx="145">
                  <c:v>210</c:v>
                </c:pt>
                <c:pt idx="146">
                  <c:v>211</c:v>
                </c:pt>
                <c:pt idx="147">
                  <c:v>212</c:v>
                </c:pt>
                <c:pt idx="148">
                  <c:v>213</c:v>
                </c:pt>
                <c:pt idx="149">
                  <c:v>214</c:v>
                </c:pt>
                <c:pt idx="150">
                  <c:v>215</c:v>
                </c:pt>
                <c:pt idx="151">
                  <c:v>216</c:v>
                </c:pt>
                <c:pt idx="152">
                  <c:v>217</c:v>
                </c:pt>
                <c:pt idx="153">
                  <c:v>218</c:v>
                </c:pt>
                <c:pt idx="154">
                  <c:v>219</c:v>
                </c:pt>
                <c:pt idx="155">
                  <c:v>220</c:v>
                </c:pt>
                <c:pt idx="156">
                  <c:v>221</c:v>
                </c:pt>
                <c:pt idx="157">
                  <c:v>222</c:v>
                </c:pt>
                <c:pt idx="158">
                  <c:v>223</c:v>
                </c:pt>
                <c:pt idx="159">
                  <c:v>224</c:v>
                </c:pt>
                <c:pt idx="160">
                  <c:v>225</c:v>
                </c:pt>
                <c:pt idx="161">
                  <c:v>226</c:v>
                </c:pt>
                <c:pt idx="162">
                  <c:v>227</c:v>
                </c:pt>
                <c:pt idx="163">
                  <c:v>228</c:v>
                </c:pt>
                <c:pt idx="164">
                  <c:v>229</c:v>
                </c:pt>
                <c:pt idx="165">
                  <c:v>230</c:v>
                </c:pt>
                <c:pt idx="166">
                  <c:v>231</c:v>
                </c:pt>
                <c:pt idx="167">
                  <c:v>232</c:v>
                </c:pt>
                <c:pt idx="168">
                  <c:v>233</c:v>
                </c:pt>
                <c:pt idx="169">
                  <c:v>234</c:v>
                </c:pt>
                <c:pt idx="170">
                  <c:v>235</c:v>
                </c:pt>
                <c:pt idx="171">
                  <c:v>236</c:v>
                </c:pt>
                <c:pt idx="172">
                  <c:v>237</c:v>
                </c:pt>
                <c:pt idx="173">
                  <c:v>238</c:v>
                </c:pt>
                <c:pt idx="174">
                  <c:v>239</c:v>
                </c:pt>
                <c:pt idx="175">
                  <c:v>240</c:v>
                </c:pt>
                <c:pt idx="176">
                  <c:v>241</c:v>
                </c:pt>
                <c:pt idx="177">
                  <c:v>242</c:v>
                </c:pt>
                <c:pt idx="178">
                  <c:v>243</c:v>
                </c:pt>
                <c:pt idx="179">
                  <c:v>244</c:v>
                </c:pt>
                <c:pt idx="180">
                  <c:v>245</c:v>
                </c:pt>
                <c:pt idx="181">
                  <c:v>246</c:v>
                </c:pt>
                <c:pt idx="182">
                  <c:v>247</c:v>
                </c:pt>
                <c:pt idx="183">
                  <c:v>248</c:v>
                </c:pt>
                <c:pt idx="184">
                  <c:v>249</c:v>
                </c:pt>
                <c:pt idx="185">
                  <c:v>250</c:v>
                </c:pt>
                <c:pt idx="186">
                  <c:v>251</c:v>
                </c:pt>
                <c:pt idx="187">
                  <c:v>252</c:v>
                </c:pt>
                <c:pt idx="188">
                  <c:v>253</c:v>
                </c:pt>
                <c:pt idx="189">
                  <c:v>254</c:v>
                </c:pt>
                <c:pt idx="190">
                  <c:v>255</c:v>
                </c:pt>
                <c:pt idx="191">
                  <c:v>256</c:v>
                </c:pt>
                <c:pt idx="192">
                  <c:v>257</c:v>
                </c:pt>
                <c:pt idx="193">
                  <c:v>258</c:v>
                </c:pt>
                <c:pt idx="194">
                  <c:v>259</c:v>
                </c:pt>
                <c:pt idx="195">
                  <c:v>260</c:v>
                </c:pt>
                <c:pt idx="196">
                  <c:v>261</c:v>
                </c:pt>
                <c:pt idx="197">
                  <c:v>262</c:v>
                </c:pt>
                <c:pt idx="198">
                  <c:v>263</c:v>
                </c:pt>
                <c:pt idx="199">
                  <c:v>264</c:v>
                </c:pt>
                <c:pt idx="200">
                  <c:v>265</c:v>
                </c:pt>
                <c:pt idx="201">
                  <c:v>266</c:v>
                </c:pt>
                <c:pt idx="202">
                  <c:v>267</c:v>
                </c:pt>
                <c:pt idx="203">
                  <c:v>268</c:v>
                </c:pt>
                <c:pt idx="204">
                  <c:v>269</c:v>
                </c:pt>
                <c:pt idx="205">
                  <c:v>270</c:v>
                </c:pt>
                <c:pt idx="206">
                  <c:v>271</c:v>
                </c:pt>
                <c:pt idx="207">
                  <c:v>272</c:v>
                </c:pt>
                <c:pt idx="208">
                  <c:v>273</c:v>
                </c:pt>
                <c:pt idx="209">
                  <c:v>274</c:v>
                </c:pt>
                <c:pt idx="210">
                  <c:v>275</c:v>
                </c:pt>
                <c:pt idx="211">
                  <c:v>276</c:v>
                </c:pt>
                <c:pt idx="212">
                  <c:v>277</c:v>
                </c:pt>
                <c:pt idx="213">
                  <c:v>278</c:v>
                </c:pt>
                <c:pt idx="214">
                  <c:v>279</c:v>
                </c:pt>
                <c:pt idx="215">
                  <c:v>280</c:v>
                </c:pt>
                <c:pt idx="216">
                  <c:v>281</c:v>
                </c:pt>
                <c:pt idx="217">
                  <c:v>282</c:v>
                </c:pt>
                <c:pt idx="218">
                  <c:v>283</c:v>
                </c:pt>
                <c:pt idx="219">
                  <c:v>284</c:v>
                </c:pt>
                <c:pt idx="220">
                  <c:v>285</c:v>
                </c:pt>
                <c:pt idx="221">
                  <c:v>286</c:v>
                </c:pt>
                <c:pt idx="222">
                  <c:v>287</c:v>
                </c:pt>
                <c:pt idx="223">
                  <c:v>288</c:v>
                </c:pt>
                <c:pt idx="224">
                  <c:v>289</c:v>
                </c:pt>
                <c:pt idx="225">
                  <c:v>290</c:v>
                </c:pt>
                <c:pt idx="226">
                  <c:v>291</c:v>
                </c:pt>
                <c:pt idx="227">
                  <c:v>292</c:v>
                </c:pt>
                <c:pt idx="228">
                  <c:v>293</c:v>
                </c:pt>
                <c:pt idx="229">
                  <c:v>294</c:v>
                </c:pt>
                <c:pt idx="230">
                  <c:v>295</c:v>
                </c:pt>
                <c:pt idx="231">
                  <c:v>296</c:v>
                </c:pt>
                <c:pt idx="232">
                  <c:v>297</c:v>
                </c:pt>
                <c:pt idx="233">
                  <c:v>298</c:v>
                </c:pt>
                <c:pt idx="234">
                  <c:v>299</c:v>
                </c:pt>
                <c:pt idx="235">
                  <c:v>300</c:v>
                </c:pt>
              </c:numCache>
            </c:numRef>
          </c:xVal>
          <c:yVal>
            <c:numRef>
              <c:f>'Performance Analysis'!$AD$84:$AD$319</c:f>
              <c:numCache>
                <c:formatCode>General</c:formatCode>
                <c:ptCount val="236"/>
                <c:pt idx="0">
                  <c:v>868.64149302393707</c:v>
                </c:pt>
                <c:pt idx="1">
                  <c:v>903.71744433877609</c:v>
                </c:pt>
                <c:pt idx="2">
                  <c:v>939.5105953649869</c:v>
                </c:pt>
                <c:pt idx="3">
                  <c:v>976.00842109217103</c:v>
                </c:pt>
                <c:pt idx="4">
                  <c:v>1013.1970669125307</c:v>
                </c:pt>
                <c:pt idx="5">
                  <c:v>1051.0613283848422</c:v>
                </c:pt>
                <c:pt idx="6">
                  <c:v>1089.5846341128224</c:v>
                </c:pt>
                <c:pt idx="7">
                  <c:v>1128.7490320040181</c:v>
                </c:pt>
                <c:pt idx="8">
                  <c:v>1168.5351791714868</c:v>
                </c:pt>
                <c:pt idx="9">
                  <c:v>1208.922335734334</c:v>
                </c:pt>
                <c:pt idx="10">
                  <c:v>1249.8883627645</c:v>
                </c:pt>
                <c:pt idx="11">
                  <c:v>1291.4097246159456</c:v>
                </c:pt>
                <c:pt idx="12">
                  <c:v>1333.4614958584657</c:v>
                </c:pt>
                <c:pt idx="13">
                  <c:v>1376.0173730217493</c:v>
                </c:pt>
                <c:pt idx="14">
                  <c:v>1419.0496913359334</c:v>
                </c:pt>
                <c:pt idx="15">
                  <c:v>1462.5294466327628</c:v>
                </c:pt>
                <c:pt idx="16">
                  <c:v>1506.4263225466848</c:v>
                </c:pt>
                <c:pt idx="17">
                  <c:v>1550.7087231277555</c:v>
                </c:pt>
                <c:pt idx="18">
                  <c:v>1595.3438109482859</c:v>
                </c:pt>
                <c:pt idx="19">
                  <c:v>1640.2975507528408</c:v>
                </c:pt>
                <c:pt idx="20">
                  <c:v>1685.5347586667858</c:v>
                </c:pt>
                <c:pt idx="21">
                  <c:v>1731.0191569421447</c:v>
                </c:pt>
                <c:pt idx="22">
                  <c:v>1776.7134341815793</c:v>
                </c:pt>
                <c:pt idx="23">
                  <c:v>1822.5793109419092</c:v>
                </c:pt>
                <c:pt idx="24">
                  <c:v>1868.5776105783566</c:v>
                </c:pt>
                <c:pt idx="25">
                  <c:v>1914.6683351497422</c:v>
                </c:pt>
                <c:pt idx="26">
                  <c:v>1960.8107461638961</c:v>
                </c:pt>
                <c:pt idx="27">
                  <c:v>2006.9634499017145</c:v>
                </c:pt>
                <c:pt idx="28">
                  <c:v>2053.0844870183082</c:v>
                </c:pt>
                <c:pt idx="29">
                  <c:v>2099.1314260808122</c:v>
                </c:pt>
                <c:pt idx="30">
                  <c:v>2145.0614606653144</c:v>
                </c:pt>
                <c:pt idx="31">
                  <c:v>2190.8315096003207</c:v>
                </c:pt>
                <c:pt idx="32">
                  <c:v>2236.3983199117947</c:v>
                </c:pt>
                <c:pt idx="33">
                  <c:v>2281.7185719954446</c:v>
                </c:pt>
                <c:pt idx="34">
                  <c:v>2326.7489865160815</c:v>
                </c:pt>
                <c:pt idx="35">
                  <c:v>2371.4464325117979</c:v>
                </c:pt>
                <c:pt idx="36">
                  <c:v>2415.7680361629132</c:v>
                </c:pt>
                <c:pt idx="37">
                  <c:v>2459.6712896722424</c:v>
                </c:pt>
                <c:pt idx="38">
                  <c:v>2503.114159694635</c:v>
                </c:pt>
                <c:pt idx="39">
                  <c:v>2546.0551947499421</c:v>
                </c:pt>
                <c:pt idx="40">
                  <c:v>2588.453631054912</c:v>
                </c:pt>
                <c:pt idx="41">
                  <c:v>2630.269496215752</c:v>
                </c:pt>
                <c:pt idx="42">
                  <c:v>2671.4637102345828</c:v>
                </c:pt>
                <c:pt idx="43">
                  <c:v>2711.9981832992139</c:v>
                </c:pt>
                <c:pt idx="44">
                  <c:v>2751.8359098469082</c:v>
                </c:pt>
                <c:pt idx="45">
                  <c:v>2790.9410584183984</c:v>
                </c:pt>
                <c:pt idx="46">
                  <c:v>2829.2790568484547</c:v>
                </c:pt>
                <c:pt idx="47">
                  <c:v>2866.8166723732211</c:v>
                </c:pt>
                <c:pt idx="48">
                  <c:v>2903.5220862719475</c:v>
                </c:pt>
                <c:pt idx="49">
                  <c:v>2939.3649627013992</c:v>
                </c:pt>
                <c:pt idx="50">
                  <c:v>2974.3165114243479</c:v>
                </c:pt>
                <c:pt idx="51">
                  <c:v>3008.349544178915</c:v>
                </c:pt>
                <c:pt idx="52">
                  <c:v>3041.4385244824098</c:v>
                </c:pt>
                <c:pt idx="53">
                  <c:v>3073.5596107112619</c:v>
                </c:pt>
                <c:pt idx="54">
                  <c:v>3104.6906923471006</c:v>
                </c:pt>
                <c:pt idx="55">
                  <c:v>3134.8114193274405</c:v>
                </c:pt>
                <c:pt idx="56">
                  <c:v>3163.9032244873024</c:v>
                </c:pt>
                <c:pt idx="57">
                  <c:v>3191.9493391248056</c:v>
                </c:pt>
                <c:pt idx="58">
                  <c:v>3218.9348017691609</c:v>
                </c:pt>
                <c:pt idx="59">
                  <c:v>3244.8464602725508</c:v>
                </c:pt>
                <c:pt idx="60">
                  <c:v>3269.672967388472</c:v>
                </c:pt>
                <c:pt idx="61">
                  <c:v>3293.404770037137</c:v>
                </c:pt>
                <c:pt idx="62">
                  <c:v>3316.0340924937323</c:v>
                </c:pt>
                <c:pt idx="63">
                  <c:v>3337.5549137671696</c:v>
                </c:pt>
                <c:pt idx="64">
                  <c:v>3357.9629394653352</c:v>
                </c:pt>
                <c:pt idx="65">
                  <c:v>3377.255568467624</c:v>
                </c:pt>
                <c:pt idx="66">
                  <c:v>3395.4318547465818</c:v>
                </c:pt>
                <c:pt idx="67">
                  <c:v>3412.4924646978034</c:v>
                </c:pt>
                <c:pt idx="68">
                  <c:v>3428.4396303507688</c:v>
                </c:pt>
                <c:pt idx="69">
                  <c:v>3443.2770988432403</c:v>
                </c:pt>
                <c:pt idx="70">
                  <c:v>3457.0100785480859</c:v>
                </c:pt>
                <c:pt idx="71">
                  <c:v>3469.64518224429</c:v>
                </c:pt>
                <c:pt idx="72">
                  <c:v>3481.1903677235046</c:v>
                </c:pt>
                <c:pt idx="73">
                  <c:v>3491.6548762199332</c:v>
                </c:pt>
                <c:pt idx="74">
                  <c:v>3501.0491690450608</c:v>
                </c:pt>
                <c:pt idx="75">
                  <c:v>3509.3848627997249</c:v>
                </c:pt>
                <c:pt idx="76">
                  <c:v>3516.6746635247009</c:v>
                </c:pt>
                <c:pt idx="77">
                  <c:v>3522.9323001376015</c:v>
                </c:pt>
                <c:pt idx="78">
                  <c:v>3528.1724574885611</c:v>
                </c:pt>
                <c:pt idx="79">
                  <c:v>3532.4107093504676</c:v>
                </c:pt>
                <c:pt idx="80">
                  <c:v>3535.6634516413701</c:v>
                </c:pt>
                <c:pt idx="81">
                  <c:v>3537.9478361576034</c:v>
                </c:pt>
                <c:pt idx="82">
                  <c:v>3539.2817050762974</c:v>
                </c:pt>
                <c:pt idx="83">
                  <c:v>3539.683526465541</c:v>
                </c:pt>
                <c:pt idx="84">
                  <c:v>3539.1723310197403</c:v>
                </c:pt>
                <c:pt idx="85">
                  <c:v>3537.7676502169279</c:v>
                </c:pt>
                <c:pt idx="86">
                  <c:v>3535.4894560740599</c:v>
                </c:pt>
                <c:pt idx="87">
                  <c:v>3532.3581026559159</c:v>
                </c:pt>
                <c:pt idx="88">
                  <c:v>3528.39426947322</c:v>
                </c:pt>
                <c:pt idx="89">
                  <c:v>3523.6189068861336</c:v>
                </c:pt>
                <c:pt idx="90">
                  <c:v>3518.0531836105947</c:v>
                </c:pt>
                <c:pt idx="91">
                  <c:v>3511.7184364069349</c:v>
                </c:pt>
                <c:pt idx="92">
                  <c:v>3504.636122013203</c:v>
                </c:pt>
                <c:pt idx="93">
                  <c:v>3496.8277713694501</c:v>
                </c:pt>
                <c:pt idx="94">
                  <c:v>3488.3149461640392</c:v>
                </c:pt>
                <c:pt idx="95">
                  <c:v>3479.1191977189951</c:v>
                </c:pt>
                <c:pt idx="96">
                  <c:v>3469.262028218262</c:v>
                </c:pt>
                <c:pt idx="97">
                  <c:v>3458.7648542707457</c:v>
                </c:pt>
                <c:pt idx="98">
                  <c:v>3447.6489727890535</c:v>
                </c:pt>
                <c:pt idx="99">
                  <c:v>3435.9355291549296</c:v>
                </c:pt>
                <c:pt idx="100">
                  <c:v>3423.6454876334524</c:v>
                </c:pt>
                <c:pt idx="101">
                  <c:v>3410.7996039902082</c:v>
                </c:pt>
                <c:pt idx="102">
                  <c:v>3397.4184002587149</c:v>
                </c:pt>
                <c:pt idx="103">
                  <c:v>3383.5221415992828</c:v>
                </c:pt>
                <c:pt idx="104">
                  <c:v>3369.130815185491</c:v>
                </c:pt>
                <c:pt idx="105">
                  <c:v>3354.2641110500267</c:v>
                </c:pt>
                <c:pt idx="106">
                  <c:v>3338.9414048181893</c:v>
                </c:pt>
                <c:pt idx="107">
                  <c:v>3323.1817422545569</c:v>
                </c:pt>
                <c:pt idx="108">
                  <c:v>3307.00382554615</c:v>
                </c:pt>
                <c:pt idx="109">
                  <c:v>3290.4260012440268</c:v>
                </c:pt>
                <c:pt idx="110">
                  <c:v>3273.4662497842319</c:v>
                </c:pt>
                <c:pt idx="111">
                  <c:v>3256.1421765087061</c:v>
                </c:pt>
                <c:pt idx="112">
                  <c:v>3238.4710041067951</c:v>
                </c:pt>
                <c:pt idx="113">
                  <c:v>3220.4695663985399</c:v>
                </c:pt>
                <c:pt idx="114">
                  <c:v>3202.1543033817634</c:v>
                </c:pt>
                <c:pt idx="115">
                  <c:v>3183.5412574662482</c:v>
                </c:pt>
                <c:pt idx="116">
                  <c:v>3164.6460708197419</c:v>
                </c:pt>
                <c:pt idx="117">
                  <c:v>3145.4839837523414</c:v>
                </c:pt>
                <c:pt idx="118">
                  <c:v>3126.0698340677372</c:v>
                </c:pt>
                <c:pt idx="119">
                  <c:v>3106.4180573119847</c:v>
                </c:pt>
                <c:pt idx="120">
                  <c:v>3086.5426878527423</c:v>
                </c:pt>
                <c:pt idx="121">
                  <c:v>3066.4573607243683</c:v>
                </c:pt>
                <c:pt idx="122">
                  <c:v>3046.1753141767244</c:v>
                </c:pt>
                <c:pt idx="123">
                  <c:v>3025.7093928681857</c:v>
                </c:pt>
                <c:pt idx="124">
                  <c:v>3005.0720516458809</c:v>
                </c:pt>
                <c:pt idx="125">
                  <c:v>2984.2753598589306</c:v>
                </c:pt>
                <c:pt idx="126">
                  <c:v>2963.331006153001</c:v>
                </c:pt>
                <c:pt idx="127">
                  <c:v>2942.2503036972121</c:v>
                </c:pt>
                <c:pt idx="128">
                  <c:v>2921.0441957969924</c:v>
                </c:pt>
                <c:pt idx="129">
                  <c:v>2899.7232618490693</c:v>
                </c:pt>
                <c:pt idx="130">
                  <c:v>2878.297723597324</c:v>
                </c:pt>
                <c:pt idx="131">
                  <c:v>2856.777451650682</c:v>
                </c:pt>
                <c:pt idx="132">
                  <c:v>2835.1719722266562</c:v>
                </c:pt>
                <c:pt idx="133">
                  <c:v>2813.4904740864463</c:v>
                </c:pt>
                <c:pt idx="134">
                  <c:v>2791.7418156298081</c:v>
                </c:pt>
                <c:pt idx="135">
                  <c:v>2769.9345321200476</c:v>
                </c:pt>
                <c:pt idx="136">
                  <c:v>2748.07684301163</c:v>
                </c:pt>
                <c:pt idx="137">
                  <c:v>2726.1766593548496</c:v>
                </c:pt>
                <c:pt idx="138">
                  <c:v>2704.2415912540118</c:v>
                </c:pt>
                <c:pt idx="139">
                  <c:v>2682.2789553573389</c:v>
                </c:pt>
                <c:pt idx="140">
                  <c:v>2660.2957823586062</c:v>
                </c:pt>
                <c:pt idx="141">
                  <c:v>2638.2988244921835</c:v>
                </c:pt>
                <c:pt idx="142">
                  <c:v>2616.2945630047006</c:v>
                </c:pt>
                <c:pt idx="143">
                  <c:v>2594.2892155880832</c:v>
                </c:pt>
                <c:pt idx="144">
                  <c:v>2572.2887437601034</c:v>
                </c:pt>
                <c:pt idx="145">
                  <c:v>2550.2988601799116</c:v>
                </c:pt>
                <c:pt idx="146">
                  <c:v>2528.3250358872879</c:v>
                </c:pt>
                <c:pt idx="147">
                  <c:v>2506.3725074554941</c:v>
                </c:pt>
                <c:pt idx="148">
                  <c:v>2484.4462840487527</c:v>
                </c:pt>
                <c:pt idx="149">
                  <c:v>2462.5511543763569</c:v>
                </c:pt>
                <c:pt idx="150">
                  <c:v>2440.6916935364306</c:v>
                </c:pt>
                <c:pt idx="151">
                  <c:v>2418.8722697431981</c:v>
                </c:pt>
                <c:pt idx="152">
                  <c:v>2397.0970509325166</c:v>
                </c:pt>
                <c:pt idx="153">
                  <c:v>2375.3700112411434</c:v>
                </c:pt>
                <c:pt idx="154">
                  <c:v>2353.6949373559587</c:v>
                </c:pt>
                <c:pt idx="155">
                  <c:v>2332.0754347300167</c:v>
                </c:pt>
                <c:pt idx="156">
                  <c:v>2310.5149336629165</c:v>
                </c:pt>
                <c:pt idx="157">
                  <c:v>2289.0166952435256</c:v>
                </c:pt>
                <c:pt idx="158">
                  <c:v>2267.5838171536502</c:v>
                </c:pt>
                <c:pt idx="159">
                  <c:v>2246.2192393316468</c:v>
                </c:pt>
                <c:pt idx="160">
                  <c:v>2224.9257494954959</c:v>
                </c:pt>
                <c:pt idx="161">
                  <c:v>2203.7059885251547</c:v>
                </c:pt>
                <c:pt idx="162">
                  <c:v>2182.5624557044571</c:v>
                </c:pt>
                <c:pt idx="163">
                  <c:v>2161.497513823078</c:v>
                </c:pt>
                <c:pt idx="164">
                  <c:v>2140.5133941394006</c:v>
                </c:pt>
                <c:pt idx="165">
                  <c:v>2119.6122012054238</c:v>
                </c:pt>
                <c:pt idx="166">
                  <c:v>2098.7959175550172</c:v>
                </c:pt>
                <c:pt idx="167">
                  <c:v>2078.0664082570897</c:v>
                </c:pt>
                <c:pt idx="168">
                  <c:v>2057.4254253353988</c:v>
                </c:pt>
                <c:pt idx="169">
                  <c:v>2036.8746120569247</c:v>
                </c:pt>
                <c:pt idx="170">
                  <c:v>2016.4155070908309</c:v>
                </c:pt>
                <c:pt idx="171">
                  <c:v>1996.0495485401918</c:v>
                </c:pt>
                <c:pt idx="172">
                  <c:v>1975.7780778487759</c:v>
                </c:pt>
                <c:pt idx="173">
                  <c:v>1955.6023435852371</c:v>
                </c:pt>
                <c:pt idx="174">
                  <c:v>1935.5235051071766</c:v>
                </c:pt>
                <c:pt idx="175">
                  <c:v>1915.5426361075854</c:v>
                </c:pt>
                <c:pt idx="176">
                  <c:v>1895.6607280462042</c:v>
                </c:pt>
                <c:pt idx="177">
                  <c:v>1875.8786934684424</c:v>
                </c:pt>
                <c:pt idx="178">
                  <c:v>1856.1973692144479</c:v>
                </c:pt>
                <c:pt idx="179">
                  <c:v>1836.6175195209869</c:v>
                </c:pt>
                <c:pt idx="180">
                  <c:v>1817.139839018811</c:v>
                </c:pt>
                <c:pt idx="181">
                  <c:v>1797.7649556281337</c:v>
                </c:pt>
                <c:pt idx="182">
                  <c:v>1778.4934333549081</c:v>
                </c:pt>
                <c:pt idx="183">
                  <c:v>1759.3257749905331</c:v>
                </c:pt>
                <c:pt idx="184">
                  <c:v>1740.2624247176207</c:v>
                </c:pt>
                <c:pt idx="185">
                  <c:v>1721.303770624439</c:v>
                </c:pt>
                <c:pt idx="186">
                  <c:v>1702.4501471305859</c:v>
                </c:pt>
                <c:pt idx="187">
                  <c:v>1683.7018373264871</c:v>
                </c:pt>
                <c:pt idx="188">
                  <c:v>1665.0590752291946</c:v>
                </c:pt>
                <c:pt idx="189">
                  <c:v>1646.52204795698</c:v>
                </c:pt>
                <c:pt idx="190">
                  <c:v>1628.0908978251784</c:v>
                </c:pt>
                <c:pt idx="191">
                  <c:v>1609.7657243656543</c:v>
                </c:pt>
                <c:pt idx="192">
                  <c:v>1591.5465862722522</c:v>
                </c:pt>
                <c:pt idx="193">
                  <c:v>1573.4335032745521</c:v>
                </c:pt>
                <c:pt idx="194">
                  <c:v>1555.4264579421747</c:v>
                </c:pt>
                <c:pt idx="195">
                  <c:v>1537.5253974218622</c:v>
                </c:pt>
                <c:pt idx="196">
                  <c:v>1519.7302351094781</c:v>
                </c:pt>
                <c:pt idx="197">
                  <c:v>1502.0408522590651</c:v>
                </c:pt>
                <c:pt idx="198">
                  <c:v>1484.4570995310048</c:v>
                </c:pt>
                <c:pt idx="199">
                  <c:v>1466.9787984813017</c:v>
                </c:pt>
                <c:pt idx="200">
                  <c:v>1449.6057429939458</c:v>
                </c:pt>
                <c:pt idx="201">
                  <c:v>1432.3377006582746</c:v>
                </c:pt>
                <c:pt idx="202">
                  <c:v>1415.1744140931853</c:v>
                </c:pt>
                <c:pt idx="203">
                  <c:v>1398.1156022200116</c:v>
                </c:pt>
                <c:pt idx="204">
                  <c:v>1381.1609614858314</c:v>
                </c:pt>
                <c:pt idx="205">
                  <c:v>1364.3101670389055</c:v>
                </c:pt>
                <c:pt idx="206">
                  <c:v>1347.5628738579123</c:v>
                </c:pt>
                <c:pt idx="207">
                  <c:v>1330.9187178365978</c:v>
                </c:pt>
                <c:pt idx="208">
                  <c:v>1314.3773168254097</c:v>
                </c:pt>
                <c:pt idx="209">
                  <c:v>1297.9382716316184</c:v>
                </c:pt>
                <c:pt idx="210">
                  <c:v>1281.6011669794154</c:v>
                </c:pt>
                <c:pt idx="211">
                  <c:v>1265.3655724314103</c:v>
                </c:pt>
                <c:pt idx="212">
                  <c:v>1249.23104327291</c:v>
                </c:pt>
                <c:pt idx="213">
                  <c:v>1233.1971213603244</c:v>
                </c:pt>
                <c:pt idx="214">
                  <c:v>1217.2633359349923</c:v>
                </c:pt>
                <c:pt idx="215">
                  <c:v>1201.4292044036847</c:v>
                </c:pt>
                <c:pt idx="216">
                  <c:v>1185.6942330870104</c:v>
                </c:pt>
                <c:pt idx="217">
                  <c:v>1170.0579179368797</c:v>
                </c:pt>
                <c:pt idx="218">
                  <c:v>1154.5197452241875</c:v>
                </c:pt>
                <c:pt idx="219">
                  <c:v>1139.0791921978055</c:v>
                </c:pt>
                <c:pt idx="220">
                  <c:v>1123.7357277159413</c:v>
                </c:pt>
                <c:pt idx="221">
                  <c:v>1108.4888128508958</c:v>
                </c:pt>
                <c:pt idx="222">
                  <c:v>1093.3379014682241</c:v>
                </c:pt>
                <c:pt idx="223">
                  <c:v>1078.2824407812398</c:v>
                </c:pt>
                <c:pt idx="224">
                  <c:v>1063.3218718817975</c:v>
                </c:pt>
                <c:pt idx="225">
                  <c:v>1048.4556302482542</c:v>
                </c:pt>
                <c:pt idx="226">
                  <c:v>1033.6831462314606</c:v>
                </c:pt>
                <c:pt idx="227">
                  <c:v>1019.0038455196257</c:v>
                </c:pt>
                <c:pt idx="228">
                  <c:v>1004.4171495828513</c:v>
                </c:pt>
                <c:pt idx="229">
                  <c:v>989.92247609812443</c:v>
                </c:pt>
                <c:pt idx="230">
                  <c:v>975.51923935549632</c:v>
                </c:pt>
                <c:pt idx="231">
                  <c:v>961.20685064618999</c:v>
                </c:pt>
                <c:pt idx="232">
                  <c:v>946.98471863332225</c:v>
                </c:pt>
                <c:pt idx="233">
                  <c:v>932.85224970591082</c:v>
                </c:pt>
                <c:pt idx="234">
                  <c:v>918.80884831682101</c:v>
                </c:pt>
                <c:pt idx="235">
                  <c:v>904.85391730526135</c:v>
                </c:pt>
              </c:numCache>
            </c:numRef>
          </c:yVal>
          <c:smooth val="0"/>
          <c:extLst>
            <c:ext xmlns:c16="http://schemas.microsoft.com/office/drawing/2014/chart" uri="{C3380CC4-5D6E-409C-BE32-E72D297353CC}">
              <c16:uniqueId val="{00000000-6CF4-2749-AED4-99161E21A539}"/>
            </c:ext>
          </c:extLst>
        </c:ser>
        <c:dLbls>
          <c:showLegendKey val="0"/>
          <c:showVal val="0"/>
          <c:showCatName val="0"/>
          <c:showSerName val="0"/>
          <c:showPercent val="0"/>
          <c:showBubbleSize val="0"/>
        </c:dLbls>
        <c:axId val="1789832336"/>
        <c:axId val="1017314832"/>
      </c:scatterChart>
      <c:valAx>
        <c:axId val="178983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314832"/>
        <c:crosses val="autoZero"/>
        <c:crossBetween val="midCat"/>
      </c:valAx>
      <c:valAx>
        <c:axId val="1017314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83233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Aptos Narrow" panose="02110004020202020204"/>
              </a:rPr>
              <a:t>FuelChart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w="25400">
              <a:noFill/>
            </a:ln>
            <a:effectLst/>
          </c:spPr>
          <c:invertIfNegative val="0"/>
          <c:cat>
            <c:numRef>
              <c:f>'Performance Analysis'!$AC$84:$AC$319</c:f>
              <c:numCache>
                <c:formatCode>General</c:formatCode>
                <c:ptCount val="236"/>
                <c:pt idx="0">
                  <c:v>10.039320806272013</c:v>
                </c:pt>
                <c:pt idx="1">
                  <c:v>10.286457785680863</c:v>
                </c:pt>
                <c:pt idx="2">
                  <c:v>10.534259140984776</c:v>
                </c:pt>
                <c:pt idx="3">
                  <c:v>10.78255719009346</c:v>
                </c:pt>
                <c:pt idx="4">
                  <c:v>11.031179495630528</c:v>
                </c:pt>
                <c:pt idx="5">
                  <c:v>11.279948987424524</c:v>
                </c:pt>
                <c:pt idx="6">
                  <c:v>11.528684107601409</c:v>
                </c:pt>
                <c:pt idx="7">
                  <c:v>11.777198978857875</c:v>
                </c:pt>
                <c:pt idx="8">
                  <c:v>12.025303596391666</c:v>
                </c:pt>
                <c:pt idx="9">
                  <c:v>12.272804043850581</c:v>
                </c:pt>
                <c:pt idx="10">
                  <c:v>12.519502733536475</c:v>
                </c:pt>
                <c:pt idx="11">
                  <c:v>12.765198670964489</c:v>
                </c:pt>
                <c:pt idx="12">
                  <c:v>13.009687743731513</c:v>
                </c:pt>
                <c:pt idx="13">
                  <c:v>13.252763034492686</c:v>
                </c:pt>
                <c:pt idx="14">
                  <c:v>13.494215157680847</c:v>
                </c:pt>
                <c:pt idx="15">
                  <c:v>13.733832619432508</c:v>
                </c:pt>
                <c:pt idx="16">
                  <c:v>13.971402200007113</c:v>
                </c:pt>
                <c:pt idx="17">
                  <c:v>14.206709357804263</c:v>
                </c:pt>
                <c:pt idx="18">
                  <c:v>14.439538653899048</c:v>
                </c:pt>
                <c:pt idx="19">
                  <c:v>14.669674195829309</c:v>
                </c:pt>
                <c:pt idx="20">
                  <c:v>14.896900099183602</c:v>
                </c:pt>
                <c:pt idx="21">
                  <c:v>15.121000965355579</c:v>
                </c:pt>
                <c:pt idx="22">
                  <c:v>15.341762373652831</c:v>
                </c:pt>
                <c:pt idx="23">
                  <c:v>15.558971385776907</c:v>
                </c:pt>
                <c:pt idx="24">
                  <c:v>15.772417060529641</c:v>
                </c:pt>
                <c:pt idx="25">
                  <c:v>15.981890976449959</c:v>
                </c:pt>
                <c:pt idx="26">
                  <c:v>16.187187759948745</c:v>
                </c:pt>
                <c:pt idx="27">
                  <c:v>16.388105616387683</c:v>
                </c:pt>
                <c:pt idx="28">
                  <c:v>16.584446861444469</c:v>
                </c:pt>
                <c:pt idx="29">
                  <c:v>16.776018450022463</c:v>
                </c:pt>
                <c:pt idx="30">
                  <c:v>16.962632499900209</c:v>
                </c:pt>
                <c:pt idx="31">
                  <c:v>17.144106807275676</c:v>
                </c:pt>
                <c:pt idx="32">
                  <c:v>17.320265351344133</c:v>
                </c:pt>
                <c:pt idx="33">
                  <c:v>17.490938785056859</c:v>
                </c:pt>
                <c:pt idx="34">
                  <c:v>17.65596490924235</c:v>
                </c:pt>
                <c:pt idx="35">
                  <c:v>17.81518912733133</c:v>
                </c:pt>
                <c:pt idx="36">
                  <c:v>17.968464878012938</c:v>
                </c:pt>
                <c:pt idx="37">
                  <c:v>18.115654043260403</c:v>
                </c:pt>
                <c:pt idx="38">
                  <c:v>18.256627329300862</c:v>
                </c:pt>
                <c:pt idx="39">
                  <c:v>18.391264618262991</c:v>
                </c:pt>
                <c:pt idx="40">
                  <c:v>18.519455288418449</c:v>
                </c:pt>
                <c:pt idx="41">
                  <c:v>18.641098501134785</c:v>
                </c:pt>
                <c:pt idx="42">
                  <c:v>18.756103452878449</c:v>
                </c:pt>
                <c:pt idx="43">
                  <c:v>18.864389590842912</c:v>
                </c:pt>
                <c:pt idx="44">
                  <c:v>18.965886791027248</c:v>
                </c:pt>
                <c:pt idx="45">
                  <c:v>19.060535497851188</c:v>
                </c:pt>
                <c:pt idx="46">
                  <c:v>19.148286824661682</c:v>
                </c:pt>
                <c:pt idx="47">
                  <c:v>19.229102614759473</c:v>
                </c:pt>
                <c:pt idx="48">
                  <c:v>19.30295546284939</c:v>
                </c:pt>
                <c:pt idx="49">
                  <c:v>19.369828697092547</c:v>
                </c:pt>
                <c:pt idx="50">
                  <c:v>19.429716322208083</c:v>
                </c:pt>
                <c:pt idx="51">
                  <c:v>19.482622924334883</c:v>
                </c:pt>
                <c:pt idx="52">
                  <c:v>19.528563538616197</c:v>
                </c:pt>
                <c:pt idx="53">
                  <c:v>19.567563480710046</c:v>
                </c:pt>
                <c:pt idx="54">
                  <c:v>19.599658143653343</c:v>
                </c:pt>
                <c:pt idx="55">
                  <c:v>19.624892761715547</c:v>
                </c:pt>
                <c:pt idx="56">
                  <c:v>19.643322143066538</c:v>
                </c:pt>
                <c:pt idx="57">
                  <c:v>19.65501037325167</c:v>
                </c:pt>
                <c:pt idx="58">
                  <c:v>19.660030491614219</c:v>
                </c:pt>
                <c:pt idx="59">
                  <c:v>19.658464142928533</c:v>
                </c:pt>
                <c:pt idx="60">
                  <c:v>19.650401206609079</c:v>
                </c:pt>
                <c:pt idx="61">
                  <c:v>19.63593940593719</c:v>
                </c:pt>
                <c:pt idx="62">
                  <c:v>19.615183899801671</c:v>
                </c:pt>
                <c:pt idx="63">
                  <c:v>19.588246859480357</c:v>
                </c:pt>
                <c:pt idx="64">
                  <c:v>19.555247032998086</c:v>
                </c:pt>
                <c:pt idx="65">
                  <c:v>19.516309299583906</c:v>
                </c:pt>
                <c:pt idx="66">
                  <c:v>19.471564216716647</c:v>
                </c:pt>
                <c:pt idx="67">
                  <c:v>19.42114756219598</c:v>
                </c:pt>
                <c:pt idx="68">
                  <c:v>19.365199873605846</c:v>
                </c:pt>
                <c:pt idx="69">
                  <c:v>19.303865987451491</c:v>
                </c:pt>
                <c:pt idx="70">
                  <c:v>19.237294580150966</c:v>
                </c:pt>
                <c:pt idx="71">
                  <c:v>19.165637712949746</c:v>
                </c:pt>
                <c:pt idx="72">
                  <c:v>19.089050382703835</c:v>
                </c:pt>
                <c:pt idx="73">
                  <c:v>19.007690080344879</c:v>
                </c:pt>
                <c:pt idx="74">
                  <c:v>18.921716358702255</c:v>
                </c:pt>
                <c:pt idx="75">
                  <c:v>18.831290411213075</c:v>
                </c:pt>
                <c:pt idx="76">
                  <c:v>18.736574662903998</c:v>
                </c:pt>
                <c:pt idx="77">
                  <c:v>18.637732374879718</c:v>
                </c:pt>
                <c:pt idx="78">
                  <c:v>18.534927263403713</c:v>
                </c:pt>
                <c:pt idx="79">
                  <c:v>18.428323134509167</c:v>
                </c:pt>
                <c:pt idx="80">
                  <c:v>18.31808353493232</c:v>
                </c:pt>
                <c:pt idx="81">
                  <c:v>18.204371420018891</c:v>
                </c:pt>
                <c:pt idx="82">
                  <c:v>18.087348839117269</c:v>
                </c:pt>
                <c:pt idx="83">
                  <c:v>17.967176638840805</c:v>
                </c:pt>
                <c:pt idx="84">
                  <c:v>17.844014184456508</c:v>
                </c:pt>
                <c:pt idx="85">
                  <c:v>17.718019099539745</c:v>
                </c:pt>
                <c:pt idx="86">
                  <c:v>17.589347023923811</c:v>
                </c:pt>
                <c:pt idx="87">
                  <c:v>17.458151389871134</c:v>
                </c:pt>
                <c:pt idx="88">
                  <c:v>17.324583216298187</c:v>
                </c:pt>
                <c:pt idx="89">
                  <c:v>17.188790920800155</c:v>
                </c:pt>
                <c:pt idx="90">
                  <c:v>17.050920149143916</c:v>
                </c:pt>
                <c:pt idx="91">
                  <c:v>16.91111362182804</c:v>
                </c:pt>
                <c:pt idx="92">
                  <c:v>16.769510997247512</c:v>
                </c:pt>
                <c:pt idx="93">
                  <c:v>16.626248750947489</c:v>
                </c:pt>
                <c:pt idx="94">
                  <c:v>16.481460070404552</c:v>
                </c:pt>
                <c:pt idx="95">
                  <c:v>16.335274764736013</c:v>
                </c:pt>
                <c:pt idx="96">
                  <c:v>16.187819188706214</c:v>
                </c:pt>
                <c:pt idx="97">
                  <c:v>16.039216180374464</c:v>
                </c:pt>
                <c:pt idx="98">
                  <c:v>15.889585011710786</c:v>
                </c:pt>
                <c:pt idx="99">
                  <c:v>15.739041351493048</c:v>
                </c:pt>
                <c:pt idx="100">
                  <c:v>15.587697239791881</c:v>
                </c:pt>
                <c:pt idx="101">
                  <c:v>15.435661073347362</c:v>
                </c:pt>
                <c:pt idx="102">
                  <c:v>15.28303760114388</c:v>
                </c:pt>
                <c:pt idx="103">
                  <c:v>15.129927929495249</c:v>
                </c:pt>
                <c:pt idx="104">
                  <c:v>14.976429535962334</c:v>
                </c:pt>
                <c:pt idx="105">
                  <c:v>14.822636291438046</c:v>
                </c:pt>
                <c:pt idx="106">
                  <c:v>14.668638489750315</c:v>
                </c:pt>
                <c:pt idx="107">
                  <c:v>14.51452288415161</c:v>
                </c:pt>
                <c:pt idx="108">
                  <c:v>14.360372730083606</c:v>
                </c:pt>
                <c:pt idx="109">
                  <c:v>14.20626783362731</c:v>
                </c:pt>
                <c:pt idx="110">
                  <c:v>14.052284605071959</c:v>
                </c:pt>
                <c:pt idx="111">
                  <c:v>13.898496117060073</c:v>
                </c:pt>
                <c:pt idx="112">
                  <c:v>13.744972166790911</c:v>
                </c:pt>
                <c:pt idx="113">
                  <c:v>13.591779341790099</c:v>
                </c:pt>
                <c:pt idx="114">
                  <c:v>13.438981088778659</c:v>
                </c:pt>
                <c:pt idx="115">
                  <c:v>13.286637785200758</c:v>
                </c:pt>
                <c:pt idx="116">
                  <c:v>13.134806812995011</c:v>
                </c:pt>
                <c:pt idx="117">
                  <c:v>12.983542634219841</c:v>
                </c:pt>
                <c:pt idx="118">
                  <c:v>12.832896868168429</c:v>
                </c:pt>
                <c:pt idx="119">
                  <c:v>12.682918369633425</c:v>
                </c:pt>
                <c:pt idx="120">
                  <c:v>12.533653308005713</c:v>
                </c:pt>
                <c:pt idx="121">
                  <c:v>12.38514524691478</c:v>
                </c:pt>
                <c:pt idx="122">
                  <c:v>12.237435224140855</c:v>
                </c:pt>
                <c:pt idx="123">
                  <c:v>12.090561831550803</c:v>
                </c:pt>
                <c:pt idx="124">
                  <c:v>11.944561294830555</c:v>
                </c:pt>
                <c:pt idx="125">
                  <c:v>11.799467552807034</c:v>
                </c:pt>
                <c:pt idx="126">
                  <c:v>11.655312336171427</c:v>
                </c:pt>
                <c:pt idx="127">
                  <c:v>11.512125245434008</c:v>
                </c:pt>
                <c:pt idx="128">
                  <c:v>11.369933827957759</c:v>
                </c:pt>
                <c:pt idx="129">
                  <c:v>11.228763653934399</c:v>
                </c:pt>
                <c:pt idx="130">
                  <c:v>11.08863839118175</c:v>
                </c:pt>
                <c:pt idx="131">
                  <c:v>10.949579878655729</c:v>
                </c:pt>
                <c:pt idx="132">
                  <c:v>10.811608198583919</c:v>
                </c:pt>
                <c:pt idx="133">
                  <c:v>10.674741747140025</c:v>
                </c:pt>
                <c:pt idx="134">
                  <c:v>10.538997303590628</c:v>
                </c:pt>
                <c:pt idx="135">
                  <c:v>10.404390097856274</c:v>
                </c:pt>
                <c:pt idx="136">
                  <c:v>10.270933876439349</c:v>
                </c:pt>
                <c:pt idx="137">
                  <c:v>10.138640966680301</c:v>
                </c:pt>
                <c:pt idx="138">
                  <c:v>10.00752233931267</c:v>
                </c:pt>
                <c:pt idx="139">
                  <c:v>9.8775876692951066</c:v>
                </c:pt>
                <c:pt idx="140">
                  <c:v>9.7488453949059366</c:v>
                </c:pt>
                <c:pt idx="141">
                  <c:v>9.6213027750924418</c:v>
                </c:pt>
                <c:pt idx="142">
                  <c:v>9.4949659450730355</c:v>
                </c:pt>
                <c:pt idx="143">
                  <c:v>9.369839970196006</c:v>
                </c:pt>
                <c:pt idx="144">
                  <c:v>9.2459288980634149</c:v>
                </c:pt>
                <c:pt idx="145">
                  <c:v>9.1232358089331491</c:v>
                </c:pt>
                <c:pt idx="146">
                  <c:v>9.0017628644161558</c:v>
                </c:pt>
                <c:pt idx="147">
                  <c:v>8.8815113544892856</c:v>
                </c:pt>
                <c:pt idx="148">
                  <c:v>8.7624817428474664</c:v>
                </c:pt>
                <c:pt idx="149">
                  <c:v>8.6446737106214346</c:v>
                </c:pt>
                <c:pt idx="150">
                  <c:v>8.528086198489877</c:v>
                </c:pt>
                <c:pt idx="151">
                  <c:v>8.41271744721662</c:v>
                </c:pt>
                <c:pt idx="152">
                  <c:v>8.2985650366455666</c:v>
                </c:pt>
                <c:pt idx="153">
                  <c:v>8.1856259231872119</c:v>
                </c:pt>
                <c:pt idx="154">
                  <c:v>8.0738964758320897</c:v>
                </c:pt>
                <c:pt idx="155">
                  <c:v>7.9633725107272584</c:v>
                </c:pt>
                <c:pt idx="156">
                  <c:v>7.8540493243528493</c:v>
                </c:pt>
                <c:pt idx="157">
                  <c:v>7.7459217253361858</c:v>
                </c:pt>
                <c:pt idx="158">
                  <c:v>7.6389840649414253</c:v>
                </c:pt>
                <c:pt idx="159">
                  <c:v>7.5332302662728647</c:v>
                </c:pt>
                <c:pt idx="160">
                  <c:v>7.4286538522301866</c:v>
                </c:pt>
                <c:pt idx="161">
                  <c:v>7.3252479722538242</c:v>
                </c:pt>
                <c:pt idx="162">
                  <c:v>7.2230054278985474</c:v>
                </c:pt>
                <c:pt idx="163">
                  <c:v>7.1219186972729913</c:v>
                </c:pt>
                <c:pt idx="164">
                  <c:v>7.0219799583825733</c:v>
                </c:pt>
                <c:pt idx="165">
                  <c:v>6.9231811114127844</c:v>
                </c:pt>
                <c:pt idx="166">
                  <c:v>6.8255137999893618</c:v>
                </c:pt>
                <c:pt idx="167">
                  <c:v>6.7289694314511479</c:v>
                </c:pt>
                <c:pt idx="168">
                  <c:v>6.6335391961709576</c:v>
                </c:pt>
                <c:pt idx="169">
                  <c:v>6.5392140859590677</c:v>
                </c:pt>
                <c:pt idx="170">
                  <c:v>6.4459849115831203</c:v>
                </c:pt>
                <c:pt idx="171">
                  <c:v>6.3538423194376143</c:v>
                </c:pt>
                <c:pt idx="172">
                  <c:v>6.2627768073953103</c:v>
                </c:pt>
                <c:pt idx="173">
                  <c:v>6.1727787398721032</c:v>
                </c:pt>
                <c:pt idx="174">
                  <c:v>6.0838383621360448</c:v>
                </c:pt>
                <c:pt idx="175">
                  <c:v>5.9959458138905415</c:v>
                </c:pt>
                <c:pt idx="176">
                  <c:v>5.9090911421605883</c:v>
                </c:pt>
                <c:pt idx="177">
                  <c:v>5.8232643135104958</c:v>
                </c:pt>
                <c:pt idx="178">
                  <c:v>5.7384552256203358</c:v>
                </c:pt>
                <c:pt idx="179">
                  <c:v>5.654653718247701</c:v>
                </c:pt>
                <c:pt idx="180">
                  <c:v>5.5718495836005406</c:v>
                </c:pt>
                <c:pt idx="181">
                  <c:v>5.4900325761458548</c:v>
                </c:pt>
                <c:pt idx="182">
                  <c:v>5.4091924218784131</c:v>
                </c:pt>
                <c:pt idx="183">
                  <c:v>5.3293188270726874</c:v>
                </c:pt>
                <c:pt idx="184">
                  <c:v>5.2504014865404915</c:v>
                </c:pt>
                <c:pt idx="185">
                  <c:v>5.172430091416012</c:v>
                </c:pt>
                <c:pt idx="186">
                  <c:v>5.0953943364890364</c:v>
                </c:pt>
                <c:pt idx="187">
                  <c:v>5.0192839271067209</c:v>
                </c:pt>
                <c:pt idx="188">
                  <c:v>4.9440885856631116</c:v>
                </c:pt>
                <c:pt idx="189">
                  <c:v>4.8697980576952222</c:v>
                </c:pt>
                <c:pt idx="190">
                  <c:v>4.796402117603658</c:v>
                </c:pt>
                <c:pt idx="191">
                  <c:v>4.7238905740150425</c:v>
                </c:pt>
                <c:pt idx="192">
                  <c:v>4.6522532748028969</c:v>
                </c:pt>
                <c:pt idx="193">
                  <c:v>4.5814801117829766</c:v>
                </c:pt>
                <c:pt idx="194">
                  <c:v>4.5115610250984233</c:v>
                </c:pt>
                <c:pt idx="195">
                  <c:v>4.4424860073094576</c:v>
                </c:pt>
                <c:pt idx="196">
                  <c:v>4.3742451072017481</c:v>
                </c:pt>
                <c:pt idx="197">
                  <c:v>4.3068284333270839</c:v>
                </c:pt>
                <c:pt idx="198">
                  <c:v>4.2402261572893263</c:v>
                </c:pt>
                <c:pt idx="199">
                  <c:v>4.1744285167881419</c:v>
                </c:pt>
                <c:pt idx="200">
                  <c:v>4.1094258184324497</c:v>
                </c:pt>
                <c:pt idx="201">
                  <c:v>4.0452084403350925</c:v>
                </c:pt>
                <c:pt idx="202">
                  <c:v>3.9817668344996306</c:v>
                </c:pt>
                <c:pt idx="203">
                  <c:v>3.9190915290098247</c:v>
                </c:pt>
                <c:pt idx="204">
                  <c:v>3.8571731300318421</c:v>
                </c:pt>
                <c:pt idx="205">
                  <c:v>3.796002323638775</c:v>
                </c:pt>
                <c:pt idx="206">
                  <c:v>3.7355698774666903</c:v>
                </c:pt>
                <c:pt idx="207">
                  <c:v>3.6758666422110062</c:v>
                </c:pt>
                <c:pt idx="208">
                  <c:v>3.6168835529716077</c:v>
                </c:pt>
                <c:pt idx="209">
                  <c:v>3.5586116304547035</c:v>
                </c:pt>
                <c:pt idx="210">
                  <c:v>3.5010419820391028</c:v>
                </c:pt>
                <c:pt idx="211">
                  <c:v>3.4441658027142692</c:v>
                </c:pt>
                <c:pt idx="212">
                  <c:v>3.3879743758971039</c:v>
                </c:pt>
                <c:pt idx="213">
                  <c:v>3.3324590741341638</c:v>
                </c:pt>
                <c:pt idx="214">
                  <c:v>3.2776113596956717</c:v>
                </c:pt>
                <c:pt idx="215">
                  <c:v>3.22342278506739</c:v>
                </c:pt>
                <c:pt idx="216">
                  <c:v>3.1698849933461775</c:v>
                </c:pt>
                <c:pt idx="217">
                  <c:v>3.1169897185447111</c:v>
                </c:pt>
                <c:pt idx="218">
                  <c:v>3.064728785810682</c:v>
                </c:pt>
                <c:pt idx="219">
                  <c:v>3.0130941115654797</c:v>
                </c:pt>
                <c:pt idx="220">
                  <c:v>2.962077703567104</c:v>
                </c:pt>
                <c:pt idx="221">
                  <c:v>2.911671660901896</c:v>
                </c:pt>
                <c:pt idx="222">
                  <c:v>2.8618681739094303</c:v>
                </c:pt>
                <c:pt idx="223">
                  <c:v>2.8126595240446655</c:v>
                </c:pt>
                <c:pt idx="224">
                  <c:v>2.7640380836812861</c:v>
                </c:pt>
                <c:pt idx="225">
                  <c:v>2.7159963158600013</c:v>
                </c:pt>
                <c:pt idx="226">
                  <c:v>2.6685267739853078</c:v>
                </c:pt>
                <c:pt idx="227">
                  <c:v>2.6216221014741476</c:v>
                </c:pt>
                <c:pt idx="228">
                  <c:v>2.5752750313596082</c:v>
                </c:pt>
                <c:pt idx="229">
                  <c:v>2.529478385852804</c:v>
                </c:pt>
                <c:pt idx="230">
                  <c:v>2.4842250758657403</c:v>
                </c:pt>
                <c:pt idx="231">
                  <c:v>2.4395081004979917</c:v>
                </c:pt>
                <c:pt idx="232">
                  <c:v>2.3953205464897729</c:v>
                </c:pt>
                <c:pt idx="233">
                  <c:v>2.3516555876438892</c:v>
                </c:pt>
                <c:pt idx="234">
                  <c:v>2.3085064842189245</c:v>
                </c:pt>
                <c:pt idx="235">
                  <c:v>2.2658665822958888</c:v>
                </c:pt>
              </c:numCache>
            </c:numRef>
          </c:cat>
          <c:val>
            <c:numRef>
              <c:f>'Performance Analysis'!$AI$84:$AI$319</c:f>
              <c:numCache>
                <c:formatCode>General</c:formatCode>
                <c:ptCount val="236"/>
                <c:pt idx="0">
                  <c:v>15428.877993462696</c:v>
                </c:pt>
                <c:pt idx="1">
                  <c:v>15757.501600837204</c:v>
                </c:pt>
                <c:pt idx="2">
                  <c:v>16085.470135006201</c:v>
                </c:pt>
                <c:pt idx="3">
                  <c:v>16412.538670113718</c:v>
                </c:pt>
                <c:pt idx="4">
                  <c:v>16738.457375737325</c:v>
                </c:pt>
                <c:pt idx="5">
                  <c:v>17062.971766772902</c:v>
                </c:pt>
                <c:pt idx="6">
                  <c:v>17385.822983490241</c:v>
                </c:pt>
                <c:pt idx="7">
                  <c:v>17706.748102111578</c:v>
                </c:pt>
                <c:pt idx="8">
                  <c:v>18025.480476103847</c:v>
                </c:pt>
                <c:pt idx="9">
                  <c:v>18341.750108200398</c:v>
                </c:pt>
                <c:pt idx="10">
                  <c:v>18655.284052981118</c:v>
                </c:pt>
                <c:pt idx="11">
                  <c:v>18965.806849640794</c:v>
                </c:pt>
                <c:pt idx="12">
                  <c:v>19273.04098436586</c:v>
                </c:pt>
                <c:pt idx="13">
                  <c:v>19576.70738152169</c:v>
                </c:pt>
                <c:pt idx="14">
                  <c:v>19876.525922625871</c:v>
                </c:pt>
                <c:pt idx="15">
                  <c:v>20172.215991850746</c:v>
                </c:pt>
                <c:pt idx="16">
                  <c:v>20463.497046562978</c:v>
                </c:pt>
                <c:pt idx="17">
                  <c:v>20750.08921117006</c:v>
                </c:pt>
                <c:pt idx="18">
                  <c:v>21031.713892306969</c:v>
                </c:pt>
                <c:pt idx="19">
                  <c:v>21308.09441316242</c:v>
                </c:pt>
                <c:pt idx="20">
                  <c:v>21578.956664517034</c:v>
                </c:pt>
                <c:pt idx="21">
                  <c:v>21844.029769846296</c:v>
                </c:pt>
                <c:pt idx="22">
                  <c:v>22103.046761634519</c:v>
                </c:pt>
                <c:pt idx="23">
                  <c:v>22355.745265852594</c:v>
                </c:pt>
                <c:pt idx="24">
                  <c:v>22601.868191377274</c:v>
                </c:pt>
                <c:pt idx="25">
                  <c:v>22841.16442097359</c:v>
                </c:pt>
                <c:pt idx="26">
                  <c:v>23073.389500329671</c:v>
                </c:pt>
                <c:pt idx="27">
                  <c:v>23298.306321525386</c:v>
                </c:pt>
                <c:pt idx="28">
                  <c:v>23515.685797236063</c:v>
                </c:pt>
                <c:pt idx="29">
                  <c:v>23725.307521921659</c:v>
                </c:pt>
                <c:pt idx="30">
                  <c:v>23926.960416232938</c:v>
                </c:pt>
                <c:pt idx="31">
                  <c:v>24120.443350878464</c:v>
                </c:pt>
                <c:pt idx="32">
                  <c:v>24305.565746243748</c:v>
                </c:pt>
                <c:pt idx="33">
                  <c:v>24482.148144133917</c:v>
                </c:pt>
                <c:pt idx="34">
                  <c:v>24650.022748127158</c:v>
                </c:pt>
                <c:pt idx="35">
                  <c:v>24809.033929174198</c:v>
                </c:pt>
                <c:pt idx="36">
                  <c:v>24959.038693262017</c:v>
                </c:pt>
                <c:pt idx="37">
                  <c:v>25099.907108172843</c:v>
                </c:pt>
                <c:pt idx="38">
                  <c:v>25231.522686614411</c:v>
                </c:pt>
                <c:pt idx="39">
                  <c:v>25353.782723267886</c:v>
                </c:pt>
                <c:pt idx="40">
                  <c:v>25466.598583598083</c:v>
                </c:pt>
                <c:pt idx="41">
                  <c:v>25569.89594258849</c:v>
                </c:pt>
                <c:pt idx="42">
                  <c:v>25663.614971902705</c:v>
                </c:pt>
                <c:pt idx="43">
                  <c:v>25747.710474326304</c:v>
                </c:pt>
                <c:pt idx="44">
                  <c:v>25822.151964708606</c:v>
                </c:pt>
                <c:pt idx="45">
                  <c:v>25886.923696994945</c:v>
                </c:pt>
                <c:pt idx="46">
                  <c:v>25942.024637316346</c:v>
                </c:pt>
                <c:pt idx="47">
                  <c:v>25987.468383476938</c:v>
                </c:pt>
                <c:pt idx="48">
                  <c:v>26023.283031548959</c:v>
                </c:pt>
                <c:pt idx="49">
                  <c:v>26049.510990645427</c:v>
                </c:pt>
                <c:pt idx="50">
                  <c:v>26066.208747287139</c:v>
                </c:pt>
                <c:pt idx="51">
                  <c:v>26073.446581111257</c:v>
                </c:pt>
                <c:pt idx="52">
                  <c:v>26071.308233978736</c:v>
                </c:pt>
                <c:pt idx="53">
                  <c:v>26059.890534824812</c:v>
                </c:pt>
                <c:pt idx="54">
                  <c:v>26039.302982858015</c:v>
                </c:pt>
                <c:pt idx="55">
                  <c:v>26009.667291946138</c:v>
                </c:pt>
                <c:pt idx="56">
                  <c:v>25971.11689923059</c:v>
                </c:pt>
                <c:pt idx="57">
                  <c:v>25923.796441181832</c:v>
                </c:pt>
                <c:pt idx="58">
                  <c:v>25867.861200448835</c:v>
                </c:pt>
                <c:pt idx="59">
                  <c:v>25803.476526960345</c:v>
                </c:pt>
                <c:pt idx="60">
                  <c:v>25730.817236810908</c:v>
                </c:pt>
                <c:pt idx="61">
                  <c:v>25650.066992504366</c:v>
                </c:pt>
                <c:pt idx="62">
                  <c:v>25561.417668137499</c:v>
                </c:pt>
                <c:pt idx="63">
                  <c:v>25465.068703085046</c:v>
                </c:pt>
                <c:pt idx="64">
                  <c:v>25361.226447696859</c:v>
                </c:pt>
                <c:pt idx="65">
                  <c:v>25250.103504440707</c:v>
                </c:pt>
                <c:pt idx="66">
                  <c:v>25131.918067821109</c:v>
                </c:pt>
                <c:pt idx="67">
                  <c:v>25006.89326627913</c:v>
                </c:pt>
                <c:pt idx="68">
                  <c:v>24875.256509131836</c:v>
                </c:pt>
                <c:pt idx="69">
                  <c:v>24737.238841445946</c:v>
                </c:pt>
                <c:pt idx="70">
                  <c:v>24593.074309560638</c:v>
                </c:pt>
                <c:pt idx="71">
                  <c:v>24442.999339782753</c:v>
                </c:pt>
                <c:pt idx="72">
                  <c:v>24287.252132575188</c:v>
                </c:pt>
                <c:pt idx="73">
                  <c:v>24126.072074349791</c:v>
                </c:pt>
                <c:pt idx="74">
                  <c:v>23959.699168761948</c:v>
                </c:pt>
                <c:pt idx="75">
                  <c:v>23788.373489186721</c:v>
                </c:pt>
                <c:pt idx="76">
                  <c:v>23612.334653839607</c:v>
                </c:pt>
                <c:pt idx="77">
                  <c:v>23431.821324789649</c:v>
                </c:pt>
                <c:pt idx="78">
                  <c:v>23247.070731901025</c:v>
                </c:pt>
                <c:pt idx="79">
                  <c:v>23058.318222533482</c:v>
                </c:pt>
                <c:pt idx="80">
                  <c:v>22865.796837633152</c:v>
                </c:pt>
                <c:pt idx="81">
                  <c:v>22669.736914654844</c:v>
                </c:pt>
                <c:pt idx="82">
                  <c:v>22470.36571757602</c:v>
                </c:pt>
                <c:pt idx="83">
                  <c:v>22267.907094092589</c:v>
                </c:pt>
                <c:pt idx="84">
                  <c:v>22062.581159926991</c:v>
                </c:pt>
                <c:pt idx="85">
                  <c:v>21854.604010032654</c:v>
                </c:pt>
                <c:pt idx="86">
                  <c:v>21644.187456342686</c:v>
                </c:pt>
                <c:pt idx="87">
                  <c:v>21431.538791589031</c:v>
                </c:pt>
                <c:pt idx="88">
                  <c:v>21216.860578607335</c:v>
                </c:pt>
                <c:pt idx="89">
                  <c:v>21000.350464445015</c:v>
                </c:pt>
                <c:pt idx="90">
                  <c:v>20782.201018504704</c:v>
                </c:pt>
                <c:pt idx="91">
                  <c:v>20562.599593880939</c:v>
                </c:pt>
                <c:pt idx="92">
                  <c:v>20341.728210985821</c:v>
                </c:pt>
                <c:pt idx="93">
                  <c:v>20119.763462508334</c:v>
                </c:pt>
                <c:pt idx="94">
                  <c:v>19896.876438710329</c:v>
                </c:pt>
                <c:pt idx="95">
                  <c:v>19673.232672032147</c:v>
                </c:pt>
                <c:pt idx="96">
                  <c:v>19448.992099958061</c:v>
                </c:pt>
                <c:pt idx="97">
                  <c:v>19224.309045079153</c:v>
                </c:pt>
                <c:pt idx="98">
                  <c:v>18999.33221128552</c:v>
                </c:pt>
                <c:pt idx="99">
                  <c:v>18774.20469502145</c:v>
                </c:pt>
                <c:pt idx="100">
                  <c:v>18549.064010545702</c:v>
                </c:pt>
                <c:pt idx="101">
                  <c:v>18324.042128152778</c:v>
                </c:pt>
                <c:pt idx="102">
                  <c:v>18099.265524330953</c:v>
                </c:pt>
                <c:pt idx="103">
                  <c:v>17874.855242855767</c:v>
                </c:pt>
                <c:pt idx="104">
                  <c:v>17650.926965846153</c:v>
                </c:pt>
                <c:pt idx="105">
                  <c:v>17427.591093840987</c:v>
                </c:pt>
                <c:pt idx="106">
                  <c:v>17204.952833987634</c:v>
                </c:pt>
                <c:pt idx="107">
                  <c:v>16983.112295470353</c:v>
                </c:pt>
                <c:pt idx="108">
                  <c:v>16762.164591343895</c:v>
                </c:pt>
                <c:pt idx="109">
                  <c:v>16542.199945977103</c:v>
                </c:pt>
                <c:pt idx="110">
                  <c:v>16323.303807351227</c:v>
                </c:pt>
                <c:pt idx="111">
                  <c:v>16105.556963498189</c:v>
                </c:pt>
                <c:pt idx="112">
                  <c:v>15889.035662405093</c:v>
                </c:pt>
                <c:pt idx="113">
                  <c:v>15673.811734751896</c:v>
                </c:pt>
                <c:pt idx="114">
                  <c:v>15459.952718889494</c:v>
                </c:pt>
                <c:pt idx="115">
                  <c:v>15247.521987505466</c:v>
                </c:pt>
                <c:pt idx="116">
                  <c:v>15036.578875463565</c:v>
                </c:pt>
                <c:pt idx="117">
                  <c:v>14827.178808341334</c:v>
                </c:pt>
                <c:pt idx="118">
                  <c:v>14619.373431226983</c:v>
                </c:pt>
                <c:pt idx="119">
                  <c:v>14413.210737372496</c:v>
                </c:pt>
                <c:pt idx="120">
                  <c:v>14208.735196334506</c:v>
                </c:pt>
                <c:pt idx="121">
                  <c:v>14005.987881267216</c:v>
                </c:pt>
                <c:pt idx="122">
                  <c:v>13805.006595063427</c:v>
                </c:pt>
                <c:pt idx="123">
                  <c:v>13605.82599506979</c:v>
                </c:pt>
                <c:pt idx="124">
                  <c:v>13408.477716130717</c:v>
                </c:pt>
                <c:pt idx="125">
                  <c:v>13212.990491742798</c:v>
                </c:pt>
                <c:pt idx="126">
                  <c:v>13019.390273126559</c:v>
                </c:pt>
                <c:pt idx="127">
                  <c:v>12827.700346046842</c:v>
                </c:pt>
                <c:pt idx="128">
                  <c:v>12637.941445235158</c:v>
                </c:pt>
                <c:pt idx="129">
                  <c:v>12450.131866288553</c:v>
                </c:pt>
                <c:pt idx="130">
                  <c:v>12264.287574939031</c:v>
                </c:pt>
                <c:pt idx="131">
                  <c:v>12080.422313605734</c:v>
                </c:pt>
                <c:pt idx="132">
                  <c:v>11898.547705158982</c:v>
                </c:pt>
                <c:pt idx="133">
                  <c:v>11718.673353840613</c:v>
                </c:pt>
                <c:pt idx="134">
                  <c:v>11540.80694329956</c:v>
                </c:pt>
                <c:pt idx="135">
                  <c:v>11364.954331714534</c:v>
                </c:pt>
                <c:pt idx="136">
                  <c:v>11191.119643987808</c:v>
                </c:pt>
                <c:pt idx="137">
                  <c:v>11019.305361004743</c:v>
                </c:pt>
                <c:pt idx="138">
                  <c:v>10849.512405963875</c:v>
                </c:pt>
                <c:pt idx="139">
                  <c:v>10681.740227791061</c:v>
                </c:pt>
                <c:pt idx="140">
                  <c:v>10515.986881659275</c:v>
                </c:pt>
                <c:pt idx="141">
                  <c:v>10352.249106642801</c:v>
                </c:pt>
                <c:pt idx="142">
                  <c:v>10190.522400540936</c:v>
                </c:pt>
                <c:pt idx="143">
                  <c:v>10030.801091911979</c:v>
                </c:pt>
                <c:pt idx="144">
                  <c:v>9873.0784093630737</c:v>
                </c:pt>
                <c:pt idx="145">
                  <c:v>9717.3465481459207</c:v>
                </c:pt>
                <c:pt idx="146">
                  <c:v>9563.5967341120268</c:v>
                </c:pt>
                <c:pt idx="147">
                  <c:v>9411.8192850841733</c:v>
                </c:pt>
                <c:pt idx="148">
                  <c:v>9262.0036697036521</c:v>
                </c:pt>
                <c:pt idx="149">
                  <c:v>9114.1385638147276</c:v>
                </c:pt>
                <c:pt idx="150">
                  <c:v>8968.2119044497886</c:v>
                </c:pt>
                <c:pt idx="151">
                  <c:v>8824.2109414797051</c:v>
                </c:pt>
                <c:pt idx="152">
                  <c:v>8682.1222869952526</c:v>
                </c:pt>
                <c:pt idx="153">
                  <c:v>8541.9319624857835</c:v>
                </c:pt>
                <c:pt idx="154">
                  <c:v>8403.6254438819615</c:v>
                </c:pt>
                <c:pt idx="155">
                  <c:v>8267.1877045293604</c:v>
                </c:pt>
                <c:pt idx="156">
                  <c:v>8132.603256159663</c:v>
                </c:pt>
                <c:pt idx="157">
                  <c:v>7999.8561879258114</c:v>
                </c:pt>
                <c:pt idx="158">
                  <c:v>7868.9302035670016</c:v>
                </c:pt>
                <c:pt idx="159">
                  <c:v>7739.8086567686523</c:v>
                </c:pt>
                <c:pt idx="160">
                  <c:v>7612.4745847816821</c:v>
                </c:pt>
                <c:pt idx="161">
                  <c:v>7486.910740364463</c:v>
                </c:pt>
                <c:pt idx="162">
                  <c:v>7363.0996221097412</c:v>
                </c:pt>
                <c:pt idx="163">
                  <c:v>7241.0235032175933</c:v>
                </c:pt>
                <c:pt idx="164">
                  <c:v>7120.6644587742776</c:v>
                </c:pt>
                <c:pt idx="165">
                  <c:v>7002.0043915955075</c:v>
                </c:pt>
                <c:pt idx="166">
                  <c:v>6885.0250566913028</c:v>
                </c:pt>
                <c:pt idx="167">
                  <c:v>6769.7080844080911</c:v>
                </c:pt>
                <c:pt idx="168">
                  <c:v>6656.0350023022756</c:v>
                </c:pt>
                <c:pt idx="169">
                  <c:v>6543.9872557981389</c:v>
                </c:pt>
                <c:pt idx="170">
                  <c:v>6433.5462276811977</c:v>
                </c:pt>
                <c:pt idx="171">
                  <c:v>6324.6932564767849</c:v>
                </c:pt>
                <c:pt idx="172">
                  <c:v>6217.409653762069</c:v>
                </c:pt>
                <c:pt idx="173">
                  <c:v>6111.6767204581538</c:v>
                </c:pt>
                <c:pt idx="174">
                  <c:v>6007.4757621473809</c:v>
                </c:pt>
                <c:pt idx="175">
                  <c:v>5904.7881034596239</c:v>
                </c:pt>
                <c:pt idx="176">
                  <c:v>5803.5951015694573</c:v>
                </c:pt>
                <c:pt idx="177">
                  <c:v>5703.8781588451784</c:v>
                </c:pt>
                <c:pt idx="178">
                  <c:v>5605.6187346886918</c:v>
                </c:pt>
                <c:pt idx="179">
                  <c:v>5508.7983566041348</c:v>
                </c:pt>
                <c:pt idx="180">
                  <c:v>5413.3986305316703</c:v>
                </c:pt>
                <c:pt idx="181">
                  <c:v>5319.4012504813636</c:v>
                </c:pt>
                <c:pt idx="182">
                  <c:v>5226.7880075009507</c:v>
                </c:pt>
                <c:pt idx="183">
                  <c:v>5135.5407980097743</c:v>
                </c:pt>
                <c:pt idx="184">
                  <c:v>5045.6416315300303</c:v>
                </c:pt>
                <c:pt idx="185">
                  <c:v>4957.0726378451782</c:v>
                </c:pt>
                <c:pt idx="186">
                  <c:v>4869.8160736140471</c:v>
                </c:pt>
                <c:pt idx="187">
                  <c:v>4783.8543284683165</c:v>
                </c:pt>
                <c:pt idx="188">
                  <c:v>4699.1699306194614</c:v>
                </c:pt>
                <c:pt idx="189">
                  <c:v>4615.7455520005042</c:v>
                </c:pt>
                <c:pt idx="190">
                  <c:v>4533.5640129667527</c:v>
                </c:pt>
                <c:pt idx="191">
                  <c:v>4452.6082865785174</c:v>
                </c:pt>
                <c:pt idx="192">
                  <c:v>4372.8615024879982</c:v>
                </c:pt>
                <c:pt idx="193">
                  <c:v>4294.3069504514742</c:v>
                </c:pt>
                <c:pt idx="194">
                  <c:v>4216.9280834869987</c:v>
                </c:pt>
                <c:pt idx="195">
                  <c:v>4140.7085206969123</c:v>
                </c:pt>
                <c:pt idx="196">
                  <c:v>4065.6320497735796</c:v>
                </c:pt>
                <c:pt idx="197">
                  <c:v>3991.6826292060196</c:v>
                </c:pt>
                <c:pt idx="198">
                  <c:v>3918.8443902041836</c:v>
                </c:pt>
                <c:pt idx="199">
                  <c:v>3847.1016383569322</c:v>
                </c:pt>
                <c:pt idx="200">
                  <c:v>3776.4388550389649</c:v>
                </c:pt>
                <c:pt idx="201">
                  <c:v>3706.8406985813272</c:v>
                </c:pt>
                <c:pt idx="202">
                  <c:v>3638.2920052193062</c:v>
                </c:pt>
                <c:pt idx="203">
                  <c:v>3570.777789831001</c:v>
                </c:pt>
                <c:pt idx="204">
                  <c:v>3504.2832464791404</c:v>
                </c:pt>
                <c:pt idx="205">
                  <c:v>3438.7937487681165</c:v>
                </c:pt>
                <c:pt idx="206">
                  <c:v>3374.294850027647</c:v>
                </c:pt>
                <c:pt idx="207">
                  <c:v>3310.7722833339321</c:v>
                </c:pt>
                <c:pt idx="208">
                  <c:v>3248.2119613786194</c:v>
                </c:pt>
                <c:pt idx="209">
                  <c:v>3186.5999761953622</c:v>
                </c:pt>
                <c:pt idx="210">
                  <c:v>3125.9225987532782</c:v>
                </c:pt>
                <c:pt idx="211">
                  <c:v>3066.1662784262126</c:v>
                </c:pt>
                <c:pt idx="212">
                  <c:v>3007.3176423461496</c:v>
                </c:pt>
                <c:pt idx="213">
                  <c:v>2949.3634946487796</c:v>
                </c:pt>
                <c:pt idx="214">
                  <c:v>2892.2908156187846</c:v>
                </c:pt>
                <c:pt idx="215">
                  <c:v>2836.0867607419982</c:v>
                </c:pt>
                <c:pt idx="216">
                  <c:v>2780.7386596712977</c:v>
                </c:pt>
                <c:pt idx="217">
                  <c:v>2726.2340151125977</c:v>
                </c:pt>
                <c:pt idx="218">
                  <c:v>2672.560501637131</c:v>
                </c:pt>
                <c:pt idx="219">
                  <c:v>2619.7059644257802</c:v>
                </c:pt>
                <c:pt idx="220">
                  <c:v>2567.6584179509055</c:v>
                </c:pt>
                <c:pt idx="221">
                  <c:v>2516.4060446008834</c:v>
                </c:pt>
                <c:pt idx="222">
                  <c:v>2465.9371932522704</c:v>
                </c:pt>
                <c:pt idx="223">
                  <c:v>2416.2403777941981</c:v>
                </c:pt>
                <c:pt idx="224">
                  <c:v>2367.3042756093864</c:v>
                </c:pt>
                <c:pt idx="225">
                  <c:v>2319.117726015932</c:v>
                </c:pt>
                <c:pt idx="226">
                  <c:v>2271.6697286737481</c:v>
                </c:pt>
                <c:pt idx="227">
                  <c:v>2224.9494419593848</c:v>
                </c:pt>
                <c:pt idx="228">
                  <c:v>2178.9461813126422</c:v>
                </c:pt>
                <c:pt idx="229">
                  <c:v>2133.6494175583443</c:v>
                </c:pt>
                <c:pt idx="230">
                  <c:v>2089.048775206265</c:v>
                </c:pt>
                <c:pt idx="231">
                  <c:v>2045.1340307321852</c:v>
                </c:pt>
                <c:pt idx="232">
                  <c:v>2001.8951108427907</c:v>
                </c:pt>
                <c:pt idx="233">
                  <c:v>1959.3220907269827</c:v>
                </c:pt>
                <c:pt idx="234">
                  <c:v>1917.4051922960282</c:v>
                </c:pt>
                <c:pt idx="235">
                  <c:v>1876.1347824148047</c:v>
                </c:pt>
              </c:numCache>
            </c:numRef>
          </c:val>
          <c:extLst>
            <c:ext xmlns:c16="http://schemas.microsoft.com/office/drawing/2014/chart" uri="{C3380CC4-5D6E-409C-BE32-E72D297353CC}">
              <c16:uniqueId val="{00000000-A64D-1748-B712-E98F88A52A1C}"/>
            </c:ext>
          </c:extLst>
        </c:ser>
        <c:dLbls>
          <c:showLegendKey val="0"/>
          <c:showVal val="0"/>
          <c:showCatName val="0"/>
          <c:showSerName val="0"/>
          <c:showPercent val="0"/>
          <c:showBubbleSize val="0"/>
        </c:dLbls>
        <c:gapWidth val="150"/>
        <c:axId val="249064543"/>
        <c:axId val="1860047296"/>
      </c:barChart>
      <c:catAx>
        <c:axId val="249064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047296"/>
        <c:crosses val="autoZero"/>
        <c:auto val="1"/>
        <c:lblAlgn val="ctr"/>
        <c:lblOffset val="100"/>
        <c:noMultiLvlLbl val="0"/>
      </c:catAx>
      <c:valAx>
        <c:axId val="1860047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064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Range vs Endurance</c:v>
          </c:tx>
          <c:spPr>
            <a:ln w="25400" cap="rnd">
              <a:noFill/>
              <a:round/>
            </a:ln>
            <a:effectLst/>
          </c:spPr>
          <c:marker>
            <c:symbol val="circle"/>
            <c:size val="5"/>
            <c:spPr>
              <a:solidFill>
                <a:schemeClr val="accent1"/>
              </a:solidFill>
              <a:ln w="9525">
                <a:solidFill>
                  <a:schemeClr val="accent1"/>
                </a:solidFill>
              </a:ln>
              <a:effectLst/>
            </c:spPr>
          </c:marker>
          <c:xVal>
            <c:numRef>
              <c:f>'Performance Analysis'!$AC$84:$AC$369</c:f>
              <c:numCache>
                <c:formatCode>General</c:formatCode>
                <c:ptCount val="286"/>
                <c:pt idx="0">
                  <c:v>10.039320806272013</c:v>
                </c:pt>
                <c:pt idx="1">
                  <c:v>10.286457785680863</c:v>
                </c:pt>
                <c:pt idx="2">
                  <c:v>10.534259140984776</c:v>
                </c:pt>
                <c:pt idx="3">
                  <c:v>10.78255719009346</c:v>
                </c:pt>
                <c:pt idx="4">
                  <c:v>11.031179495630528</c:v>
                </c:pt>
                <c:pt idx="5">
                  <c:v>11.279948987424524</c:v>
                </c:pt>
                <c:pt idx="6">
                  <c:v>11.528684107601409</c:v>
                </c:pt>
                <c:pt idx="7">
                  <c:v>11.777198978857875</c:v>
                </c:pt>
                <c:pt idx="8">
                  <c:v>12.025303596391666</c:v>
                </c:pt>
                <c:pt idx="9">
                  <c:v>12.272804043850581</c:v>
                </c:pt>
                <c:pt idx="10">
                  <c:v>12.519502733536475</c:v>
                </c:pt>
                <c:pt idx="11">
                  <c:v>12.765198670964489</c:v>
                </c:pt>
                <c:pt idx="12">
                  <c:v>13.009687743731513</c:v>
                </c:pt>
                <c:pt idx="13">
                  <c:v>13.252763034492686</c:v>
                </c:pt>
                <c:pt idx="14">
                  <c:v>13.494215157680847</c:v>
                </c:pt>
                <c:pt idx="15">
                  <c:v>13.733832619432508</c:v>
                </c:pt>
                <c:pt idx="16">
                  <c:v>13.971402200007113</c:v>
                </c:pt>
                <c:pt idx="17">
                  <c:v>14.206709357804263</c:v>
                </c:pt>
                <c:pt idx="18">
                  <c:v>14.439538653899048</c:v>
                </c:pt>
                <c:pt idx="19">
                  <c:v>14.669674195829309</c:v>
                </c:pt>
                <c:pt idx="20">
                  <c:v>14.896900099183602</c:v>
                </c:pt>
                <c:pt idx="21">
                  <c:v>15.121000965355579</c:v>
                </c:pt>
                <c:pt idx="22">
                  <c:v>15.341762373652831</c:v>
                </c:pt>
                <c:pt idx="23">
                  <c:v>15.558971385776907</c:v>
                </c:pt>
                <c:pt idx="24">
                  <c:v>15.772417060529641</c:v>
                </c:pt>
                <c:pt idx="25">
                  <c:v>15.981890976449959</c:v>
                </c:pt>
                <c:pt idx="26">
                  <c:v>16.187187759948745</c:v>
                </c:pt>
                <c:pt idx="27">
                  <c:v>16.388105616387683</c:v>
                </c:pt>
                <c:pt idx="28">
                  <c:v>16.584446861444469</c:v>
                </c:pt>
                <c:pt idx="29">
                  <c:v>16.776018450022463</c:v>
                </c:pt>
                <c:pt idx="30">
                  <c:v>16.962632499900209</c:v>
                </c:pt>
                <c:pt idx="31">
                  <c:v>17.144106807275676</c:v>
                </c:pt>
                <c:pt idx="32">
                  <c:v>17.320265351344133</c:v>
                </c:pt>
                <c:pt idx="33">
                  <c:v>17.490938785056859</c:v>
                </c:pt>
                <c:pt idx="34">
                  <c:v>17.65596490924235</c:v>
                </c:pt>
                <c:pt idx="35">
                  <c:v>17.81518912733133</c:v>
                </c:pt>
                <c:pt idx="36">
                  <c:v>17.968464878012938</c:v>
                </c:pt>
                <c:pt idx="37">
                  <c:v>18.115654043260403</c:v>
                </c:pt>
                <c:pt idx="38">
                  <c:v>18.256627329300862</c:v>
                </c:pt>
                <c:pt idx="39">
                  <c:v>18.391264618262991</c:v>
                </c:pt>
                <c:pt idx="40">
                  <c:v>18.519455288418449</c:v>
                </c:pt>
                <c:pt idx="41">
                  <c:v>18.641098501134785</c:v>
                </c:pt>
                <c:pt idx="42">
                  <c:v>18.756103452878449</c:v>
                </c:pt>
                <c:pt idx="43">
                  <c:v>18.864389590842912</c:v>
                </c:pt>
                <c:pt idx="44">
                  <c:v>18.965886791027248</c:v>
                </c:pt>
                <c:pt idx="45">
                  <c:v>19.060535497851188</c:v>
                </c:pt>
                <c:pt idx="46">
                  <c:v>19.148286824661682</c:v>
                </c:pt>
                <c:pt idx="47">
                  <c:v>19.229102614759473</c:v>
                </c:pt>
                <c:pt idx="48">
                  <c:v>19.30295546284939</c:v>
                </c:pt>
                <c:pt idx="49">
                  <c:v>19.369828697092547</c:v>
                </c:pt>
                <c:pt idx="50">
                  <c:v>19.429716322208083</c:v>
                </c:pt>
                <c:pt idx="51">
                  <c:v>19.482622924334883</c:v>
                </c:pt>
                <c:pt idx="52">
                  <c:v>19.528563538616197</c:v>
                </c:pt>
                <c:pt idx="53">
                  <c:v>19.567563480710046</c:v>
                </c:pt>
                <c:pt idx="54">
                  <c:v>19.599658143653343</c:v>
                </c:pt>
                <c:pt idx="55">
                  <c:v>19.624892761715547</c:v>
                </c:pt>
                <c:pt idx="56">
                  <c:v>19.643322143066538</c:v>
                </c:pt>
                <c:pt idx="57">
                  <c:v>19.65501037325167</c:v>
                </c:pt>
                <c:pt idx="58">
                  <c:v>19.660030491614219</c:v>
                </c:pt>
                <c:pt idx="59">
                  <c:v>19.658464142928533</c:v>
                </c:pt>
                <c:pt idx="60">
                  <c:v>19.650401206609079</c:v>
                </c:pt>
                <c:pt idx="61">
                  <c:v>19.63593940593719</c:v>
                </c:pt>
                <c:pt idx="62">
                  <c:v>19.615183899801671</c:v>
                </c:pt>
                <c:pt idx="63">
                  <c:v>19.588246859480357</c:v>
                </c:pt>
                <c:pt idx="64">
                  <c:v>19.555247032998086</c:v>
                </c:pt>
                <c:pt idx="65">
                  <c:v>19.516309299583906</c:v>
                </c:pt>
                <c:pt idx="66">
                  <c:v>19.471564216716647</c:v>
                </c:pt>
                <c:pt idx="67">
                  <c:v>19.42114756219598</c:v>
                </c:pt>
                <c:pt idx="68">
                  <c:v>19.365199873605846</c:v>
                </c:pt>
                <c:pt idx="69">
                  <c:v>19.303865987451491</c:v>
                </c:pt>
                <c:pt idx="70">
                  <c:v>19.237294580150966</c:v>
                </c:pt>
                <c:pt idx="71">
                  <c:v>19.165637712949746</c:v>
                </c:pt>
                <c:pt idx="72">
                  <c:v>19.089050382703835</c:v>
                </c:pt>
                <c:pt idx="73">
                  <c:v>19.007690080344879</c:v>
                </c:pt>
                <c:pt idx="74">
                  <c:v>18.921716358702255</c:v>
                </c:pt>
                <c:pt idx="75">
                  <c:v>18.831290411213075</c:v>
                </c:pt>
                <c:pt idx="76">
                  <c:v>18.736574662903998</c:v>
                </c:pt>
                <c:pt idx="77">
                  <c:v>18.637732374879718</c:v>
                </c:pt>
                <c:pt idx="78">
                  <c:v>18.534927263403713</c:v>
                </c:pt>
                <c:pt idx="79">
                  <c:v>18.428323134509167</c:v>
                </c:pt>
                <c:pt idx="80">
                  <c:v>18.31808353493232</c:v>
                </c:pt>
                <c:pt idx="81">
                  <c:v>18.204371420018891</c:v>
                </c:pt>
                <c:pt idx="82">
                  <c:v>18.087348839117269</c:v>
                </c:pt>
                <c:pt idx="83">
                  <c:v>17.967176638840805</c:v>
                </c:pt>
                <c:pt idx="84">
                  <c:v>17.844014184456508</c:v>
                </c:pt>
                <c:pt idx="85">
                  <c:v>17.718019099539745</c:v>
                </c:pt>
                <c:pt idx="86">
                  <c:v>17.589347023923811</c:v>
                </c:pt>
                <c:pt idx="87">
                  <c:v>17.458151389871134</c:v>
                </c:pt>
                <c:pt idx="88">
                  <c:v>17.324583216298187</c:v>
                </c:pt>
                <c:pt idx="89">
                  <c:v>17.188790920800155</c:v>
                </c:pt>
                <c:pt idx="90">
                  <c:v>17.050920149143916</c:v>
                </c:pt>
                <c:pt idx="91">
                  <c:v>16.91111362182804</c:v>
                </c:pt>
                <c:pt idx="92">
                  <c:v>16.769510997247512</c:v>
                </c:pt>
                <c:pt idx="93">
                  <c:v>16.626248750947489</c:v>
                </c:pt>
                <c:pt idx="94">
                  <c:v>16.481460070404552</c:v>
                </c:pt>
                <c:pt idx="95">
                  <c:v>16.335274764736013</c:v>
                </c:pt>
                <c:pt idx="96">
                  <c:v>16.187819188706214</c:v>
                </c:pt>
                <c:pt idx="97">
                  <c:v>16.039216180374464</c:v>
                </c:pt>
                <c:pt idx="98">
                  <c:v>15.889585011710786</c:v>
                </c:pt>
                <c:pt idx="99">
                  <c:v>15.739041351493048</c:v>
                </c:pt>
                <c:pt idx="100">
                  <c:v>15.587697239791881</c:v>
                </c:pt>
                <c:pt idx="101">
                  <c:v>15.435661073347362</c:v>
                </c:pt>
                <c:pt idx="102">
                  <c:v>15.28303760114388</c:v>
                </c:pt>
                <c:pt idx="103">
                  <c:v>15.129927929495249</c:v>
                </c:pt>
                <c:pt idx="104">
                  <c:v>14.976429535962334</c:v>
                </c:pt>
                <c:pt idx="105">
                  <c:v>14.822636291438046</c:v>
                </c:pt>
                <c:pt idx="106">
                  <c:v>14.668638489750315</c:v>
                </c:pt>
                <c:pt idx="107">
                  <c:v>14.51452288415161</c:v>
                </c:pt>
                <c:pt idx="108">
                  <c:v>14.360372730083606</c:v>
                </c:pt>
                <c:pt idx="109">
                  <c:v>14.20626783362731</c:v>
                </c:pt>
                <c:pt idx="110">
                  <c:v>14.052284605071959</c:v>
                </c:pt>
                <c:pt idx="111">
                  <c:v>13.898496117060073</c:v>
                </c:pt>
                <c:pt idx="112">
                  <c:v>13.744972166790911</c:v>
                </c:pt>
                <c:pt idx="113">
                  <c:v>13.591779341790099</c:v>
                </c:pt>
                <c:pt idx="114">
                  <c:v>13.438981088778659</c:v>
                </c:pt>
                <c:pt idx="115">
                  <c:v>13.286637785200758</c:v>
                </c:pt>
                <c:pt idx="116">
                  <c:v>13.134806812995011</c:v>
                </c:pt>
                <c:pt idx="117">
                  <c:v>12.983542634219841</c:v>
                </c:pt>
                <c:pt idx="118">
                  <c:v>12.832896868168429</c:v>
                </c:pt>
                <c:pt idx="119">
                  <c:v>12.682918369633425</c:v>
                </c:pt>
                <c:pt idx="120">
                  <c:v>12.533653308005713</c:v>
                </c:pt>
                <c:pt idx="121">
                  <c:v>12.38514524691478</c:v>
                </c:pt>
                <c:pt idx="122">
                  <c:v>12.237435224140855</c:v>
                </c:pt>
                <c:pt idx="123">
                  <c:v>12.090561831550803</c:v>
                </c:pt>
                <c:pt idx="124">
                  <c:v>11.944561294830555</c:v>
                </c:pt>
                <c:pt idx="125">
                  <c:v>11.799467552807034</c:v>
                </c:pt>
                <c:pt idx="126">
                  <c:v>11.655312336171427</c:v>
                </c:pt>
                <c:pt idx="127">
                  <c:v>11.512125245434008</c:v>
                </c:pt>
                <c:pt idx="128">
                  <c:v>11.369933827957759</c:v>
                </c:pt>
                <c:pt idx="129">
                  <c:v>11.228763653934399</c:v>
                </c:pt>
                <c:pt idx="130">
                  <c:v>11.08863839118175</c:v>
                </c:pt>
                <c:pt idx="131">
                  <c:v>10.949579878655729</c:v>
                </c:pt>
                <c:pt idx="132">
                  <c:v>10.811608198583919</c:v>
                </c:pt>
                <c:pt idx="133">
                  <c:v>10.674741747140025</c:v>
                </c:pt>
                <c:pt idx="134">
                  <c:v>10.538997303590628</c:v>
                </c:pt>
                <c:pt idx="135">
                  <c:v>10.404390097856274</c:v>
                </c:pt>
                <c:pt idx="136">
                  <c:v>10.270933876439349</c:v>
                </c:pt>
                <c:pt idx="137">
                  <c:v>10.138640966680301</c:v>
                </c:pt>
                <c:pt idx="138">
                  <c:v>10.00752233931267</c:v>
                </c:pt>
                <c:pt idx="139">
                  <c:v>9.8775876692951066</c:v>
                </c:pt>
                <c:pt idx="140">
                  <c:v>9.7488453949059366</c:v>
                </c:pt>
                <c:pt idx="141">
                  <c:v>9.6213027750924418</c:v>
                </c:pt>
                <c:pt idx="142">
                  <c:v>9.4949659450730355</c:v>
                </c:pt>
                <c:pt idx="143">
                  <c:v>9.369839970196006</c:v>
                </c:pt>
                <c:pt idx="144">
                  <c:v>9.2459288980634149</c:v>
                </c:pt>
                <c:pt idx="145">
                  <c:v>9.1232358089331491</c:v>
                </c:pt>
                <c:pt idx="146">
                  <c:v>9.0017628644161558</c:v>
                </c:pt>
                <c:pt idx="147">
                  <c:v>8.8815113544892856</c:v>
                </c:pt>
                <c:pt idx="148">
                  <c:v>8.7624817428474664</c:v>
                </c:pt>
                <c:pt idx="149">
                  <c:v>8.6446737106214346</c:v>
                </c:pt>
                <c:pt idx="150">
                  <c:v>8.528086198489877</c:v>
                </c:pt>
                <c:pt idx="151">
                  <c:v>8.41271744721662</c:v>
                </c:pt>
                <c:pt idx="152">
                  <c:v>8.2985650366455666</c:v>
                </c:pt>
                <c:pt idx="153">
                  <c:v>8.1856259231872119</c:v>
                </c:pt>
                <c:pt idx="154">
                  <c:v>8.0738964758320897</c:v>
                </c:pt>
                <c:pt idx="155">
                  <c:v>7.9633725107272584</c:v>
                </c:pt>
                <c:pt idx="156">
                  <c:v>7.8540493243528493</c:v>
                </c:pt>
                <c:pt idx="157">
                  <c:v>7.7459217253361858</c:v>
                </c:pt>
                <c:pt idx="158">
                  <c:v>7.6389840649414253</c:v>
                </c:pt>
                <c:pt idx="159">
                  <c:v>7.5332302662728647</c:v>
                </c:pt>
                <c:pt idx="160">
                  <c:v>7.4286538522301866</c:v>
                </c:pt>
                <c:pt idx="161">
                  <c:v>7.3252479722538242</c:v>
                </c:pt>
                <c:pt idx="162">
                  <c:v>7.2230054278985474</c:v>
                </c:pt>
                <c:pt idx="163">
                  <c:v>7.1219186972729913</c:v>
                </c:pt>
                <c:pt idx="164">
                  <c:v>7.0219799583825733</c:v>
                </c:pt>
                <c:pt idx="165">
                  <c:v>6.9231811114127844</c:v>
                </c:pt>
                <c:pt idx="166">
                  <c:v>6.8255137999893618</c:v>
                </c:pt>
                <c:pt idx="167">
                  <c:v>6.7289694314511479</c:v>
                </c:pt>
                <c:pt idx="168">
                  <c:v>6.6335391961709576</c:v>
                </c:pt>
                <c:pt idx="169">
                  <c:v>6.5392140859590677</c:v>
                </c:pt>
                <c:pt idx="170">
                  <c:v>6.4459849115831203</c:v>
                </c:pt>
                <c:pt idx="171">
                  <c:v>6.3538423194376143</c:v>
                </c:pt>
                <c:pt idx="172">
                  <c:v>6.2627768073953103</c:v>
                </c:pt>
                <c:pt idx="173">
                  <c:v>6.1727787398721032</c:v>
                </c:pt>
                <c:pt idx="174">
                  <c:v>6.0838383621360448</c:v>
                </c:pt>
                <c:pt idx="175">
                  <c:v>5.9959458138905415</c:v>
                </c:pt>
                <c:pt idx="176">
                  <c:v>5.9090911421605883</c:v>
                </c:pt>
                <c:pt idx="177">
                  <c:v>5.8232643135104958</c:v>
                </c:pt>
                <c:pt idx="178">
                  <c:v>5.7384552256203358</c:v>
                </c:pt>
                <c:pt idx="179">
                  <c:v>5.654653718247701</c:v>
                </c:pt>
                <c:pt idx="180">
                  <c:v>5.5718495836005406</c:v>
                </c:pt>
                <c:pt idx="181">
                  <c:v>5.4900325761458548</c:v>
                </c:pt>
                <c:pt idx="182">
                  <c:v>5.4091924218784131</c:v>
                </c:pt>
                <c:pt idx="183">
                  <c:v>5.3293188270726874</c:v>
                </c:pt>
                <c:pt idx="184">
                  <c:v>5.2504014865404915</c:v>
                </c:pt>
                <c:pt idx="185">
                  <c:v>5.172430091416012</c:v>
                </c:pt>
                <c:pt idx="186">
                  <c:v>5.0953943364890364</c:v>
                </c:pt>
                <c:pt idx="187">
                  <c:v>5.0192839271067209</c:v>
                </c:pt>
                <c:pt idx="188">
                  <c:v>4.9440885856631116</c:v>
                </c:pt>
                <c:pt idx="189">
                  <c:v>4.8697980576952222</c:v>
                </c:pt>
                <c:pt idx="190">
                  <c:v>4.796402117603658</c:v>
                </c:pt>
                <c:pt idx="191">
                  <c:v>4.7238905740150425</c:v>
                </c:pt>
                <c:pt idx="192">
                  <c:v>4.6522532748028969</c:v>
                </c:pt>
                <c:pt idx="193">
                  <c:v>4.5814801117829766</c:v>
                </c:pt>
                <c:pt idx="194">
                  <c:v>4.5115610250984233</c:v>
                </c:pt>
                <c:pt idx="195">
                  <c:v>4.4424860073094576</c:v>
                </c:pt>
                <c:pt idx="196">
                  <c:v>4.3742451072017481</c:v>
                </c:pt>
                <c:pt idx="197">
                  <c:v>4.3068284333270839</c:v>
                </c:pt>
                <c:pt idx="198">
                  <c:v>4.2402261572893263</c:v>
                </c:pt>
                <c:pt idx="199">
                  <c:v>4.1744285167881419</c:v>
                </c:pt>
                <c:pt idx="200">
                  <c:v>4.1094258184324497</c:v>
                </c:pt>
                <c:pt idx="201">
                  <c:v>4.0452084403350925</c:v>
                </c:pt>
                <c:pt idx="202">
                  <c:v>3.9817668344996306</c:v>
                </c:pt>
                <c:pt idx="203">
                  <c:v>3.9190915290098247</c:v>
                </c:pt>
                <c:pt idx="204">
                  <c:v>3.8571731300318421</c:v>
                </c:pt>
                <c:pt idx="205">
                  <c:v>3.796002323638775</c:v>
                </c:pt>
                <c:pt idx="206">
                  <c:v>3.7355698774666903</c:v>
                </c:pt>
                <c:pt idx="207">
                  <c:v>3.6758666422110062</c:v>
                </c:pt>
                <c:pt idx="208">
                  <c:v>3.6168835529716077</c:v>
                </c:pt>
                <c:pt idx="209">
                  <c:v>3.5586116304547035</c:v>
                </c:pt>
                <c:pt idx="210">
                  <c:v>3.5010419820391028</c:v>
                </c:pt>
                <c:pt idx="211">
                  <c:v>3.4441658027142692</c:v>
                </c:pt>
                <c:pt idx="212">
                  <c:v>3.3879743758971039</c:v>
                </c:pt>
                <c:pt idx="213">
                  <c:v>3.3324590741341638</c:v>
                </c:pt>
                <c:pt idx="214">
                  <c:v>3.2776113596956717</c:v>
                </c:pt>
                <c:pt idx="215">
                  <c:v>3.22342278506739</c:v>
                </c:pt>
                <c:pt idx="216">
                  <c:v>3.1698849933461775</c:v>
                </c:pt>
                <c:pt idx="217">
                  <c:v>3.1169897185447111</c:v>
                </c:pt>
                <c:pt idx="218">
                  <c:v>3.064728785810682</c:v>
                </c:pt>
                <c:pt idx="219">
                  <c:v>3.0130941115654797</c:v>
                </c:pt>
                <c:pt idx="220">
                  <c:v>2.962077703567104</c:v>
                </c:pt>
                <c:pt idx="221">
                  <c:v>2.911671660901896</c:v>
                </c:pt>
                <c:pt idx="222">
                  <c:v>2.8618681739094303</c:v>
                </c:pt>
                <c:pt idx="223">
                  <c:v>2.8126595240446655</c:v>
                </c:pt>
                <c:pt idx="224">
                  <c:v>2.7640380836812861</c:v>
                </c:pt>
                <c:pt idx="225">
                  <c:v>2.7159963158600013</c:v>
                </c:pt>
                <c:pt idx="226">
                  <c:v>2.6685267739853078</c:v>
                </c:pt>
                <c:pt idx="227">
                  <c:v>2.6216221014741476</c:v>
                </c:pt>
                <c:pt idx="228">
                  <c:v>2.5752750313596082</c:v>
                </c:pt>
                <c:pt idx="229">
                  <c:v>2.529478385852804</c:v>
                </c:pt>
                <c:pt idx="230">
                  <c:v>2.4842250758657403</c:v>
                </c:pt>
                <c:pt idx="231">
                  <c:v>2.4395081004979917</c:v>
                </c:pt>
                <c:pt idx="232">
                  <c:v>2.3953205464897729</c:v>
                </c:pt>
                <c:pt idx="233">
                  <c:v>2.3516555876438892</c:v>
                </c:pt>
                <c:pt idx="234">
                  <c:v>2.3085064842189245</c:v>
                </c:pt>
                <c:pt idx="235">
                  <c:v>2.2658665822958888</c:v>
                </c:pt>
                <c:pt idx="236">
                  <c:v>2.2237293131204794</c:v>
                </c:pt>
                <c:pt idx="237">
                  <c:v>2.1820881924229014</c:v>
                </c:pt>
                <c:pt idx="238">
                  <c:v>2.1409368197172096</c:v>
                </c:pt>
                <c:pt idx="239">
                  <c:v>2.1002688775819527</c:v>
                </c:pt>
                <c:pt idx="240">
                  <c:v>2.0600781309237872</c:v>
                </c:pt>
                <c:pt idx="241">
                  <c:v>2.0203584262257581</c:v>
                </c:pt>
                <c:pt idx="242">
                  <c:v>1.9811036907816733</c:v>
                </c:pt>
                <c:pt idx="243">
                  <c:v>1.9423079319181131</c:v>
                </c:pt>
                <c:pt idx="244">
                  <c:v>1.9039652362053852</c:v>
                </c:pt>
                <c:pt idx="245">
                  <c:v>1.866069768658682</c:v>
                </c:pt>
                <c:pt idx="246">
                  <c:v>1.8286157719307687</c:v>
                </c:pt>
                <c:pt idx="247">
                  <c:v>1.7915975654972303</c:v>
                </c:pt>
                <c:pt idx="248">
                  <c:v>1.7550095448354466</c:v>
                </c:pt>
                <c:pt idx="249">
                  <c:v>1.7188461805982669</c:v>
                </c:pt>
                <c:pt idx="250">
                  <c:v>1.6831020177833871</c:v>
                </c:pt>
                <c:pt idx="251">
                  <c:v>1.6477716748993059</c:v>
                </c:pt>
                <c:pt idx="252">
                  <c:v>1.6128498431287117</c:v>
                </c:pt>
                <c:pt idx="253">
                  <c:v>1.5783312854901623</c:v>
                </c:pt>
                <c:pt idx="254">
                  <c:v>1.5442108359987115</c:v>
                </c:pt>
                <c:pt idx="255">
                  <c:v>1.5104833988262834</c:v>
                </c:pt>
                <c:pt idx="256">
                  <c:v>1.4771439474624168</c:v>
                </c:pt>
                <c:pt idx="257">
                  <c:v>1.4441875238759945</c:v>
                </c:pt>
                <c:pt idx="258">
                  <c:v>1.41160923767858</c:v>
                </c:pt>
                <c:pt idx="259">
                  <c:v>1.379404265289861</c:v>
                </c:pt>
                <c:pt idx="260">
                  <c:v>1.3475678491057519</c:v>
                </c:pt>
                <c:pt idx="261">
                  <c:v>1.3160952966696089</c:v>
                </c:pt>
                <c:pt idx="262">
                  <c:v>1.2849819798469981</c:v>
                </c:pt>
                <c:pt idx="263">
                  <c:v>1.254223334004462</c:v>
                </c:pt>
                <c:pt idx="264">
                  <c:v>1.2238148571926313</c:v>
                </c:pt>
                <c:pt idx="265">
                  <c:v>1.1937521093340679</c:v>
                </c:pt>
                <c:pt idx="266">
                  <c:v>1.1640307114161506</c:v>
                </c:pt>
                <c:pt idx="267">
                  <c:v>1.1346463446893447</c:v>
                </c:pt>
                <c:pt idx="268">
                  <c:v>1.1055947498710832</c:v>
                </c:pt>
                <c:pt idx="269">
                  <c:v>1.0768717263555783</c:v>
                </c:pt>
                <c:pt idx="270">
                  <c:v>1.048473131429779</c:v>
                </c:pt>
                <c:pt idx="271">
                  <c:v>1.0203948794956847</c:v>
                </c:pt>
                <c:pt idx="272">
                  <c:v>0.99263294129923363</c:v>
                </c:pt>
                <c:pt idx="273">
                  <c:v>0.96518334316595511</c:v>
                </c:pt>
                <c:pt idx="274">
                  <c:v>0.93804216624352643</c:v>
                </c:pt>
                <c:pt idx="275">
                  <c:v>0.91120554575142187</c:v>
                </c:pt>
                <c:pt idx="276">
                  <c:v>0.88466967023774779</c:v>
                </c:pt>
                <c:pt idx="277">
                  <c:v>0.85843078084343316</c:v>
                </c:pt>
                <c:pt idx="278">
                  <c:v>0.83248517057385085</c:v>
                </c:pt>
                <c:pt idx="279">
                  <c:v>0.80682918357796141</c:v>
                </c:pt>
                <c:pt idx="280">
                  <c:v>0.7814592144350998</c:v>
                </c:pt>
                <c:pt idx="281">
                  <c:v>0.75637170744943827</c:v>
                </c:pt>
                <c:pt idx="282">
                  <c:v>0.73156315595221089</c:v>
                </c:pt>
                <c:pt idx="283">
                  <c:v>0.70703010161174451</c:v>
                </c:pt>
                <c:pt idx="284">
                  <c:v>0.68276913375132953</c:v>
                </c:pt>
                <c:pt idx="285">
                  <c:v>0.65877688867499329</c:v>
                </c:pt>
              </c:numCache>
            </c:numRef>
          </c:xVal>
          <c:yVal>
            <c:numRef>
              <c:f>'Performance Analysis'!$AD$84:$AD$369</c:f>
              <c:numCache>
                <c:formatCode>General</c:formatCode>
                <c:ptCount val="286"/>
                <c:pt idx="0">
                  <c:v>868.64149302393707</c:v>
                </c:pt>
                <c:pt idx="1">
                  <c:v>903.71744433877609</c:v>
                </c:pt>
                <c:pt idx="2">
                  <c:v>939.5105953649869</c:v>
                </c:pt>
                <c:pt idx="3">
                  <c:v>976.00842109217103</c:v>
                </c:pt>
                <c:pt idx="4">
                  <c:v>1013.1970669125307</c:v>
                </c:pt>
                <c:pt idx="5">
                  <c:v>1051.0613283848422</c:v>
                </c:pt>
                <c:pt idx="6">
                  <c:v>1089.5846341128224</c:v>
                </c:pt>
                <c:pt idx="7">
                  <c:v>1128.7490320040181</c:v>
                </c:pt>
                <c:pt idx="8">
                  <c:v>1168.5351791714868</c:v>
                </c:pt>
                <c:pt idx="9">
                  <c:v>1208.922335734334</c:v>
                </c:pt>
                <c:pt idx="10">
                  <c:v>1249.8883627645</c:v>
                </c:pt>
                <c:pt idx="11">
                  <c:v>1291.4097246159456</c:v>
                </c:pt>
                <c:pt idx="12">
                  <c:v>1333.4614958584657</c:v>
                </c:pt>
                <c:pt idx="13">
                  <c:v>1376.0173730217493</c:v>
                </c:pt>
                <c:pt idx="14">
                  <c:v>1419.0496913359334</c:v>
                </c:pt>
                <c:pt idx="15">
                  <c:v>1462.5294466327628</c:v>
                </c:pt>
                <c:pt idx="16">
                  <c:v>1506.4263225466848</c:v>
                </c:pt>
                <c:pt idx="17">
                  <c:v>1550.7087231277555</c:v>
                </c:pt>
                <c:pt idx="18">
                  <c:v>1595.3438109482859</c:v>
                </c:pt>
                <c:pt idx="19">
                  <c:v>1640.2975507528408</c:v>
                </c:pt>
                <c:pt idx="20">
                  <c:v>1685.5347586667858</c:v>
                </c:pt>
                <c:pt idx="21">
                  <c:v>1731.0191569421447</c:v>
                </c:pt>
                <c:pt idx="22">
                  <c:v>1776.7134341815793</c:v>
                </c:pt>
                <c:pt idx="23">
                  <c:v>1822.5793109419092</c:v>
                </c:pt>
                <c:pt idx="24">
                  <c:v>1868.5776105783566</c:v>
                </c:pt>
                <c:pt idx="25">
                  <c:v>1914.6683351497422</c:v>
                </c:pt>
                <c:pt idx="26">
                  <c:v>1960.8107461638961</c:v>
                </c:pt>
                <c:pt idx="27">
                  <c:v>2006.9634499017145</c:v>
                </c:pt>
                <c:pt idx="28">
                  <c:v>2053.0844870183082</c:v>
                </c:pt>
                <c:pt idx="29">
                  <c:v>2099.1314260808122</c:v>
                </c:pt>
                <c:pt idx="30">
                  <c:v>2145.0614606653144</c:v>
                </c:pt>
                <c:pt idx="31">
                  <c:v>2190.8315096003207</c:v>
                </c:pt>
                <c:pt idx="32">
                  <c:v>2236.3983199117947</c:v>
                </c:pt>
                <c:pt idx="33">
                  <c:v>2281.7185719954446</c:v>
                </c:pt>
                <c:pt idx="34">
                  <c:v>2326.7489865160815</c:v>
                </c:pt>
                <c:pt idx="35">
                  <c:v>2371.4464325117979</c:v>
                </c:pt>
                <c:pt idx="36">
                  <c:v>2415.7680361629132</c:v>
                </c:pt>
                <c:pt idx="37">
                  <c:v>2459.6712896722424</c:v>
                </c:pt>
                <c:pt idx="38">
                  <c:v>2503.114159694635</c:v>
                </c:pt>
                <c:pt idx="39">
                  <c:v>2546.0551947499421</c:v>
                </c:pt>
                <c:pt idx="40">
                  <c:v>2588.453631054912</c:v>
                </c:pt>
                <c:pt idx="41">
                  <c:v>2630.269496215752</c:v>
                </c:pt>
                <c:pt idx="42">
                  <c:v>2671.4637102345828</c:v>
                </c:pt>
                <c:pt idx="43">
                  <c:v>2711.9981832992139</c:v>
                </c:pt>
                <c:pt idx="44">
                  <c:v>2751.8359098469082</c:v>
                </c:pt>
                <c:pt idx="45">
                  <c:v>2790.9410584183984</c:v>
                </c:pt>
                <c:pt idx="46">
                  <c:v>2829.2790568484547</c:v>
                </c:pt>
                <c:pt idx="47">
                  <c:v>2866.8166723732211</c:v>
                </c:pt>
                <c:pt idx="48">
                  <c:v>2903.5220862719475</c:v>
                </c:pt>
                <c:pt idx="49">
                  <c:v>2939.3649627013992</c:v>
                </c:pt>
                <c:pt idx="50">
                  <c:v>2974.3165114243479</c:v>
                </c:pt>
                <c:pt idx="51">
                  <c:v>3008.349544178915</c:v>
                </c:pt>
                <c:pt idx="52">
                  <c:v>3041.4385244824098</c:v>
                </c:pt>
                <c:pt idx="53">
                  <c:v>3073.5596107112619</c:v>
                </c:pt>
                <c:pt idx="54">
                  <c:v>3104.6906923471006</c:v>
                </c:pt>
                <c:pt idx="55">
                  <c:v>3134.8114193274405</c:v>
                </c:pt>
                <c:pt idx="56">
                  <c:v>3163.9032244873024</c:v>
                </c:pt>
                <c:pt idx="57">
                  <c:v>3191.9493391248056</c:v>
                </c:pt>
                <c:pt idx="58">
                  <c:v>3218.9348017691609</c:v>
                </c:pt>
                <c:pt idx="59">
                  <c:v>3244.8464602725508</c:v>
                </c:pt>
                <c:pt idx="60">
                  <c:v>3269.672967388472</c:v>
                </c:pt>
                <c:pt idx="61">
                  <c:v>3293.404770037137</c:v>
                </c:pt>
                <c:pt idx="62">
                  <c:v>3316.0340924937323</c:v>
                </c:pt>
                <c:pt idx="63">
                  <c:v>3337.5549137671696</c:v>
                </c:pt>
                <c:pt idx="64">
                  <c:v>3357.9629394653352</c:v>
                </c:pt>
                <c:pt idx="65">
                  <c:v>3377.255568467624</c:v>
                </c:pt>
                <c:pt idx="66">
                  <c:v>3395.4318547465818</c:v>
                </c:pt>
                <c:pt idx="67">
                  <c:v>3412.4924646978034</c:v>
                </c:pt>
                <c:pt idx="68">
                  <c:v>3428.4396303507688</c:v>
                </c:pt>
                <c:pt idx="69">
                  <c:v>3443.2770988432403</c:v>
                </c:pt>
                <c:pt idx="70">
                  <c:v>3457.0100785480859</c:v>
                </c:pt>
                <c:pt idx="71">
                  <c:v>3469.64518224429</c:v>
                </c:pt>
                <c:pt idx="72">
                  <c:v>3481.1903677235046</c:v>
                </c:pt>
                <c:pt idx="73">
                  <c:v>3491.6548762199332</c:v>
                </c:pt>
                <c:pt idx="74">
                  <c:v>3501.0491690450608</c:v>
                </c:pt>
                <c:pt idx="75">
                  <c:v>3509.3848627997249</c:v>
                </c:pt>
                <c:pt idx="76">
                  <c:v>3516.6746635247009</c:v>
                </c:pt>
                <c:pt idx="77">
                  <c:v>3522.9323001376015</c:v>
                </c:pt>
                <c:pt idx="78">
                  <c:v>3528.1724574885611</c:v>
                </c:pt>
                <c:pt idx="79">
                  <c:v>3532.4107093504676</c:v>
                </c:pt>
                <c:pt idx="80">
                  <c:v>3535.6634516413701</c:v>
                </c:pt>
                <c:pt idx="81">
                  <c:v>3537.9478361576034</c:v>
                </c:pt>
                <c:pt idx="82">
                  <c:v>3539.2817050762974</c:v>
                </c:pt>
                <c:pt idx="83">
                  <c:v>3539.683526465541</c:v>
                </c:pt>
                <c:pt idx="84">
                  <c:v>3539.1723310197403</c:v>
                </c:pt>
                <c:pt idx="85">
                  <c:v>3537.7676502169279</c:v>
                </c:pt>
                <c:pt idx="86">
                  <c:v>3535.4894560740599</c:v>
                </c:pt>
                <c:pt idx="87">
                  <c:v>3532.3581026559159</c:v>
                </c:pt>
                <c:pt idx="88">
                  <c:v>3528.39426947322</c:v>
                </c:pt>
                <c:pt idx="89">
                  <c:v>3523.6189068861336</c:v>
                </c:pt>
                <c:pt idx="90">
                  <c:v>3518.0531836105947</c:v>
                </c:pt>
                <c:pt idx="91">
                  <c:v>3511.7184364069349</c:v>
                </c:pt>
                <c:pt idx="92">
                  <c:v>3504.636122013203</c:v>
                </c:pt>
                <c:pt idx="93">
                  <c:v>3496.8277713694501</c:v>
                </c:pt>
                <c:pt idx="94">
                  <c:v>3488.3149461640392</c:v>
                </c:pt>
                <c:pt idx="95">
                  <c:v>3479.1191977189951</c:v>
                </c:pt>
                <c:pt idx="96">
                  <c:v>3469.262028218262</c:v>
                </c:pt>
                <c:pt idx="97">
                  <c:v>3458.7648542707457</c:v>
                </c:pt>
                <c:pt idx="98">
                  <c:v>3447.6489727890535</c:v>
                </c:pt>
                <c:pt idx="99">
                  <c:v>3435.9355291549296</c:v>
                </c:pt>
                <c:pt idx="100">
                  <c:v>3423.6454876334524</c:v>
                </c:pt>
                <c:pt idx="101">
                  <c:v>3410.7996039902082</c:v>
                </c:pt>
                <c:pt idx="102">
                  <c:v>3397.4184002587149</c:v>
                </c:pt>
                <c:pt idx="103">
                  <c:v>3383.5221415992828</c:v>
                </c:pt>
                <c:pt idx="104">
                  <c:v>3369.130815185491</c:v>
                </c:pt>
                <c:pt idx="105">
                  <c:v>3354.2641110500267</c:v>
                </c:pt>
                <c:pt idx="106">
                  <c:v>3338.9414048181893</c:v>
                </c:pt>
                <c:pt idx="107">
                  <c:v>3323.1817422545569</c:v>
                </c:pt>
                <c:pt idx="108">
                  <c:v>3307.00382554615</c:v>
                </c:pt>
                <c:pt idx="109">
                  <c:v>3290.4260012440268</c:v>
                </c:pt>
                <c:pt idx="110">
                  <c:v>3273.4662497842319</c:v>
                </c:pt>
                <c:pt idx="111">
                  <c:v>3256.1421765087061</c:v>
                </c:pt>
                <c:pt idx="112">
                  <c:v>3238.4710041067951</c:v>
                </c:pt>
                <c:pt idx="113">
                  <c:v>3220.4695663985399</c:v>
                </c:pt>
                <c:pt idx="114">
                  <c:v>3202.1543033817634</c:v>
                </c:pt>
                <c:pt idx="115">
                  <c:v>3183.5412574662482</c:v>
                </c:pt>
                <c:pt idx="116">
                  <c:v>3164.6460708197419</c:v>
                </c:pt>
                <c:pt idx="117">
                  <c:v>3145.4839837523414</c:v>
                </c:pt>
                <c:pt idx="118">
                  <c:v>3126.0698340677372</c:v>
                </c:pt>
                <c:pt idx="119">
                  <c:v>3106.4180573119847</c:v>
                </c:pt>
                <c:pt idx="120">
                  <c:v>3086.5426878527423</c:v>
                </c:pt>
                <c:pt idx="121">
                  <c:v>3066.4573607243683</c:v>
                </c:pt>
                <c:pt idx="122">
                  <c:v>3046.1753141767244</c:v>
                </c:pt>
                <c:pt idx="123">
                  <c:v>3025.7093928681857</c:v>
                </c:pt>
                <c:pt idx="124">
                  <c:v>3005.0720516458809</c:v>
                </c:pt>
                <c:pt idx="125">
                  <c:v>2984.2753598589306</c:v>
                </c:pt>
                <c:pt idx="126">
                  <c:v>2963.331006153001</c:v>
                </c:pt>
                <c:pt idx="127">
                  <c:v>2942.2503036972121</c:v>
                </c:pt>
                <c:pt idx="128">
                  <c:v>2921.0441957969924</c:v>
                </c:pt>
                <c:pt idx="129">
                  <c:v>2899.7232618490693</c:v>
                </c:pt>
                <c:pt idx="130">
                  <c:v>2878.297723597324</c:v>
                </c:pt>
                <c:pt idx="131">
                  <c:v>2856.777451650682</c:v>
                </c:pt>
                <c:pt idx="132">
                  <c:v>2835.1719722266562</c:v>
                </c:pt>
                <c:pt idx="133">
                  <c:v>2813.4904740864463</c:v>
                </c:pt>
                <c:pt idx="134">
                  <c:v>2791.7418156298081</c:v>
                </c:pt>
                <c:pt idx="135">
                  <c:v>2769.9345321200476</c:v>
                </c:pt>
                <c:pt idx="136">
                  <c:v>2748.07684301163</c:v>
                </c:pt>
                <c:pt idx="137">
                  <c:v>2726.1766593548496</c:v>
                </c:pt>
                <c:pt idx="138">
                  <c:v>2704.2415912540118</c:v>
                </c:pt>
                <c:pt idx="139">
                  <c:v>2682.2789553573389</c:v>
                </c:pt>
                <c:pt idx="140">
                  <c:v>2660.2957823586062</c:v>
                </c:pt>
                <c:pt idx="141">
                  <c:v>2638.2988244921835</c:v>
                </c:pt>
                <c:pt idx="142">
                  <c:v>2616.2945630047006</c:v>
                </c:pt>
                <c:pt idx="143">
                  <c:v>2594.2892155880832</c:v>
                </c:pt>
                <c:pt idx="144">
                  <c:v>2572.2887437601034</c:v>
                </c:pt>
                <c:pt idx="145">
                  <c:v>2550.2988601799116</c:v>
                </c:pt>
                <c:pt idx="146">
                  <c:v>2528.3250358872879</c:v>
                </c:pt>
                <c:pt idx="147">
                  <c:v>2506.3725074554941</c:v>
                </c:pt>
                <c:pt idx="148">
                  <c:v>2484.4462840487527</c:v>
                </c:pt>
                <c:pt idx="149">
                  <c:v>2462.5511543763569</c:v>
                </c:pt>
                <c:pt idx="150">
                  <c:v>2440.6916935364306</c:v>
                </c:pt>
                <c:pt idx="151">
                  <c:v>2418.8722697431981</c:v>
                </c:pt>
                <c:pt idx="152">
                  <c:v>2397.0970509325166</c:v>
                </c:pt>
                <c:pt idx="153">
                  <c:v>2375.3700112411434</c:v>
                </c:pt>
                <c:pt idx="154">
                  <c:v>2353.6949373559587</c:v>
                </c:pt>
                <c:pt idx="155">
                  <c:v>2332.0754347300167</c:v>
                </c:pt>
                <c:pt idx="156">
                  <c:v>2310.5149336629165</c:v>
                </c:pt>
                <c:pt idx="157">
                  <c:v>2289.0166952435256</c:v>
                </c:pt>
                <c:pt idx="158">
                  <c:v>2267.5838171536502</c:v>
                </c:pt>
                <c:pt idx="159">
                  <c:v>2246.2192393316468</c:v>
                </c:pt>
                <c:pt idx="160">
                  <c:v>2224.9257494954959</c:v>
                </c:pt>
                <c:pt idx="161">
                  <c:v>2203.7059885251547</c:v>
                </c:pt>
                <c:pt idx="162">
                  <c:v>2182.5624557044571</c:v>
                </c:pt>
                <c:pt idx="163">
                  <c:v>2161.497513823078</c:v>
                </c:pt>
                <c:pt idx="164">
                  <c:v>2140.5133941394006</c:v>
                </c:pt>
                <c:pt idx="165">
                  <c:v>2119.6122012054238</c:v>
                </c:pt>
                <c:pt idx="166">
                  <c:v>2098.7959175550172</c:v>
                </c:pt>
                <c:pt idx="167">
                  <c:v>2078.0664082570897</c:v>
                </c:pt>
                <c:pt idx="168">
                  <c:v>2057.4254253353988</c:v>
                </c:pt>
                <c:pt idx="169">
                  <c:v>2036.8746120569247</c:v>
                </c:pt>
                <c:pt idx="170">
                  <c:v>2016.4155070908309</c:v>
                </c:pt>
                <c:pt idx="171">
                  <c:v>1996.0495485401918</c:v>
                </c:pt>
                <c:pt idx="172">
                  <c:v>1975.7780778487759</c:v>
                </c:pt>
                <c:pt idx="173">
                  <c:v>1955.6023435852371</c:v>
                </c:pt>
                <c:pt idx="174">
                  <c:v>1935.5235051071766</c:v>
                </c:pt>
                <c:pt idx="175">
                  <c:v>1915.5426361075854</c:v>
                </c:pt>
                <c:pt idx="176">
                  <c:v>1895.6607280462042</c:v>
                </c:pt>
                <c:pt idx="177">
                  <c:v>1875.8786934684424</c:v>
                </c:pt>
                <c:pt idx="178">
                  <c:v>1856.1973692144479</c:v>
                </c:pt>
                <c:pt idx="179">
                  <c:v>1836.6175195209869</c:v>
                </c:pt>
                <c:pt idx="180">
                  <c:v>1817.139839018811</c:v>
                </c:pt>
                <c:pt idx="181">
                  <c:v>1797.7649556281337</c:v>
                </c:pt>
                <c:pt idx="182">
                  <c:v>1778.4934333549081</c:v>
                </c:pt>
                <c:pt idx="183">
                  <c:v>1759.3257749905331</c:v>
                </c:pt>
                <c:pt idx="184">
                  <c:v>1740.2624247176207</c:v>
                </c:pt>
                <c:pt idx="185">
                  <c:v>1721.303770624439</c:v>
                </c:pt>
                <c:pt idx="186">
                  <c:v>1702.4501471305859</c:v>
                </c:pt>
                <c:pt idx="187">
                  <c:v>1683.7018373264871</c:v>
                </c:pt>
                <c:pt idx="188">
                  <c:v>1665.0590752291946</c:v>
                </c:pt>
                <c:pt idx="189">
                  <c:v>1646.52204795698</c:v>
                </c:pt>
                <c:pt idx="190">
                  <c:v>1628.0908978251784</c:v>
                </c:pt>
                <c:pt idx="191">
                  <c:v>1609.7657243656543</c:v>
                </c:pt>
                <c:pt idx="192">
                  <c:v>1591.5465862722522</c:v>
                </c:pt>
                <c:pt idx="193">
                  <c:v>1573.4335032745521</c:v>
                </c:pt>
                <c:pt idx="194">
                  <c:v>1555.4264579421747</c:v>
                </c:pt>
                <c:pt idx="195">
                  <c:v>1537.5253974218622</c:v>
                </c:pt>
                <c:pt idx="196">
                  <c:v>1519.7302351094781</c:v>
                </c:pt>
                <c:pt idx="197">
                  <c:v>1502.0408522590651</c:v>
                </c:pt>
                <c:pt idx="198">
                  <c:v>1484.4570995310048</c:v>
                </c:pt>
                <c:pt idx="199">
                  <c:v>1466.9787984813017</c:v>
                </c:pt>
                <c:pt idx="200">
                  <c:v>1449.6057429939458</c:v>
                </c:pt>
                <c:pt idx="201">
                  <c:v>1432.3377006582746</c:v>
                </c:pt>
                <c:pt idx="202">
                  <c:v>1415.1744140931853</c:v>
                </c:pt>
                <c:pt idx="203">
                  <c:v>1398.1156022200116</c:v>
                </c:pt>
                <c:pt idx="204">
                  <c:v>1381.1609614858314</c:v>
                </c:pt>
                <c:pt idx="205">
                  <c:v>1364.3101670389055</c:v>
                </c:pt>
                <c:pt idx="206">
                  <c:v>1347.5628738579123</c:v>
                </c:pt>
                <c:pt idx="207">
                  <c:v>1330.9187178365978</c:v>
                </c:pt>
                <c:pt idx="208">
                  <c:v>1314.3773168254097</c:v>
                </c:pt>
                <c:pt idx="209">
                  <c:v>1297.9382716316184</c:v>
                </c:pt>
                <c:pt idx="210">
                  <c:v>1281.6011669794154</c:v>
                </c:pt>
                <c:pt idx="211">
                  <c:v>1265.3655724314103</c:v>
                </c:pt>
                <c:pt idx="212">
                  <c:v>1249.23104327291</c:v>
                </c:pt>
                <c:pt idx="213">
                  <c:v>1233.1971213603244</c:v>
                </c:pt>
                <c:pt idx="214">
                  <c:v>1217.2633359349923</c:v>
                </c:pt>
                <c:pt idx="215">
                  <c:v>1201.4292044036847</c:v>
                </c:pt>
                <c:pt idx="216">
                  <c:v>1185.6942330870104</c:v>
                </c:pt>
                <c:pt idx="217">
                  <c:v>1170.0579179368797</c:v>
                </c:pt>
                <c:pt idx="218">
                  <c:v>1154.5197452241875</c:v>
                </c:pt>
                <c:pt idx="219">
                  <c:v>1139.0791921978055</c:v>
                </c:pt>
                <c:pt idx="220">
                  <c:v>1123.7357277159413</c:v>
                </c:pt>
                <c:pt idx="221">
                  <c:v>1108.4888128508958</c:v>
                </c:pt>
                <c:pt idx="222">
                  <c:v>1093.3379014682241</c:v>
                </c:pt>
                <c:pt idx="223">
                  <c:v>1078.2824407812398</c:v>
                </c:pt>
                <c:pt idx="224">
                  <c:v>1063.3218718817975</c:v>
                </c:pt>
                <c:pt idx="225">
                  <c:v>1048.4556302482542</c:v>
                </c:pt>
                <c:pt idx="226">
                  <c:v>1033.6831462314606</c:v>
                </c:pt>
                <c:pt idx="227">
                  <c:v>1019.0038455196257</c:v>
                </c:pt>
                <c:pt idx="228">
                  <c:v>1004.4171495828513</c:v>
                </c:pt>
                <c:pt idx="229">
                  <c:v>989.92247609812443</c:v>
                </c:pt>
                <c:pt idx="230">
                  <c:v>975.51923935549632</c:v>
                </c:pt>
                <c:pt idx="231">
                  <c:v>961.20685064618999</c:v>
                </c:pt>
                <c:pt idx="232">
                  <c:v>946.98471863332225</c:v>
                </c:pt>
                <c:pt idx="233">
                  <c:v>932.85224970591082</c:v>
                </c:pt>
                <c:pt idx="234">
                  <c:v>918.80884831682101</c:v>
                </c:pt>
                <c:pt idx="235">
                  <c:v>904.85391730526135</c:v>
                </c:pt>
                <c:pt idx="236">
                  <c:v>890.98685820445598</c:v>
                </c:pt>
                <c:pt idx="237">
                  <c:v>877.20707153503827</c:v>
                </c:pt>
                <c:pt idx="238">
                  <c:v>863.51395708475263</c:v>
                </c:pt>
                <c:pt idx="239">
                  <c:v>849.90691417499693</c:v>
                </c:pt>
                <c:pt idx="240">
                  <c:v>836.38534191470205</c:v>
                </c:pt>
                <c:pt idx="241">
                  <c:v>822.94863944208601</c:v>
                </c:pt>
                <c:pt idx="242">
                  <c:v>809.59620615472045</c:v>
                </c:pt>
                <c:pt idx="243">
                  <c:v>796.32744192841437</c:v>
                </c:pt>
                <c:pt idx="244">
                  <c:v>783.14174732533365</c:v>
                </c:pt>
                <c:pt idx="245">
                  <c:v>770.0385237917817</c:v>
                </c:pt>
                <c:pt idx="246">
                  <c:v>757.01717384608617</c:v>
                </c:pt>
                <c:pt idx="247">
                  <c:v>744.07710125695462</c:v>
                </c:pt>
                <c:pt idx="248">
                  <c:v>731.21771121270376</c:v>
                </c:pt>
                <c:pt idx="249">
                  <c:v>718.43841048172021</c:v>
                </c:pt>
                <c:pt idx="250">
                  <c:v>705.73860756451711</c:v>
                </c:pt>
                <c:pt idx="251">
                  <c:v>693.11771283771827</c:v>
                </c:pt>
                <c:pt idx="252">
                  <c:v>680.57513869029765</c:v>
                </c:pt>
                <c:pt idx="253">
                  <c:v>668.11029965241312</c:v>
                </c:pt>
                <c:pt idx="254">
                  <c:v>655.72261251709813</c:v>
                </c:pt>
                <c:pt idx="255">
                  <c:v>643.41149645514213</c:v>
                </c:pt>
                <c:pt idx="256">
                  <c:v>631.17637312342254</c:v>
                </c:pt>
                <c:pt idx="257">
                  <c:v>619.01666676695572</c:v>
                </c:pt>
                <c:pt idx="258">
                  <c:v>606.93180431494659</c:v>
                </c:pt>
                <c:pt idx="259">
                  <c:v>594.92121547105967</c:v>
                </c:pt>
                <c:pt idx="260">
                  <c:v>582.98433279818039</c:v>
                </c:pt>
                <c:pt idx="261">
                  <c:v>571.12059179787855</c:v>
                </c:pt>
                <c:pt idx="262">
                  <c:v>559.32943098480189</c:v>
                </c:pt>
                <c:pt idx="263">
                  <c:v>547.61029195622211</c:v>
                </c:pt>
                <c:pt idx="264">
                  <c:v>535.96261945692777</c:v>
                </c:pt>
                <c:pt idx="265">
                  <c:v>524.38586143966745</c:v>
                </c:pt>
                <c:pt idx="266">
                  <c:v>512.87946912133202</c:v>
                </c:pt>
                <c:pt idx="267">
                  <c:v>501.44289703506661</c:v>
                </c:pt>
                <c:pt idx="268">
                  <c:v>490.07560307846938</c:v>
                </c:pt>
                <c:pt idx="269">
                  <c:v>478.77704855806633</c:v>
                </c:pt>
                <c:pt idx="270">
                  <c:v>467.5466982302176</c:v>
                </c:pt>
                <c:pt idx="271">
                  <c:v>456.38402033860331</c:v>
                </c:pt>
                <c:pt idx="272">
                  <c:v>445.28848664844793</c:v>
                </c:pt>
                <c:pt idx="273">
                  <c:v>434.25957247762932</c:v>
                </c:pt>
                <c:pt idx="274">
                  <c:v>423.2967567247988</c:v>
                </c:pt>
                <c:pt idx="275">
                  <c:v>412.39952189466055</c:v>
                </c:pt>
                <c:pt idx="276">
                  <c:v>401.56735412052188</c:v>
                </c:pt>
                <c:pt idx="277">
                  <c:v>390.79974318425462</c:v>
                </c:pt>
                <c:pt idx="278">
                  <c:v>380.09618253377346</c:v>
                </c:pt>
                <c:pt idx="279">
                  <c:v>369.45616929814116</c:v>
                </c:pt>
                <c:pt idx="280">
                  <c:v>358.87920430042675</c:v>
                </c:pt>
                <c:pt idx="281">
                  <c:v>348.36479206840238</c:v>
                </c:pt>
                <c:pt idx="282">
                  <c:v>337.91244084319055</c:v>
                </c:pt>
                <c:pt idx="283">
                  <c:v>327.52166258595452</c:v>
                </c:pt>
                <c:pt idx="284">
                  <c:v>317.1919729827199</c:v>
                </c:pt>
                <c:pt idx="285">
                  <c:v>306.9228914474312</c:v>
                </c:pt>
              </c:numCache>
            </c:numRef>
          </c:yVal>
          <c:smooth val="0"/>
          <c:extLst>
            <c:ext xmlns:c16="http://schemas.microsoft.com/office/drawing/2014/chart" uri="{C3380CC4-5D6E-409C-BE32-E72D297353CC}">
              <c16:uniqueId val="{00000000-2397-AA48-A9B6-659BA4C6B1C2}"/>
            </c:ext>
          </c:extLst>
        </c:ser>
        <c:dLbls>
          <c:showLegendKey val="0"/>
          <c:showVal val="0"/>
          <c:showCatName val="0"/>
          <c:showSerName val="0"/>
          <c:showPercent val="0"/>
          <c:showBubbleSize val="0"/>
        </c:dLbls>
        <c:axId val="1748497520"/>
        <c:axId val="94010543"/>
      </c:scatterChart>
      <c:valAx>
        <c:axId val="1748497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10543"/>
        <c:crosses val="autoZero"/>
        <c:crossBetween val="midCat"/>
      </c:valAx>
      <c:valAx>
        <c:axId val="9401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497520"/>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Passenger Load vs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solidFill>
                <a:schemeClr val="accent2"/>
              </a:solidFill>
              <a:round/>
            </a:ln>
            <a:effectLst/>
          </c:spPr>
          <c:marker>
            <c:symbol val="none"/>
          </c:marker>
          <c:xVal>
            <c:numRef>
              <c:f>'Performance Analysis'!$AL$84:$AL$96</c:f>
              <c:numCache>
                <c:formatCode>General</c:formatCode>
                <c:ptCount val="13"/>
                <c:pt idx="0">
                  <c:v>0</c:v>
                </c:pt>
                <c:pt idx="1">
                  <c:v>1</c:v>
                </c:pt>
                <c:pt idx="2">
                  <c:v>2</c:v>
                </c:pt>
                <c:pt idx="3">
                  <c:v>3</c:v>
                </c:pt>
                <c:pt idx="4">
                  <c:v>4</c:v>
                </c:pt>
                <c:pt idx="5">
                  <c:v>5</c:v>
                </c:pt>
                <c:pt idx="6">
                  <c:v>6</c:v>
                </c:pt>
                <c:pt idx="7">
                  <c:v>7</c:v>
                </c:pt>
                <c:pt idx="8">
                  <c:v>8</c:v>
                </c:pt>
                <c:pt idx="9">
                  <c:v>9</c:v>
                </c:pt>
                <c:pt idx="10">
                  <c:v>10</c:v>
                </c:pt>
                <c:pt idx="11">
                  <c:v>11</c:v>
                </c:pt>
                <c:pt idx="12">
                  <c:v>12</c:v>
                </c:pt>
              </c:numCache>
            </c:numRef>
          </c:xVal>
          <c:yVal>
            <c:numRef>
              <c:f>'Performance Analysis'!$AP$84:$AP$96</c:f>
              <c:numCache>
                <c:formatCode>General</c:formatCode>
                <c:ptCount val="13"/>
                <c:pt idx="0">
                  <c:v>1985.9171726609709</c:v>
                </c:pt>
                <c:pt idx="1">
                  <c:v>1939.309024781242</c:v>
                </c:pt>
                <c:pt idx="2">
                  <c:v>1893.986629203629</c:v>
                </c:pt>
                <c:pt idx="3">
                  <c:v>1849.9023872867833</c:v>
                </c:pt>
                <c:pt idx="4">
                  <c:v>1807.0109909417502</c:v>
                </c:pt>
                <c:pt idx="5">
                  <c:v>1765.2692852065509</c:v>
                </c:pt>
                <c:pt idx="6">
                  <c:v>1724.6361407116426</c:v>
                </c:pt>
                <c:pt idx="7">
                  <c:v>1685.0723352085713</c:v>
                </c:pt>
                <c:pt idx="8">
                  <c:v>1646.5404434128091</c:v>
                </c:pt>
                <c:pt idx="9">
                  <c:v>1609.0047344820223</c:v>
                </c:pt>
                <c:pt idx="10">
                  <c:v>1572.4310765140021</c:v>
                </c:pt>
                <c:pt idx="11">
                  <c:v>1536.7868475048947</c:v>
                </c:pt>
                <c:pt idx="12">
                  <c:v>1502.0408522590651</c:v>
                </c:pt>
              </c:numCache>
            </c:numRef>
          </c:yVal>
          <c:smooth val="0"/>
          <c:extLst>
            <c:ext xmlns:c16="http://schemas.microsoft.com/office/drawing/2014/chart" uri="{C3380CC4-5D6E-409C-BE32-E72D297353CC}">
              <c16:uniqueId val="{00000000-641D-A84F-9BE6-9E321D0C5F7E}"/>
            </c:ext>
          </c:extLst>
        </c:ser>
        <c:dLbls>
          <c:showLegendKey val="0"/>
          <c:showVal val="0"/>
          <c:showCatName val="0"/>
          <c:showSerName val="0"/>
          <c:showPercent val="0"/>
          <c:showBubbleSize val="0"/>
        </c:dLbls>
        <c:axId val="726871535"/>
        <c:axId val="1130532767"/>
      </c:scatterChart>
      <c:valAx>
        <c:axId val="726871535"/>
        <c:scaling>
          <c:orientation val="minMax"/>
          <c:max val="1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Passenger</a:t>
                </a:r>
                <a:r>
                  <a:rPr lang="en-US" baseline="0"/>
                  <a:t> Count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532767"/>
        <c:crosses val="autoZero"/>
        <c:crossBetween val="midCat"/>
      </c:valAx>
      <c:valAx>
        <c:axId val="1130532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Rnage (nm)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7153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Vertical</a:t>
            </a:r>
            <a:r>
              <a:rPr lang="en-US" baseline="0"/>
              <a:t> Speed vs Airspeed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'Performance CLB'!$B$32:$B$121</c:f>
              <c:numCache>
                <c:formatCode>General</c:formatCode>
                <c:ptCount val="90"/>
                <c:pt idx="0">
                  <c:v>72</c:v>
                </c:pt>
                <c:pt idx="1">
                  <c:v>74</c:v>
                </c:pt>
                <c:pt idx="2">
                  <c:v>76</c:v>
                </c:pt>
                <c:pt idx="3">
                  <c:v>78</c:v>
                </c:pt>
                <c:pt idx="4">
                  <c:v>80</c:v>
                </c:pt>
                <c:pt idx="5">
                  <c:v>82</c:v>
                </c:pt>
                <c:pt idx="6">
                  <c:v>84</c:v>
                </c:pt>
                <c:pt idx="7">
                  <c:v>86</c:v>
                </c:pt>
                <c:pt idx="8">
                  <c:v>88</c:v>
                </c:pt>
                <c:pt idx="9">
                  <c:v>90</c:v>
                </c:pt>
                <c:pt idx="10">
                  <c:v>92</c:v>
                </c:pt>
                <c:pt idx="11">
                  <c:v>94</c:v>
                </c:pt>
                <c:pt idx="12">
                  <c:v>96</c:v>
                </c:pt>
                <c:pt idx="13">
                  <c:v>98</c:v>
                </c:pt>
                <c:pt idx="14">
                  <c:v>100</c:v>
                </c:pt>
                <c:pt idx="15">
                  <c:v>102</c:v>
                </c:pt>
                <c:pt idx="16">
                  <c:v>104</c:v>
                </c:pt>
                <c:pt idx="17">
                  <c:v>106</c:v>
                </c:pt>
                <c:pt idx="18">
                  <c:v>108</c:v>
                </c:pt>
                <c:pt idx="19">
                  <c:v>110</c:v>
                </c:pt>
                <c:pt idx="20">
                  <c:v>112</c:v>
                </c:pt>
                <c:pt idx="21">
                  <c:v>114</c:v>
                </c:pt>
                <c:pt idx="22">
                  <c:v>116</c:v>
                </c:pt>
                <c:pt idx="23">
                  <c:v>118</c:v>
                </c:pt>
                <c:pt idx="24">
                  <c:v>120</c:v>
                </c:pt>
                <c:pt idx="25">
                  <c:v>122</c:v>
                </c:pt>
                <c:pt idx="26">
                  <c:v>124</c:v>
                </c:pt>
                <c:pt idx="27">
                  <c:v>126</c:v>
                </c:pt>
                <c:pt idx="28">
                  <c:v>128</c:v>
                </c:pt>
                <c:pt idx="29">
                  <c:v>130</c:v>
                </c:pt>
                <c:pt idx="30">
                  <c:v>132</c:v>
                </c:pt>
                <c:pt idx="31">
                  <c:v>134</c:v>
                </c:pt>
                <c:pt idx="32">
                  <c:v>136</c:v>
                </c:pt>
                <c:pt idx="33">
                  <c:v>138</c:v>
                </c:pt>
                <c:pt idx="34">
                  <c:v>140</c:v>
                </c:pt>
                <c:pt idx="35">
                  <c:v>142</c:v>
                </c:pt>
                <c:pt idx="36">
                  <c:v>144</c:v>
                </c:pt>
                <c:pt idx="37">
                  <c:v>146</c:v>
                </c:pt>
                <c:pt idx="38">
                  <c:v>148</c:v>
                </c:pt>
                <c:pt idx="39">
                  <c:v>150</c:v>
                </c:pt>
                <c:pt idx="40">
                  <c:v>152</c:v>
                </c:pt>
                <c:pt idx="41">
                  <c:v>154</c:v>
                </c:pt>
                <c:pt idx="42">
                  <c:v>156</c:v>
                </c:pt>
                <c:pt idx="43">
                  <c:v>158</c:v>
                </c:pt>
                <c:pt idx="44">
                  <c:v>160</c:v>
                </c:pt>
                <c:pt idx="45">
                  <c:v>162</c:v>
                </c:pt>
                <c:pt idx="46">
                  <c:v>164</c:v>
                </c:pt>
                <c:pt idx="47">
                  <c:v>166</c:v>
                </c:pt>
                <c:pt idx="48">
                  <c:v>168</c:v>
                </c:pt>
                <c:pt idx="49">
                  <c:v>170</c:v>
                </c:pt>
                <c:pt idx="50">
                  <c:v>172</c:v>
                </c:pt>
                <c:pt idx="51">
                  <c:v>174</c:v>
                </c:pt>
                <c:pt idx="52">
                  <c:v>176</c:v>
                </c:pt>
                <c:pt idx="53">
                  <c:v>178</c:v>
                </c:pt>
                <c:pt idx="54">
                  <c:v>180</c:v>
                </c:pt>
                <c:pt idx="55">
                  <c:v>182</c:v>
                </c:pt>
                <c:pt idx="56">
                  <c:v>184</c:v>
                </c:pt>
                <c:pt idx="57">
                  <c:v>186</c:v>
                </c:pt>
                <c:pt idx="58">
                  <c:v>188</c:v>
                </c:pt>
                <c:pt idx="59">
                  <c:v>190</c:v>
                </c:pt>
                <c:pt idx="60">
                  <c:v>192</c:v>
                </c:pt>
                <c:pt idx="61">
                  <c:v>194</c:v>
                </c:pt>
                <c:pt idx="62">
                  <c:v>196</c:v>
                </c:pt>
                <c:pt idx="63">
                  <c:v>198</c:v>
                </c:pt>
                <c:pt idx="64">
                  <c:v>200</c:v>
                </c:pt>
                <c:pt idx="65">
                  <c:v>202</c:v>
                </c:pt>
                <c:pt idx="66">
                  <c:v>204</c:v>
                </c:pt>
                <c:pt idx="67">
                  <c:v>206</c:v>
                </c:pt>
                <c:pt idx="68">
                  <c:v>208</c:v>
                </c:pt>
                <c:pt idx="69">
                  <c:v>210</c:v>
                </c:pt>
                <c:pt idx="70">
                  <c:v>212</c:v>
                </c:pt>
                <c:pt idx="71">
                  <c:v>214</c:v>
                </c:pt>
                <c:pt idx="72">
                  <c:v>216</c:v>
                </c:pt>
                <c:pt idx="73">
                  <c:v>218</c:v>
                </c:pt>
                <c:pt idx="74">
                  <c:v>220</c:v>
                </c:pt>
                <c:pt idx="75">
                  <c:v>222</c:v>
                </c:pt>
                <c:pt idx="76">
                  <c:v>224</c:v>
                </c:pt>
                <c:pt idx="77">
                  <c:v>226</c:v>
                </c:pt>
                <c:pt idx="78">
                  <c:v>228</c:v>
                </c:pt>
                <c:pt idx="79">
                  <c:v>230</c:v>
                </c:pt>
                <c:pt idx="80">
                  <c:v>232</c:v>
                </c:pt>
                <c:pt idx="81">
                  <c:v>234</c:v>
                </c:pt>
                <c:pt idx="82">
                  <c:v>236</c:v>
                </c:pt>
                <c:pt idx="83">
                  <c:v>238</c:v>
                </c:pt>
                <c:pt idx="84">
                  <c:v>240</c:v>
                </c:pt>
                <c:pt idx="85">
                  <c:v>242</c:v>
                </c:pt>
                <c:pt idx="86">
                  <c:v>244</c:v>
                </c:pt>
                <c:pt idx="87">
                  <c:v>246</c:v>
                </c:pt>
                <c:pt idx="88">
                  <c:v>248</c:v>
                </c:pt>
                <c:pt idx="89">
                  <c:v>250</c:v>
                </c:pt>
              </c:numCache>
            </c:numRef>
          </c:xVal>
          <c:yVal>
            <c:numRef>
              <c:f>'Performance CLB'!$C$32:$C$121</c:f>
              <c:numCache>
                <c:formatCode>General</c:formatCode>
                <c:ptCount val="90"/>
                <c:pt idx="0">
                  <c:v>539.32494465303705</c:v>
                </c:pt>
                <c:pt idx="1">
                  <c:v>554.30619311562145</c:v>
                </c:pt>
                <c:pt idx="2">
                  <c:v>569.28744157820574</c:v>
                </c:pt>
                <c:pt idx="3">
                  <c:v>584.26869004078992</c:v>
                </c:pt>
                <c:pt idx="4">
                  <c:v>599.24993850337444</c:v>
                </c:pt>
                <c:pt idx="5">
                  <c:v>614.23118696595895</c:v>
                </c:pt>
                <c:pt idx="6">
                  <c:v>629.21243542854324</c:v>
                </c:pt>
                <c:pt idx="7">
                  <c:v>644.19368389112742</c:v>
                </c:pt>
                <c:pt idx="8">
                  <c:v>659.17493235371182</c:v>
                </c:pt>
                <c:pt idx="9">
                  <c:v>674.15618081629634</c:v>
                </c:pt>
                <c:pt idx="10">
                  <c:v>689.13742927888063</c:v>
                </c:pt>
                <c:pt idx="11">
                  <c:v>704.11867774146492</c:v>
                </c:pt>
                <c:pt idx="12">
                  <c:v>719.09992620404944</c:v>
                </c:pt>
                <c:pt idx="13">
                  <c:v>734.08117466663373</c:v>
                </c:pt>
                <c:pt idx="14">
                  <c:v>749.06242312921802</c:v>
                </c:pt>
                <c:pt idx="15">
                  <c:v>764.04367159180231</c:v>
                </c:pt>
                <c:pt idx="16">
                  <c:v>779.02492005438683</c:v>
                </c:pt>
                <c:pt idx="17">
                  <c:v>794.00616851697123</c:v>
                </c:pt>
                <c:pt idx="18">
                  <c:v>808.98741697955552</c:v>
                </c:pt>
                <c:pt idx="19">
                  <c:v>823.9686654421397</c:v>
                </c:pt>
                <c:pt idx="20">
                  <c:v>838.94991390472421</c:v>
                </c:pt>
                <c:pt idx="21">
                  <c:v>853.93116236730873</c:v>
                </c:pt>
                <c:pt idx="22">
                  <c:v>868.91241082989291</c:v>
                </c:pt>
                <c:pt idx="23">
                  <c:v>883.8936592924772</c:v>
                </c:pt>
                <c:pt idx="24">
                  <c:v>898.87490775506171</c:v>
                </c:pt>
                <c:pt idx="25">
                  <c:v>913.856156217646</c:v>
                </c:pt>
                <c:pt idx="26">
                  <c:v>928.83740468023018</c:v>
                </c:pt>
                <c:pt idx="27">
                  <c:v>943.8186531428147</c:v>
                </c:pt>
                <c:pt idx="28">
                  <c:v>958.7999016053991</c:v>
                </c:pt>
                <c:pt idx="29">
                  <c:v>973.78115006798362</c:v>
                </c:pt>
                <c:pt idx="30">
                  <c:v>988.76239853056813</c:v>
                </c:pt>
                <c:pt idx="31">
                  <c:v>1003.7436469931522</c:v>
                </c:pt>
                <c:pt idx="32">
                  <c:v>1018.7248954557367</c:v>
                </c:pt>
                <c:pt idx="33">
                  <c:v>1033.706143918321</c:v>
                </c:pt>
                <c:pt idx="34">
                  <c:v>1048.6873923809051</c:v>
                </c:pt>
                <c:pt idx="35">
                  <c:v>1063.6686408434896</c:v>
                </c:pt>
                <c:pt idx="36">
                  <c:v>1078.6498893060741</c:v>
                </c:pt>
                <c:pt idx="37">
                  <c:v>1093.6311377686586</c:v>
                </c:pt>
                <c:pt idx="38">
                  <c:v>1108.6123862312429</c:v>
                </c:pt>
                <c:pt idx="39">
                  <c:v>1123.593634693827</c:v>
                </c:pt>
                <c:pt idx="40">
                  <c:v>1138.5748831564115</c:v>
                </c:pt>
                <c:pt idx="41">
                  <c:v>1153.556131618996</c:v>
                </c:pt>
                <c:pt idx="42">
                  <c:v>1168.5373800815798</c:v>
                </c:pt>
                <c:pt idx="43">
                  <c:v>1183.5186285441644</c:v>
                </c:pt>
                <c:pt idx="44">
                  <c:v>1198.4998770067489</c:v>
                </c:pt>
                <c:pt idx="45">
                  <c:v>1213.4811254693334</c:v>
                </c:pt>
                <c:pt idx="46">
                  <c:v>1228.4623739319179</c:v>
                </c:pt>
                <c:pt idx="47">
                  <c:v>1243.443622394502</c:v>
                </c:pt>
                <c:pt idx="48">
                  <c:v>1258.4248708570865</c:v>
                </c:pt>
                <c:pt idx="49">
                  <c:v>1273.4061193196708</c:v>
                </c:pt>
                <c:pt idx="50">
                  <c:v>1288.3873677822548</c:v>
                </c:pt>
                <c:pt idx="51">
                  <c:v>1303.3686162448391</c:v>
                </c:pt>
                <c:pt idx="52">
                  <c:v>1318.3498647074236</c:v>
                </c:pt>
                <c:pt idx="53">
                  <c:v>1333.3311131700082</c:v>
                </c:pt>
                <c:pt idx="54">
                  <c:v>1348.3123616325927</c:v>
                </c:pt>
                <c:pt idx="55">
                  <c:v>1363.2936100951767</c:v>
                </c:pt>
                <c:pt idx="56">
                  <c:v>1378.2748585577613</c:v>
                </c:pt>
                <c:pt idx="57">
                  <c:v>1393.2561070203458</c:v>
                </c:pt>
                <c:pt idx="58">
                  <c:v>1408.2373554829298</c:v>
                </c:pt>
                <c:pt idx="59">
                  <c:v>1423.2186039455144</c:v>
                </c:pt>
                <c:pt idx="60">
                  <c:v>1438.1998524080989</c:v>
                </c:pt>
                <c:pt idx="61">
                  <c:v>1453.1811008706832</c:v>
                </c:pt>
                <c:pt idx="62">
                  <c:v>1468.1623493332675</c:v>
                </c:pt>
                <c:pt idx="63">
                  <c:v>1483.1435977958515</c:v>
                </c:pt>
                <c:pt idx="64">
                  <c:v>1498.124846258436</c:v>
                </c:pt>
                <c:pt idx="65">
                  <c:v>1513.1060947210206</c:v>
                </c:pt>
                <c:pt idx="66">
                  <c:v>1528.0873431836046</c:v>
                </c:pt>
                <c:pt idx="67">
                  <c:v>1543.0685916461891</c:v>
                </c:pt>
                <c:pt idx="68">
                  <c:v>1558.0498401087737</c:v>
                </c:pt>
                <c:pt idx="69">
                  <c:v>1573.0310885713582</c:v>
                </c:pt>
                <c:pt idx="70">
                  <c:v>1588.0123370339425</c:v>
                </c:pt>
                <c:pt idx="71">
                  <c:v>1602.9935854965265</c:v>
                </c:pt>
                <c:pt idx="72">
                  <c:v>1617.974833959111</c:v>
                </c:pt>
                <c:pt idx="73">
                  <c:v>1632.9560824216953</c:v>
                </c:pt>
                <c:pt idx="74">
                  <c:v>1647.9373308842794</c:v>
                </c:pt>
                <c:pt idx="75">
                  <c:v>1662.9185793468639</c:v>
                </c:pt>
                <c:pt idx="76">
                  <c:v>1677.8998278094484</c:v>
                </c:pt>
                <c:pt idx="77">
                  <c:v>1692.8810762720327</c:v>
                </c:pt>
                <c:pt idx="78">
                  <c:v>1707.8623247346175</c:v>
                </c:pt>
                <c:pt idx="79">
                  <c:v>1722.8435731972013</c:v>
                </c:pt>
                <c:pt idx="80">
                  <c:v>1737.8248216597858</c:v>
                </c:pt>
                <c:pt idx="81">
                  <c:v>1752.8060701223703</c:v>
                </c:pt>
                <c:pt idx="82">
                  <c:v>1767.7873185849544</c:v>
                </c:pt>
                <c:pt idx="83">
                  <c:v>1782.7685670475389</c:v>
                </c:pt>
                <c:pt idx="84">
                  <c:v>1797.7498155101234</c:v>
                </c:pt>
                <c:pt idx="85">
                  <c:v>1812.7310639727077</c:v>
                </c:pt>
                <c:pt idx="86">
                  <c:v>1827.712312435292</c:v>
                </c:pt>
                <c:pt idx="87">
                  <c:v>1842.6935608978768</c:v>
                </c:pt>
                <c:pt idx="88">
                  <c:v>1857.6748093604604</c:v>
                </c:pt>
                <c:pt idx="89">
                  <c:v>1872.6560578230451</c:v>
                </c:pt>
              </c:numCache>
            </c:numRef>
          </c:yVal>
          <c:smooth val="0"/>
          <c:extLst>
            <c:ext xmlns:c16="http://schemas.microsoft.com/office/drawing/2014/chart" uri="{C3380CC4-5D6E-409C-BE32-E72D297353CC}">
              <c16:uniqueId val="{00000000-0BBD-5544-8E93-69F62776EE7E}"/>
            </c:ext>
          </c:extLst>
        </c:ser>
        <c:dLbls>
          <c:showLegendKey val="0"/>
          <c:showVal val="0"/>
          <c:showCatName val="0"/>
          <c:showSerName val="0"/>
          <c:showPercent val="0"/>
          <c:showBubbleSize val="0"/>
        </c:dLbls>
        <c:axId val="1819157376"/>
        <c:axId val="1818327680"/>
      </c:scatterChart>
      <c:valAx>
        <c:axId val="18191573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 (KTAS)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327680"/>
        <c:crosses val="autoZero"/>
        <c:crossBetween val="midCat"/>
      </c:valAx>
      <c:valAx>
        <c:axId val="1818327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Vertical</a:t>
                </a:r>
                <a:r>
                  <a:rPr lang="en-US" baseline="0"/>
                  <a:t> Speed (fpm)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1573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Aircraft Weight vs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'Performance Cruise'!$H$51:$H$80</c:f>
              <c:strCache>
                <c:ptCount val="30"/>
                <c:pt idx="0">
                  <c:v>Wf</c:v>
                </c:pt>
                <c:pt idx="1">
                  <c:v>15575</c:v>
                </c:pt>
                <c:pt idx="2">
                  <c:v>15675</c:v>
                </c:pt>
                <c:pt idx="3">
                  <c:v>15775</c:v>
                </c:pt>
                <c:pt idx="4">
                  <c:v>15875</c:v>
                </c:pt>
                <c:pt idx="5">
                  <c:v>15975</c:v>
                </c:pt>
                <c:pt idx="6">
                  <c:v>16075</c:v>
                </c:pt>
                <c:pt idx="7">
                  <c:v>16175</c:v>
                </c:pt>
                <c:pt idx="8">
                  <c:v>16275</c:v>
                </c:pt>
                <c:pt idx="9">
                  <c:v>16375</c:v>
                </c:pt>
                <c:pt idx="10">
                  <c:v>16475</c:v>
                </c:pt>
                <c:pt idx="11">
                  <c:v>16575</c:v>
                </c:pt>
                <c:pt idx="12">
                  <c:v>16675</c:v>
                </c:pt>
                <c:pt idx="13">
                  <c:v>16775</c:v>
                </c:pt>
                <c:pt idx="14">
                  <c:v>16875</c:v>
                </c:pt>
                <c:pt idx="15">
                  <c:v>16975</c:v>
                </c:pt>
                <c:pt idx="16">
                  <c:v>17075</c:v>
                </c:pt>
                <c:pt idx="17">
                  <c:v>17175</c:v>
                </c:pt>
                <c:pt idx="18">
                  <c:v>17275</c:v>
                </c:pt>
                <c:pt idx="19">
                  <c:v>17375</c:v>
                </c:pt>
                <c:pt idx="20">
                  <c:v>17475</c:v>
                </c:pt>
                <c:pt idx="21">
                  <c:v>17575</c:v>
                </c:pt>
                <c:pt idx="22">
                  <c:v>17675</c:v>
                </c:pt>
                <c:pt idx="23">
                  <c:v>17775</c:v>
                </c:pt>
                <c:pt idx="24">
                  <c:v>17875</c:v>
                </c:pt>
                <c:pt idx="25">
                  <c:v>17975</c:v>
                </c:pt>
                <c:pt idx="26">
                  <c:v>18075</c:v>
                </c:pt>
                <c:pt idx="27">
                  <c:v>18175</c:v>
                </c:pt>
                <c:pt idx="28">
                  <c:v>18275</c:v>
                </c:pt>
                <c:pt idx="29">
                  <c:v>18375</c:v>
                </c:pt>
              </c:strCache>
            </c:strRef>
          </c:cat>
          <c:val>
            <c:numRef>
              <c:f>'Performance Cruise'!$I$51:$I$80</c:f>
              <c:numCache>
                <c:formatCode>General</c:formatCode>
                <c:ptCount val="30"/>
                <c:pt idx="0">
                  <c:v>0</c:v>
                </c:pt>
                <c:pt idx="1">
                  <c:v>0</c:v>
                </c:pt>
                <c:pt idx="2">
                  <c:v>52.731464066888257</c:v>
                </c:pt>
                <c:pt idx="3">
                  <c:v>105.29499225533097</c:v>
                </c:pt>
                <c:pt idx="4">
                  <c:v>157.69217891334296</c:v>
                </c:pt>
                <c:pt idx="5">
                  <c:v>209.92459332013414</c:v>
                </c:pt>
                <c:pt idx="6">
                  <c:v>261.99378023450663</c:v>
                </c:pt>
                <c:pt idx="7">
                  <c:v>313.90126042791644</c:v>
                </c:pt>
                <c:pt idx="8">
                  <c:v>365.64853120272778</c:v>
                </c:pt>
                <c:pt idx="9">
                  <c:v>417.23706689616739</c:v>
                </c:pt>
                <c:pt idx="10">
                  <c:v>468.66831937043719</c:v>
                </c:pt>
                <c:pt idx="11">
                  <c:v>519.9437184894723</c:v>
                </c:pt>
                <c:pt idx="12">
                  <c:v>571.06467258276791</c:v>
                </c:pt>
                <c:pt idx="13">
                  <c:v>622.03256889670456</c:v>
                </c:pt>
                <c:pt idx="14">
                  <c:v>672.84877403380665</c:v>
                </c:pt>
                <c:pt idx="15">
                  <c:v>723.51463438025542</c:v>
                </c:pt>
                <c:pt idx="16">
                  <c:v>774.03147652214602</c:v>
                </c:pt>
                <c:pt idx="17">
                  <c:v>824.40060765074065</c:v>
                </c:pt>
                <c:pt idx="18">
                  <c:v>874.62331595715125</c:v>
                </c:pt>
                <c:pt idx="19">
                  <c:v>924.70087101673096</c:v>
                </c:pt>
                <c:pt idx="20">
                  <c:v>974.63452416354278</c:v>
                </c:pt>
                <c:pt idx="21">
                  <c:v>1024.4255088552004</c:v>
                </c:pt>
                <c:pt idx="22">
                  <c:v>1074.0750410283551</c:v>
                </c:pt>
                <c:pt idx="23">
                  <c:v>1123.5843194451702</c:v>
                </c:pt>
                <c:pt idx="24">
                  <c:v>1172.9545260310299</c:v>
                </c:pt>
                <c:pt idx="25">
                  <c:v>1222.1868262037549</c:v>
                </c:pt>
                <c:pt idx="26">
                  <c:v>1271.2823691945864</c:v>
                </c:pt>
                <c:pt idx="27">
                  <c:v>1320.2422883611891</c:v>
                </c:pt>
                <c:pt idx="28">
                  <c:v>1369.0677014929252</c:v>
                </c:pt>
                <c:pt idx="29">
                  <c:v>1417.759711108607</c:v>
                </c:pt>
              </c:numCache>
            </c:numRef>
          </c:val>
          <c:extLst>
            <c:ext xmlns:c16="http://schemas.microsoft.com/office/drawing/2014/chart" uri="{C3380CC4-5D6E-409C-BE32-E72D297353CC}">
              <c16:uniqueId val="{00000000-FFAE-6649-B963-241CBD81A917}"/>
            </c:ext>
          </c:extLst>
        </c:ser>
        <c:ser>
          <c:idx val="1"/>
          <c:order val="1"/>
          <c:spPr>
            <a:solidFill>
              <a:schemeClr val="accent2"/>
            </a:solidFill>
            <a:ln>
              <a:noFill/>
            </a:ln>
            <a:effectLst/>
          </c:spPr>
          <c:invertIfNegative val="0"/>
          <c:cat>
            <c:strRef>
              <c:f>'Performance Cruise'!$H$51:$H$80</c:f>
              <c:strCache>
                <c:ptCount val="30"/>
                <c:pt idx="0">
                  <c:v>Wf</c:v>
                </c:pt>
                <c:pt idx="1">
                  <c:v>15575</c:v>
                </c:pt>
                <c:pt idx="2">
                  <c:v>15675</c:v>
                </c:pt>
                <c:pt idx="3">
                  <c:v>15775</c:v>
                </c:pt>
                <c:pt idx="4">
                  <c:v>15875</c:v>
                </c:pt>
                <c:pt idx="5">
                  <c:v>15975</c:v>
                </c:pt>
                <c:pt idx="6">
                  <c:v>16075</c:v>
                </c:pt>
                <c:pt idx="7">
                  <c:v>16175</c:v>
                </c:pt>
                <c:pt idx="8">
                  <c:v>16275</c:v>
                </c:pt>
                <c:pt idx="9">
                  <c:v>16375</c:v>
                </c:pt>
                <c:pt idx="10">
                  <c:v>16475</c:v>
                </c:pt>
                <c:pt idx="11">
                  <c:v>16575</c:v>
                </c:pt>
                <c:pt idx="12">
                  <c:v>16675</c:v>
                </c:pt>
                <c:pt idx="13">
                  <c:v>16775</c:v>
                </c:pt>
                <c:pt idx="14">
                  <c:v>16875</c:v>
                </c:pt>
                <c:pt idx="15">
                  <c:v>16975</c:v>
                </c:pt>
                <c:pt idx="16">
                  <c:v>17075</c:v>
                </c:pt>
                <c:pt idx="17">
                  <c:v>17175</c:v>
                </c:pt>
                <c:pt idx="18">
                  <c:v>17275</c:v>
                </c:pt>
                <c:pt idx="19">
                  <c:v>17375</c:v>
                </c:pt>
                <c:pt idx="20">
                  <c:v>17475</c:v>
                </c:pt>
                <c:pt idx="21">
                  <c:v>17575</c:v>
                </c:pt>
                <c:pt idx="22">
                  <c:v>17675</c:v>
                </c:pt>
                <c:pt idx="23">
                  <c:v>17775</c:v>
                </c:pt>
                <c:pt idx="24">
                  <c:v>17875</c:v>
                </c:pt>
                <c:pt idx="25">
                  <c:v>17975</c:v>
                </c:pt>
                <c:pt idx="26">
                  <c:v>18075</c:v>
                </c:pt>
                <c:pt idx="27">
                  <c:v>18175</c:v>
                </c:pt>
                <c:pt idx="28">
                  <c:v>18275</c:v>
                </c:pt>
                <c:pt idx="29">
                  <c:v>18375</c:v>
                </c:pt>
              </c:strCache>
            </c:strRef>
          </c:cat>
          <c:val>
            <c:numRef>
              <c:f>'Performance Cruise'!$J$51:$J$80</c:f>
              <c:numCache>
                <c:formatCode>General</c:formatCode>
                <c:ptCount val="30"/>
                <c:pt idx="0">
                  <c:v>0</c:v>
                </c:pt>
                <c:pt idx="1">
                  <c:v>0</c:v>
                </c:pt>
                <c:pt idx="2">
                  <c:v>59.76232594247336</c:v>
                </c:pt>
                <c:pt idx="3">
                  <c:v>119.33432455604176</c:v>
                </c:pt>
                <c:pt idx="4">
                  <c:v>178.71780276845536</c:v>
                </c:pt>
                <c:pt idx="5">
                  <c:v>237.91453909615203</c:v>
                </c:pt>
                <c:pt idx="6">
                  <c:v>296.9262842657742</c:v>
                </c:pt>
                <c:pt idx="7">
                  <c:v>355.75476181830533</c:v>
                </c:pt>
                <c:pt idx="8">
                  <c:v>414.40166869642479</c:v>
                </c:pt>
                <c:pt idx="9">
                  <c:v>472.86867581565639</c:v>
                </c:pt>
                <c:pt idx="10">
                  <c:v>531.15742861982881</c:v>
                </c:pt>
                <c:pt idx="11">
                  <c:v>589.26954762140201</c:v>
                </c:pt>
                <c:pt idx="12">
                  <c:v>647.20662892713699</c:v>
                </c:pt>
                <c:pt idx="13">
                  <c:v>704.97024474959846</c:v>
                </c:pt>
                <c:pt idx="14">
                  <c:v>762.56194390498081</c:v>
                </c:pt>
                <c:pt idx="15">
                  <c:v>819.98325229762281</c:v>
                </c:pt>
                <c:pt idx="16">
                  <c:v>877.23567339176554</c:v>
                </c:pt>
                <c:pt idx="17">
                  <c:v>934.32068867083933</c:v>
                </c:pt>
                <c:pt idx="18">
                  <c:v>991.23975808477144</c:v>
                </c:pt>
                <c:pt idx="19">
                  <c:v>1047.9943204856284</c:v>
                </c:pt>
                <c:pt idx="20">
                  <c:v>1104.5857940520152</c:v>
                </c:pt>
                <c:pt idx="21">
                  <c:v>1161.0155767025603</c:v>
                </c:pt>
                <c:pt idx="22">
                  <c:v>1217.2850464988026</c:v>
                </c:pt>
                <c:pt idx="23">
                  <c:v>1273.3955620378597</c:v>
                </c:pt>
                <c:pt idx="24">
                  <c:v>1329.3484628351673</c:v>
                </c:pt>
                <c:pt idx="25">
                  <c:v>1385.145069697589</c:v>
                </c:pt>
                <c:pt idx="26">
                  <c:v>1440.7866850871981</c:v>
                </c:pt>
                <c:pt idx="27">
                  <c:v>1496.2745934760144</c:v>
                </c:pt>
                <c:pt idx="28">
                  <c:v>1551.6100616919819</c:v>
                </c:pt>
                <c:pt idx="29">
                  <c:v>1606.7943392564214</c:v>
                </c:pt>
              </c:numCache>
            </c:numRef>
          </c:val>
          <c:extLst>
            <c:ext xmlns:c16="http://schemas.microsoft.com/office/drawing/2014/chart" uri="{C3380CC4-5D6E-409C-BE32-E72D297353CC}">
              <c16:uniqueId val="{00000001-FFAE-6649-B963-241CBD81A917}"/>
            </c:ext>
          </c:extLst>
        </c:ser>
        <c:dLbls>
          <c:showLegendKey val="0"/>
          <c:showVal val="0"/>
          <c:showCatName val="0"/>
          <c:showSerName val="0"/>
          <c:showPercent val="0"/>
          <c:showBubbleSize val="0"/>
        </c:dLbls>
        <c:gapWidth val="219"/>
        <c:overlap val="-27"/>
        <c:axId val="591469023"/>
        <c:axId val="591426943"/>
      </c:barChart>
      <c:catAx>
        <c:axId val="59146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Aircraft Weight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426943"/>
        <c:crosses val="autoZero"/>
        <c:auto val="1"/>
        <c:lblAlgn val="ctr"/>
        <c:lblOffset val="100"/>
        <c:noMultiLvlLbl val="0"/>
      </c:catAx>
      <c:valAx>
        <c:axId val="591426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Aircraft Range (nm)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469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Fuel Weight vs Range</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lineChart>
        <c:grouping val="standard"/>
        <c:varyColors val="0"/>
        <c:ser>
          <c:idx val="0"/>
          <c:order val="0"/>
          <c:tx>
            <c:strRef>
              <c:f>'Performance Cruise'!$I$51</c:f>
              <c:strCache>
                <c:ptCount val="1"/>
                <c:pt idx="0">
                  <c:v>Range under Trubofan</c:v>
                </c:pt>
              </c:strCache>
            </c:strRef>
          </c:tx>
          <c:spPr>
            <a:ln w="38100" cap="rnd">
              <a:solidFill>
                <a:schemeClr val="accent1"/>
              </a:solidFill>
              <a:round/>
            </a:ln>
            <a:effectLst/>
          </c:spPr>
          <c:marker>
            <c:symbol val="circle"/>
            <c:size val="8"/>
            <c:spPr>
              <a:solidFill>
                <a:schemeClr val="accent1"/>
              </a:solidFill>
              <a:ln>
                <a:noFill/>
              </a:ln>
              <a:effectLst/>
            </c:spPr>
          </c:marker>
          <c:cat>
            <c:numRef>
              <c:f>'Performance Cruise'!$G$52:$G$82</c:f>
              <c:numCache>
                <c:formatCode>General</c:formatCode>
                <c:ptCount val="31"/>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numCache>
            </c:numRef>
          </c:cat>
          <c:val>
            <c:numRef>
              <c:f>'Performance Cruise'!$I$52:$I$82</c:f>
              <c:numCache>
                <c:formatCode>General</c:formatCode>
                <c:ptCount val="31"/>
                <c:pt idx="0">
                  <c:v>0</c:v>
                </c:pt>
                <c:pt idx="1">
                  <c:v>52.731464066888257</c:v>
                </c:pt>
                <c:pt idx="2">
                  <c:v>105.29499225533097</c:v>
                </c:pt>
                <c:pt idx="3">
                  <c:v>157.69217891334296</c:v>
                </c:pt>
                <c:pt idx="4">
                  <c:v>209.92459332013414</c:v>
                </c:pt>
                <c:pt idx="5">
                  <c:v>261.99378023450663</c:v>
                </c:pt>
                <c:pt idx="6">
                  <c:v>313.90126042791644</c:v>
                </c:pt>
                <c:pt idx="7">
                  <c:v>365.64853120272778</c:v>
                </c:pt>
                <c:pt idx="8">
                  <c:v>417.23706689616739</c:v>
                </c:pt>
                <c:pt idx="9">
                  <c:v>468.66831937043719</c:v>
                </c:pt>
                <c:pt idx="10">
                  <c:v>519.9437184894723</c:v>
                </c:pt>
                <c:pt idx="11">
                  <c:v>571.06467258276791</c:v>
                </c:pt>
                <c:pt idx="12">
                  <c:v>622.03256889670456</c:v>
                </c:pt>
                <c:pt idx="13">
                  <c:v>672.84877403380665</c:v>
                </c:pt>
                <c:pt idx="14">
                  <c:v>723.51463438025542</c:v>
                </c:pt>
                <c:pt idx="15">
                  <c:v>774.03147652214602</c:v>
                </c:pt>
                <c:pt idx="16">
                  <c:v>824.40060765074065</c:v>
                </c:pt>
                <c:pt idx="17">
                  <c:v>874.62331595715125</c:v>
                </c:pt>
                <c:pt idx="18">
                  <c:v>924.70087101673096</c:v>
                </c:pt>
                <c:pt idx="19">
                  <c:v>974.63452416354278</c:v>
                </c:pt>
                <c:pt idx="20">
                  <c:v>1024.4255088552004</c:v>
                </c:pt>
                <c:pt idx="21">
                  <c:v>1074.0750410283551</c:v>
                </c:pt>
                <c:pt idx="22">
                  <c:v>1123.5843194451702</c:v>
                </c:pt>
                <c:pt idx="23">
                  <c:v>1172.9545260310299</c:v>
                </c:pt>
                <c:pt idx="24">
                  <c:v>1222.1868262037549</c:v>
                </c:pt>
                <c:pt idx="25">
                  <c:v>1271.2823691945864</c:v>
                </c:pt>
                <c:pt idx="26">
                  <c:v>1320.2422883611891</c:v>
                </c:pt>
                <c:pt idx="27">
                  <c:v>1369.0677014929252</c:v>
                </c:pt>
                <c:pt idx="28">
                  <c:v>1417.759711108607</c:v>
                </c:pt>
                <c:pt idx="29">
                  <c:v>1466.3194047469763</c:v>
                </c:pt>
                <c:pt idx="30">
                  <c:v>1514.7478552501204</c:v>
                </c:pt>
              </c:numCache>
            </c:numRef>
          </c:val>
          <c:smooth val="0"/>
          <c:extLst>
            <c:ext xmlns:c16="http://schemas.microsoft.com/office/drawing/2014/chart" uri="{C3380CC4-5D6E-409C-BE32-E72D297353CC}">
              <c16:uniqueId val="{00000000-3EF9-6F4C-BD2B-A0275E7A0503}"/>
            </c:ext>
          </c:extLst>
        </c:ser>
        <c:ser>
          <c:idx val="1"/>
          <c:order val="1"/>
          <c:tx>
            <c:strRef>
              <c:f>'Performance Cruise'!$J$51</c:f>
              <c:strCache>
                <c:ptCount val="1"/>
                <c:pt idx="0">
                  <c:v>Range for generator</c:v>
                </c:pt>
              </c:strCache>
            </c:strRef>
          </c:tx>
          <c:spPr>
            <a:ln w="38100" cap="rnd">
              <a:solidFill>
                <a:schemeClr val="accent2"/>
              </a:solidFill>
              <a:round/>
            </a:ln>
            <a:effectLst/>
          </c:spPr>
          <c:marker>
            <c:symbol val="circle"/>
            <c:size val="8"/>
            <c:spPr>
              <a:solidFill>
                <a:schemeClr val="accent2"/>
              </a:solidFill>
              <a:ln>
                <a:noFill/>
              </a:ln>
              <a:effectLst/>
            </c:spPr>
          </c:marker>
          <c:cat>
            <c:numRef>
              <c:f>'Performance Cruise'!$G$52:$G$82</c:f>
              <c:numCache>
                <c:formatCode>General</c:formatCode>
                <c:ptCount val="31"/>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numCache>
            </c:numRef>
          </c:cat>
          <c:val>
            <c:numRef>
              <c:f>'Performance Cruise'!$J$52:$J$82</c:f>
              <c:numCache>
                <c:formatCode>General</c:formatCode>
                <c:ptCount val="31"/>
                <c:pt idx="0">
                  <c:v>0</c:v>
                </c:pt>
                <c:pt idx="1">
                  <c:v>59.76232594247336</c:v>
                </c:pt>
                <c:pt idx="2">
                  <c:v>119.33432455604176</c:v>
                </c:pt>
                <c:pt idx="3">
                  <c:v>178.71780276845536</c:v>
                </c:pt>
                <c:pt idx="4">
                  <c:v>237.91453909615203</c:v>
                </c:pt>
                <c:pt idx="5">
                  <c:v>296.9262842657742</c:v>
                </c:pt>
                <c:pt idx="6">
                  <c:v>355.75476181830533</c:v>
                </c:pt>
                <c:pt idx="7">
                  <c:v>414.40166869642479</c:v>
                </c:pt>
                <c:pt idx="8">
                  <c:v>472.86867581565639</c:v>
                </c:pt>
                <c:pt idx="9">
                  <c:v>531.15742861982881</c:v>
                </c:pt>
                <c:pt idx="10">
                  <c:v>589.26954762140201</c:v>
                </c:pt>
                <c:pt idx="11">
                  <c:v>647.20662892713699</c:v>
                </c:pt>
                <c:pt idx="12">
                  <c:v>704.97024474959846</c:v>
                </c:pt>
                <c:pt idx="13">
                  <c:v>762.56194390498081</c:v>
                </c:pt>
                <c:pt idx="14">
                  <c:v>819.98325229762281</c:v>
                </c:pt>
                <c:pt idx="15">
                  <c:v>877.23567339176554</c:v>
                </c:pt>
                <c:pt idx="16">
                  <c:v>934.32068867083933</c:v>
                </c:pt>
                <c:pt idx="17">
                  <c:v>991.23975808477144</c:v>
                </c:pt>
                <c:pt idx="18">
                  <c:v>1047.9943204856284</c:v>
                </c:pt>
                <c:pt idx="19">
                  <c:v>1104.5857940520152</c:v>
                </c:pt>
                <c:pt idx="20">
                  <c:v>1161.0155767025603</c:v>
                </c:pt>
                <c:pt idx="21">
                  <c:v>1217.2850464988026</c:v>
                </c:pt>
                <c:pt idx="22">
                  <c:v>1273.3955620378597</c:v>
                </c:pt>
                <c:pt idx="23">
                  <c:v>1329.3484628351673</c:v>
                </c:pt>
                <c:pt idx="24">
                  <c:v>1385.145069697589</c:v>
                </c:pt>
                <c:pt idx="25">
                  <c:v>1440.7866850871981</c:v>
                </c:pt>
                <c:pt idx="26">
                  <c:v>1496.2745934760144</c:v>
                </c:pt>
                <c:pt idx="27">
                  <c:v>1551.6100616919819</c:v>
                </c:pt>
                <c:pt idx="28">
                  <c:v>1606.7943392564214</c:v>
                </c:pt>
                <c:pt idx="29">
                  <c:v>1661.8286587132397</c:v>
                </c:pt>
                <c:pt idx="30">
                  <c:v>1716.7142359501365</c:v>
                </c:pt>
              </c:numCache>
            </c:numRef>
          </c:val>
          <c:smooth val="0"/>
          <c:extLst>
            <c:ext xmlns:c16="http://schemas.microsoft.com/office/drawing/2014/chart" uri="{C3380CC4-5D6E-409C-BE32-E72D297353CC}">
              <c16:uniqueId val="{00000001-3EF9-6F4C-BD2B-A0275E7A0503}"/>
            </c:ext>
          </c:extLst>
        </c:ser>
        <c:ser>
          <c:idx val="2"/>
          <c:order val="2"/>
          <c:tx>
            <c:v>Sky Courier</c:v>
          </c:tx>
          <c:spPr>
            <a:ln w="38100" cap="rnd">
              <a:solidFill>
                <a:schemeClr val="accent3"/>
              </a:solidFill>
              <a:round/>
            </a:ln>
            <a:effectLst/>
          </c:spPr>
          <c:marker>
            <c:symbol val="circle"/>
            <c:size val="8"/>
            <c:spPr>
              <a:solidFill>
                <a:schemeClr val="accent3"/>
              </a:solidFill>
              <a:ln>
                <a:noFill/>
              </a:ln>
              <a:effectLst/>
            </c:spPr>
          </c:marker>
          <c:cat>
            <c:numRef>
              <c:f>'Performance Cruise'!$G$52:$G$82</c:f>
              <c:numCache>
                <c:formatCode>General</c:formatCode>
                <c:ptCount val="31"/>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numCache>
            </c:numRef>
          </c:cat>
          <c:val>
            <c:numRef>
              <c:f>'Performance Cruise'!$K$82</c:f>
              <c:numCache>
                <c:formatCode>0</c:formatCode>
                <c:ptCount val="1"/>
                <c:pt idx="0">
                  <c:v>1105</c:v>
                </c:pt>
              </c:numCache>
            </c:numRef>
          </c:val>
          <c:smooth val="0"/>
          <c:extLst>
            <c:ext xmlns:c16="http://schemas.microsoft.com/office/drawing/2014/chart" uri="{C3380CC4-5D6E-409C-BE32-E72D297353CC}">
              <c16:uniqueId val="{00000003-C466-354F-8A88-254227FC1DF9}"/>
            </c:ext>
          </c:extLst>
        </c:ser>
        <c:ser>
          <c:idx val="3"/>
          <c:order val="3"/>
          <c:tx>
            <c:v>Embraer Phenom 300</c:v>
          </c:tx>
          <c:spPr>
            <a:ln w="38100" cap="rnd">
              <a:solidFill>
                <a:schemeClr val="accent4"/>
              </a:solidFill>
              <a:round/>
            </a:ln>
            <a:effectLst/>
          </c:spPr>
          <c:marker>
            <c:symbol val="circle"/>
            <c:size val="8"/>
            <c:spPr>
              <a:solidFill>
                <a:schemeClr val="accent4"/>
              </a:solidFill>
              <a:ln>
                <a:noFill/>
              </a:ln>
              <a:effectLst/>
            </c:spPr>
          </c:marker>
          <c:cat>
            <c:numRef>
              <c:f>'Performance Cruise'!$G$52:$G$82</c:f>
              <c:numCache>
                <c:formatCode>General</c:formatCode>
                <c:ptCount val="31"/>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numCache>
            </c:numRef>
          </c:cat>
          <c:val>
            <c:numRef>
              <c:f>'Performance Cruise'!$L$82</c:f>
              <c:numCache>
                <c:formatCode>General</c:formatCode>
                <c:ptCount val="1"/>
                <c:pt idx="0">
                  <c:v>570</c:v>
                </c:pt>
              </c:numCache>
            </c:numRef>
          </c:val>
          <c:smooth val="0"/>
          <c:extLst>
            <c:ext xmlns:c16="http://schemas.microsoft.com/office/drawing/2014/chart" uri="{C3380CC4-5D6E-409C-BE32-E72D297353CC}">
              <c16:uniqueId val="{00000004-C466-354F-8A88-254227FC1DF9}"/>
            </c:ext>
          </c:extLst>
        </c:ser>
        <c:dLbls>
          <c:showLegendKey val="0"/>
          <c:showVal val="0"/>
          <c:showCatName val="0"/>
          <c:showSerName val="0"/>
          <c:showPercent val="0"/>
          <c:showBubbleSize val="0"/>
        </c:dLbls>
        <c:marker val="1"/>
        <c:smooth val="0"/>
        <c:axId val="539981247"/>
        <c:axId val="439460015"/>
      </c:lineChart>
      <c:catAx>
        <c:axId val="53998124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Fuel Weight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39460015"/>
        <c:crosses val="autoZero"/>
        <c:auto val="1"/>
        <c:lblAlgn val="ctr"/>
        <c:lblOffset val="100"/>
        <c:noMultiLvlLbl val="0"/>
      </c:catAx>
      <c:valAx>
        <c:axId val="439460015"/>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Range in nm)</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812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Range vs Fuel Capacity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Solaris XIL-1</c:v>
          </c:tx>
          <c:spPr>
            <a:ln w="19050" cap="rnd">
              <a:solidFill>
                <a:srgbClr val="E87331"/>
              </a:solidFill>
              <a:prstDash val="solid"/>
              <a:round/>
            </a:ln>
            <a:effectLst/>
          </c:spPr>
          <c:marker>
            <c:symbol val="none"/>
          </c:marker>
          <c:xVal>
            <c:numRef>
              <c:f>'Performance Cruise'!$G$52:$G$85</c:f>
              <c:numCache>
                <c:formatCode>General</c:formatCode>
                <c:ptCount val="34"/>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numCache>
            </c:numRef>
          </c:xVal>
          <c:yVal>
            <c:numRef>
              <c:f>'Performance Cruise'!$I$52:$I$85</c:f>
              <c:numCache>
                <c:formatCode>General</c:formatCode>
                <c:ptCount val="34"/>
                <c:pt idx="0">
                  <c:v>0</c:v>
                </c:pt>
                <c:pt idx="1">
                  <c:v>52.731464066888257</c:v>
                </c:pt>
                <c:pt idx="2">
                  <c:v>105.29499225533097</c:v>
                </c:pt>
                <c:pt idx="3">
                  <c:v>157.69217891334296</c:v>
                </c:pt>
                <c:pt idx="4">
                  <c:v>209.92459332013414</c:v>
                </c:pt>
                <c:pt idx="5">
                  <c:v>261.99378023450663</c:v>
                </c:pt>
                <c:pt idx="6">
                  <c:v>313.90126042791644</c:v>
                </c:pt>
                <c:pt idx="7">
                  <c:v>365.64853120272778</c:v>
                </c:pt>
                <c:pt idx="8">
                  <c:v>417.23706689616739</c:v>
                </c:pt>
                <c:pt idx="9">
                  <c:v>468.66831937043719</c:v>
                </c:pt>
                <c:pt idx="10">
                  <c:v>519.9437184894723</c:v>
                </c:pt>
                <c:pt idx="11">
                  <c:v>571.06467258276791</c:v>
                </c:pt>
                <c:pt idx="12">
                  <c:v>622.03256889670456</c:v>
                </c:pt>
                <c:pt idx="13">
                  <c:v>672.84877403380665</c:v>
                </c:pt>
                <c:pt idx="14">
                  <c:v>723.51463438025542</c:v>
                </c:pt>
                <c:pt idx="15">
                  <c:v>774.03147652214602</c:v>
                </c:pt>
                <c:pt idx="16">
                  <c:v>824.40060765074065</c:v>
                </c:pt>
                <c:pt idx="17">
                  <c:v>874.62331595715125</c:v>
                </c:pt>
                <c:pt idx="18">
                  <c:v>924.70087101673096</c:v>
                </c:pt>
                <c:pt idx="19">
                  <c:v>974.63452416354278</c:v>
                </c:pt>
                <c:pt idx="20">
                  <c:v>1024.4255088552004</c:v>
                </c:pt>
                <c:pt idx="21">
                  <c:v>1074.0750410283551</c:v>
                </c:pt>
                <c:pt idx="22">
                  <c:v>1123.5843194451702</c:v>
                </c:pt>
                <c:pt idx="23">
                  <c:v>1172.9545260310299</c:v>
                </c:pt>
                <c:pt idx="24">
                  <c:v>1222.1868262037549</c:v>
                </c:pt>
                <c:pt idx="25">
                  <c:v>1271.2823691945864</c:v>
                </c:pt>
                <c:pt idx="26">
                  <c:v>1320.2422883611891</c:v>
                </c:pt>
                <c:pt idx="27">
                  <c:v>1369.0677014929252</c:v>
                </c:pt>
                <c:pt idx="28">
                  <c:v>1417.759711108607</c:v>
                </c:pt>
                <c:pt idx="29">
                  <c:v>1466.3194047469763</c:v>
                </c:pt>
                <c:pt idx="30">
                  <c:v>1514.7478552501204</c:v>
                </c:pt>
                <c:pt idx="31">
                  <c:v>1563.0461210400183</c:v>
                </c:pt>
                <c:pt idx="32">
                  <c:v>1611.2152463884449</c:v>
                </c:pt>
                <c:pt idx="33">
                  <c:v>1659.2562616804109</c:v>
                </c:pt>
              </c:numCache>
            </c:numRef>
          </c:yVal>
          <c:smooth val="0"/>
          <c:extLst>
            <c:ext xmlns:c16="http://schemas.microsoft.com/office/drawing/2014/chart" uri="{C3380CC4-5D6E-409C-BE32-E72D297353CC}">
              <c16:uniqueId val="{00000001-E1F7-4C54-A31F-12B283E4D86A}"/>
            </c:ext>
          </c:extLst>
        </c:ser>
        <c:ser>
          <c:idx val="2"/>
          <c:order val="1"/>
          <c:tx>
            <c:v>Embraer Phenomon 300</c:v>
          </c:tx>
          <c:spPr>
            <a:ln w="19050" cap="rnd">
              <a:solidFill>
                <a:srgbClr val="186C24"/>
              </a:solidFill>
              <a:prstDash val="solid"/>
              <a:round/>
            </a:ln>
            <a:effectLst/>
          </c:spPr>
          <c:marker>
            <c:symbol val="none"/>
          </c:marker>
          <c:xVal>
            <c:numRef>
              <c:f>'Performance Cruise'!$G$52:$G$85</c:f>
              <c:numCache>
                <c:formatCode>General</c:formatCode>
                <c:ptCount val="34"/>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numCache>
            </c:numRef>
          </c:xVal>
          <c:yVal>
            <c:numRef>
              <c:f>'Performance Cruise'!$K$52:$K$85</c:f>
              <c:numCache>
                <c:formatCode>0</c:formatCode>
                <c:ptCount val="34"/>
                <c:pt idx="0" formatCode="General">
                  <c:v>0</c:v>
                </c:pt>
                <c:pt idx="1">
                  <c:v>36.833333333333336</c:v>
                </c:pt>
                <c:pt idx="2">
                  <c:v>73.666666666666671</c:v>
                </c:pt>
                <c:pt idx="3">
                  <c:v>110.5</c:v>
                </c:pt>
                <c:pt idx="4">
                  <c:v>147.33333333333334</c:v>
                </c:pt>
                <c:pt idx="5">
                  <c:v>184.16666666666666</c:v>
                </c:pt>
                <c:pt idx="6">
                  <c:v>221</c:v>
                </c:pt>
                <c:pt idx="7">
                  <c:v>257.83333333333331</c:v>
                </c:pt>
                <c:pt idx="8">
                  <c:v>294.66666666666669</c:v>
                </c:pt>
                <c:pt idx="9">
                  <c:v>331.5</c:v>
                </c:pt>
                <c:pt idx="10">
                  <c:v>368.33333333333331</c:v>
                </c:pt>
                <c:pt idx="11">
                  <c:v>405.16666666666669</c:v>
                </c:pt>
                <c:pt idx="12">
                  <c:v>442</c:v>
                </c:pt>
                <c:pt idx="13">
                  <c:v>478.83333333333331</c:v>
                </c:pt>
                <c:pt idx="14">
                  <c:v>515.66666666666663</c:v>
                </c:pt>
                <c:pt idx="15">
                  <c:v>552.5</c:v>
                </c:pt>
                <c:pt idx="16">
                  <c:v>589.33333333333337</c:v>
                </c:pt>
                <c:pt idx="17">
                  <c:v>626.16666666666663</c:v>
                </c:pt>
                <c:pt idx="18">
                  <c:v>663</c:v>
                </c:pt>
                <c:pt idx="19">
                  <c:v>699.83333333333337</c:v>
                </c:pt>
                <c:pt idx="20">
                  <c:v>736.66666666666663</c:v>
                </c:pt>
                <c:pt idx="21">
                  <c:v>773.5</c:v>
                </c:pt>
                <c:pt idx="22">
                  <c:v>810.33333333333337</c:v>
                </c:pt>
                <c:pt idx="23">
                  <c:v>847.16666666666663</c:v>
                </c:pt>
                <c:pt idx="24">
                  <c:v>884</c:v>
                </c:pt>
                <c:pt idx="25">
                  <c:v>920.83333333333337</c:v>
                </c:pt>
                <c:pt idx="26">
                  <c:v>957.66666666666663</c:v>
                </c:pt>
                <c:pt idx="27">
                  <c:v>994.5</c:v>
                </c:pt>
                <c:pt idx="28">
                  <c:v>1031.3333333333333</c:v>
                </c:pt>
                <c:pt idx="29">
                  <c:v>1068.1666666666667</c:v>
                </c:pt>
                <c:pt idx="30">
                  <c:v>1105</c:v>
                </c:pt>
                <c:pt idx="31">
                  <c:v>1141.8333333333333</c:v>
                </c:pt>
                <c:pt idx="32" formatCode="General">
                  <c:v>1179</c:v>
                </c:pt>
                <c:pt idx="33">
                  <c:v>1215</c:v>
                </c:pt>
              </c:numCache>
            </c:numRef>
          </c:yVal>
          <c:smooth val="0"/>
          <c:extLst>
            <c:ext xmlns:c16="http://schemas.microsoft.com/office/drawing/2014/chart" uri="{C3380CC4-5D6E-409C-BE32-E72D297353CC}">
              <c16:uniqueId val="{00000007-E1F7-4C54-A31F-12B283E4D86A}"/>
            </c:ext>
          </c:extLst>
        </c:ser>
        <c:ser>
          <c:idx val="3"/>
          <c:order val="2"/>
          <c:tx>
            <c:v>Cessna Sky Courier</c:v>
          </c:tx>
          <c:spPr>
            <a:ln w="19050" cap="rnd">
              <a:solidFill>
                <a:srgbClr val="0F9ED5"/>
              </a:solidFill>
              <a:prstDash val="solid"/>
              <a:round/>
            </a:ln>
            <a:effectLst/>
          </c:spPr>
          <c:marker>
            <c:symbol val="none"/>
          </c:marker>
          <c:xVal>
            <c:numRef>
              <c:f>'Performance Cruise'!$G$52:$G$85</c:f>
              <c:numCache>
                <c:formatCode>General</c:formatCode>
                <c:ptCount val="34"/>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numCache>
            </c:numRef>
          </c:xVal>
          <c:yVal>
            <c:numRef>
              <c:f>'Performance Cruise'!$L$52:$L$85</c:f>
              <c:numCache>
                <c:formatCode>General</c:formatCode>
                <c:ptCount val="34"/>
                <c:pt idx="0">
                  <c:v>0</c:v>
                </c:pt>
                <c:pt idx="1">
                  <c:v>19</c:v>
                </c:pt>
                <c:pt idx="2">
                  <c:v>38</c:v>
                </c:pt>
                <c:pt idx="3">
                  <c:v>57</c:v>
                </c:pt>
                <c:pt idx="4">
                  <c:v>76</c:v>
                </c:pt>
                <c:pt idx="5">
                  <c:v>95</c:v>
                </c:pt>
                <c:pt idx="6">
                  <c:v>114</c:v>
                </c:pt>
                <c:pt idx="7">
                  <c:v>133</c:v>
                </c:pt>
                <c:pt idx="8">
                  <c:v>152</c:v>
                </c:pt>
                <c:pt idx="9">
                  <c:v>171</c:v>
                </c:pt>
                <c:pt idx="10">
                  <c:v>190</c:v>
                </c:pt>
                <c:pt idx="11">
                  <c:v>209</c:v>
                </c:pt>
                <c:pt idx="12">
                  <c:v>228</c:v>
                </c:pt>
                <c:pt idx="13">
                  <c:v>247</c:v>
                </c:pt>
                <c:pt idx="14">
                  <c:v>266</c:v>
                </c:pt>
                <c:pt idx="15">
                  <c:v>285</c:v>
                </c:pt>
                <c:pt idx="16">
                  <c:v>304</c:v>
                </c:pt>
                <c:pt idx="17">
                  <c:v>323</c:v>
                </c:pt>
                <c:pt idx="18">
                  <c:v>342</c:v>
                </c:pt>
                <c:pt idx="19">
                  <c:v>361</c:v>
                </c:pt>
                <c:pt idx="20">
                  <c:v>380</c:v>
                </c:pt>
                <c:pt idx="21">
                  <c:v>399</c:v>
                </c:pt>
                <c:pt idx="22">
                  <c:v>418</c:v>
                </c:pt>
                <c:pt idx="23">
                  <c:v>437</c:v>
                </c:pt>
                <c:pt idx="24">
                  <c:v>456</c:v>
                </c:pt>
                <c:pt idx="25">
                  <c:v>475</c:v>
                </c:pt>
                <c:pt idx="26">
                  <c:v>494</c:v>
                </c:pt>
                <c:pt idx="27">
                  <c:v>513</c:v>
                </c:pt>
                <c:pt idx="28">
                  <c:v>532</c:v>
                </c:pt>
                <c:pt idx="29">
                  <c:v>551</c:v>
                </c:pt>
                <c:pt idx="30">
                  <c:v>570</c:v>
                </c:pt>
                <c:pt idx="31">
                  <c:v>589</c:v>
                </c:pt>
                <c:pt idx="32">
                  <c:v>608</c:v>
                </c:pt>
                <c:pt idx="33">
                  <c:v>627</c:v>
                </c:pt>
              </c:numCache>
            </c:numRef>
          </c:yVal>
          <c:smooth val="0"/>
          <c:extLst>
            <c:ext xmlns:c16="http://schemas.microsoft.com/office/drawing/2014/chart" uri="{C3380CC4-5D6E-409C-BE32-E72D297353CC}">
              <c16:uniqueId val="{00000008-E1F7-4C54-A31F-12B283E4D86A}"/>
            </c:ext>
          </c:extLst>
        </c:ser>
        <c:ser>
          <c:idx val="4"/>
          <c:order val="3"/>
          <c:tx>
            <c:v>Beechcraft King Air</c:v>
          </c:tx>
          <c:spPr>
            <a:ln w="19050" cap="rnd">
              <a:solidFill>
                <a:srgbClr val="A02B93"/>
              </a:solidFill>
              <a:prstDash val="solid"/>
              <a:round/>
            </a:ln>
            <a:effectLst/>
          </c:spPr>
          <c:marker>
            <c:symbol val="none"/>
          </c:marker>
          <c:xVal>
            <c:numRef>
              <c:f>'Performance Cruise'!$G$52:$G$85</c:f>
              <c:numCache>
                <c:formatCode>General</c:formatCode>
                <c:ptCount val="34"/>
                <c:pt idx="0">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numCache>
            </c:numRef>
          </c:xVal>
          <c:yVal>
            <c:numRef>
              <c:f>'Performance Cruise'!$M$52:$M$85</c:f>
              <c:numCache>
                <c:formatCode>0</c:formatCode>
                <c:ptCount val="34"/>
                <c:pt idx="0" formatCode="General">
                  <c:v>0</c:v>
                </c:pt>
                <c:pt idx="1">
                  <c:v>34.766666666666666</c:v>
                </c:pt>
                <c:pt idx="2">
                  <c:v>69.533333333333331</c:v>
                </c:pt>
                <c:pt idx="3">
                  <c:v>104.3</c:v>
                </c:pt>
                <c:pt idx="4">
                  <c:v>139.06666666666666</c:v>
                </c:pt>
                <c:pt idx="5">
                  <c:v>173.83333333333334</c:v>
                </c:pt>
                <c:pt idx="6">
                  <c:v>208.6</c:v>
                </c:pt>
                <c:pt idx="7">
                  <c:v>243.36666666666667</c:v>
                </c:pt>
                <c:pt idx="8">
                  <c:v>278.13333333333333</c:v>
                </c:pt>
                <c:pt idx="9">
                  <c:v>312.89999999999998</c:v>
                </c:pt>
                <c:pt idx="10">
                  <c:v>347.66666666666669</c:v>
                </c:pt>
                <c:pt idx="11">
                  <c:v>382.43333333333334</c:v>
                </c:pt>
                <c:pt idx="12">
                  <c:v>417.2</c:v>
                </c:pt>
                <c:pt idx="13">
                  <c:v>451.96666666666664</c:v>
                </c:pt>
                <c:pt idx="14">
                  <c:v>486.73333333333335</c:v>
                </c:pt>
                <c:pt idx="15">
                  <c:v>521.5</c:v>
                </c:pt>
                <c:pt idx="16">
                  <c:v>556.26666666666665</c:v>
                </c:pt>
                <c:pt idx="17">
                  <c:v>591.0333333333333</c:v>
                </c:pt>
                <c:pt idx="18">
                  <c:v>625.79999999999995</c:v>
                </c:pt>
                <c:pt idx="19">
                  <c:v>660.56666666666672</c:v>
                </c:pt>
                <c:pt idx="20">
                  <c:v>695.33333333333337</c:v>
                </c:pt>
                <c:pt idx="21">
                  <c:v>730.1</c:v>
                </c:pt>
                <c:pt idx="22">
                  <c:v>764.86666666666667</c:v>
                </c:pt>
                <c:pt idx="23">
                  <c:v>799.63333333333333</c:v>
                </c:pt>
                <c:pt idx="24">
                  <c:v>834.4</c:v>
                </c:pt>
                <c:pt idx="25">
                  <c:v>869.16666666666663</c:v>
                </c:pt>
                <c:pt idx="26">
                  <c:v>903.93333333333328</c:v>
                </c:pt>
                <c:pt idx="27">
                  <c:v>938.7</c:v>
                </c:pt>
                <c:pt idx="28">
                  <c:v>973.4666666666667</c:v>
                </c:pt>
                <c:pt idx="29">
                  <c:v>1008.2333333333333</c:v>
                </c:pt>
                <c:pt idx="30" formatCode="General">
                  <c:v>1043</c:v>
                </c:pt>
                <c:pt idx="31">
                  <c:v>1077.7666666666667</c:v>
                </c:pt>
                <c:pt idx="32" formatCode="General">
                  <c:v>1112</c:v>
                </c:pt>
                <c:pt idx="33">
                  <c:v>1147.3</c:v>
                </c:pt>
              </c:numCache>
            </c:numRef>
          </c:yVal>
          <c:smooth val="0"/>
          <c:extLst>
            <c:ext xmlns:c16="http://schemas.microsoft.com/office/drawing/2014/chart" uri="{C3380CC4-5D6E-409C-BE32-E72D297353CC}">
              <c16:uniqueId val="{00000009-E1F7-4C54-A31F-12B283E4D86A}"/>
            </c:ext>
          </c:extLst>
        </c:ser>
        <c:ser>
          <c:idx val="1"/>
          <c:order val="4"/>
          <c:tx>
            <c:v/>
          </c:tx>
          <c:spPr>
            <a:ln w="19050" cap="rnd">
              <a:solidFill>
                <a:srgbClr val="FF0000"/>
              </a:solidFill>
              <a:round/>
            </a:ln>
            <a:effectLst/>
          </c:spPr>
          <c:marker>
            <c:symbol val="none"/>
          </c:marker>
          <c:xVal>
            <c:numRef>
              <c:f>'Performance Cruise'!$C$80:$C$84</c:f>
              <c:numCache>
                <c:formatCode>General</c:formatCode>
                <c:ptCount val="5"/>
                <c:pt idx="0">
                  <c:v>3300</c:v>
                </c:pt>
                <c:pt idx="1">
                  <c:v>3300</c:v>
                </c:pt>
                <c:pt idx="2">
                  <c:v>3300</c:v>
                </c:pt>
                <c:pt idx="3">
                  <c:v>3300</c:v>
                </c:pt>
                <c:pt idx="4">
                  <c:v>3300</c:v>
                </c:pt>
              </c:numCache>
            </c:numRef>
          </c:xVal>
          <c:yVal>
            <c:numRef>
              <c:f>'Performance Cruise'!$D$80:$D$84</c:f>
              <c:numCache>
                <c:formatCode>General</c:formatCode>
                <c:ptCount val="5"/>
                <c:pt idx="0">
                  <c:v>0</c:v>
                </c:pt>
                <c:pt idx="1">
                  <c:v>500</c:v>
                </c:pt>
                <c:pt idx="2">
                  <c:v>100</c:v>
                </c:pt>
                <c:pt idx="3">
                  <c:v>1500</c:v>
                </c:pt>
                <c:pt idx="4">
                  <c:v>2000</c:v>
                </c:pt>
              </c:numCache>
            </c:numRef>
          </c:yVal>
          <c:smooth val="0"/>
          <c:extLst>
            <c:ext xmlns:c16="http://schemas.microsoft.com/office/drawing/2014/chart" uri="{C3380CC4-5D6E-409C-BE32-E72D297353CC}">
              <c16:uniqueId val="{00000005-E1F7-4C54-A31F-12B283E4D86A}"/>
            </c:ext>
          </c:extLst>
        </c:ser>
        <c:dLbls>
          <c:showLegendKey val="0"/>
          <c:showVal val="0"/>
          <c:showCatName val="0"/>
          <c:showSerName val="0"/>
          <c:showPercent val="0"/>
          <c:showBubbleSize val="0"/>
        </c:dLbls>
        <c:axId val="62732296"/>
        <c:axId val="62756360"/>
      </c:scatterChart>
      <c:valAx>
        <c:axId val="627322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Fuel Capacity (lb)</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56360"/>
        <c:crosses val="autoZero"/>
        <c:crossBetween val="midCat"/>
      </c:valAx>
      <c:valAx>
        <c:axId val="62756360"/>
        <c:scaling>
          <c:orientation val="minMax"/>
          <c:max val="2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Range (nm)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322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('Performance Cruise'!$L$71,'Performance Cruise'!$L$74,'Performance Cruise'!$L$77)</c:f>
              <c:numCache>
                <c:formatCode>General</c:formatCode>
                <c:ptCount val="3"/>
                <c:pt idx="0">
                  <c:v>361</c:v>
                </c:pt>
                <c:pt idx="1">
                  <c:v>418</c:v>
                </c:pt>
                <c:pt idx="2">
                  <c:v>475</c:v>
                </c:pt>
              </c:numCache>
            </c:numRef>
          </c:xVal>
          <c:yVal>
            <c:numRef>
              <c:f>('Performance Cruise'!$M$71,'Performance Cruise'!$M$74,'Performance Cruise'!$M$77)</c:f>
              <c:numCache>
                <c:formatCode>0</c:formatCode>
                <c:ptCount val="3"/>
                <c:pt idx="0">
                  <c:v>660.56666666666672</c:v>
                </c:pt>
                <c:pt idx="1">
                  <c:v>764.86666666666667</c:v>
                </c:pt>
                <c:pt idx="2">
                  <c:v>869.16666666666663</c:v>
                </c:pt>
              </c:numCache>
            </c:numRef>
          </c:yVal>
          <c:smooth val="0"/>
          <c:extLst>
            <c:ext xmlns:c16="http://schemas.microsoft.com/office/drawing/2014/chart" uri="{C3380CC4-5D6E-409C-BE32-E72D297353CC}">
              <c16:uniqueId val="{00000006-52F5-43B7-98DC-B4D8F279901D}"/>
            </c:ext>
          </c:extLst>
        </c:ser>
        <c:dLbls>
          <c:showLegendKey val="0"/>
          <c:showVal val="0"/>
          <c:showCatName val="0"/>
          <c:showSerName val="0"/>
          <c:showPercent val="0"/>
          <c:showBubbleSize val="0"/>
        </c:dLbls>
        <c:axId val="122559495"/>
        <c:axId val="122565639"/>
      </c:scatterChart>
      <c:valAx>
        <c:axId val="122559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65639"/>
        <c:crosses val="autoZero"/>
        <c:crossBetween val="midCat"/>
      </c:valAx>
      <c:valAx>
        <c:axId val="1225656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5949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Airspeed vs Range </a:t>
            </a:r>
          </a:p>
          <a:p>
            <a:pPr>
              <a:defRPr/>
            </a:pPr>
            <a:r>
              <a:rPr lang="en-US"/>
              <a:t>Under Battery Power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34925" cap="rnd">
              <a:solidFill>
                <a:schemeClr val="accent1"/>
              </a:solidFill>
              <a:round/>
            </a:ln>
            <a:effectLst>
              <a:outerShdw blurRad="57150" dist="19050" dir="5400000" algn="ctr" rotWithShape="0">
                <a:srgbClr val="000000">
                  <a:alpha val="63000"/>
                </a:srgbClr>
              </a:outerShdw>
            </a:effectLst>
          </c:spPr>
          <c:marker>
            <c:symbol val="none"/>
          </c:marker>
          <c:cat>
            <c:numRef>
              <c:f>'Performance Electrical'!$D$35:$D$65</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cat>
          <c:val>
            <c:numRef>
              <c:f>'Performance Electrical'!$E$35:$E$65</c:f>
              <c:numCache>
                <c:formatCode>General</c:formatCode>
                <c:ptCount val="31"/>
                <c:pt idx="0">
                  <c:v>39.685906106872658</c:v>
                </c:pt>
                <c:pt idx="1">
                  <c:v>1275.3499999999999</c:v>
                </c:pt>
                <c:pt idx="2">
                  <c:v>1235.5</c:v>
                </c:pt>
                <c:pt idx="3">
                  <c:v>1198</c:v>
                </c:pt>
                <c:pt idx="4">
                  <c:v>1162.8</c:v>
                </c:pt>
                <c:pt idx="5">
                  <c:v>1129.5899999999999</c:v>
                </c:pt>
                <c:pt idx="6">
                  <c:v>1098.22</c:v>
                </c:pt>
                <c:pt idx="7">
                  <c:v>1068.54</c:v>
                </c:pt>
                <c:pt idx="8">
                  <c:v>1040.4179999999999</c:v>
                </c:pt>
                <c:pt idx="9">
                  <c:v>1013.74</c:v>
                </c:pt>
                <c:pt idx="10">
                  <c:v>988.39</c:v>
                </c:pt>
                <c:pt idx="11">
                  <c:v>964.29</c:v>
                </c:pt>
                <c:pt idx="12">
                  <c:v>941.33</c:v>
                </c:pt>
                <c:pt idx="13">
                  <c:v>919.44</c:v>
                </c:pt>
                <c:pt idx="14">
                  <c:v>898.54</c:v>
                </c:pt>
                <c:pt idx="15">
                  <c:v>878.57</c:v>
                </c:pt>
                <c:pt idx="16">
                  <c:v>859.47</c:v>
                </c:pt>
                <c:pt idx="17">
                  <c:v>841.19</c:v>
                </c:pt>
                <c:pt idx="18">
                  <c:v>823.66</c:v>
                </c:pt>
                <c:pt idx="19">
                  <c:v>806.85</c:v>
                </c:pt>
                <c:pt idx="20">
                  <c:v>790.72</c:v>
                </c:pt>
                <c:pt idx="21">
                  <c:v>775.2</c:v>
                </c:pt>
                <c:pt idx="22">
                  <c:v>760.3</c:v>
                </c:pt>
                <c:pt idx="23">
                  <c:v>745.96</c:v>
                </c:pt>
                <c:pt idx="24">
                  <c:v>732.14</c:v>
                </c:pt>
                <c:pt idx="25">
                  <c:v>718.8</c:v>
                </c:pt>
                <c:pt idx="26">
                  <c:v>705.99</c:v>
                </c:pt>
                <c:pt idx="27">
                  <c:v>693.6</c:v>
                </c:pt>
                <c:pt idx="28">
                  <c:v>681.65</c:v>
                </c:pt>
                <c:pt idx="29">
                  <c:v>670.1</c:v>
                </c:pt>
                <c:pt idx="30">
                  <c:v>658.93</c:v>
                </c:pt>
              </c:numCache>
            </c:numRef>
          </c:val>
          <c:smooth val="0"/>
          <c:extLst>
            <c:ext xmlns:c16="http://schemas.microsoft.com/office/drawing/2014/chart" uri="{C3380CC4-5D6E-409C-BE32-E72D297353CC}">
              <c16:uniqueId val="{00000000-B897-0B40-9974-FD511EDA7206}"/>
            </c:ext>
          </c:extLst>
        </c:ser>
        <c:dLbls>
          <c:showLegendKey val="0"/>
          <c:showVal val="0"/>
          <c:showCatName val="0"/>
          <c:showSerName val="0"/>
          <c:showPercent val="0"/>
          <c:showBubbleSize val="0"/>
        </c:dLbls>
        <c:smooth val="0"/>
        <c:axId val="1473081312"/>
        <c:axId val="1472403648"/>
      </c:lineChart>
      <c:catAx>
        <c:axId val="147308131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Airspeed( KTAS)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403648"/>
        <c:crosses val="autoZero"/>
        <c:auto val="1"/>
        <c:lblAlgn val="ctr"/>
        <c:lblOffset val="100"/>
        <c:noMultiLvlLbl val="0"/>
      </c:catAx>
      <c:valAx>
        <c:axId val="1472403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Range (mi)</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08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Electrical</a:t>
            </a:r>
            <a:r>
              <a:rPr lang="en-US" baseline="0"/>
              <a:t> Power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'Performance Electrical'!$D$35:$D$65</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xVal>
          <c:yVal>
            <c:numRef>
              <c:f>'Performance Electrical'!$E$35:$E$65</c:f>
              <c:numCache>
                <c:formatCode>General</c:formatCode>
                <c:ptCount val="31"/>
                <c:pt idx="0">
                  <c:v>39.685906106872658</c:v>
                </c:pt>
                <c:pt idx="1">
                  <c:v>1275.3499999999999</c:v>
                </c:pt>
                <c:pt idx="2">
                  <c:v>1235.5</c:v>
                </c:pt>
                <c:pt idx="3">
                  <c:v>1198</c:v>
                </c:pt>
                <c:pt idx="4">
                  <c:v>1162.8</c:v>
                </c:pt>
                <c:pt idx="5">
                  <c:v>1129.5899999999999</c:v>
                </c:pt>
                <c:pt idx="6">
                  <c:v>1098.22</c:v>
                </c:pt>
                <c:pt idx="7">
                  <c:v>1068.54</c:v>
                </c:pt>
                <c:pt idx="8">
                  <c:v>1040.4179999999999</c:v>
                </c:pt>
                <c:pt idx="9">
                  <c:v>1013.74</c:v>
                </c:pt>
                <c:pt idx="10">
                  <c:v>988.39</c:v>
                </c:pt>
                <c:pt idx="11">
                  <c:v>964.29</c:v>
                </c:pt>
                <c:pt idx="12">
                  <c:v>941.33</c:v>
                </c:pt>
                <c:pt idx="13">
                  <c:v>919.44</c:v>
                </c:pt>
                <c:pt idx="14">
                  <c:v>898.54</c:v>
                </c:pt>
                <c:pt idx="15">
                  <c:v>878.57</c:v>
                </c:pt>
                <c:pt idx="16">
                  <c:v>859.47</c:v>
                </c:pt>
                <c:pt idx="17">
                  <c:v>841.19</c:v>
                </c:pt>
                <c:pt idx="18">
                  <c:v>823.66</c:v>
                </c:pt>
                <c:pt idx="19">
                  <c:v>806.85</c:v>
                </c:pt>
                <c:pt idx="20">
                  <c:v>790.72</c:v>
                </c:pt>
                <c:pt idx="21">
                  <c:v>775.2</c:v>
                </c:pt>
                <c:pt idx="22">
                  <c:v>760.3</c:v>
                </c:pt>
                <c:pt idx="23">
                  <c:v>745.96</c:v>
                </c:pt>
                <c:pt idx="24">
                  <c:v>732.14</c:v>
                </c:pt>
                <c:pt idx="25">
                  <c:v>718.8</c:v>
                </c:pt>
                <c:pt idx="26">
                  <c:v>705.99</c:v>
                </c:pt>
                <c:pt idx="27">
                  <c:v>693.6</c:v>
                </c:pt>
                <c:pt idx="28">
                  <c:v>681.65</c:v>
                </c:pt>
                <c:pt idx="29">
                  <c:v>670.1</c:v>
                </c:pt>
                <c:pt idx="30">
                  <c:v>658.93</c:v>
                </c:pt>
              </c:numCache>
            </c:numRef>
          </c:yVal>
          <c:smooth val="0"/>
          <c:extLst>
            <c:ext xmlns:c16="http://schemas.microsoft.com/office/drawing/2014/chart" uri="{C3380CC4-5D6E-409C-BE32-E72D297353CC}">
              <c16:uniqueId val="{00000000-67C8-4965-A59F-21A1896EF4CF}"/>
            </c:ext>
          </c:extLst>
        </c:ser>
        <c:dLbls>
          <c:showLegendKey val="0"/>
          <c:showVal val="0"/>
          <c:showCatName val="0"/>
          <c:showSerName val="0"/>
          <c:showPercent val="0"/>
          <c:showBubbleSize val="0"/>
        </c:dLbls>
        <c:axId val="1189686959"/>
        <c:axId val="1189676399"/>
      </c:scatterChart>
      <c:valAx>
        <c:axId val="1189686959"/>
        <c:scaling>
          <c:orientation val="minMax"/>
          <c:min val="1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 [KTAS]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676399"/>
        <c:crosses val="autoZero"/>
        <c:crossBetween val="midCat"/>
      </c:valAx>
      <c:valAx>
        <c:axId val="1189676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Range [nm]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68695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Electrical</a:t>
            </a:r>
            <a:r>
              <a:rPr lang="en-US" baseline="0"/>
              <a:t> Power Required vs Airspeed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'Performance Electrical'!$D$35:$D$385</c:f>
              <c:numCache>
                <c:formatCode>General</c:formatCode>
                <c:ptCount val="35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numCache>
            </c:numRef>
          </c:xVal>
          <c:yVal>
            <c:numRef>
              <c:f>'Performance Electrical'!$A$35:$A$385</c:f>
              <c:numCache>
                <c:formatCode>General</c:formatCode>
                <c:ptCount val="351"/>
                <c:pt idx="0">
                  <c:v>0</c:v>
                </c:pt>
                <c:pt idx="1">
                  <c:v>0.44263859603361277</c:v>
                </c:pt>
                <c:pt idx="2">
                  <c:v>0.88527719206722555</c:v>
                </c:pt>
                <c:pt idx="3">
                  <c:v>1.3279157881008383</c:v>
                </c:pt>
                <c:pt idx="4">
                  <c:v>1.7705543841344511</c:v>
                </c:pt>
                <c:pt idx="5">
                  <c:v>2.2131929801680643</c:v>
                </c:pt>
                <c:pt idx="6">
                  <c:v>2.6558315762016766</c:v>
                </c:pt>
                <c:pt idx="7">
                  <c:v>3.0984701722352899</c:v>
                </c:pt>
                <c:pt idx="8">
                  <c:v>3.5411087682689022</c:v>
                </c:pt>
                <c:pt idx="9">
                  <c:v>3.9837473643025154</c:v>
                </c:pt>
                <c:pt idx="10">
                  <c:v>4.4263859603361286</c:v>
                </c:pt>
                <c:pt idx="11">
                  <c:v>4.8690245563697419</c:v>
                </c:pt>
                <c:pt idx="12">
                  <c:v>5.3116631524033533</c:v>
                </c:pt>
                <c:pt idx="13">
                  <c:v>5.7543017484369665</c:v>
                </c:pt>
                <c:pt idx="14">
                  <c:v>6.1969403444705797</c:v>
                </c:pt>
                <c:pt idx="15">
                  <c:v>6.6395789405041921</c:v>
                </c:pt>
                <c:pt idx="16">
                  <c:v>7.0822175365378044</c:v>
                </c:pt>
                <c:pt idx="17">
                  <c:v>7.5248561325714185</c:v>
                </c:pt>
                <c:pt idx="18">
                  <c:v>7.9674947286050308</c:v>
                </c:pt>
                <c:pt idx="19">
                  <c:v>8.4101333246386432</c:v>
                </c:pt>
                <c:pt idx="20">
                  <c:v>8.8527719206722573</c:v>
                </c:pt>
                <c:pt idx="21">
                  <c:v>9.2954105167058696</c:v>
                </c:pt>
                <c:pt idx="22">
                  <c:v>9.7380491127394837</c:v>
                </c:pt>
                <c:pt idx="23">
                  <c:v>10.180687708773096</c:v>
                </c:pt>
                <c:pt idx="24">
                  <c:v>10.623326304806707</c:v>
                </c:pt>
                <c:pt idx="25">
                  <c:v>11.065964900840321</c:v>
                </c:pt>
                <c:pt idx="26">
                  <c:v>11.508603496873933</c:v>
                </c:pt>
                <c:pt idx="27">
                  <c:v>11.951242092907547</c:v>
                </c:pt>
                <c:pt idx="28">
                  <c:v>12.393880688941159</c:v>
                </c:pt>
                <c:pt idx="29">
                  <c:v>12.836519284974774</c:v>
                </c:pt>
                <c:pt idx="30">
                  <c:v>13.279157881008384</c:v>
                </c:pt>
                <c:pt idx="31">
                  <c:v>13.721796477041998</c:v>
                </c:pt>
                <c:pt idx="32">
                  <c:v>14.164435073075609</c:v>
                </c:pt>
                <c:pt idx="33">
                  <c:v>14.607073669109226</c:v>
                </c:pt>
                <c:pt idx="34">
                  <c:v>15.049712265142837</c:v>
                </c:pt>
                <c:pt idx="35">
                  <c:v>15.492350861176449</c:v>
                </c:pt>
                <c:pt idx="36">
                  <c:v>15.934989457210062</c:v>
                </c:pt>
                <c:pt idx="37">
                  <c:v>16.377628053243676</c:v>
                </c:pt>
                <c:pt idx="38">
                  <c:v>16.820266649277286</c:v>
                </c:pt>
                <c:pt idx="39">
                  <c:v>17.2629052453109</c:v>
                </c:pt>
                <c:pt idx="40">
                  <c:v>17.705543841344515</c:v>
                </c:pt>
                <c:pt idx="41">
                  <c:v>18.148182437378129</c:v>
                </c:pt>
                <c:pt idx="42">
                  <c:v>18.590821033411739</c:v>
                </c:pt>
                <c:pt idx="43">
                  <c:v>19.03345962944535</c:v>
                </c:pt>
                <c:pt idx="44">
                  <c:v>19.476098225478967</c:v>
                </c:pt>
                <c:pt idx="45">
                  <c:v>19.918736821512574</c:v>
                </c:pt>
                <c:pt idx="46">
                  <c:v>20.361375417546192</c:v>
                </c:pt>
                <c:pt idx="47">
                  <c:v>20.804014013579803</c:v>
                </c:pt>
                <c:pt idx="48">
                  <c:v>21.246652609613413</c:v>
                </c:pt>
                <c:pt idx="49">
                  <c:v>21.689291205647027</c:v>
                </c:pt>
                <c:pt idx="50">
                  <c:v>22.131929801680641</c:v>
                </c:pt>
                <c:pt idx="51">
                  <c:v>22.574568397714259</c:v>
                </c:pt>
                <c:pt idx="52">
                  <c:v>23.017206993747866</c:v>
                </c:pt>
                <c:pt idx="53">
                  <c:v>23.459845589781484</c:v>
                </c:pt>
                <c:pt idx="54">
                  <c:v>23.902484185815094</c:v>
                </c:pt>
                <c:pt idx="55">
                  <c:v>24.345122781848705</c:v>
                </c:pt>
                <c:pt idx="56">
                  <c:v>24.787761377882319</c:v>
                </c:pt>
                <c:pt idx="57">
                  <c:v>25.230399973915933</c:v>
                </c:pt>
                <c:pt idx="58">
                  <c:v>25.673038569949547</c:v>
                </c:pt>
                <c:pt idx="59">
                  <c:v>26.115677165983158</c:v>
                </c:pt>
                <c:pt idx="60">
                  <c:v>26.558315762016768</c:v>
                </c:pt>
                <c:pt idx="61">
                  <c:v>27.000954358050382</c:v>
                </c:pt>
                <c:pt idx="62">
                  <c:v>27.443592954083996</c:v>
                </c:pt>
                <c:pt idx="63">
                  <c:v>27.886231550117607</c:v>
                </c:pt>
                <c:pt idx="64">
                  <c:v>28.328870146151218</c:v>
                </c:pt>
                <c:pt idx="65">
                  <c:v>28.771508742184832</c:v>
                </c:pt>
                <c:pt idx="66">
                  <c:v>29.214147338218453</c:v>
                </c:pt>
                <c:pt idx="67">
                  <c:v>29.656785934252056</c:v>
                </c:pt>
                <c:pt idx="68">
                  <c:v>30.099424530285674</c:v>
                </c:pt>
                <c:pt idx="69">
                  <c:v>30.542063126319285</c:v>
                </c:pt>
                <c:pt idx="70">
                  <c:v>30.984701722352899</c:v>
                </c:pt>
                <c:pt idx="71">
                  <c:v>31.427340318386509</c:v>
                </c:pt>
                <c:pt idx="72">
                  <c:v>31.869978914420123</c:v>
                </c:pt>
                <c:pt idx="73">
                  <c:v>32.312617510453734</c:v>
                </c:pt>
                <c:pt idx="74">
                  <c:v>32.755256106487352</c:v>
                </c:pt>
                <c:pt idx="75">
                  <c:v>33.197894702520962</c:v>
                </c:pt>
                <c:pt idx="76">
                  <c:v>33.640533298554573</c:v>
                </c:pt>
                <c:pt idx="77">
                  <c:v>34.08317189458819</c:v>
                </c:pt>
                <c:pt idx="78">
                  <c:v>34.525810490621801</c:v>
                </c:pt>
                <c:pt idx="79">
                  <c:v>34.968449086655411</c:v>
                </c:pt>
                <c:pt idx="80">
                  <c:v>35.411087682689029</c:v>
                </c:pt>
                <c:pt idx="81">
                  <c:v>35.853726278722633</c:v>
                </c:pt>
                <c:pt idx="82">
                  <c:v>36.296364874756257</c:v>
                </c:pt>
                <c:pt idx="83">
                  <c:v>36.739003470789868</c:v>
                </c:pt>
                <c:pt idx="84">
                  <c:v>37.181642066823478</c:v>
                </c:pt>
                <c:pt idx="85">
                  <c:v>37.624280662857089</c:v>
                </c:pt>
                <c:pt idx="86">
                  <c:v>38.066919258890699</c:v>
                </c:pt>
                <c:pt idx="87">
                  <c:v>38.509557854924317</c:v>
                </c:pt>
                <c:pt idx="88">
                  <c:v>38.952196450957935</c:v>
                </c:pt>
                <c:pt idx="89">
                  <c:v>39.394835046991538</c:v>
                </c:pt>
                <c:pt idx="90">
                  <c:v>39.837473643025149</c:v>
                </c:pt>
                <c:pt idx="91">
                  <c:v>40.280112239058759</c:v>
                </c:pt>
                <c:pt idx="92">
                  <c:v>40.722750835092384</c:v>
                </c:pt>
                <c:pt idx="93">
                  <c:v>41.165389431125995</c:v>
                </c:pt>
                <c:pt idx="94">
                  <c:v>41.608028027159605</c:v>
                </c:pt>
                <c:pt idx="95">
                  <c:v>42.050666623193223</c:v>
                </c:pt>
                <c:pt idx="96">
                  <c:v>42.493305219226826</c:v>
                </c:pt>
                <c:pt idx="97">
                  <c:v>42.935943815260444</c:v>
                </c:pt>
                <c:pt idx="98">
                  <c:v>43.378582411294055</c:v>
                </c:pt>
                <c:pt idx="99">
                  <c:v>43.821221007327672</c:v>
                </c:pt>
                <c:pt idx="100">
                  <c:v>44.263859603361283</c:v>
                </c:pt>
                <c:pt idx="101">
                  <c:v>44.706498199394893</c:v>
                </c:pt>
                <c:pt idx="102">
                  <c:v>45.149136795428518</c:v>
                </c:pt>
                <c:pt idx="103">
                  <c:v>45.591775391462122</c:v>
                </c:pt>
                <c:pt idx="104">
                  <c:v>46.034413987495732</c:v>
                </c:pt>
                <c:pt idx="105">
                  <c:v>46.477052583529343</c:v>
                </c:pt>
                <c:pt idx="106">
                  <c:v>46.919691179562967</c:v>
                </c:pt>
                <c:pt idx="107">
                  <c:v>47.362329775596578</c:v>
                </c:pt>
                <c:pt idx="108">
                  <c:v>47.804968371630189</c:v>
                </c:pt>
                <c:pt idx="109">
                  <c:v>48.247606967663799</c:v>
                </c:pt>
                <c:pt idx="110">
                  <c:v>48.69024556369741</c:v>
                </c:pt>
                <c:pt idx="111">
                  <c:v>49.132884159731027</c:v>
                </c:pt>
                <c:pt idx="112">
                  <c:v>49.575522755764638</c:v>
                </c:pt>
                <c:pt idx="113">
                  <c:v>50.018161351798248</c:v>
                </c:pt>
                <c:pt idx="114">
                  <c:v>50.460799947831866</c:v>
                </c:pt>
                <c:pt idx="115">
                  <c:v>50.903438543865477</c:v>
                </c:pt>
                <c:pt idx="116">
                  <c:v>51.346077139899094</c:v>
                </c:pt>
                <c:pt idx="117">
                  <c:v>51.788715735932698</c:v>
                </c:pt>
                <c:pt idx="118">
                  <c:v>52.231354331966315</c:v>
                </c:pt>
                <c:pt idx="119">
                  <c:v>52.673992927999926</c:v>
                </c:pt>
                <c:pt idx="120">
                  <c:v>53.116631524033536</c:v>
                </c:pt>
                <c:pt idx="121">
                  <c:v>53.559270120067147</c:v>
                </c:pt>
                <c:pt idx="122">
                  <c:v>54.001908716100765</c:v>
                </c:pt>
                <c:pt idx="123">
                  <c:v>54.444547312134382</c:v>
                </c:pt>
                <c:pt idx="124">
                  <c:v>54.887185908167993</c:v>
                </c:pt>
                <c:pt idx="125">
                  <c:v>55.329824504201611</c:v>
                </c:pt>
                <c:pt idx="126">
                  <c:v>55.772463100235214</c:v>
                </c:pt>
                <c:pt idx="127">
                  <c:v>56.215101696268825</c:v>
                </c:pt>
                <c:pt idx="128">
                  <c:v>56.657740292302435</c:v>
                </c:pt>
                <c:pt idx="129">
                  <c:v>57.100378888336053</c:v>
                </c:pt>
                <c:pt idx="130">
                  <c:v>57.543017484369663</c:v>
                </c:pt>
                <c:pt idx="131">
                  <c:v>57.985656080403281</c:v>
                </c:pt>
                <c:pt idx="132">
                  <c:v>58.428294676436906</c:v>
                </c:pt>
                <c:pt idx="133">
                  <c:v>58.870933272470516</c:v>
                </c:pt>
                <c:pt idx="134">
                  <c:v>59.313571868504113</c:v>
                </c:pt>
                <c:pt idx="135">
                  <c:v>59.756210464537723</c:v>
                </c:pt>
                <c:pt idx="136">
                  <c:v>60.198849060571348</c:v>
                </c:pt>
                <c:pt idx="137">
                  <c:v>60.641487656604959</c:v>
                </c:pt>
                <c:pt idx="138">
                  <c:v>61.084126252638569</c:v>
                </c:pt>
                <c:pt idx="139">
                  <c:v>61.52676484867218</c:v>
                </c:pt>
                <c:pt idx="140">
                  <c:v>61.969403444705797</c:v>
                </c:pt>
                <c:pt idx="141">
                  <c:v>62.412042040739408</c:v>
                </c:pt>
                <c:pt idx="142">
                  <c:v>62.854680636773018</c:v>
                </c:pt>
                <c:pt idx="143">
                  <c:v>63.297319232806629</c:v>
                </c:pt>
                <c:pt idx="144">
                  <c:v>63.739957828840247</c:v>
                </c:pt>
                <c:pt idx="145">
                  <c:v>64.182596424873864</c:v>
                </c:pt>
                <c:pt idx="146">
                  <c:v>64.625235020907468</c:v>
                </c:pt>
                <c:pt idx="147">
                  <c:v>65.067873616941085</c:v>
                </c:pt>
                <c:pt idx="148">
                  <c:v>65.510512212974703</c:v>
                </c:pt>
                <c:pt idx="149">
                  <c:v>65.953150809008307</c:v>
                </c:pt>
                <c:pt idx="150">
                  <c:v>66.395789405041924</c:v>
                </c:pt>
                <c:pt idx="151">
                  <c:v>66.838428001075528</c:v>
                </c:pt>
                <c:pt idx="152">
                  <c:v>67.281066597109145</c:v>
                </c:pt>
                <c:pt idx="153">
                  <c:v>67.723705193142777</c:v>
                </c:pt>
                <c:pt idx="154">
                  <c:v>68.166343789176381</c:v>
                </c:pt>
                <c:pt idx="155">
                  <c:v>68.608982385209984</c:v>
                </c:pt>
                <c:pt idx="156">
                  <c:v>69.051620981243602</c:v>
                </c:pt>
                <c:pt idx="157">
                  <c:v>69.494259577277219</c:v>
                </c:pt>
                <c:pt idx="158">
                  <c:v>69.936898173310823</c:v>
                </c:pt>
                <c:pt idx="159">
                  <c:v>70.37953676934444</c:v>
                </c:pt>
                <c:pt idx="160">
                  <c:v>70.822175365378058</c:v>
                </c:pt>
                <c:pt idx="161">
                  <c:v>71.264813961411662</c:v>
                </c:pt>
                <c:pt idx="162">
                  <c:v>71.707452557445265</c:v>
                </c:pt>
                <c:pt idx="163">
                  <c:v>72.150091153478897</c:v>
                </c:pt>
                <c:pt idx="164">
                  <c:v>72.592729749512515</c:v>
                </c:pt>
                <c:pt idx="165">
                  <c:v>73.035368345546118</c:v>
                </c:pt>
                <c:pt idx="166">
                  <c:v>73.478006941579736</c:v>
                </c:pt>
                <c:pt idx="167">
                  <c:v>73.920645537613339</c:v>
                </c:pt>
                <c:pt idx="168">
                  <c:v>74.363284133646957</c:v>
                </c:pt>
                <c:pt idx="169">
                  <c:v>74.805922729680574</c:v>
                </c:pt>
                <c:pt idx="170">
                  <c:v>75.248561325714178</c:v>
                </c:pt>
                <c:pt idx="171">
                  <c:v>75.691199921747781</c:v>
                </c:pt>
                <c:pt idx="172">
                  <c:v>76.133838517781399</c:v>
                </c:pt>
                <c:pt idx="173">
                  <c:v>76.576477113815031</c:v>
                </c:pt>
                <c:pt idx="174">
                  <c:v>77.019115709848634</c:v>
                </c:pt>
                <c:pt idx="175">
                  <c:v>77.461754305882238</c:v>
                </c:pt>
                <c:pt idx="176">
                  <c:v>77.90439290191587</c:v>
                </c:pt>
                <c:pt idx="177">
                  <c:v>78.347031497949473</c:v>
                </c:pt>
                <c:pt idx="178">
                  <c:v>78.789670093983077</c:v>
                </c:pt>
                <c:pt idx="179">
                  <c:v>79.232308690016694</c:v>
                </c:pt>
                <c:pt idx="180">
                  <c:v>79.674947286050298</c:v>
                </c:pt>
                <c:pt idx="181">
                  <c:v>80.117585882083915</c:v>
                </c:pt>
                <c:pt idx="182">
                  <c:v>80.560224478117519</c:v>
                </c:pt>
                <c:pt idx="183">
                  <c:v>81.002863074151165</c:v>
                </c:pt>
                <c:pt idx="184">
                  <c:v>81.445501670184768</c:v>
                </c:pt>
                <c:pt idx="185">
                  <c:v>81.888140266218372</c:v>
                </c:pt>
                <c:pt idx="186">
                  <c:v>82.330778862251989</c:v>
                </c:pt>
                <c:pt idx="187">
                  <c:v>82.773417458285593</c:v>
                </c:pt>
                <c:pt idx="188">
                  <c:v>83.21605605431921</c:v>
                </c:pt>
                <c:pt idx="189">
                  <c:v>83.658694650352814</c:v>
                </c:pt>
                <c:pt idx="190">
                  <c:v>84.101333246386446</c:v>
                </c:pt>
                <c:pt idx="191">
                  <c:v>84.543971842420049</c:v>
                </c:pt>
                <c:pt idx="192">
                  <c:v>84.986610438453653</c:v>
                </c:pt>
                <c:pt idx="193">
                  <c:v>85.429249034487285</c:v>
                </c:pt>
                <c:pt idx="194">
                  <c:v>85.871887630520888</c:v>
                </c:pt>
                <c:pt idx="195">
                  <c:v>86.314526226554506</c:v>
                </c:pt>
                <c:pt idx="196">
                  <c:v>86.757164822588109</c:v>
                </c:pt>
                <c:pt idx="197">
                  <c:v>87.199803418621741</c:v>
                </c:pt>
                <c:pt idx="198">
                  <c:v>87.642442014655344</c:v>
                </c:pt>
                <c:pt idx="199">
                  <c:v>88.085080610688948</c:v>
                </c:pt>
                <c:pt idx="200">
                  <c:v>88.527719206722566</c:v>
                </c:pt>
                <c:pt idx="201">
                  <c:v>88.970357802756169</c:v>
                </c:pt>
                <c:pt idx="202">
                  <c:v>89.412996398789787</c:v>
                </c:pt>
                <c:pt idx="203">
                  <c:v>89.855634994823404</c:v>
                </c:pt>
                <c:pt idx="204">
                  <c:v>90.298273590857036</c:v>
                </c:pt>
                <c:pt idx="205">
                  <c:v>90.74091218689064</c:v>
                </c:pt>
                <c:pt idx="206">
                  <c:v>91.183550782924243</c:v>
                </c:pt>
                <c:pt idx="207">
                  <c:v>91.626189378957861</c:v>
                </c:pt>
                <c:pt idx="208">
                  <c:v>92.068827974991464</c:v>
                </c:pt>
                <c:pt idx="209">
                  <c:v>92.511466571025082</c:v>
                </c:pt>
                <c:pt idx="210">
                  <c:v>92.954105167058685</c:v>
                </c:pt>
                <c:pt idx="211">
                  <c:v>93.396743763092303</c:v>
                </c:pt>
                <c:pt idx="212">
                  <c:v>93.839382359125935</c:v>
                </c:pt>
                <c:pt idx="213">
                  <c:v>94.282020955159538</c:v>
                </c:pt>
                <c:pt idx="214">
                  <c:v>94.724659551193156</c:v>
                </c:pt>
                <c:pt idx="215">
                  <c:v>95.167298147226759</c:v>
                </c:pt>
                <c:pt idx="216">
                  <c:v>95.609936743260377</c:v>
                </c:pt>
                <c:pt idx="217">
                  <c:v>96.052575339293981</c:v>
                </c:pt>
                <c:pt idx="218">
                  <c:v>96.495213935327598</c:v>
                </c:pt>
                <c:pt idx="219">
                  <c:v>96.937852531361202</c:v>
                </c:pt>
                <c:pt idx="220">
                  <c:v>97.380491127394819</c:v>
                </c:pt>
                <c:pt idx="221">
                  <c:v>97.823129723428437</c:v>
                </c:pt>
                <c:pt idx="222">
                  <c:v>98.265768319462055</c:v>
                </c:pt>
                <c:pt idx="223">
                  <c:v>98.708406915495672</c:v>
                </c:pt>
                <c:pt idx="224">
                  <c:v>99.151045511529276</c:v>
                </c:pt>
                <c:pt idx="225">
                  <c:v>99.593684107562893</c:v>
                </c:pt>
                <c:pt idx="226">
                  <c:v>100.0363227035965</c:v>
                </c:pt>
                <c:pt idx="227">
                  <c:v>100.4789612996301</c:v>
                </c:pt>
                <c:pt idx="228">
                  <c:v>100.92159989566373</c:v>
                </c:pt>
                <c:pt idx="229">
                  <c:v>101.36423849169734</c:v>
                </c:pt>
                <c:pt idx="230">
                  <c:v>101.80687708773095</c:v>
                </c:pt>
                <c:pt idx="231">
                  <c:v>102.24951568376456</c:v>
                </c:pt>
                <c:pt idx="232">
                  <c:v>102.69215427979819</c:v>
                </c:pt>
                <c:pt idx="233">
                  <c:v>103.13479287583179</c:v>
                </c:pt>
                <c:pt idx="234">
                  <c:v>103.5774314718654</c:v>
                </c:pt>
                <c:pt idx="235">
                  <c:v>104.020070067899</c:v>
                </c:pt>
                <c:pt idx="236">
                  <c:v>104.46270866393263</c:v>
                </c:pt>
                <c:pt idx="237">
                  <c:v>104.90534725996625</c:v>
                </c:pt>
                <c:pt idx="238">
                  <c:v>105.34798585599985</c:v>
                </c:pt>
                <c:pt idx="239">
                  <c:v>105.79062445203347</c:v>
                </c:pt>
                <c:pt idx="240">
                  <c:v>106.23326304806707</c:v>
                </c:pt>
                <c:pt idx="241">
                  <c:v>106.6759016441007</c:v>
                </c:pt>
                <c:pt idx="242">
                  <c:v>107.11854024013429</c:v>
                </c:pt>
                <c:pt idx="243">
                  <c:v>107.56117883616793</c:v>
                </c:pt>
                <c:pt idx="244">
                  <c:v>108.00381743220153</c:v>
                </c:pt>
                <c:pt idx="245">
                  <c:v>108.44645602823515</c:v>
                </c:pt>
                <c:pt idx="246">
                  <c:v>108.88909462426876</c:v>
                </c:pt>
                <c:pt idx="247">
                  <c:v>109.33173322030237</c:v>
                </c:pt>
                <c:pt idx="248">
                  <c:v>109.77437181633599</c:v>
                </c:pt>
                <c:pt idx="249">
                  <c:v>110.2170104123696</c:v>
                </c:pt>
                <c:pt idx="250">
                  <c:v>110.65964900840322</c:v>
                </c:pt>
                <c:pt idx="251">
                  <c:v>111.10228760443682</c:v>
                </c:pt>
                <c:pt idx="252">
                  <c:v>111.54492620047043</c:v>
                </c:pt>
                <c:pt idx="253">
                  <c:v>111.98756479650405</c:v>
                </c:pt>
                <c:pt idx="254">
                  <c:v>112.43020339253765</c:v>
                </c:pt>
                <c:pt idx="255">
                  <c:v>112.87284198857127</c:v>
                </c:pt>
                <c:pt idx="256">
                  <c:v>113.31548058460487</c:v>
                </c:pt>
                <c:pt idx="257">
                  <c:v>113.7581191806385</c:v>
                </c:pt>
                <c:pt idx="258">
                  <c:v>114.20075777667211</c:v>
                </c:pt>
                <c:pt idx="259">
                  <c:v>114.64339637270572</c:v>
                </c:pt>
                <c:pt idx="260">
                  <c:v>115.08603496873933</c:v>
                </c:pt>
                <c:pt idx="261">
                  <c:v>115.52867356477294</c:v>
                </c:pt>
                <c:pt idx="262">
                  <c:v>115.97131216080656</c:v>
                </c:pt>
                <c:pt idx="263">
                  <c:v>116.41395075684018</c:v>
                </c:pt>
                <c:pt idx="264">
                  <c:v>116.85658935287381</c:v>
                </c:pt>
                <c:pt idx="265">
                  <c:v>117.29922794890741</c:v>
                </c:pt>
                <c:pt idx="266">
                  <c:v>117.74186654494103</c:v>
                </c:pt>
                <c:pt idx="267">
                  <c:v>118.18450514097462</c:v>
                </c:pt>
                <c:pt idx="268">
                  <c:v>118.62714373700823</c:v>
                </c:pt>
                <c:pt idx="269">
                  <c:v>119.06978233304184</c:v>
                </c:pt>
                <c:pt idx="270">
                  <c:v>119.51242092907545</c:v>
                </c:pt>
                <c:pt idx="271">
                  <c:v>119.95505952510906</c:v>
                </c:pt>
                <c:pt idx="272">
                  <c:v>120.3976981211427</c:v>
                </c:pt>
                <c:pt idx="273">
                  <c:v>120.84033671717631</c:v>
                </c:pt>
                <c:pt idx="274">
                  <c:v>121.28297531320992</c:v>
                </c:pt>
                <c:pt idx="275">
                  <c:v>121.72561390924353</c:v>
                </c:pt>
                <c:pt idx="276">
                  <c:v>122.16825250527714</c:v>
                </c:pt>
                <c:pt idx="277">
                  <c:v>122.61089110131076</c:v>
                </c:pt>
                <c:pt idx="278">
                  <c:v>123.05352969734436</c:v>
                </c:pt>
                <c:pt idx="279">
                  <c:v>123.49616829337799</c:v>
                </c:pt>
                <c:pt idx="280">
                  <c:v>123.93880688941159</c:v>
                </c:pt>
                <c:pt idx="281">
                  <c:v>124.3814454854452</c:v>
                </c:pt>
                <c:pt idx="282">
                  <c:v>124.82408408147882</c:v>
                </c:pt>
                <c:pt idx="283">
                  <c:v>125.26672267751243</c:v>
                </c:pt>
                <c:pt idx="284">
                  <c:v>125.70936127354604</c:v>
                </c:pt>
                <c:pt idx="285">
                  <c:v>126.15199986957965</c:v>
                </c:pt>
                <c:pt idx="286">
                  <c:v>126.59463846561326</c:v>
                </c:pt>
                <c:pt idx="287">
                  <c:v>127.03727706164689</c:v>
                </c:pt>
                <c:pt idx="288">
                  <c:v>127.47991565768049</c:v>
                </c:pt>
                <c:pt idx="289">
                  <c:v>127.92255425371411</c:v>
                </c:pt>
                <c:pt idx="290">
                  <c:v>128.36519284974773</c:v>
                </c:pt>
                <c:pt idx="291">
                  <c:v>128.80783144578135</c:v>
                </c:pt>
                <c:pt idx="292">
                  <c:v>129.25047004181494</c:v>
                </c:pt>
                <c:pt idx="293">
                  <c:v>129.69310863784858</c:v>
                </c:pt>
                <c:pt idx="294">
                  <c:v>130.13574723388217</c:v>
                </c:pt>
                <c:pt idx="295">
                  <c:v>130.57838582991576</c:v>
                </c:pt>
                <c:pt idx="296">
                  <c:v>131.02102442594941</c:v>
                </c:pt>
                <c:pt idx="297">
                  <c:v>131.463663021983</c:v>
                </c:pt>
                <c:pt idx="298">
                  <c:v>131.90630161801661</c:v>
                </c:pt>
                <c:pt idx="299">
                  <c:v>132.34894021405023</c:v>
                </c:pt>
                <c:pt idx="300">
                  <c:v>132.79157881008385</c:v>
                </c:pt>
                <c:pt idx="301">
                  <c:v>133.23421740611747</c:v>
                </c:pt>
                <c:pt idx="302">
                  <c:v>133.67685600215106</c:v>
                </c:pt>
                <c:pt idx="303">
                  <c:v>134.11949459818467</c:v>
                </c:pt>
                <c:pt idx="304">
                  <c:v>134.56213319421829</c:v>
                </c:pt>
                <c:pt idx="305">
                  <c:v>135.00477179025191</c:v>
                </c:pt>
                <c:pt idx="306">
                  <c:v>135.44741038628555</c:v>
                </c:pt>
                <c:pt idx="307">
                  <c:v>135.89004898231917</c:v>
                </c:pt>
                <c:pt idx="308">
                  <c:v>136.33268757835276</c:v>
                </c:pt>
                <c:pt idx="309">
                  <c:v>136.77532617438638</c:v>
                </c:pt>
                <c:pt idx="310">
                  <c:v>137.21796477041997</c:v>
                </c:pt>
                <c:pt idx="311">
                  <c:v>137.66060336645359</c:v>
                </c:pt>
                <c:pt idx="312">
                  <c:v>138.1032419624872</c:v>
                </c:pt>
                <c:pt idx="313">
                  <c:v>138.54588055852079</c:v>
                </c:pt>
                <c:pt idx="314">
                  <c:v>138.98851915455444</c:v>
                </c:pt>
                <c:pt idx="315">
                  <c:v>139.43115775058806</c:v>
                </c:pt>
                <c:pt idx="316">
                  <c:v>139.87379634662165</c:v>
                </c:pt>
                <c:pt idx="317">
                  <c:v>140.31643494265526</c:v>
                </c:pt>
                <c:pt idx="318">
                  <c:v>140.75907353868888</c:v>
                </c:pt>
                <c:pt idx="319">
                  <c:v>141.2017121347225</c:v>
                </c:pt>
                <c:pt idx="320">
                  <c:v>141.64435073075612</c:v>
                </c:pt>
                <c:pt idx="321">
                  <c:v>142.08698932678973</c:v>
                </c:pt>
                <c:pt idx="322">
                  <c:v>142.52962792282332</c:v>
                </c:pt>
                <c:pt idx="323">
                  <c:v>142.97226651885694</c:v>
                </c:pt>
                <c:pt idx="324">
                  <c:v>143.41490511489053</c:v>
                </c:pt>
                <c:pt idx="325">
                  <c:v>143.85754371092415</c:v>
                </c:pt>
                <c:pt idx="326">
                  <c:v>144.30018230695779</c:v>
                </c:pt>
                <c:pt idx="327">
                  <c:v>144.74282090299138</c:v>
                </c:pt>
                <c:pt idx="328">
                  <c:v>145.18545949902503</c:v>
                </c:pt>
                <c:pt idx="329">
                  <c:v>145.62809809505862</c:v>
                </c:pt>
                <c:pt idx="330">
                  <c:v>146.07073669109224</c:v>
                </c:pt>
                <c:pt idx="331">
                  <c:v>146.51337528712585</c:v>
                </c:pt>
                <c:pt idx="332">
                  <c:v>146.95601388315947</c:v>
                </c:pt>
                <c:pt idx="333">
                  <c:v>147.39865247919309</c:v>
                </c:pt>
                <c:pt idx="334">
                  <c:v>147.84129107522668</c:v>
                </c:pt>
                <c:pt idx="335">
                  <c:v>148.28392967126032</c:v>
                </c:pt>
                <c:pt idx="336">
                  <c:v>148.72656826729391</c:v>
                </c:pt>
                <c:pt idx="337">
                  <c:v>149.16920686332753</c:v>
                </c:pt>
                <c:pt idx="338">
                  <c:v>149.61184545936115</c:v>
                </c:pt>
                <c:pt idx="339">
                  <c:v>150.05448405539474</c:v>
                </c:pt>
                <c:pt idx="340">
                  <c:v>150.49712265142836</c:v>
                </c:pt>
                <c:pt idx="341">
                  <c:v>150.93976124746195</c:v>
                </c:pt>
                <c:pt idx="342">
                  <c:v>151.38239984349556</c:v>
                </c:pt>
                <c:pt idx="343">
                  <c:v>151.82503843952918</c:v>
                </c:pt>
                <c:pt idx="344">
                  <c:v>152.2676770355628</c:v>
                </c:pt>
                <c:pt idx="345">
                  <c:v>152.71031563159642</c:v>
                </c:pt>
                <c:pt idx="346">
                  <c:v>153.15295422763006</c:v>
                </c:pt>
                <c:pt idx="347">
                  <c:v>153.59559282366365</c:v>
                </c:pt>
                <c:pt idx="348">
                  <c:v>154.03823141969727</c:v>
                </c:pt>
                <c:pt idx="349">
                  <c:v>154.48087001573091</c:v>
                </c:pt>
                <c:pt idx="350">
                  <c:v>154.92350861176448</c:v>
                </c:pt>
              </c:numCache>
            </c:numRef>
          </c:yVal>
          <c:smooth val="0"/>
          <c:extLst>
            <c:ext xmlns:c16="http://schemas.microsoft.com/office/drawing/2014/chart" uri="{C3380CC4-5D6E-409C-BE32-E72D297353CC}">
              <c16:uniqueId val="{00000000-2645-8E4A-B81E-12D03FAEE0E8}"/>
            </c:ext>
          </c:extLst>
        </c:ser>
        <c:dLbls>
          <c:showLegendKey val="0"/>
          <c:showVal val="0"/>
          <c:showCatName val="0"/>
          <c:showSerName val="0"/>
          <c:showPercent val="0"/>
          <c:showBubbleSize val="0"/>
        </c:dLbls>
        <c:axId val="419604383"/>
        <c:axId val="432518847"/>
      </c:scatterChart>
      <c:valAx>
        <c:axId val="419604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Airspeed (KCAS)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518847"/>
        <c:crosses val="autoZero"/>
        <c:crossBetween val="midCat"/>
      </c:valAx>
      <c:valAx>
        <c:axId val="432518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 Required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604383"/>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r>
              <a:rPr lang="en-US"/>
              <a:t>Breakeven Analysis for Certification and Manufacturing</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Times New Roman"/>
              <a:ea typeface="Times New Roman"/>
              <a:cs typeface="Times New Roman"/>
            </a:defRPr>
          </a:pPr>
          <a:endParaRPr lang="en-US"/>
        </a:p>
      </c:txPr>
    </c:title>
    <c:autoTitleDeleted val="0"/>
    <c:plotArea>
      <c:layout>
        <c:manualLayout>
          <c:layoutTarget val="inner"/>
          <c:xMode val="edge"/>
          <c:yMode val="edge"/>
          <c:x val="0.19484704994600313"/>
          <c:y val="0.11267752170507231"/>
          <c:w val="0.80134574340080267"/>
          <c:h val="0.65876993494934999"/>
        </c:manualLayout>
      </c:layout>
      <c:lineChart>
        <c:grouping val="standard"/>
        <c:varyColors val="0"/>
        <c:ser>
          <c:idx val="1"/>
          <c:order val="0"/>
          <c:tx>
            <c:v>$4,500,000 </c:v>
          </c:tx>
          <c:spPr>
            <a:ln w="28575" cap="rnd">
              <a:solidFill>
                <a:schemeClr val="accent1"/>
              </a:solidFill>
              <a:prstDash val="sysDash"/>
              <a:round/>
            </a:ln>
            <a:effectLst/>
          </c:spPr>
          <c:marker>
            <c:symbol val="none"/>
          </c:marker>
          <c:cat>
            <c:numRef>
              <c:f>'Cost '!$A$57:$A$83</c:f>
              <c:numCache>
                <c:formatCode>General</c:formatCode>
                <c:ptCount val="2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numCache>
            </c:numRef>
          </c:cat>
          <c:val>
            <c:numRef>
              <c:f>'Cost '!$C$57:$C$83</c:f>
              <c:numCache>
                <c:formatCode>"$"#,##0.00</c:formatCode>
                <c:ptCount val="27"/>
                <c:pt idx="0" formatCode="[$$-409]#,##0.00">
                  <c:v>4500000</c:v>
                </c:pt>
                <c:pt idx="1">
                  <c:v>22500000</c:v>
                </c:pt>
                <c:pt idx="2">
                  <c:v>45000000</c:v>
                </c:pt>
                <c:pt idx="3">
                  <c:v>67500000</c:v>
                </c:pt>
                <c:pt idx="4">
                  <c:v>90000000</c:v>
                </c:pt>
                <c:pt idx="5">
                  <c:v>112500000</c:v>
                </c:pt>
                <c:pt idx="6">
                  <c:v>135000000</c:v>
                </c:pt>
                <c:pt idx="7">
                  <c:v>157500000</c:v>
                </c:pt>
                <c:pt idx="8">
                  <c:v>180000000</c:v>
                </c:pt>
                <c:pt idx="9">
                  <c:v>202500000</c:v>
                </c:pt>
                <c:pt idx="10">
                  <c:v>225000000</c:v>
                </c:pt>
                <c:pt idx="11">
                  <c:v>247500000</c:v>
                </c:pt>
                <c:pt idx="12">
                  <c:v>270000000</c:v>
                </c:pt>
                <c:pt idx="13">
                  <c:v>292500000</c:v>
                </c:pt>
                <c:pt idx="14">
                  <c:v>315000000</c:v>
                </c:pt>
                <c:pt idx="15">
                  <c:v>337500000</c:v>
                </c:pt>
                <c:pt idx="16">
                  <c:v>360000000</c:v>
                </c:pt>
                <c:pt idx="17">
                  <c:v>382500000</c:v>
                </c:pt>
                <c:pt idx="18">
                  <c:v>405000000</c:v>
                </c:pt>
                <c:pt idx="19">
                  <c:v>427500000</c:v>
                </c:pt>
                <c:pt idx="20">
                  <c:v>450000000</c:v>
                </c:pt>
                <c:pt idx="21">
                  <c:v>472500000</c:v>
                </c:pt>
                <c:pt idx="22">
                  <c:v>495000000</c:v>
                </c:pt>
                <c:pt idx="23">
                  <c:v>517500000</c:v>
                </c:pt>
                <c:pt idx="24">
                  <c:v>540000000</c:v>
                </c:pt>
                <c:pt idx="25">
                  <c:v>562500000</c:v>
                </c:pt>
                <c:pt idx="26">
                  <c:v>585000000</c:v>
                </c:pt>
              </c:numCache>
            </c:numRef>
          </c:val>
          <c:smooth val="0"/>
          <c:extLst>
            <c:ext xmlns:c16="http://schemas.microsoft.com/office/drawing/2014/chart" uri="{C3380CC4-5D6E-409C-BE32-E72D297353CC}">
              <c16:uniqueId val="{00000005-5ECA-443C-8344-59BEBF004BE7}"/>
            </c:ext>
          </c:extLst>
        </c:ser>
        <c:ser>
          <c:idx val="2"/>
          <c:order val="1"/>
          <c:tx>
            <c:v>$5,500,000 </c:v>
          </c:tx>
          <c:spPr>
            <a:ln w="28575" cap="rnd">
              <a:solidFill>
                <a:schemeClr val="accent1"/>
              </a:solidFill>
              <a:prstDash val="lgDash"/>
              <a:round/>
            </a:ln>
            <a:effectLst/>
          </c:spPr>
          <c:marker>
            <c:symbol val="none"/>
          </c:marker>
          <c:cat>
            <c:numRef>
              <c:f>'Cost '!$A$57:$A$83</c:f>
              <c:numCache>
                <c:formatCode>General</c:formatCode>
                <c:ptCount val="2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numCache>
            </c:numRef>
          </c:cat>
          <c:val>
            <c:numRef>
              <c:f>'Cost '!$D$57:$D$83</c:f>
              <c:numCache>
                <c:formatCode>"$"#,##0.00</c:formatCode>
                <c:ptCount val="27"/>
                <c:pt idx="0">
                  <c:v>5500000</c:v>
                </c:pt>
                <c:pt idx="1">
                  <c:v>27500000</c:v>
                </c:pt>
                <c:pt idx="2">
                  <c:v>55000000</c:v>
                </c:pt>
                <c:pt idx="3">
                  <c:v>82500000</c:v>
                </c:pt>
                <c:pt idx="4">
                  <c:v>110000000</c:v>
                </c:pt>
                <c:pt idx="5">
                  <c:v>137500000</c:v>
                </c:pt>
                <c:pt idx="6">
                  <c:v>165000000</c:v>
                </c:pt>
                <c:pt idx="7">
                  <c:v>192500000</c:v>
                </c:pt>
                <c:pt idx="8">
                  <c:v>220000000</c:v>
                </c:pt>
                <c:pt idx="9">
                  <c:v>247500000</c:v>
                </c:pt>
                <c:pt idx="10">
                  <c:v>275000000</c:v>
                </c:pt>
                <c:pt idx="11">
                  <c:v>302500000</c:v>
                </c:pt>
                <c:pt idx="12">
                  <c:v>330000000</c:v>
                </c:pt>
                <c:pt idx="13">
                  <c:v>357500000</c:v>
                </c:pt>
                <c:pt idx="14">
                  <c:v>385000000</c:v>
                </c:pt>
                <c:pt idx="15">
                  <c:v>412500000</c:v>
                </c:pt>
                <c:pt idx="16">
                  <c:v>440000000</c:v>
                </c:pt>
                <c:pt idx="17">
                  <c:v>467500000</c:v>
                </c:pt>
                <c:pt idx="18">
                  <c:v>495000000</c:v>
                </c:pt>
                <c:pt idx="19">
                  <c:v>522500000</c:v>
                </c:pt>
                <c:pt idx="20">
                  <c:v>550000000</c:v>
                </c:pt>
                <c:pt idx="21">
                  <c:v>577500000</c:v>
                </c:pt>
                <c:pt idx="22">
                  <c:v>605000000</c:v>
                </c:pt>
                <c:pt idx="23">
                  <c:v>632500000</c:v>
                </c:pt>
                <c:pt idx="24">
                  <c:v>660000000</c:v>
                </c:pt>
                <c:pt idx="25">
                  <c:v>687500000</c:v>
                </c:pt>
                <c:pt idx="26">
                  <c:v>715000000</c:v>
                </c:pt>
              </c:numCache>
            </c:numRef>
          </c:val>
          <c:smooth val="0"/>
          <c:extLst>
            <c:ext xmlns:c16="http://schemas.microsoft.com/office/drawing/2014/chart" uri="{C3380CC4-5D6E-409C-BE32-E72D297353CC}">
              <c16:uniqueId val="{00000006-5ECA-443C-8344-59BEBF004BE7}"/>
            </c:ext>
          </c:extLst>
        </c:ser>
        <c:ser>
          <c:idx val="3"/>
          <c:order val="2"/>
          <c:tx>
            <c:v>$6,500,000 </c:v>
          </c:tx>
          <c:spPr>
            <a:ln w="28575" cap="rnd">
              <a:solidFill>
                <a:schemeClr val="accent1"/>
              </a:solidFill>
              <a:round/>
            </a:ln>
            <a:effectLst/>
          </c:spPr>
          <c:marker>
            <c:symbol val="none"/>
          </c:marker>
          <c:cat>
            <c:numRef>
              <c:f>'Cost '!$A$57:$A$83</c:f>
              <c:numCache>
                <c:formatCode>General</c:formatCode>
                <c:ptCount val="2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numCache>
            </c:numRef>
          </c:cat>
          <c:val>
            <c:numRef>
              <c:f>'Cost '!$E$57:$E$83</c:f>
              <c:numCache>
                <c:formatCode>"$"#,##0.00</c:formatCode>
                <c:ptCount val="27"/>
                <c:pt idx="0">
                  <c:v>6500000</c:v>
                </c:pt>
                <c:pt idx="1">
                  <c:v>32500000</c:v>
                </c:pt>
                <c:pt idx="2">
                  <c:v>65000000</c:v>
                </c:pt>
                <c:pt idx="3">
                  <c:v>97500000</c:v>
                </c:pt>
                <c:pt idx="4">
                  <c:v>130000000</c:v>
                </c:pt>
                <c:pt idx="5">
                  <c:v>162500000</c:v>
                </c:pt>
                <c:pt idx="6">
                  <c:v>195000000</c:v>
                </c:pt>
                <c:pt idx="7">
                  <c:v>227500000</c:v>
                </c:pt>
                <c:pt idx="8">
                  <c:v>260000000</c:v>
                </c:pt>
                <c:pt idx="9">
                  <c:v>292500000</c:v>
                </c:pt>
                <c:pt idx="10">
                  <c:v>325000000</c:v>
                </c:pt>
                <c:pt idx="11">
                  <c:v>357500000</c:v>
                </c:pt>
                <c:pt idx="12">
                  <c:v>390000000</c:v>
                </c:pt>
                <c:pt idx="13">
                  <c:v>422500000</c:v>
                </c:pt>
                <c:pt idx="14">
                  <c:v>455000000</c:v>
                </c:pt>
                <c:pt idx="15">
                  <c:v>487500000</c:v>
                </c:pt>
                <c:pt idx="16">
                  <c:v>520000000</c:v>
                </c:pt>
                <c:pt idx="17">
                  <c:v>552500000</c:v>
                </c:pt>
                <c:pt idx="18">
                  <c:v>585000000</c:v>
                </c:pt>
                <c:pt idx="19">
                  <c:v>617500000</c:v>
                </c:pt>
                <c:pt idx="20">
                  <c:v>650000000</c:v>
                </c:pt>
                <c:pt idx="21">
                  <c:v>682500000</c:v>
                </c:pt>
                <c:pt idx="22">
                  <c:v>715000000</c:v>
                </c:pt>
                <c:pt idx="23">
                  <c:v>747500000</c:v>
                </c:pt>
                <c:pt idx="24">
                  <c:v>780000000</c:v>
                </c:pt>
                <c:pt idx="25">
                  <c:v>812500000</c:v>
                </c:pt>
                <c:pt idx="26">
                  <c:v>845000000</c:v>
                </c:pt>
              </c:numCache>
            </c:numRef>
          </c:val>
          <c:smooth val="0"/>
          <c:extLst>
            <c:ext xmlns:c16="http://schemas.microsoft.com/office/drawing/2014/chart" uri="{C3380CC4-5D6E-409C-BE32-E72D297353CC}">
              <c16:uniqueId val="{00000007-5ECA-443C-8344-59BEBF004BE7}"/>
            </c:ext>
          </c:extLst>
        </c:ser>
        <c:ser>
          <c:idx val="4"/>
          <c:order val="3"/>
          <c:tx>
            <c:v>Fixed Cost</c:v>
          </c:tx>
          <c:spPr>
            <a:ln w="28575" cap="rnd">
              <a:solidFill>
                <a:schemeClr val="accent5"/>
              </a:solidFill>
              <a:round/>
            </a:ln>
            <a:effectLst/>
          </c:spPr>
          <c:marker>
            <c:symbol val="none"/>
          </c:marker>
          <c:cat>
            <c:numRef>
              <c:f>'Cost '!$A$57:$A$83</c:f>
              <c:numCache>
                <c:formatCode>General</c:formatCode>
                <c:ptCount val="2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numCache>
            </c:numRef>
          </c:cat>
          <c:val>
            <c:numRef>
              <c:f>'Cost '!$F$57:$F$83</c:f>
              <c:numCache>
                <c:formatCode>"$"#,##0.00</c:formatCode>
                <c:ptCount val="27"/>
                <c:pt idx="0">
                  <c:v>206366432.82981572</c:v>
                </c:pt>
                <c:pt idx="1">
                  <c:v>206366432.82981572</c:v>
                </c:pt>
                <c:pt idx="2">
                  <c:v>206366432.82981572</c:v>
                </c:pt>
                <c:pt idx="3">
                  <c:v>206366432.82981572</c:v>
                </c:pt>
                <c:pt idx="4">
                  <c:v>206366432.82981572</c:v>
                </c:pt>
                <c:pt idx="5">
                  <c:v>206366432.82981572</c:v>
                </c:pt>
                <c:pt idx="6">
                  <c:v>206366432.82981572</c:v>
                </c:pt>
                <c:pt idx="7">
                  <c:v>206366432.82981572</c:v>
                </c:pt>
                <c:pt idx="8">
                  <c:v>206366432.82981572</c:v>
                </c:pt>
                <c:pt idx="9">
                  <c:v>206366432.82981572</c:v>
                </c:pt>
                <c:pt idx="10">
                  <c:v>206366432.82981572</c:v>
                </c:pt>
                <c:pt idx="11">
                  <c:v>206366432.82981572</c:v>
                </c:pt>
                <c:pt idx="12">
                  <c:v>206366432.82981572</c:v>
                </c:pt>
                <c:pt idx="13">
                  <c:v>206366432.82981572</c:v>
                </c:pt>
                <c:pt idx="14">
                  <c:v>206366432.82981572</c:v>
                </c:pt>
                <c:pt idx="15">
                  <c:v>206366432.82981572</c:v>
                </c:pt>
                <c:pt idx="16">
                  <c:v>206366432.82981572</c:v>
                </c:pt>
                <c:pt idx="17">
                  <c:v>206366432.82981572</c:v>
                </c:pt>
                <c:pt idx="18">
                  <c:v>206366432.82981572</c:v>
                </c:pt>
                <c:pt idx="19">
                  <c:v>206366432.82981572</c:v>
                </c:pt>
                <c:pt idx="20">
                  <c:v>206366432.82981572</c:v>
                </c:pt>
                <c:pt idx="21">
                  <c:v>206366432.82981572</c:v>
                </c:pt>
                <c:pt idx="22">
                  <c:v>206366432.82981572</c:v>
                </c:pt>
                <c:pt idx="23">
                  <c:v>206366432.82981572</c:v>
                </c:pt>
                <c:pt idx="24">
                  <c:v>206366432.82981572</c:v>
                </c:pt>
                <c:pt idx="25">
                  <c:v>206366432.82981572</c:v>
                </c:pt>
                <c:pt idx="26">
                  <c:v>206366432.82981572</c:v>
                </c:pt>
              </c:numCache>
            </c:numRef>
          </c:val>
          <c:smooth val="0"/>
          <c:extLst>
            <c:ext xmlns:c16="http://schemas.microsoft.com/office/drawing/2014/chart" uri="{C3380CC4-5D6E-409C-BE32-E72D297353CC}">
              <c16:uniqueId val="{00000008-5ECA-443C-8344-59BEBF004BE7}"/>
            </c:ext>
          </c:extLst>
        </c:ser>
        <c:ser>
          <c:idx val="5"/>
          <c:order val="4"/>
          <c:tx>
            <c:v>Fixed + Variable Cost</c:v>
          </c:tx>
          <c:spPr>
            <a:ln w="28575" cap="rnd">
              <a:solidFill>
                <a:schemeClr val="accent6"/>
              </a:solidFill>
              <a:round/>
            </a:ln>
            <a:effectLst/>
          </c:spPr>
          <c:marker>
            <c:symbol val="none"/>
          </c:marker>
          <c:dPt>
            <c:idx val="3"/>
            <c:marker>
              <c:symbol val="circle"/>
              <c:size val="5"/>
              <c:spPr>
                <a:noFill/>
                <a:ln w="9525">
                  <a:noFill/>
                </a:ln>
                <a:effectLst/>
              </c:spPr>
            </c:marker>
            <c:bubble3D val="0"/>
            <c:extLst>
              <c:ext xmlns:c16="http://schemas.microsoft.com/office/drawing/2014/chart" uri="{C3380CC4-5D6E-409C-BE32-E72D297353CC}">
                <c16:uniqueId val="{00000004-9C98-4E7D-BF9C-A3DC66E96B57}"/>
              </c:ext>
            </c:extLst>
          </c:dPt>
          <c:dPt>
            <c:idx val="4"/>
            <c:marker>
              <c:symbol val="circle"/>
              <c:size val="5"/>
              <c:spPr>
                <a:noFill/>
                <a:ln w="9525">
                  <a:noFill/>
                </a:ln>
                <a:effectLst/>
              </c:spPr>
            </c:marker>
            <c:bubble3D val="0"/>
            <c:extLst>
              <c:ext xmlns:c16="http://schemas.microsoft.com/office/drawing/2014/chart" uri="{C3380CC4-5D6E-409C-BE32-E72D297353CC}">
                <c16:uniqueId val="{00000000-EE0A-4FFC-9EAA-0EE29C332D25}"/>
              </c:ext>
            </c:extLst>
          </c:dPt>
          <c:dPt>
            <c:idx val="5"/>
            <c:marker>
              <c:symbol val="none"/>
            </c:marker>
            <c:bubble3D val="0"/>
            <c:extLst>
              <c:ext xmlns:c16="http://schemas.microsoft.com/office/drawing/2014/chart" uri="{C3380CC4-5D6E-409C-BE32-E72D297353CC}">
                <c16:uniqueId val="{00000005-9C98-4E7D-BF9C-A3DC66E96B57}"/>
              </c:ext>
            </c:extLst>
          </c:dPt>
          <c:dPt>
            <c:idx val="6"/>
            <c:marker>
              <c:symbol val="circle"/>
              <c:size val="5"/>
              <c:spPr>
                <a:noFill/>
                <a:ln w="9525">
                  <a:noFill/>
                </a:ln>
                <a:effectLst/>
              </c:spPr>
            </c:marker>
            <c:bubble3D val="0"/>
            <c:extLst>
              <c:ext xmlns:c16="http://schemas.microsoft.com/office/drawing/2014/chart" uri="{C3380CC4-5D6E-409C-BE32-E72D297353CC}">
                <c16:uniqueId val="{00000001-EE0A-4FFC-9EAA-0EE29C332D25}"/>
              </c:ext>
            </c:extLst>
          </c:dPt>
          <c:dPt>
            <c:idx val="8"/>
            <c:marker>
              <c:symbol val="none"/>
            </c:marker>
            <c:bubble3D val="0"/>
            <c:extLst>
              <c:ext xmlns:c16="http://schemas.microsoft.com/office/drawing/2014/chart" uri="{C3380CC4-5D6E-409C-BE32-E72D297353CC}">
                <c16:uniqueId val="{00000005-3802-450A-B335-AFB83E96D050}"/>
              </c:ext>
            </c:extLst>
          </c:dPt>
          <c:dPt>
            <c:idx val="9"/>
            <c:marker>
              <c:symbol val="circle"/>
              <c:size val="5"/>
              <c:spPr>
                <a:noFill/>
                <a:ln w="9525">
                  <a:noFill/>
                </a:ln>
                <a:effectLst/>
              </c:spPr>
            </c:marker>
            <c:bubble3D val="0"/>
            <c:extLst>
              <c:ext xmlns:c16="http://schemas.microsoft.com/office/drawing/2014/chart" uri="{C3380CC4-5D6E-409C-BE32-E72D297353CC}">
                <c16:uniqueId val="{00000003-9C98-4E7D-BF9C-A3DC66E96B57}"/>
              </c:ext>
            </c:extLst>
          </c:dPt>
          <c:dPt>
            <c:idx val="11"/>
            <c:marker>
              <c:symbol val="circle"/>
              <c:size val="5"/>
              <c:spPr>
                <a:solidFill>
                  <a:schemeClr val="tx1"/>
                </a:solidFill>
                <a:ln w="9525">
                  <a:solidFill>
                    <a:schemeClr val="tx1"/>
                  </a:solidFill>
                </a:ln>
                <a:effectLst/>
              </c:spPr>
            </c:marker>
            <c:bubble3D val="0"/>
            <c:extLst>
              <c:ext xmlns:c16="http://schemas.microsoft.com/office/drawing/2014/chart" uri="{C3380CC4-5D6E-409C-BE32-E72D297353CC}">
                <c16:uniqueId val="{00000008-3802-450A-B335-AFB83E96D050}"/>
              </c:ext>
            </c:extLst>
          </c:dPt>
          <c:dPt>
            <c:idx val="12"/>
            <c:marker>
              <c:symbol val="none"/>
            </c:marker>
            <c:bubble3D val="0"/>
            <c:extLst>
              <c:ext xmlns:c16="http://schemas.microsoft.com/office/drawing/2014/chart" uri="{C3380CC4-5D6E-409C-BE32-E72D297353CC}">
                <c16:uniqueId val="{00000007-3802-450A-B335-AFB83E96D050}"/>
              </c:ext>
            </c:extLst>
          </c:dPt>
          <c:dPt>
            <c:idx val="15"/>
            <c:marker>
              <c:symbol val="circle"/>
              <c:size val="5"/>
              <c:spPr>
                <a:solidFill>
                  <a:schemeClr val="tx1"/>
                </a:solidFill>
                <a:ln w="9525">
                  <a:solidFill>
                    <a:schemeClr val="tx1"/>
                  </a:solidFill>
                </a:ln>
                <a:effectLst/>
              </c:spPr>
            </c:marker>
            <c:bubble3D val="0"/>
            <c:extLst>
              <c:ext xmlns:c16="http://schemas.microsoft.com/office/drawing/2014/chart" uri="{C3380CC4-5D6E-409C-BE32-E72D297353CC}">
                <c16:uniqueId val="{00000009-3802-450A-B335-AFB83E96D050}"/>
              </c:ext>
            </c:extLst>
          </c:dPt>
          <c:dPt>
            <c:idx val="23"/>
            <c:marker>
              <c:symbol val="circle"/>
              <c:size val="5"/>
              <c:spPr>
                <a:solidFill>
                  <a:schemeClr val="tx1"/>
                </a:solidFill>
                <a:ln w="9525">
                  <a:solidFill>
                    <a:schemeClr val="tx1"/>
                  </a:solidFill>
                </a:ln>
                <a:effectLst/>
              </c:spPr>
            </c:marker>
            <c:bubble3D val="0"/>
            <c:extLst>
              <c:ext xmlns:c16="http://schemas.microsoft.com/office/drawing/2014/chart" uri="{C3380CC4-5D6E-409C-BE32-E72D297353CC}">
                <c16:uniqueId val="{0000000A-3802-450A-B335-AFB83E96D050}"/>
              </c:ext>
            </c:extLst>
          </c:dPt>
          <c:dLbls>
            <c:dLbl>
              <c:idx val="11"/>
              <c:layout>
                <c:manualLayout>
                  <c:x val="-0.15240797210931034"/>
                  <c:y val="-5.8228879231623322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802-450A-B335-AFB83E96D050}"/>
                </c:ext>
              </c:extLst>
            </c:dLbl>
            <c:dLbl>
              <c:idx val="15"/>
              <c:layout>
                <c:manualLayout>
                  <c:x val="-1.9539483603757735E-3"/>
                  <c:y val="8.410838111234479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802-450A-B335-AFB83E96D050}"/>
                </c:ext>
              </c:extLst>
            </c:dLbl>
            <c:dLbl>
              <c:idx val="23"/>
              <c:layout>
                <c:manualLayout>
                  <c:x val="-1.7585535243381963E-2"/>
                  <c:y val="7.763850564216442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802-450A-B335-AFB83E96D05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numRef>
              <c:f>'Cost '!$A$57:$A$83</c:f>
              <c:numCache>
                <c:formatCode>General</c:formatCode>
                <c:ptCount val="2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numCache>
            </c:numRef>
          </c:cat>
          <c:val>
            <c:numRef>
              <c:f>'Cost '!$G$57:$G$83</c:f>
              <c:numCache>
                <c:formatCode>"$"#,##0</c:formatCode>
                <c:ptCount val="27"/>
                <c:pt idx="0">
                  <c:v>209082474.29073122</c:v>
                </c:pt>
                <c:pt idx="1">
                  <c:v>219946640.1343933</c:v>
                </c:pt>
                <c:pt idx="2">
                  <c:v>233526847.43897089</c:v>
                </c:pt>
                <c:pt idx="3">
                  <c:v>247107054.74354851</c:v>
                </c:pt>
                <c:pt idx="4">
                  <c:v>260687262.0481261</c:v>
                </c:pt>
                <c:pt idx="5">
                  <c:v>274267469.35270369</c:v>
                </c:pt>
                <c:pt idx="6">
                  <c:v>287847676.65728128</c:v>
                </c:pt>
                <c:pt idx="7">
                  <c:v>301427883.96185887</c:v>
                </c:pt>
                <c:pt idx="8">
                  <c:v>315008091.26643646</c:v>
                </c:pt>
                <c:pt idx="9">
                  <c:v>328588298.57101405</c:v>
                </c:pt>
                <c:pt idx="10">
                  <c:v>342168505.87559164</c:v>
                </c:pt>
                <c:pt idx="11">
                  <c:v>355748713.18016922</c:v>
                </c:pt>
                <c:pt idx="12">
                  <c:v>369328920.48474681</c:v>
                </c:pt>
                <c:pt idx="13">
                  <c:v>382909127.7893244</c:v>
                </c:pt>
                <c:pt idx="14">
                  <c:v>396489335.09390205</c:v>
                </c:pt>
                <c:pt idx="15">
                  <c:v>410069542.39847964</c:v>
                </c:pt>
                <c:pt idx="16">
                  <c:v>423649749.70305723</c:v>
                </c:pt>
                <c:pt idx="17">
                  <c:v>437229957.00763482</c:v>
                </c:pt>
                <c:pt idx="18">
                  <c:v>450810164.31221241</c:v>
                </c:pt>
                <c:pt idx="19">
                  <c:v>464390371.61679006</c:v>
                </c:pt>
                <c:pt idx="20">
                  <c:v>477970578.92136765</c:v>
                </c:pt>
                <c:pt idx="21">
                  <c:v>491550786.22594523</c:v>
                </c:pt>
                <c:pt idx="22">
                  <c:v>505130993.53052282</c:v>
                </c:pt>
                <c:pt idx="23">
                  <c:v>518711200.83510041</c:v>
                </c:pt>
                <c:pt idx="24">
                  <c:v>532291408.139678</c:v>
                </c:pt>
                <c:pt idx="25">
                  <c:v>545871615.44425559</c:v>
                </c:pt>
                <c:pt idx="26">
                  <c:v>559451822.74883318</c:v>
                </c:pt>
              </c:numCache>
            </c:numRef>
          </c:val>
          <c:smooth val="0"/>
          <c:extLst>
            <c:ext xmlns:c16="http://schemas.microsoft.com/office/drawing/2014/chart" uri="{C3380CC4-5D6E-409C-BE32-E72D297353CC}">
              <c16:uniqueId val="{00000001-5244-440A-AA46-B13BE6ABE69E}"/>
            </c:ext>
          </c:extLst>
        </c:ser>
        <c:dLbls>
          <c:showLegendKey val="0"/>
          <c:showVal val="0"/>
          <c:showCatName val="0"/>
          <c:showSerName val="0"/>
          <c:showPercent val="0"/>
          <c:showBubbleSize val="0"/>
        </c:dLbls>
        <c:smooth val="0"/>
        <c:axId val="1110883504"/>
        <c:axId val="1110884464"/>
      </c:lineChart>
      <c:catAx>
        <c:axId val="11108835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r>
                  <a:rPr lang="en-US" b="1"/>
                  <a:t>Number of Units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a:ea typeface="Times New Roman"/>
                  <a:cs typeface="Times New Roman"/>
                </a:defRPr>
              </a:pPr>
              <a:endParaRPr lang="en-US"/>
            </a:p>
          </c:txPr>
        </c:title>
        <c:numFmt formatCode="General" sourceLinked="1"/>
        <c:majorTickMark val="none"/>
        <c:minorTickMark val="cross"/>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crossAx val="1110884464"/>
        <c:crosses val="autoZero"/>
        <c:auto val="1"/>
        <c:lblAlgn val="ctr"/>
        <c:lblOffset val="100"/>
        <c:noMultiLvlLbl val="0"/>
      </c:catAx>
      <c:valAx>
        <c:axId val="1110884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a:ea typeface="Times New Roman"/>
                    <a:cs typeface="Times New Roman"/>
                  </a:defRPr>
                </a:pPr>
                <a:r>
                  <a:rPr lang="en-US" b="1"/>
                  <a:t>Total Production Cost and Rev., in $</a:t>
                </a:r>
              </a:p>
            </c:rich>
          </c:tx>
          <c:layout>
            <c:manualLayout>
              <c:xMode val="edge"/>
              <c:yMode val="edge"/>
              <c:x val="2.8092700233550677E-2"/>
              <c:y val="0.1480289677211799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a:ea typeface="Times New Roman"/>
                  <a:cs typeface="Times New Roman"/>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crossAx val="1110883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a:ea typeface="Times New Roman"/>
              <a:cs typeface="Times New Roman"/>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Solaris XIL-1 Minimum Selling Price vs. Rival AC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03134253065163"/>
          <c:y val="0.1685909090909091"/>
          <c:w val="0.79675695830500282"/>
          <c:h val="0.48334753042233358"/>
        </c:manualLayout>
      </c:layout>
      <c:barChart>
        <c:barDir val="col"/>
        <c:grouping val="clustered"/>
        <c:varyColors val="0"/>
        <c:ser>
          <c:idx val="0"/>
          <c:order val="0"/>
          <c:tx>
            <c:v>Solaris XIL-1 </c:v>
          </c:tx>
          <c:spPr>
            <a:solidFill>
              <a:schemeClr val="accent1"/>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'Cost '!$C$99:$E$99</c:f>
              <c:multiLvlStrCache>
                <c:ptCount val="1"/>
                <c:lvl>
                  <c:pt idx="0">
                    <c:v>Cessna SkyCourier</c:v>
                  </c:pt>
                </c:lvl>
                <c:lvl>
                  <c:pt idx="0">
                    <c:v>Beechcraft King Air 350</c:v>
                  </c:pt>
                </c:lvl>
                <c:lvl>
                  <c:pt idx="0">
                    <c:v>embraer phenom 300</c:v>
                  </c:pt>
                </c:lvl>
              </c:multiLvlStrCache>
            </c:multiLvlStrRef>
          </c:cat>
          <c:val>
            <c:numLit>
              <c:formatCode>General</c:formatCode>
              <c:ptCount val="1"/>
              <c:pt idx="0">
                <c:v>4.8</c:v>
              </c:pt>
            </c:numLit>
          </c:val>
          <c:extLst>
            <c:ext xmlns:c16="http://schemas.microsoft.com/office/drawing/2014/chart" uri="{C3380CC4-5D6E-409C-BE32-E72D297353CC}">
              <c16:uniqueId val="{00000004-7B6E-40A6-95E2-160A7636C227}"/>
            </c:ext>
          </c:extLst>
        </c:ser>
        <c:ser>
          <c:idx val="3"/>
          <c:order val="1"/>
          <c:tx>
            <c:v>Embraer Phenom 300</c:v>
          </c:tx>
          <c:spPr>
            <a:solidFill>
              <a:schemeClr val="accent4"/>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'Cost '!$C$99:$E$99</c:f>
              <c:multiLvlStrCache>
                <c:ptCount val="1"/>
                <c:lvl>
                  <c:pt idx="0">
                    <c:v>Cessna SkyCourier</c:v>
                  </c:pt>
                </c:lvl>
                <c:lvl>
                  <c:pt idx="0">
                    <c:v>Beechcraft King Air 350</c:v>
                  </c:pt>
                </c:lvl>
                <c:lvl>
                  <c:pt idx="0">
                    <c:v>embraer phenom 300</c:v>
                  </c:pt>
                </c:lvl>
              </c:multiLvlStrCache>
            </c:multiLvlStrRef>
          </c:cat>
          <c:val>
            <c:numRef>
              <c:f>'Cost '!$C$102</c:f>
              <c:numCache>
                <c:formatCode>_("$"* #,##0.00_);_("$"* \(#,##0.00\);_("$"* "-"??_);_(@_)</c:formatCode>
                <c:ptCount val="1"/>
                <c:pt idx="0">
                  <c:v>6.6</c:v>
                </c:pt>
              </c:numCache>
            </c:numRef>
          </c:val>
          <c:extLst>
            <c:ext xmlns:c16="http://schemas.microsoft.com/office/drawing/2014/chart" uri="{C3380CC4-5D6E-409C-BE32-E72D297353CC}">
              <c16:uniqueId val="{00000008-7B6E-40A6-95E2-160A7636C227}"/>
            </c:ext>
          </c:extLst>
        </c:ser>
        <c:ser>
          <c:idx val="1"/>
          <c:order val="2"/>
          <c:tx>
            <c:v>Cessna SkyCourier</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'Cost '!$C$99:$E$99</c:f>
              <c:multiLvlStrCache>
                <c:ptCount val="1"/>
                <c:lvl>
                  <c:pt idx="0">
                    <c:v>Cessna SkyCourier</c:v>
                  </c:pt>
                </c:lvl>
                <c:lvl>
                  <c:pt idx="0">
                    <c:v>Beechcraft King Air 350</c:v>
                  </c:pt>
                </c:lvl>
                <c:lvl>
                  <c:pt idx="0">
                    <c:v>embraer phenom 300</c:v>
                  </c:pt>
                </c:lvl>
              </c:multiLvlStrCache>
            </c:multiLvlStrRef>
          </c:cat>
          <c:val>
            <c:numRef>
              <c:f>'Cost '!$E$102</c:f>
              <c:numCache>
                <c:formatCode>"$"#,##0.00_);[Red]\("$"#,##0.00\)</c:formatCode>
                <c:ptCount val="1"/>
                <c:pt idx="0">
                  <c:v>7</c:v>
                </c:pt>
              </c:numCache>
            </c:numRef>
          </c:val>
          <c:extLst>
            <c:ext xmlns:c16="http://schemas.microsoft.com/office/drawing/2014/chart" uri="{C3380CC4-5D6E-409C-BE32-E72D297353CC}">
              <c16:uniqueId val="{00000006-7B6E-40A6-95E2-160A7636C227}"/>
            </c:ext>
          </c:extLst>
        </c:ser>
        <c:ser>
          <c:idx val="2"/>
          <c:order val="3"/>
          <c:tx>
            <c:v>Beechcraft King Air 350</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'Cost '!$C$99:$E$99</c:f>
              <c:multiLvlStrCache>
                <c:ptCount val="1"/>
                <c:lvl>
                  <c:pt idx="0">
                    <c:v>Cessna SkyCourier</c:v>
                  </c:pt>
                </c:lvl>
                <c:lvl>
                  <c:pt idx="0">
                    <c:v>Beechcraft King Air 350</c:v>
                  </c:pt>
                </c:lvl>
                <c:lvl>
                  <c:pt idx="0">
                    <c:v>embraer phenom 300</c:v>
                  </c:pt>
                </c:lvl>
              </c:multiLvlStrCache>
            </c:multiLvlStrRef>
          </c:cat>
          <c:val>
            <c:numRef>
              <c:f>'Cost '!$D$102</c:f>
              <c:numCache>
                <c:formatCode>_("$"* #,##0.00_);_("$"* \(#,##0.00\);_("$"* "-"??_);_(@_)</c:formatCode>
                <c:ptCount val="1"/>
                <c:pt idx="0">
                  <c:v>8</c:v>
                </c:pt>
              </c:numCache>
            </c:numRef>
          </c:val>
          <c:extLst>
            <c:ext xmlns:c16="http://schemas.microsoft.com/office/drawing/2014/chart" uri="{C3380CC4-5D6E-409C-BE32-E72D297353CC}">
              <c16:uniqueId val="{00000007-7B6E-40A6-95E2-160A7636C227}"/>
            </c:ext>
          </c:extLst>
        </c:ser>
        <c:dLbls>
          <c:dLblPos val="outEnd"/>
          <c:showLegendKey val="0"/>
          <c:showVal val="1"/>
          <c:showCatName val="0"/>
          <c:showSerName val="0"/>
          <c:showPercent val="0"/>
          <c:showBubbleSize val="0"/>
        </c:dLbls>
        <c:gapWidth val="100"/>
        <c:overlap val="-100"/>
        <c:axId val="81532079"/>
        <c:axId val="1150694383"/>
      </c:barChart>
      <c:catAx>
        <c:axId val="81532079"/>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Aircraft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50694383"/>
        <c:crosses val="autoZero"/>
        <c:auto val="0"/>
        <c:lblAlgn val="ctr"/>
        <c:lblOffset val="100"/>
        <c:noMultiLvlLbl val="0"/>
      </c:catAx>
      <c:valAx>
        <c:axId val="1150694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Minimum Selling Prices, in mil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32079"/>
        <c:crossesAt val="1"/>
        <c:crossBetween val="between"/>
      </c:valAx>
      <c:spPr>
        <a:noFill/>
        <a:ln>
          <a:noFill/>
        </a:ln>
        <a:effectLst/>
      </c:spPr>
    </c:plotArea>
    <c:legend>
      <c:legendPos val="b"/>
      <c:layout>
        <c:manualLayout>
          <c:xMode val="edge"/>
          <c:yMode val="edge"/>
          <c:x val="5.0722166650158829E-2"/>
          <c:y val="0.74622793918001629"/>
          <c:w val="0.89999988629580152"/>
          <c:h val="7.273757806136302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 That Make-Up the Min. Selling Price of $6.6 mill.</a:t>
            </a:r>
          </a:p>
        </c:rich>
      </c:tx>
      <c:layout>
        <c:manualLayout>
          <c:xMode val="edge"/>
          <c:yMode val="edge"/>
          <c:x val="0.12679855643044619"/>
          <c:y val="4.50450450450450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F5-324A-A77B-593B7F1491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F5-324A-A77B-593B7F1491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F5-324A-A77B-593B7F1491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3F5-324A-A77B-593B7F1491B8}"/>
              </c:ext>
            </c:extLst>
          </c:dPt>
          <c:dLbls>
            <c:dLbl>
              <c:idx val="0"/>
              <c:tx>
                <c:rich>
                  <a:bodyPr/>
                  <a:lstStyle/>
                  <a:p>
                    <a:r>
                      <a:rPr lang="en-US"/>
                      <a:t>$2,200,000</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93F5-324A-A77B-593B7F1491B8}"/>
                </c:ext>
              </c:extLst>
            </c:dLbl>
            <c:dLbl>
              <c:idx val="1"/>
              <c:tx>
                <c:rich>
                  <a:bodyPr/>
                  <a:lstStyle/>
                  <a:p>
                    <a:r>
                      <a:rPr lang="en-US"/>
                      <a:t>78,000</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93F5-324A-A77B-593B7F1491B8}"/>
                </c:ext>
              </c:extLst>
            </c:dLbl>
            <c:dLbl>
              <c:idx val="3"/>
              <c:tx>
                <c:rich>
                  <a:bodyPr/>
                  <a:lstStyle/>
                  <a:p>
                    <a:r>
                      <a:rPr lang="en-US"/>
                      <a:t>$4,000,000</a:t>
                    </a:r>
                  </a:p>
                </c:rich>
              </c:tx>
              <c:dLblPos val="bestFi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93F5-324A-A77B-593B7F1491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Engine Cost</c:v>
              </c:pt>
              <c:pt idx="1">
                <c:v> Propeller Cost</c:v>
              </c:pt>
              <c:pt idx="2">
                <c:v> Avionics Cost</c:v>
              </c:pt>
              <c:pt idx="3">
                <c:v> Total Cost to Produce</c:v>
              </c:pt>
            </c:strLit>
          </c:cat>
          <c:val>
            <c:numRef>
              <c:f>'Cost '!$I$37:$I$40</c:f>
              <c:numCache>
                <c:formatCode>"$"#,##0</c:formatCode>
                <c:ptCount val="4"/>
                <c:pt idx="0">
                  <c:v>2208838.8769874037</c:v>
                </c:pt>
                <c:pt idx="1">
                  <c:v>77335.784269360141</c:v>
                </c:pt>
                <c:pt idx="2">
                  <c:v>250000</c:v>
                </c:pt>
                <c:pt idx="3">
                  <c:v>4063721.1823210972</c:v>
                </c:pt>
              </c:numCache>
            </c:numRef>
          </c:val>
          <c:extLst>
            <c:ext xmlns:c16="http://schemas.microsoft.com/office/drawing/2014/chart" uri="{C3380CC4-5D6E-409C-BE32-E72D297353CC}">
              <c16:uniqueId val="{0000000C-4166-4883-81D3-8EE04A2C94C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Breakeven Analysis for Various Selling Prices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20504321556706542"/>
          <c:y val="0.1341757433540646"/>
          <c:w val="0.76649122552830029"/>
          <c:h val="0.64698508136118704"/>
        </c:manualLayout>
      </c:layout>
      <c:scatterChart>
        <c:scatterStyle val="smoothMarker"/>
        <c:varyColors val="0"/>
        <c:ser>
          <c:idx val="0"/>
          <c:order val="0"/>
          <c:tx>
            <c:v>Fixed +Variable</c:v>
          </c:tx>
          <c:spPr>
            <a:ln w="28575" cap="rnd">
              <a:solidFill>
                <a:schemeClr val="accent1"/>
              </a:solidFill>
              <a:round/>
            </a:ln>
            <a:effectLst/>
          </c:spPr>
          <c:marker>
            <c:symbol val="none"/>
          </c:marker>
          <c:xVal>
            <c:numRef>
              <c:f>'Cost '!$P$58:$P$84</c:f>
              <c:numCache>
                <c:formatCode>General</c:formatCode>
                <c:ptCount val="2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numCache>
            </c:numRef>
          </c:xVal>
          <c:yVal>
            <c:numRef>
              <c:f>'Cost '!$V$58:$V$84</c:f>
              <c:numCache>
                <c:formatCode>"$"#,##0.00</c:formatCode>
                <c:ptCount val="27"/>
                <c:pt idx="0" formatCode="General">
                  <c:v>209082474.29073122</c:v>
                </c:pt>
                <c:pt idx="1">
                  <c:v>224621374.41312304</c:v>
                </c:pt>
                <c:pt idx="2">
                  <c:v>242876315.9964304</c:v>
                </c:pt>
                <c:pt idx="3">
                  <c:v>261131257.57973772</c:v>
                </c:pt>
                <c:pt idx="4">
                  <c:v>279386199.16304505</c:v>
                </c:pt>
                <c:pt idx="5">
                  <c:v>297641140.74635237</c:v>
                </c:pt>
                <c:pt idx="6">
                  <c:v>315896082.3296597</c:v>
                </c:pt>
                <c:pt idx="7">
                  <c:v>334151023.91296703</c:v>
                </c:pt>
                <c:pt idx="8">
                  <c:v>352405965.49627435</c:v>
                </c:pt>
                <c:pt idx="9">
                  <c:v>370660907.07958174</c:v>
                </c:pt>
                <c:pt idx="10">
                  <c:v>388915848.662889</c:v>
                </c:pt>
                <c:pt idx="11">
                  <c:v>407170790.24619639</c:v>
                </c:pt>
                <c:pt idx="12">
                  <c:v>425425731.82950366</c:v>
                </c:pt>
                <c:pt idx="13">
                  <c:v>443680673.41281104</c:v>
                </c:pt>
                <c:pt idx="14">
                  <c:v>461935614.99611837</c:v>
                </c:pt>
                <c:pt idx="15">
                  <c:v>480190556.57942569</c:v>
                </c:pt>
                <c:pt idx="16">
                  <c:v>498445498.16273308</c:v>
                </c:pt>
                <c:pt idx="17">
                  <c:v>516700439.74604034</c:v>
                </c:pt>
                <c:pt idx="18">
                  <c:v>534955381.32934773</c:v>
                </c:pt>
                <c:pt idx="19">
                  <c:v>553210322.912655</c:v>
                </c:pt>
                <c:pt idx="20">
                  <c:v>571465264.49596238</c:v>
                </c:pt>
                <c:pt idx="21">
                  <c:v>589720206.07926965</c:v>
                </c:pt>
                <c:pt idx="22">
                  <c:v>607975147.66257703</c:v>
                </c:pt>
                <c:pt idx="23">
                  <c:v>626230089.2458843</c:v>
                </c:pt>
                <c:pt idx="24">
                  <c:v>644485030.82919168</c:v>
                </c:pt>
                <c:pt idx="25">
                  <c:v>662739972.41249907</c:v>
                </c:pt>
                <c:pt idx="26">
                  <c:v>680994913.99580634</c:v>
                </c:pt>
              </c:numCache>
            </c:numRef>
          </c:yVal>
          <c:smooth val="1"/>
          <c:extLst>
            <c:ext xmlns:c16="http://schemas.microsoft.com/office/drawing/2014/chart" uri="{C3380CC4-5D6E-409C-BE32-E72D297353CC}">
              <c16:uniqueId val="{00000000-06B8-4294-ABC0-E98FEC88F0C5}"/>
            </c:ext>
          </c:extLst>
        </c:ser>
        <c:ser>
          <c:idx val="1"/>
          <c:order val="1"/>
          <c:tx>
            <c:v>Fixed Cost</c:v>
          </c:tx>
          <c:spPr>
            <a:ln w="28575" cap="rnd">
              <a:solidFill>
                <a:schemeClr val="accent2"/>
              </a:solidFill>
              <a:round/>
            </a:ln>
            <a:effectLst/>
          </c:spPr>
          <c:marker>
            <c:symbol val="none"/>
          </c:marker>
          <c:xVal>
            <c:numRef>
              <c:f>'Cost '!$P$58:$P$84</c:f>
              <c:numCache>
                <c:formatCode>General</c:formatCode>
                <c:ptCount val="2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numCache>
            </c:numRef>
          </c:xVal>
          <c:yVal>
            <c:numRef>
              <c:f>'Cost '!$U$58:$U$84</c:f>
              <c:numCache>
                <c:formatCode>"$"#,##0.00</c:formatCode>
                <c:ptCount val="27"/>
                <c:pt idx="0">
                  <c:v>206366432.82981572</c:v>
                </c:pt>
                <c:pt idx="1">
                  <c:v>206366432.82981572</c:v>
                </c:pt>
                <c:pt idx="2">
                  <c:v>206366432.82981572</c:v>
                </c:pt>
                <c:pt idx="3">
                  <c:v>206366432.82981572</c:v>
                </c:pt>
                <c:pt idx="4">
                  <c:v>206366432.82981572</c:v>
                </c:pt>
                <c:pt idx="5">
                  <c:v>206366432.82981572</c:v>
                </c:pt>
                <c:pt idx="6">
                  <c:v>206366432.82981572</c:v>
                </c:pt>
                <c:pt idx="7">
                  <c:v>206366432.82981572</c:v>
                </c:pt>
                <c:pt idx="8">
                  <c:v>206366432.82981572</c:v>
                </c:pt>
                <c:pt idx="9">
                  <c:v>206366432.82981572</c:v>
                </c:pt>
                <c:pt idx="10">
                  <c:v>206366432.82981572</c:v>
                </c:pt>
                <c:pt idx="11">
                  <c:v>206366432.82981572</c:v>
                </c:pt>
                <c:pt idx="12">
                  <c:v>206366432.82981572</c:v>
                </c:pt>
                <c:pt idx="13">
                  <c:v>206366432.82981572</c:v>
                </c:pt>
                <c:pt idx="14">
                  <c:v>206366432.82981572</c:v>
                </c:pt>
                <c:pt idx="15">
                  <c:v>206366432.82981572</c:v>
                </c:pt>
                <c:pt idx="16">
                  <c:v>206366432.82981572</c:v>
                </c:pt>
                <c:pt idx="17">
                  <c:v>206366432.82981572</c:v>
                </c:pt>
                <c:pt idx="18">
                  <c:v>206366432.82981572</c:v>
                </c:pt>
                <c:pt idx="19">
                  <c:v>206366432.82981572</c:v>
                </c:pt>
                <c:pt idx="20">
                  <c:v>206366432.82981572</c:v>
                </c:pt>
                <c:pt idx="21">
                  <c:v>206366432.82981572</c:v>
                </c:pt>
                <c:pt idx="22">
                  <c:v>206366432.82981572</c:v>
                </c:pt>
                <c:pt idx="23">
                  <c:v>206366432.82981572</c:v>
                </c:pt>
                <c:pt idx="24">
                  <c:v>206366432.82981572</c:v>
                </c:pt>
                <c:pt idx="25">
                  <c:v>206366432.82981572</c:v>
                </c:pt>
                <c:pt idx="26">
                  <c:v>206366432.82981572</c:v>
                </c:pt>
              </c:numCache>
            </c:numRef>
          </c:yVal>
          <c:smooth val="1"/>
          <c:extLst>
            <c:ext xmlns:c16="http://schemas.microsoft.com/office/drawing/2014/chart" uri="{C3380CC4-5D6E-409C-BE32-E72D297353CC}">
              <c16:uniqueId val="{00000001-06B8-4294-ABC0-E98FEC88F0C5}"/>
            </c:ext>
          </c:extLst>
        </c:ser>
        <c:ser>
          <c:idx val="2"/>
          <c:order val="2"/>
          <c:tx>
            <c:v>$6,500,000 </c:v>
          </c:tx>
          <c:spPr>
            <a:ln w="28575" cap="rnd">
              <a:solidFill>
                <a:schemeClr val="accent3"/>
              </a:solidFill>
              <a:prstDash val="dash"/>
              <a:round/>
            </a:ln>
            <a:effectLst/>
          </c:spPr>
          <c:marker>
            <c:symbol val="none"/>
          </c:marker>
          <c:dPt>
            <c:idx val="14"/>
            <c:marker>
              <c:symbol val="circle"/>
              <c:size val="8"/>
              <c:spPr>
                <a:solidFill>
                  <a:schemeClr val="tx1"/>
                </a:solidFill>
                <a:ln w="9525">
                  <a:solidFill>
                    <a:schemeClr val="tx1"/>
                  </a:solidFill>
                </a:ln>
                <a:effectLst/>
              </c:spPr>
            </c:marker>
            <c:bubble3D val="0"/>
            <c:extLst>
              <c:ext xmlns:c16="http://schemas.microsoft.com/office/drawing/2014/chart" uri="{C3380CC4-5D6E-409C-BE32-E72D297353CC}">
                <c16:uniqueId val="{00000007-06B8-4294-ABC0-E98FEC88F0C5}"/>
              </c:ext>
            </c:extLst>
          </c:dPt>
          <c:dLbls>
            <c:dLbl>
              <c:idx val="14"/>
              <c:layout>
                <c:manualLayout>
                  <c:x val="0"/>
                  <c:y val="5.405406939180517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6B8-4294-ABC0-E98FEC88F0C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xVal>
            <c:numRef>
              <c:f>'Cost '!$P$58:$P$84</c:f>
              <c:numCache>
                <c:formatCode>General</c:formatCode>
                <c:ptCount val="2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numCache>
            </c:numRef>
          </c:xVal>
          <c:yVal>
            <c:numRef>
              <c:f>'Cost '!$R$58:$R$84</c:f>
              <c:numCache>
                <c:formatCode>[$$-409]#,##0.00</c:formatCode>
                <c:ptCount val="27"/>
                <c:pt idx="0">
                  <c:v>6500000</c:v>
                </c:pt>
                <c:pt idx="1">
                  <c:v>32500000</c:v>
                </c:pt>
                <c:pt idx="2">
                  <c:v>65000000</c:v>
                </c:pt>
                <c:pt idx="3">
                  <c:v>97500000</c:v>
                </c:pt>
                <c:pt idx="4">
                  <c:v>130000000</c:v>
                </c:pt>
                <c:pt idx="5">
                  <c:v>162500000</c:v>
                </c:pt>
                <c:pt idx="6">
                  <c:v>195000000</c:v>
                </c:pt>
                <c:pt idx="7">
                  <c:v>227500000</c:v>
                </c:pt>
                <c:pt idx="8">
                  <c:v>260000000</c:v>
                </c:pt>
                <c:pt idx="9">
                  <c:v>292500000</c:v>
                </c:pt>
                <c:pt idx="10">
                  <c:v>325000000</c:v>
                </c:pt>
                <c:pt idx="11">
                  <c:v>357500000</c:v>
                </c:pt>
                <c:pt idx="12">
                  <c:v>390000000</c:v>
                </c:pt>
                <c:pt idx="13">
                  <c:v>422500000</c:v>
                </c:pt>
                <c:pt idx="14">
                  <c:v>455000000</c:v>
                </c:pt>
                <c:pt idx="15">
                  <c:v>487500000</c:v>
                </c:pt>
                <c:pt idx="16">
                  <c:v>520000000</c:v>
                </c:pt>
                <c:pt idx="17">
                  <c:v>552500000</c:v>
                </c:pt>
                <c:pt idx="18">
                  <c:v>585000000</c:v>
                </c:pt>
                <c:pt idx="19">
                  <c:v>617500000</c:v>
                </c:pt>
                <c:pt idx="20">
                  <c:v>650000000</c:v>
                </c:pt>
                <c:pt idx="21">
                  <c:v>682500000</c:v>
                </c:pt>
                <c:pt idx="22">
                  <c:v>715000000</c:v>
                </c:pt>
                <c:pt idx="23">
                  <c:v>747500000</c:v>
                </c:pt>
                <c:pt idx="24">
                  <c:v>780000000</c:v>
                </c:pt>
                <c:pt idx="25">
                  <c:v>812500000</c:v>
                </c:pt>
                <c:pt idx="26">
                  <c:v>845000000</c:v>
                </c:pt>
              </c:numCache>
            </c:numRef>
          </c:yVal>
          <c:smooth val="1"/>
          <c:extLst>
            <c:ext xmlns:c16="http://schemas.microsoft.com/office/drawing/2014/chart" uri="{C3380CC4-5D6E-409C-BE32-E72D297353CC}">
              <c16:uniqueId val="{00000002-06B8-4294-ABC0-E98FEC88F0C5}"/>
            </c:ext>
          </c:extLst>
        </c:ser>
        <c:ser>
          <c:idx val="3"/>
          <c:order val="3"/>
          <c:tx>
            <c:v>$7,500,000 </c:v>
          </c:tx>
          <c:spPr>
            <a:ln w="28575" cap="rnd">
              <a:solidFill>
                <a:schemeClr val="accent4"/>
              </a:solidFill>
              <a:prstDash val="solid"/>
              <a:round/>
            </a:ln>
            <a:effectLst/>
          </c:spPr>
          <c:marker>
            <c:symbol val="none"/>
          </c:marker>
          <c:dPt>
            <c:idx val="11"/>
            <c:marker>
              <c:symbol val="circle"/>
              <c:size val="8"/>
              <c:spPr>
                <a:solidFill>
                  <a:schemeClr val="tx1"/>
                </a:solidFill>
                <a:ln w="9525">
                  <a:solidFill>
                    <a:schemeClr val="tx1"/>
                  </a:solidFill>
                </a:ln>
                <a:effectLst/>
              </c:spPr>
            </c:marker>
            <c:bubble3D val="0"/>
            <c:extLst>
              <c:ext xmlns:c16="http://schemas.microsoft.com/office/drawing/2014/chart" uri="{C3380CC4-5D6E-409C-BE32-E72D297353CC}">
                <c16:uniqueId val="{00000006-06B8-4294-ABC0-E98FEC88F0C5}"/>
              </c:ext>
            </c:extLst>
          </c:dPt>
          <c:dLbls>
            <c:dLbl>
              <c:idx val="11"/>
              <c:layout>
                <c:manualLayout>
                  <c:x val="-7.2277488644988369E-2"/>
                  <c:y val="-0.111711743409730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6B8-4294-ABC0-E98FEC88F0C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xVal>
            <c:numRef>
              <c:f>'Cost '!$P$58:$P$84</c:f>
              <c:numCache>
                <c:formatCode>General</c:formatCode>
                <c:ptCount val="2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numCache>
            </c:numRef>
          </c:xVal>
          <c:yVal>
            <c:numRef>
              <c:f>'Cost '!$S$58:$S$84</c:f>
              <c:numCache>
                <c:formatCode>[$$-409]#,##0.00</c:formatCode>
                <c:ptCount val="27"/>
                <c:pt idx="0">
                  <c:v>7500000</c:v>
                </c:pt>
                <c:pt idx="1">
                  <c:v>37500000</c:v>
                </c:pt>
                <c:pt idx="2">
                  <c:v>75000000</c:v>
                </c:pt>
                <c:pt idx="3">
                  <c:v>112500000</c:v>
                </c:pt>
                <c:pt idx="4">
                  <c:v>150000000</c:v>
                </c:pt>
                <c:pt idx="5">
                  <c:v>187500000</c:v>
                </c:pt>
                <c:pt idx="6">
                  <c:v>225000000</c:v>
                </c:pt>
                <c:pt idx="7">
                  <c:v>262500000</c:v>
                </c:pt>
                <c:pt idx="8">
                  <c:v>300000000</c:v>
                </c:pt>
                <c:pt idx="9">
                  <c:v>337500000</c:v>
                </c:pt>
                <c:pt idx="10">
                  <c:v>375000000</c:v>
                </c:pt>
                <c:pt idx="11">
                  <c:v>412500000</c:v>
                </c:pt>
                <c:pt idx="12">
                  <c:v>450000000</c:v>
                </c:pt>
                <c:pt idx="13">
                  <c:v>487500000</c:v>
                </c:pt>
                <c:pt idx="14">
                  <c:v>525000000</c:v>
                </c:pt>
                <c:pt idx="15">
                  <c:v>562500000</c:v>
                </c:pt>
                <c:pt idx="16">
                  <c:v>600000000</c:v>
                </c:pt>
                <c:pt idx="17">
                  <c:v>637500000</c:v>
                </c:pt>
                <c:pt idx="18">
                  <c:v>675000000</c:v>
                </c:pt>
                <c:pt idx="19">
                  <c:v>712500000</c:v>
                </c:pt>
                <c:pt idx="20">
                  <c:v>750000000</c:v>
                </c:pt>
                <c:pt idx="21">
                  <c:v>787500000</c:v>
                </c:pt>
                <c:pt idx="22">
                  <c:v>825000000</c:v>
                </c:pt>
                <c:pt idx="23">
                  <c:v>862500000</c:v>
                </c:pt>
                <c:pt idx="24">
                  <c:v>900000000</c:v>
                </c:pt>
                <c:pt idx="25">
                  <c:v>937500000</c:v>
                </c:pt>
                <c:pt idx="26">
                  <c:v>975000000</c:v>
                </c:pt>
              </c:numCache>
            </c:numRef>
          </c:yVal>
          <c:smooth val="1"/>
          <c:extLst>
            <c:ext xmlns:c16="http://schemas.microsoft.com/office/drawing/2014/chart" uri="{C3380CC4-5D6E-409C-BE32-E72D297353CC}">
              <c16:uniqueId val="{00000003-06B8-4294-ABC0-E98FEC88F0C5}"/>
            </c:ext>
          </c:extLst>
        </c:ser>
        <c:ser>
          <c:idx val="4"/>
          <c:order val="4"/>
          <c:tx>
            <c:v>$8,500,000 </c:v>
          </c:tx>
          <c:spPr>
            <a:ln w="28575" cap="rnd">
              <a:solidFill>
                <a:schemeClr val="accent5"/>
              </a:solidFill>
              <a:prstDash val="dash"/>
              <a:round/>
            </a:ln>
            <a:effectLst/>
          </c:spPr>
          <c:marker>
            <c:symbol val="none"/>
          </c:marker>
          <c:dPt>
            <c:idx val="9"/>
            <c:marker>
              <c:symbol val="circle"/>
              <c:size val="8"/>
              <c:spPr>
                <a:solidFill>
                  <a:schemeClr val="tx1"/>
                </a:solidFill>
                <a:ln w="9525">
                  <a:solidFill>
                    <a:schemeClr val="tx1"/>
                  </a:solidFill>
                </a:ln>
                <a:effectLst/>
              </c:spPr>
            </c:marker>
            <c:bubble3D val="0"/>
            <c:extLst>
              <c:ext xmlns:c16="http://schemas.microsoft.com/office/drawing/2014/chart" uri="{C3380CC4-5D6E-409C-BE32-E72D297353CC}">
                <c16:uniqueId val="{00000005-06B8-4294-ABC0-E98FEC88F0C5}"/>
              </c:ext>
            </c:extLst>
          </c:dPt>
          <c:dLbls>
            <c:dLbl>
              <c:idx val="9"/>
              <c:layout>
                <c:manualLayout>
                  <c:x val="-0.20679392584538345"/>
                  <c:y val="-3.243244163508317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B8-4294-ABC0-E98FEC88F0C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xVal>
            <c:numRef>
              <c:f>'Cost '!$P$58:$P$84</c:f>
              <c:numCache>
                <c:formatCode>General</c:formatCode>
                <c:ptCount val="2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numCache>
            </c:numRef>
          </c:xVal>
          <c:yVal>
            <c:numRef>
              <c:f>'Cost '!$T$58:$T$84</c:f>
              <c:numCache>
                <c:formatCode>"$"#,##0.00</c:formatCode>
                <c:ptCount val="27"/>
                <c:pt idx="0">
                  <c:v>8500000</c:v>
                </c:pt>
                <c:pt idx="1">
                  <c:v>42500000</c:v>
                </c:pt>
                <c:pt idx="2">
                  <c:v>85000000</c:v>
                </c:pt>
                <c:pt idx="3">
                  <c:v>127500000</c:v>
                </c:pt>
                <c:pt idx="4">
                  <c:v>170000000</c:v>
                </c:pt>
                <c:pt idx="5">
                  <c:v>212500000</c:v>
                </c:pt>
                <c:pt idx="6">
                  <c:v>255000000</c:v>
                </c:pt>
                <c:pt idx="7">
                  <c:v>297500000</c:v>
                </c:pt>
                <c:pt idx="8">
                  <c:v>340000000</c:v>
                </c:pt>
                <c:pt idx="9">
                  <c:v>382500000</c:v>
                </c:pt>
                <c:pt idx="10">
                  <c:v>425000000</c:v>
                </c:pt>
                <c:pt idx="11">
                  <c:v>467500000</c:v>
                </c:pt>
                <c:pt idx="12">
                  <c:v>510000000</c:v>
                </c:pt>
                <c:pt idx="13">
                  <c:v>552500000</c:v>
                </c:pt>
                <c:pt idx="14">
                  <c:v>595000000</c:v>
                </c:pt>
                <c:pt idx="15">
                  <c:v>637500000</c:v>
                </c:pt>
                <c:pt idx="16">
                  <c:v>680000000</c:v>
                </c:pt>
                <c:pt idx="17">
                  <c:v>722500000</c:v>
                </c:pt>
                <c:pt idx="18">
                  <c:v>765000000</c:v>
                </c:pt>
                <c:pt idx="19">
                  <c:v>807500000</c:v>
                </c:pt>
                <c:pt idx="20">
                  <c:v>850000000</c:v>
                </c:pt>
                <c:pt idx="21">
                  <c:v>892500000</c:v>
                </c:pt>
                <c:pt idx="22">
                  <c:v>935000000</c:v>
                </c:pt>
                <c:pt idx="23">
                  <c:v>977500000</c:v>
                </c:pt>
                <c:pt idx="24">
                  <c:v>1020000000</c:v>
                </c:pt>
                <c:pt idx="25">
                  <c:v>1062500000</c:v>
                </c:pt>
                <c:pt idx="26">
                  <c:v>1105000000</c:v>
                </c:pt>
              </c:numCache>
            </c:numRef>
          </c:yVal>
          <c:smooth val="1"/>
          <c:extLst>
            <c:ext xmlns:c16="http://schemas.microsoft.com/office/drawing/2014/chart" uri="{C3380CC4-5D6E-409C-BE32-E72D297353CC}">
              <c16:uniqueId val="{00000004-06B8-4294-ABC0-E98FEC88F0C5}"/>
            </c:ext>
          </c:extLst>
        </c:ser>
        <c:dLbls>
          <c:showLegendKey val="0"/>
          <c:showVal val="0"/>
          <c:showCatName val="0"/>
          <c:showSerName val="0"/>
          <c:showPercent val="0"/>
          <c:showBubbleSize val="0"/>
        </c:dLbls>
        <c:axId val="1660681488"/>
        <c:axId val="1660681968"/>
      </c:scatterChart>
      <c:valAx>
        <c:axId val="1660681488"/>
        <c:scaling>
          <c:orientation val="minMax"/>
          <c:max val="13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Number of Units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60681968"/>
        <c:crosses val="autoZero"/>
        <c:crossBetween val="midCat"/>
      </c:valAx>
      <c:valAx>
        <c:axId val="1660681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Total Production COst, in $</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606814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Operational Cost of Rival Aircract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797400324959381"/>
          <c:y val="0.14312096029547552"/>
          <c:w val="0.73117943590384549"/>
          <c:h val="0.70510102442180889"/>
        </c:manualLayout>
      </c:layout>
      <c:barChart>
        <c:barDir val="col"/>
        <c:grouping val="clustered"/>
        <c:varyColors val="0"/>
        <c:ser>
          <c:idx val="3"/>
          <c:order val="0"/>
          <c:tx>
            <c:v>Solaris XIL-1</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1</c:v>
              </c:pt>
              <c:pt idx="1">
                <c:v>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'Cost '!$D$96</c15:sqref>
                  </c15:fullRef>
                </c:ext>
              </c:extLst>
              <c:f>'Cost '!$D$96</c:f>
              <c:numCache>
                <c:formatCode>"$"#,##0.00</c:formatCode>
                <c:ptCount val="1"/>
                <c:pt idx="0">
                  <c:v>1469.6418319277054</c:v>
                </c:pt>
              </c:numCache>
            </c:numRef>
          </c:val>
          <c:extLst>
            <c:ext xmlns:c16="http://schemas.microsoft.com/office/drawing/2014/chart" uri="{C3380CC4-5D6E-409C-BE32-E72D297353CC}">
              <c16:uniqueId val="{00000004-131B-485E-B455-75F9F1BD40CB}"/>
            </c:ext>
          </c:extLst>
        </c:ser>
        <c:ser>
          <c:idx val="2"/>
          <c:order val="1"/>
          <c:tx>
            <c:v>Cessna SkyCourier</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1</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'Cost '!$E$104:$E$105</c15:sqref>
                  </c15:fullRef>
                </c:ext>
              </c:extLst>
              <c:f>'Cost '!$E$104</c:f>
              <c:numCache>
                <c:formatCode>"$"#,##0.00</c:formatCode>
                <c:ptCount val="1"/>
                <c:pt idx="0">
                  <c:v>1600</c:v>
                </c:pt>
              </c:numCache>
            </c:numRef>
          </c:val>
          <c:extLst>
            <c:ext xmlns:c16="http://schemas.microsoft.com/office/drawing/2014/chart" uri="{C3380CC4-5D6E-409C-BE32-E72D297353CC}">
              <c16:uniqueId val="{00000003-131B-485E-B455-75F9F1BD40CB}"/>
            </c:ext>
          </c:extLst>
        </c:ser>
        <c:ser>
          <c:idx val="1"/>
          <c:order val="2"/>
          <c:tx>
            <c:v>Embraer Phenom 300</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1</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'Cost '!$C$104:$C$105</c15:sqref>
                  </c15:fullRef>
                </c:ext>
              </c:extLst>
              <c:f>'Cost '!$C$104</c:f>
              <c:numCache>
                <c:formatCode>"$"#,##0</c:formatCode>
                <c:ptCount val="1"/>
                <c:pt idx="0">
                  <c:v>2000.48</c:v>
                </c:pt>
              </c:numCache>
            </c:numRef>
          </c:val>
          <c:extLst>
            <c:ext xmlns:c16="http://schemas.microsoft.com/office/drawing/2014/chart" uri="{C3380CC4-5D6E-409C-BE32-E72D297353CC}">
              <c16:uniqueId val="{00000001-131B-485E-B455-75F9F1BD40CB}"/>
            </c:ext>
          </c:extLst>
        </c:ser>
        <c:ser>
          <c:idx val="0"/>
          <c:order val="3"/>
          <c:tx>
            <c:v>Beechcraft King Air 350</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1</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'Cost '!$D$104:$D$105</c15:sqref>
                  </c15:fullRef>
                </c:ext>
              </c:extLst>
              <c:f>'Cost '!$D$104</c:f>
              <c:numCache>
                <c:formatCode>"$"#,##0.00</c:formatCode>
                <c:ptCount val="1"/>
                <c:pt idx="0">
                  <c:v>2054</c:v>
                </c:pt>
              </c:numCache>
            </c:numRef>
          </c:val>
          <c:extLst>
            <c:ext xmlns:c16="http://schemas.microsoft.com/office/drawing/2014/chart" uri="{C3380CC4-5D6E-409C-BE32-E72D297353CC}">
              <c16:uniqueId val="{00000002-131B-485E-B455-75F9F1BD40CB}"/>
            </c:ext>
          </c:extLst>
        </c:ser>
        <c:dLbls>
          <c:showLegendKey val="0"/>
          <c:showVal val="0"/>
          <c:showCatName val="0"/>
          <c:showSerName val="0"/>
          <c:showPercent val="0"/>
          <c:showBubbleSize val="0"/>
        </c:dLbls>
        <c:gapWidth val="219"/>
        <c:overlap val="-27"/>
        <c:axId val="1183485440"/>
        <c:axId val="1359518000"/>
      </c:barChart>
      <c:catAx>
        <c:axId val="1183485440"/>
        <c:scaling>
          <c:orientation val="minMax"/>
        </c:scaling>
        <c:delete val="1"/>
        <c:axPos val="b"/>
        <c:numFmt formatCode="General" sourceLinked="0"/>
        <c:majorTickMark val="none"/>
        <c:minorTickMark val="none"/>
        <c:tickLblPos val="nextTo"/>
        <c:crossAx val="1359518000"/>
        <c:crosses val="autoZero"/>
        <c:auto val="0"/>
        <c:lblAlgn val="ctr"/>
        <c:lblOffset val="100"/>
        <c:noMultiLvlLbl val="0"/>
      </c:catAx>
      <c:valAx>
        <c:axId val="1359518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in $/FHR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485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6.png"/><Relationship Id="rId1" Type="http://schemas.openxmlformats.org/officeDocument/2006/relationships/chart" Target="../charts/chart1.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image" Target="../media/image7.png"/><Relationship Id="rId1" Type="http://schemas.openxmlformats.org/officeDocument/2006/relationships/chart" Target="../charts/chart14.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12" Type="http://schemas.openxmlformats.org/officeDocument/2006/relationships/chart" Target="../charts/chart30.xml"/><Relationship Id="rId2" Type="http://schemas.openxmlformats.org/officeDocument/2006/relationships/chart" Target="../charts/chart20.xml"/><Relationship Id="rId1" Type="http://schemas.openxmlformats.org/officeDocument/2006/relationships/image" Target="../media/image8.png"/><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39.xml"/><Relationship Id="rId3" Type="http://schemas.openxmlformats.org/officeDocument/2006/relationships/chart" Target="../charts/chart34.xml"/><Relationship Id="rId7" Type="http://schemas.openxmlformats.org/officeDocument/2006/relationships/chart" Target="../charts/chart38.xml"/><Relationship Id="rId2" Type="http://schemas.openxmlformats.org/officeDocument/2006/relationships/chart" Target="../charts/chart33.xml"/><Relationship Id="rId1" Type="http://schemas.openxmlformats.org/officeDocument/2006/relationships/image" Target="../media/image8.png"/><Relationship Id="rId6" Type="http://schemas.openxmlformats.org/officeDocument/2006/relationships/chart" Target="../charts/chart37.xml"/><Relationship Id="rId11" Type="http://schemas.openxmlformats.org/officeDocument/2006/relationships/chart" Target="../charts/chart42.xml"/><Relationship Id="rId5" Type="http://schemas.openxmlformats.org/officeDocument/2006/relationships/chart" Target="../charts/chart36.xml"/><Relationship Id="rId10" Type="http://schemas.openxmlformats.org/officeDocument/2006/relationships/chart" Target="../charts/chart41.xml"/><Relationship Id="rId4" Type="http://schemas.openxmlformats.org/officeDocument/2006/relationships/chart" Target="../charts/chart35.xml"/><Relationship Id="rId9" Type="http://schemas.openxmlformats.org/officeDocument/2006/relationships/chart" Target="../charts/chart4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45.xml"/><Relationship Id="rId2" Type="http://schemas.openxmlformats.org/officeDocument/2006/relationships/chart" Target="../charts/chart44.xml"/><Relationship Id="rId1" Type="http://schemas.openxmlformats.org/officeDocument/2006/relationships/chart" Target="../charts/chart43.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s>
</file>

<file path=xl/drawings/_rels/drawing14.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3.tmp"/><Relationship Id="rId1" Type="http://schemas.openxmlformats.org/officeDocument/2006/relationships/image" Target="../media/image22.tmp"/></Relationships>
</file>

<file path=xl/drawings/_rels/drawing17.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image" Target="../media/image24.tmp"/></Relationships>
</file>

<file path=xl/drawings/_rels/drawing1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image" Target="../media/image29.png"/><Relationship Id="rId7" Type="http://schemas.openxmlformats.org/officeDocument/2006/relationships/chart" Target="../charts/chart54.xml"/><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chart" Target="../charts/chart53.xml"/><Relationship Id="rId5" Type="http://schemas.openxmlformats.org/officeDocument/2006/relationships/image" Target="../media/image30.png"/><Relationship Id="rId4" Type="http://schemas.openxmlformats.org/officeDocument/2006/relationships/chart" Target="../charts/chart52.xml"/><Relationship Id="rId9" Type="http://schemas.openxmlformats.org/officeDocument/2006/relationships/chart" Target="../charts/chart56.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64.xml"/><Relationship Id="rId3" Type="http://schemas.openxmlformats.org/officeDocument/2006/relationships/chart" Target="../charts/chart59.xml"/><Relationship Id="rId7" Type="http://schemas.openxmlformats.org/officeDocument/2006/relationships/chart" Target="../charts/chart63.xml"/><Relationship Id="rId2" Type="http://schemas.openxmlformats.org/officeDocument/2006/relationships/chart" Target="../charts/chart58.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image" Target="../media/image31.png"/><Relationship Id="rId5" Type="http://schemas.openxmlformats.org/officeDocument/2006/relationships/chart" Target="../charts/chart61.xml"/><Relationship Id="rId10" Type="http://schemas.openxmlformats.org/officeDocument/2006/relationships/chart" Target="../charts/chart66.xml"/><Relationship Id="rId4" Type="http://schemas.openxmlformats.org/officeDocument/2006/relationships/chart" Target="../charts/chart60.xml"/><Relationship Id="rId9" Type="http://schemas.openxmlformats.org/officeDocument/2006/relationships/chart" Target="../charts/chart65.xml"/></Relationships>
</file>

<file path=xl/drawings/_rels/drawing21.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2" Type="http://schemas.openxmlformats.org/officeDocument/2006/relationships/image" Target="../media/image33.png"/><Relationship Id="rId16" Type="http://schemas.openxmlformats.org/officeDocument/2006/relationships/image" Target="../media/image47.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5" Type="http://schemas.openxmlformats.org/officeDocument/2006/relationships/image" Target="../media/image36.png"/><Relationship Id="rId15" Type="http://schemas.openxmlformats.org/officeDocument/2006/relationships/image" Target="../media/image4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s>
</file>

<file path=xl/drawings/_rels/drawing22.xml.rels><?xml version="1.0" encoding="UTF-8" standalone="yes"?>
<Relationships xmlns="http://schemas.openxmlformats.org/package/2006/relationships"><Relationship Id="rId3" Type="http://schemas.openxmlformats.org/officeDocument/2006/relationships/chart" Target="../charts/chart67.xml"/><Relationship Id="rId2" Type="http://schemas.openxmlformats.org/officeDocument/2006/relationships/image" Target="../media/image31.png"/><Relationship Id="rId1" Type="http://schemas.openxmlformats.org/officeDocument/2006/relationships/image" Target="../media/image48.png"/></Relationships>
</file>

<file path=xl/drawings/_rels/drawing23.xml.rels><?xml version="1.0" encoding="UTF-8" standalone="yes"?>
<Relationships xmlns="http://schemas.openxmlformats.org/package/2006/relationships"><Relationship Id="rId8" Type="http://schemas.openxmlformats.org/officeDocument/2006/relationships/chart" Target="../charts/chart68.xml"/><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chart" Target="../charts/chart71.xml"/><Relationship Id="rId5" Type="http://schemas.openxmlformats.org/officeDocument/2006/relationships/image" Target="../media/image52.png"/><Relationship Id="rId10" Type="http://schemas.openxmlformats.org/officeDocument/2006/relationships/chart" Target="../charts/chart70.xml"/><Relationship Id="rId4" Type="http://schemas.openxmlformats.org/officeDocument/2006/relationships/image" Target="../media/image51.png"/><Relationship Id="rId9" Type="http://schemas.openxmlformats.org/officeDocument/2006/relationships/chart" Target="../charts/chart69.xml"/></Relationships>
</file>

<file path=xl/drawings/_rels/drawing24.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25.xml.rels><?xml version="1.0" encoding="UTF-8" standalone="yes"?>
<Relationships xmlns="http://schemas.openxmlformats.org/package/2006/relationships"><Relationship Id="rId3" Type="http://schemas.openxmlformats.org/officeDocument/2006/relationships/chart" Target="../charts/chart72.xml"/><Relationship Id="rId2" Type="http://schemas.openxmlformats.org/officeDocument/2006/relationships/image" Target="../media/image60.png"/><Relationship Id="rId1" Type="http://schemas.openxmlformats.org/officeDocument/2006/relationships/image" Target="../media/image59.png"/><Relationship Id="rId5" Type="http://schemas.openxmlformats.org/officeDocument/2006/relationships/chart" Target="../charts/chart74.xml"/><Relationship Id="rId4" Type="http://schemas.openxmlformats.org/officeDocument/2006/relationships/chart" Target="../charts/chart73.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77.xml"/><Relationship Id="rId2" Type="http://schemas.openxmlformats.org/officeDocument/2006/relationships/chart" Target="../charts/chart76.xml"/><Relationship Id="rId1" Type="http://schemas.openxmlformats.org/officeDocument/2006/relationships/chart" Target="../charts/chart75.xml"/><Relationship Id="rId5" Type="http://schemas.openxmlformats.org/officeDocument/2006/relationships/chart" Target="../charts/chart79.xml"/><Relationship Id="rId4" Type="http://schemas.openxmlformats.org/officeDocument/2006/relationships/chart" Target="../charts/chart78.xml"/></Relationships>
</file>

<file path=xl/drawings/_rels/drawing2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editAs="oneCell">
    <xdr:from>
      <xdr:col>5</xdr:col>
      <xdr:colOff>243840</xdr:colOff>
      <xdr:row>36</xdr:row>
      <xdr:rowOff>68580</xdr:rowOff>
    </xdr:from>
    <xdr:to>
      <xdr:col>7</xdr:col>
      <xdr:colOff>297290</xdr:colOff>
      <xdr:row>38</xdr:row>
      <xdr:rowOff>68616</xdr:rowOff>
    </xdr:to>
    <xdr:pic>
      <xdr:nvPicPr>
        <xdr:cNvPr id="8" name="Picture 1">
          <a:extLst>
            <a:ext uri="{FF2B5EF4-FFF2-40B4-BE49-F238E27FC236}">
              <a16:creationId xmlns:a16="http://schemas.microsoft.com/office/drawing/2014/main" id="{1699EF3D-17B4-44EF-AFA4-35E4431D5863}"/>
            </a:ext>
          </a:extLst>
        </xdr:cNvPr>
        <xdr:cNvPicPr>
          <a:picLocks noChangeAspect="1"/>
        </xdr:cNvPicPr>
      </xdr:nvPicPr>
      <xdr:blipFill>
        <a:blip xmlns:r="http://schemas.openxmlformats.org/officeDocument/2006/relationships" r:embed="rId1"/>
        <a:stretch>
          <a:fillRect/>
        </a:stretch>
      </xdr:blipFill>
      <xdr:spPr>
        <a:xfrm>
          <a:off x="4968240" y="4457700"/>
          <a:ext cx="1272650" cy="419136"/>
        </a:xfrm>
        <a:prstGeom prst="rect">
          <a:avLst/>
        </a:prstGeom>
      </xdr:spPr>
    </xdr:pic>
    <xdr:clientData/>
  </xdr:twoCellAnchor>
  <xdr:twoCellAnchor editAs="oneCell">
    <xdr:from>
      <xdr:col>4</xdr:col>
      <xdr:colOff>53340</xdr:colOff>
      <xdr:row>87</xdr:row>
      <xdr:rowOff>60960</xdr:rowOff>
    </xdr:from>
    <xdr:to>
      <xdr:col>5</xdr:col>
      <xdr:colOff>357662</xdr:colOff>
      <xdr:row>89</xdr:row>
      <xdr:rowOff>162603</xdr:rowOff>
    </xdr:to>
    <xdr:pic>
      <xdr:nvPicPr>
        <xdr:cNvPr id="13" name="Picture 2">
          <a:extLst>
            <a:ext uri="{FF2B5EF4-FFF2-40B4-BE49-F238E27FC236}">
              <a16:creationId xmlns:a16="http://schemas.microsoft.com/office/drawing/2014/main" id="{500D13AE-8044-2CE2-B395-26B5339BC3E1}"/>
            </a:ext>
          </a:extLst>
        </xdr:cNvPr>
        <xdr:cNvPicPr>
          <a:picLocks noChangeAspect="1"/>
        </xdr:cNvPicPr>
      </xdr:nvPicPr>
      <xdr:blipFill>
        <a:blip xmlns:r="http://schemas.openxmlformats.org/officeDocument/2006/relationships" r:embed="rId2"/>
        <a:stretch>
          <a:fillRect/>
        </a:stretch>
      </xdr:blipFill>
      <xdr:spPr>
        <a:xfrm>
          <a:off x="3596640" y="12313920"/>
          <a:ext cx="1806097" cy="495343"/>
        </a:xfrm>
        <a:prstGeom prst="rect">
          <a:avLst/>
        </a:prstGeom>
      </xdr:spPr>
    </xdr:pic>
    <xdr:clientData/>
  </xdr:twoCellAnchor>
  <xdr:twoCellAnchor editAs="oneCell">
    <xdr:from>
      <xdr:col>4</xdr:col>
      <xdr:colOff>390525</xdr:colOff>
      <xdr:row>72</xdr:row>
      <xdr:rowOff>180975</xdr:rowOff>
    </xdr:from>
    <xdr:to>
      <xdr:col>7</xdr:col>
      <xdr:colOff>260350</xdr:colOff>
      <xdr:row>79</xdr:row>
      <xdr:rowOff>47625</xdr:rowOff>
    </xdr:to>
    <xdr:pic>
      <xdr:nvPicPr>
        <xdr:cNvPr id="17" name="Picture 2">
          <a:extLst>
            <a:ext uri="{FF2B5EF4-FFF2-40B4-BE49-F238E27FC236}">
              <a16:creationId xmlns:a16="http://schemas.microsoft.com/office/drawing/2014/main" id="{3E753848-35E8-7B94-FB7D-2C39238A87DC}"/>
            </a:ext>
            <a:ext uri="{147F2762-F138-4A5C-976F-8EAC2B608ADB}">
              <a16:predDERef xmlns:a16="http://schemas.microsoft.com/office/drawing/2014/main" pred="{500D13AE-8044-2CE2-B395-26B5339BC3E1}"/>
            </a:ext>
          </a:extLst>
        </xdr:cNvPr>
        <xdr:cNvPicPr>
          <a:picLocks noChangeAspect="1"/>
        </xdr:cNvPicPr>
      </xdr:nvPicPr>
      <xdr:blipFill>
        <a:blip xmlns:r="http://schemas.openxmlformats.org/officeDocument/2006/relationships" r:embed="rId3"/>
        <a:stretch>
          <a:fillRect/>
        </a:stretch>
      </xdr:blipFill>
      <xdr:spPr>
        <a:xfrm>
          <a:off x="4067175" y="13649325"/>
          <a:ext cx="3057525" cy="1390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34353</xdr:colOff>
      <xdr:row>42</xdr:row>
      <xdr:rowOff>174521</xdr:rowOff>
    </xdr:from>
    <xdr:to>
      <xdr:col>7</xdr:col>
      <xdr:colOff>439349</xdr:colOff>
      <xdr:row>65</xdr:row>
      <xdr:rowOff>150987</xdr:rowOff>
    </xdr:to>
    <xdr:graphicFrame macro="">
      <xdr:nvGraphicFramePr>
        <xdr:cNvPr id="2" name="Chart 1">
          <a:extLst>
            <a:ext uri="{FF2B5EF4-FFF2-40B4-BE49-F238E27FC236}">
              <a16:creationId xmlns:a16="http://schemas.microsoft.com/office/drawing/2014/main" id="{DC6BFEF3-E55E-CA76-478D-DE140BF5D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0</xdr:row>
      <xdr:rowOff>0</xdr:rowOff>
    </xdr:from>
    <xdr:to>
      <xdr:col>17</xdr:col>
      <xdr:colOff>162942</xdr:colOff>
      <xdr:row>32</xdr:row>
      <xdr:rowOff>76200</xdr:rowOff>
    </xdr:to>
    <xdr:pic>
      <xdr:nvPicPr>
        <xdr:cNvPr id="3" name="Picture 2">
          <a:extLst>
            <a:ext uri="{FF2B5EF4-FFF2-40B4-BE49-F238E27FC236}">
              <a16:creationId xmlns:a16="http://schemas.microsoft.com/office/drawing/2014/main" id="{5C6CD469-3C64-5568-56A1-59DDE1D867D3}"/>
            </a:ext>
            <a:ext uri="{147F2762-F138-4A5C-976F-8EAC2B608ADB}">
              <a16:predDERef xmlns:a16="http://schemas.microsoft.com/office/drawing/2014/main" pred="{DC6BFEF3-E55E-CA76-478D-DE140BF5D775}"/>
            </a:ext>
          </a:extLst>
        </xdr:cNvPr>
        <xdr:cNvPicPr>
          <a:picLocks noChangeAspect="1"/>
        </xdr:cNvPicPr>
      </xdr:nvPicPr>
      <xdr:blipFill>
        <a:blip xmlns:r="http://schemas.openxmlformats.org/officeDocument/2006/relationships" r:embed="rId2"/>
        <a:stretch>
          <a:fillRect/>
        </a:stretch>
      </xdr:blipFill>
      <xdr:spPr>
        <a:xfrm>
          <a:off x="6581775" y="0"/>
          <a:ext cx="5162550" cy="5867400"/>
        </a:xfrm>
        <a:prstGeom prst="rect">
          <a:avLst/>
        </a:prstGeom>
      </xdr:spPr>
    </xdr:pic>
    <xdr:clientData/>
  </xdr:twoCellAnchor>
  <xdr:twoCellAnchor>
    <xdr:from>
      <xdr:col>21</xdr:col>
      <xdr:colOff>105833</xdr:colOff>
      <xdr:row>10</xdr:row>
      <xdr:rowOff>74083</xdr:rowOff>
    </xdr:from>
    <xdr:to>
      <xdr:col>31</xdr:col>
      <xdr:colOff>93295</xdr:colOff>
      <xdr:row>33</xdr:row>
      <xdr:rowOff>52474</xdr:rowOff>
    </xdr:to>
    <xdr:graphicFrame macro="">
      <xdr:nvGraphicFramePr>
        <xdr:cNvPr id="8" name="Chart 7">
          <a:extLst>
            <a:ext uri="{FF2B5EF4-FFF2-40B4-BE49-F238E27FC236}">
              <a16:creationId xmlns:a16="http://schemas.microsoft.com/office/drawing/2014/main" id="{73F655AA-C4CF-4A63-A574-29ABC7382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56</xdr:col>
      <xdr:colOff>127000</xdr:colOff>
      <xdr:row>44</xdr:row>
      <xdr:rowOff>160337</xdr:rowOff>
    </xdr:from>
    <xdr:to>
      <xdr:col>64</xdr:col>
      <xdr:colOff>0</xdr:colOff>
      <xdr:row>59</xdr:row>
      <xdr:rowOff>46037</xdr:rowOff>
    </xdr:to>
    <xdr:graphicFrame macro="">
      <xdr:nvGraphicFramePr>
        <xdr:cNvPr id="4" name="Chart 8">
          <a:extLst>
            <a:ext uri="{FF2B5EF4-FFF2-40B4-BE49-F238E27FC236}">
              <a16:creationId xmlns:a16="http://schemas.microsoft.com/office/drawing/2014/main" id="{0BA4985E-F33D-0D02-9238-FE0BA39B02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397565</xdr:colOff>
      <xdr:row>21</xdr:row>
      <xdr:rowOff>112529</xdr:rowOff>
    </xdr:from>
    <xdr:to>
      <xdr:col>24</xdr:col>
      <xdr:colOff>159488</xdr:colOff>
      <xdr:row>38</xdr:row>
      <xdr:rowOff>88348</xdr:rowOff>
    </xdr:to>
    <xdr:graphicFrame macro="">
      <xdr:nvGraphicFramePr>
        <xdr:cNvPr id="2" name="Chart 1">
          <a:extLst>
            <a:ext uri="{FF2B5EF4-FFF2-40B4-BE49-F238E27FC236}">
              <a16:creationId xmlns:a16="http://schemas.microsoft.com/office/drawing/2014/main" id="{659F5876-D581-77CE-1AF8-4E33EE881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243840</xdr:colOff>
      <xdr:row>16</xdr:row>
      <xdr:rowOff>68580</xdr:rowOff>
    </xdr:from>
    <xdr:to>
      <xdr:col>6</xdr:col>
      <xdr:colOff>757665</xdr:colOff>
      <xdr:row>18</xdr:row>
      <xdr:rowOff>55916</xdr:rowOff>
    </xdr:to>
    <xdr:pic>
      <xdr:nvPicPr>
        <xdr:cNvPr id="2" name="Picture 1">
          <a:extLst>
            <a:ext uri="{FF2B5EF4-FFF2-40B4-BE49-F238E27FC236}">
              <a16:creationId xmlns:a16="http://schemas.microsoft.com/office/drawing/2014/main" id="{E8C943B6-75CA-43F0-B1A8-2119DD6D0379}"/>
            </a:ext>
          </a:extLst>
        </xdr:cNvPr>
        <xdr:cNvPicPr>
          <a:picLocks noChangeAspect="1"/>
        </xdr:cNvPicPr>
      </xdr:nvPicPr>
      <xdr:blipFill>
        <a:blip xmlns:r="http://schemas.openxmlformats.org/officeDocument/2006/relationships" r:embed="rId1"/>
        <a:stretch>
          <a:fillRect/>
        </a:stretch>
      </xdr:blipFill>
      <xdr:spPr>
        <a:xfrm>
          <a:off x="5377815" y="6316980"/>
          <a:ext cx="1386950" cy="419136"/>
        </a:xfrm>
        <a:prstGeom prst="rect">
          <a:avLst/>
        </a:prstGeom>
      </xdr:spPr>
    </xdr:pic>
    <xdr:clientData/>
  </xdr:twoCellAnchor>
  <xdr:twoCellAnchor>
    <xdr:from>
      <xdr:col>18</xdr:col>
      <xdr:colOff>295275</xdr:colOff>
      <xdr:row>19</xdr:row>
      <xdr:rowOff>161926</xdr:rowOff>
    </xdr:from>
    <xdr:to>
      <xdr:col>24</xdr:col>
      <xdr:colOff>438150</xdr:colOff>
      <xdr:row>34</xdr:row>
      <xdr:rowOff>28576</xdr:rowOff>
    </xdr:to>
    <xdr:graphicFrame macro="">
      <xdr:nvGraphicFramePr>
        <xdr:cNvPr id="3" name="Chart 2">
          <a:extLst>
            <a:ext uri="{FF2B5EF4-FFF2-40B4-BE49-F238E27FC236}">
              <a16:creationId xmlns:a16="http://schemas.microsoft.com/office/drawing/2014/main" id="{5C1ADAB0-9B40-C9E1-FCAC-B4B8F4AC55DC}"/>
            </a:ext>
            <a:ext uri="{147F2762-F138-4A5C-976F-8EAC2B608ADB}">
              <a16:predDERef xmlns:a16="http://schemas.microsoft.com/office/drawing/2014/main" pred="{E8C943B6-75CA-43F0-B1A8-2119DD6D0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243840</xdr:colOff>
      <xdr:row>18</xdr:row>
      <xdr:rowOff>68580</xdr:rowOff>
    </xdr:from>
    <xdr:to>
      <xdr:col>6</xdr:col>
      <xdr:colOff>643365</xdr:colOff>
      <xdr:row>20</xdr:row>
      <xdr:rowOff>81316</xdr:rowOff>
    </xdr:to>
    <xdr:pic>
      <xdr:nvPicPr>
        <xdr:cNvPr id="2" name="Picture 1">
          <a:extLst>
            <a:ext uri="{FF2B5EF4-FFF2-40B4-BE49-F238E27FC236}">
              <a16:creationId xmlns:a16="http://schemas.microsoft.com/office/drawing/2014/main" id="{B70F2244-A636-4E64-8B9F-ABD668BCDA1F}"/>
            </a:ext>
          </a:extLst>
        </xdr:cNvPr>
        <xdr:cNvPicPr>
          <a:picLocks noChangeAspect="1"/>
        </xdr:cNvPicPr>
      </xdr:nvPicPr>
      <xdr:blipFill>
        <a:blip xmlns:r="http://schemas.openxmlformats.org/officeDocument/2006/relationships" r:embed="rId1"/>
        <a:stretch>
          <a:fillRect/>
        </a:stretch>
      </xdr:blipFill>
      <xdr:spPr>
        <a:xfrm>
          <a:off x="4834890" y="3554730"/>
          <a:ext cx="1275825" cy="444536"/>
        </a:xfrm>
        <a:prstGeom prst="rect">
          <a:avLst/>
        </a:prstGeom>
      </xdr:spPr>
    </xdr:pic>
    <xdr:clientData/>
  </xdr:twoCellAnchor>
  <xdr:twoCellAnchor>
    <xdr:from>
      <xdr:col>14</xdr:col>
      <xdr:colOff>457200</xdr:colOff>
      <xdr:row>18</xdr:row>
      <xdr:rowOff>19050</xdr:rowOff>
    </xdr:from>
    <xdr:to>
      <xdr:col>24</xdr:col>
      <xdr:colOff>523875</xdr:colOff>
      <xdr:row>30</xdr:row>
      <xdr:rowOff>28575</xdr:rowOff>
    </xdr:to>
    <xdr:graphicFrame macro="">
      <xdr:nvGraphicFramePr>
        <xdr:cNvPr id="5" name="Chart 2">
          <a:extLst>
            <a:ext uri="{FF2B5EF4-FFF2-40B4-BE49-F238E27FC236}">
              <a16:creationId xmlns:a16="http://schemas.microsoft.com/office/drawing/2014/main" id="{B394068D-B789-4478-B829-6CA57673FD52}"/>
            </a:ext>
            <a:ext uri="{147F2762-F138-4A5C-976F-8EAC2B608ADB}">
              <a16:predDERef xmlns:a16="http://schemas.microsoft.com/office/drawing/2014/main" pred="{B70F2244-A636-4E64-8B9F-ABD668BCD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561975</xdr:colOff>
      <xdr:row>2</xdr:row>
      <xdr:rowOff>114300</xdr:rowOff>
    </xdr:from>
    <xdr:to>
      <xdr:col>21</xdr:col>
      <xdr:colOff>400050</xdr:colOff>
      <xdr:row>17</xdr:row>
      <xdr:rowOff>0</xdr:rowOff>
    </xdr:to>
    <xdr:graphicFrame macro="">
      <xdr:nvGraphicFramePr>
        <xdr:cNvPr id="17" name="Chart 1">
          <a:extLst>
            <a:ext uri="{FF2B5EF4-FFF2-40B4-BE49-F238E27FC236}">
              <a16:creationId xmlns:a16="http://schemas.microsoft.com/office/drawing/2014/main" id="{3F16A67C-DB05-4B1A-ABC7-4E82A730BA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571500</xdr:colOff>
      <xdr:row>2</xdr:row>
      <xdr:rowOff>0</xdr:rowOff>
    </xdr:from>
    <xdr:to>
      <xdr:col>21</xdr:col>
      <xdr:colOff>419100</xdr:colOff>
      <xdr:row>2</xdr:row>
      <xdr:rowOff>9525</xdr:rowOff>
    </xdr:to>
    <xdr:graphicFrame macro="">
      <xdr:nvGraphicFramePr>
        <xdr:cNvPr id="23" name="Chart 2">
          <a:extLst>
            <a:ext uri="{FF2B5EF4-FFF2-40B4-BE49-F238E27FC236}">
              <a16:creationId xmlns:a16="http://schemas.microsoft.com/office/drawing/2014/main" id="{B04C794E-415D-4F48-9D5B-5B9861F8B318}"/>
            </a:ext>
            <a:ext uri="{147F2762-F138-4A5C-976F-8EAC2B608ADB}">
              <a16:predDERef xmlns:a16="http://schemas.microsoft.com/office/drawing/2014/main" pred="{E8DDA724-DCB0-115E-1DA9-88735C614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386791</xdr:colOff>
      <xdr:row>48</xdr:row>
      <xdr:rowOff>46830</xdr:rowOff>
    </xdr:from>
    <xdr:to>
      <xdr:col>60</xdr:col>
      <xdr:colOff>242144</xdr:colOff>
      <xdr:row>80</xdr:row>
      <xdr:rowOff>79394</xdr:rowOff>
    </xdr:to>
    <xdr:graphicFrame macro="">
      <xdr:nvGraphicFramePr>
        <xdr:cNvPr id="48" name="Chart 3">
          <a:extLst>
            <a:ext uri="{FF2B5EF4-FFF2-40B4-BE49-F238E27FC236}">
              <a16:creationId xmlns:a16="http://schemas.microsoft.com/office/drawing/2014/main" id="{D2104230-A4F5-4C28-8811-5D7AD8266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300559</xdr:colOff>
      <xdr:row>26</xdr:row>
      <xdr:rowOff>101343</xdr:rowOff>
    </xdr:from>
    <xdr:to>
      <xdr:col>55</xdr:col>
      <xdr:colOff>166090</xdr:colOff>
      <xdr:row>41</xdr:row>
      <xdr:rowOff>43570</xdr:rowOff>
    </xdr:to>
    <xdr:graphicFrame macro="">
      <xdr:nvGraphicFramePr>
        <xdr:cNvPr id="47" name="Chart 4">
          <a:extLst>
            <a:ext uri="{FF2B5EF4-FFF2-40B4-BE49-F238E27FC236}">
              <a16:creationId xmlns:a16="http://schemas.microsoft.com/office/drawing/2014/main" id="{3BF89D3F-0E90-4F71-908B-7EF7BC281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533400</xdr:colOff>
      <xdr:row>2</xdr:row>
      <xdr:rowOff>0</xdr:rowOff>
    </xdr:from>
    <xdr:to>
      <xdr:col>30</xdr:col>
      <xdr:colOff>364067</xdr:colOff>
      <xdr:row>16</xdr:row>
      <xdr:rowOff>8466</xdr:rowOff>
    </xdr:to>
    <xdr:graphicFrame macro="">
      <xdr:nvGraphicFramePr>
        <xdr:cNvPr id="37" name="Chart 7">
          <a:extLst>
            <a:ext uri="{FF2B5EF4-FFF2-40B4-BE49-F238E27FC236}">
              <a16:creationId xmlns:a16="http://schemas.microsoft.com/office/drawing/2014/main" id="{9CB55A38-BBA0-4FBD-B918-01CCA9202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42</xdr:col>
      <xdr:colOff>568087</xdr:colOff>
      <xdr:row>2</xdr:row>
      <xdr:rowOff>0</xdr:rowOff>
    </xdr:from>
    <xdr:to>
      <xdr:col>50</xdr:col>
      <xdr:colOff>41788</xdr:colOff>
      <xdr:row>8</xdr:row>
      <xdr:rowOff>122084</xdr:rowOff>
    </xdr:to>
    <xdr:graphicFrame macro="">
      <xdr:nvGraphicFramePr>
        <xdr:cNvPr id="44" name="Chart 8">
          <a:extLst>
            <a:ext uri="{FF2B5EF4-FFF2-40B4-BE49-F238E27FC236}">
              <a16:creationId xmlns:a16="http://schemas.microsoft.com/office/drawing/2014/main" id="{09F3C03C-CA78-480C-AFA2-B6ED73A60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56</xdr:col>
      <xdr:colOff>178755</xdr:colOff>
      <xdr:row>25</xdr:row>
      <xdr:rowOff>132736</xdr:rowOff>
    </xdr:from>
    <xdr:to>
      <xdr:col>63</xdr:col>
      <xdr:colOff>448461</xdr:colOff>
      <xdr:row>40</xdr:row>
      <xdr:rowOff>81936</xdr:rowOff>
    </xdr:to>
    <xdr:graphicFrame macro="">
      <xdr:nvGraphicFramePr>
        <xdr:cNvPr id="46" name="Chart 6">
          <a:extLst>
            <a:ext uri="{FF2B5EF4-FFF2-40B4-BE49-F238E27FC236}">
              <a16:creationId xmlns:a16="http://schemas.microsoft.com/office/drawing/2014/main" id="{42674D96-009F-423B-AFDD-3D1E33902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9</xdr:col>
      <xdr:colOff>295275</xdr:colOff>
      <xdr:row>142</xdr:row>
      <xdr:rowOff>14287</xdr:rowOff>
    </xdr:from>
    <xdr:ext cx="65" cy="172227"/>
    <xdr:sp macro="" textlink="">
      <xdr:nvSpPr>
        <xdr:cNvPr id="15" name="TextBox 1">
          <a:extLst>
            <a:ext uri="{FF2B5EF4-FFF2-40B4-BE49-F238E27FC236}">
              <a16:creationId xmlns:a16="http://schemas.microsoft.com/office/drawing/2014/main" id="{0B6979FA-EEB4-6958-48C7-C5A307EA9A30}"/>
            </a:ext>
          </a:extLst>
        </xdr:cNvPr>
        <xdr:cNvSpPr txBox="1"/>
      </xdr:nvSpPr>
      <xdr:spPr>
        <a:xfrm>
          <a:off x="8458200" y="2747486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55789</xdr:colOff>
      <xdr:row>170</xdr:row>
      <xdr:rowOff>54428</xdr:rowOff>
    </xdr:from>
    <xdr:to>
      <xdr:col>11</xdr:col>
      <xdr:colOff>40821</xdr:colOff>
      <xdr:row>186</xdr:row>
      <xdr:rowOff>121103</xdr:rowOff>
    </xdr:to>
    <xdr:graphicFrame macro="">
      <xdr:nvGraphicFramePr>
        <xdr:cNvPr id="12" name="Chart 3">
          <a:extLst>
            <a:ext uri="{FF2B5EF4-FFF2-40B4-BE49-F238E27FC236}">
              <a16:creationId xmlns:a16="http://schemas.microsoft.com/office/drawing/2014/main" id="{F1D0977D-3067-D680-6F7F-DE671935E5E7}"/>
            </a:ext>
            <a:ext uri="{147F2762-F138-4A5C-976F-8EAC2B608ADB}">
              <a16:predDERef xmlns:a16="http://schemas.microsoft.com/office/drawing/2014/main" pred="{0B6979FA-EEB4-6958-48C7-C5A307EA9A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145643</xdr:colOff>
      <xdr:row>36</xdr:row>
      <xdr:rowOff>57150</xdr:rowOff>
    </xdr:from>
    <xdr:to>
      <xdr:col>17</xdr:col>
      <xdr:colOff>110588</xdr:colOff>
      <xdr:row>53</xdr:row>
      <xdr:rowOff>161925</xdr:rowOff>
    </xdr:to>
    <xdr:pic>
      <xdr:nvPicPr>
        <xdr:cNvPr id="5" name="Picture 4">
          <a:extLst>
            <a:ext uri="{FF2B5EF4-FFF2-40B4-BE49-F238E27FC236}">
              <a16:creationId xmlns:a16="http://schemas.microsoft.com/office/drawing/2014/main" id="{E4A5AA40-8109-EC0E-B470-B5CE3023F61D}"/>
            </a:ext>
            <a:ext uri="{147F2762-F138-4A5C-976F-8EAC2B608ADB}">
              <a16:predDERef xmlns:a16="http://schemas.microsoft.com/office/drawing/2014/main" pred="{F1D0977D-3067-D680-6F7F-DE671935E5E7}"/>
            </a:ext>
          </a:extLst>
        </xdr:cNvPr>
        <xdr:cNvPicPr>
          <a:picLocks noChangeAspect="1"/>
        </xdr:cNvPicPr>
      </xdr:nvPicPr>
      <xdr:blipFill>
        <a:blip xmlns:r="http://schemas.openxmlformats.org/officeDocument/2006/relationships" r:embed="rId2"/>
        <a:stretch>
          <a:fillRect/>
        </a:stretch>
      </xdr:blipFill>
      <xdr:spPr>
        <a:xfrm>
          <a:off x="7251293" y="7524750"/>
          <a:ext cx="6655207" cy="3343275"/>
        </a:xfrm>
        <a:prstGeom prst="rect">
          <a:avLst/>
        </a:prstGeom>
      </xdr:spPr>
    </xdr:pic>
    <xdr:clientData/>
  </xdr:twoCellAnchor>
  <xdr:twoCellAnchor>
    <xdr:from>
      <xdr:col>3</xdr:col>
      <xdr:colOff>704850</xdr:colOff>
      <xdr:row>194</xdr:row>
      <xdr:rowOff>142875</xdr:rowOff>
    </xdr:from>
    <xdr:to>
      <xdr:col>10</xdr:col>
      <xdr:colOff>438150</xdr:colOff>
      <xdr:row>209</xdr:row>
      <xdr:rowOff>28575</xdr:rowOff>
    </xdr:to>
    <xdr:graphicFrame macro="">
      <xdr:nvGraphicFramePr>
        <xdr:cNvPr id="6" name="Chart 5">
          <a:extLst>
            <a:ext uri="{FF2B5EF4-FFF2-40B4-BE49-F238E27FC236}">
              <a16:creationId xmlns:a16="http://schemas.microsoft.com/office/drawing/2014/main" id="{FA7A9801-3EE6-94B6-DE08-49358510EBF4}"/>
            </a:ext>
            <a:ext uri="{147F2762-F138-4A5C-976F-8EAC2B608ADB}">
              <a16:predDERef xmlns:a16="http://schemas.microsoft.com/office/drawing/2014/main" pred="{E4A5AA40-8109-EC0E-B470-B5CE3023F6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317953</xdr:colOff>
      <xdr:row>321</xdr:row>
      <xdr:rowOff>56017</xdr:rowOff>
    </xdr:from>
    <xdr:to>
      <xdr:col>23</xdr:col>
      <xdr:colOff>202746</xdr:colOff>
      <xdr:row>337</xdr:row>
      <xdr:rowOff>81417</xdr:rowOff>
    </xdr:to>
    <xdr:graphicFrame macro="">
      <xdr:nvGraphicFramePr>
        <xdr:cNvPr id="35" name="Chart 1">
          <a:extLst>
            <a:ext uri="{FF2B5EF4-FFF2-40B4-BE49-F238E27FC236}">
              <a16:creationId xmlns:a16="http://schemas.microsoft.com/office/drawing/2014/main" id="{67820C1E-ABFA-98FB-7038-BBEE14DE5844}"/>
            </a:ext>
            <a:ext uri="{147F2762-F138-4A5C-976F-8EAC2B608ADB}">
              <a16:predDERef xmlns:a16="http://schemas.microsoft.com/office/drawing/2014/main" pred="{FA7A9801-3EE6-94B6-DE08-49358510EB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698943</xdr:colOff>
      <xdr:row>333</xdr:row>
      <xdr:rowOff>71728</xdr:rowOff>
    </xdr:from>
    <xdr:to>
      <xdr:col>4</xdr:col>
      <xdr:colOff>223520</xdr:colOff>
      <xdr:row>349</xdr:row>
      <xdr:rowOff>166370</xdr:rowOff>
    </xdr:to>
    <xdr:graphicFrame macro="">
      <xdr:nvGraphicFramePr>
        <xdr:cNvPr id="93" name="Chart 1">
          <a:extLst>
            <a:ext uri="{FF2B5EF4-FFF2-40B4-BE49-F238E27FC236}">
              <a16:creationId xmlns:a16="http://schemas.microsoft.com/office/drawing/2014/main" id="{89B0FDAD-CE89-4502-48DE-370E8D832BC7}"/>
            </a:ext>
            <a:ext uri="{147F2762-F138-4A5C-976F-8EAC2B608ADB}">
              <a16:predDERef xmlns:a16="http://schemas.microsoft.com/office/drawing/2014/main" pred="{8DEEB2D1-46DF-C86D-9A70-B6BD61EC8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228000</xdr:colOff>
      <xdr:row>334</xdr:row>
      <xdr:rowOff>130175</xdr:rowOff>
    </xdr:from>
    <xdr:to>
      <xdr:col>12</xdr:col>
      <xdr:colOff>152639</xdr:colOff>
      <xdr:row>349</xdr:row>
      <xdr:rowOff>15875</xdr:rowOff>
    </xdr:to>
    <xdr:graphicFrame macro="">
      <xdr:nvGraphicFramePr>
        <xdr:cNvPr id="81" name="Chart 2">
          <a:extLst>
            <a:ext uri="{FF2B5EF4-FFF2-40B4-BE49-F238E27FC236}">
              <a16:creationId xmlns:a16="http://schemas.microsoft.com/office/drawing/2014/main" id="{E87310A4-7893-CE10-F45D-2734A0E57DB5}"/>
            </a:ext>
            <a:ext uri="{147F2762-F138-4A5C-976F-8EAC2B608ADB}">
              <a16:predDERef xmlns:a16="http://schemas.microsoft.com/office/drawing/2014/main" pred="{89B0FDAD-CE89-4502-48DE-370E8D832B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825135</xdr:colOff>
      <xdr:row>353</xdr:row>
      <xdr:rowOff>31568</xdr:rowOff>
    </xdr:from>
    <xdr:to>
      <xdr:col>23</xdr:col>
      <xdr:colOff>89502</xdr:colOff>
      <xdr:row>372</xdr:row>
      <xdr:rowOff>128210</xdr:rowOff>
    </xdr:to>
    <xdr:graphicFrame macro="">
      <xdr:nvGraphicFramePr>
        <xdr:cNvPr id="2" name="Chart 1">
          <a:extLst>
            <a:ext uri="{FF2B5EF4-FFF2-40B4-BE49-F238E27FC236}">
              <a16:creationId xmlns:a16="http://schemas.microsoft.com/office/drawing/2014/main" id="{B0C6E977-98FB-CDED-8633-2C9176D41A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342901</xdr:colOff>
      <xdr:row>357</xdr:row>
      <xdr:rowOff>19051</xdr:rowOff>
    </xdr:from>
    <xdr:to>
      <xdr:col>15</xdr:col>
      <xdr:colOff>429986</xdr:colOff>
      <xdr:row>358</xdr:row>
      <xdr:rowOff>95251</xdr:rowOff>
    </xdr:to>
    <xdr:sp macro="" textlink="">
      <xdr:nvSpPr>
        <xdr:cNvPr id="3" name="TextBox 2">
          <a:extLst>
            <a:ext uri="{FF2B5EF4-FFF2-40B4-BE49-F238E27FC236}">
              <a16:creationId xmlns:a16="http://schemas.microsoft.com/office/drawing/2014/main" id="{8996B38F-C3B8-CB5B-F86F-9A243D558910}"/>
            </a:ext>
          </a:extLst>
        </xdr:cNvPr>
        <xdr:cNvSpPr txBox="1"/>
      </xdr:nvSpPr>
      <xdr:spPr>
        <a:xfrm>
          <a:off x="13420726" y="65331976"/>
          <a:ext cx="66811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CLmax</a:t>
          </a:r>
        </a:p>
      </xdr:txBody>
    </xdr:sp>
    <xdr:clientData/>
  </xdr:twoCellAnchor>
  <xdr:twoCellAnchor>
    <xdr:from>
      <xdr:col>14</xdr:col>
      <xdr:colOff>559254</xdr:colOff>
      <xdr:row>364</xdr:row>
      <xdr:rowOff>157843</xdr:rowOff>
    </xdr:from>
    <xdr:to>
      <xdr:col>16</xdr:col>
      <xdr:colOff>65314</xdr:colOff>
      <xdr:row>366</xdr:row>
      <xdr:rowOff>48986</xdr:rowOff>
    </xdr:to>
    <xdr:sp macro="" textlink="">
      <xdr:nvSpPr>
        <xdr:cNvPr id="11" name="TextBox 10">
          <a:extLst>
            <a:ext uri="{FF2B5EF4-FFF2-40B4-BE49-F238E27FC236}">
              <a16:creationId xmlns:a16="http://schemas.microsoft.com/office/drawing/2014/main" id="{1F83E910-2417-49A3-A6E2-45DD57E5F31C}"/>
            </a:ext>
          </a:extLst>
        </xdr:cNvPr>
        <xdr:cNvSpPr txBox="1"/>
      </xdr:nvSpPr>
      <xdr:spPr>
        <a:xfrm>
          <a:off x="13637079" y="66737593"/>
          <a:ext cx="668110" cy="253093"/>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Aptos Narrow" panose="02110004020202020204"/>
              <a:ea typeface="+mn-ea"/>
              <a:cs typeface="+mn-cs"/>
            </a:rPr>
            <a:t>CL0</a:t>
          </a:r>
        </a:p>
      </xdr:txBody>
    </xdr:sp>
    <xdr:clientData/>
  </xdr:twoCellAnchor>
  <xdr:twoCellAnchor>
    <xdr:from>
      <xdr:col>21</xdr:col>
      <xdr:colOff>570140</xdr:colOff>
      <xdr:row>368</xdr:row>
      <xdr:rowOff>138794</xdr:rowOff>
    </xdr:from>
    <xdr:to>
      <xdr:col>23</xdr:col>
      <xdr:colOff>76200</xdr:colOff>
      <xdr:row>370</xdr:row>
      <xdr:rowOff>29937</xdr:rowOff>
    </xdr:to>
    <xdr:sp macro="" textlink="">
      <xdr:nvSpPr>
        <xdr:cNvPr id="14" name="TextBox 13">
          <a:extLst>
            <a:ext uri="{FF2B5EF4-FFF2-40B4-BE49-F238E27FC236}">
              <a16:creationId xmlns:a16="http://schemas.microsoft.com/office/drawing/2014/main" id="{49648033-CBEE-4D85-A220-3DD82D33533C}"/>
            </a:ext>
          </a:extLst>
        </xdr:cNvPr>
        <xdr:cNvSpPr txBox="1"/>
      </xdr:nvSpPr>
      <xdr:spPr>
        <a:xfrm>
          <a:off x="17715140" y="67442444"/>
          <a:ext cx="668110" cy="253093"/>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l-GR" sz="1200" b="1"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α</a:t>
          </a:r>
          <a:r>
            <a:rPr kumimoji="0" lang="en-US" sz="1200" b="1"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stall</a:t>
          </a:r>
          <a:endParaRPr kumimoji="0" lang="en-US" sz="1200" b="1" i="0" u="none" strike="noStrike" kern="0" cap="none" spc="0" normalizeH="0" baseline="0" noProof="0">
            <a:ln>
              <a:noFill/>
            </a:ln>
            <a:solidFill>
              <a:sysClr val="windowText" lastClr="000000"/>
            </a:solidFill>
            <a:effectLst/>
            <a:uLnTx/>
            <a:uFillTx/>
            <a:latin typeface="Aptos Narrow" panose="02110004020202020204"/>
            <a:ea typeface="+mn-ea"/>
            <a:cs typeface="+mn-cs"/>
          </a:endParaRPr>
        </a:p>
      </xdr:txBody>
    </xdr:sp>
    <xdr:clientData/>
  </xdr:twoCellAnchor>
  <xdr:twoCellAnchor>
    <xdr:from>
      <xdr:col>16</xdr:col>
      <xdr:colOff>504825</xdr:colOff>
      <xdr:row>367</xdr:row>
      <xdr:rowOff>161925</xdr:rowOff>
    </xdr:from>
    <xdr:to>
      <xdr:col>18</xdr:col>
      <xdr:colOff>10885</xdr:colOff>
      <xdr:row>369</xdr:row>
      <xdr:rowOff>53068</xdr:rowOff>
    </xdr:to>
    <xdr:sp macro="" textlink="">
      <xdr:nvSpPr>
        <xdr:cNvPr id="16" name="TextBox 15">
          <a:extLst>
            <a:ext uri="{FF2B5EF4-FFF2-40B4-BE49-F238E27FC236}">
              <a16:creationId xmlns:a16="http://schemas.microsoft.com/office/drawing/2014/main" id="{923DC975-FD7D-4DD4-B9D7-AB506A2D1E08}"/>
            </a:ext>
          </a:extLst>
        </xdr:cNvPr>
        <xdr:cNvSpPr txBox="1"/>
      </xdr:nvSpPr>
      <xdr:spPr>
        <a:xfrm>
          <a:off x="14744700" y="67284600"/>
          <a:ext cx="668110" cy="253093"/>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l-GR" sz="1200" b="1"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α</a:t>
          </a:r>
          <a:r>
            <a:rPr kumimoji="0" lang="en-US" sz="1200" b="1"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ZL</a:t>
          </a:r>
          <a:endParaRPr kumimoji="0" lang="en-US" sz="1200" b="1" i="0" u="none" strike="noStrike" kern="0" cap="none" spc="0" normalizeH="0" baseline="0" noProof="0">
            <a:ln>
              <a:noFill/>
            </a:ln>
            <a:solidFill>
              <a:sysClr val="windowText" lastClr="000000"/>
            </a:solidFill>
            <a:effectLst/>
            <a:uLnTx/>
            <a:uFillTx/>
            <a:latin typeface="Aptos Narrow" panose="02110004020202020204"/>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9</xdr:col>
      <xdr:colOff>295275</xdr:colOff>
      <xdr:row>138</xdr:row>
      <xdr:rowOff>14287</xdr:rowOff>
    </xdr:from>
    <xdr:ext cx="65" cy="172227"/>
    <xdr:sp macro="" textlink="">
      <xdr:nvSpPr>
        <xdr:cNvPr id="2" name="TextBox 1">
          <a:extLst>
            <a:ext uri="{FF2B5EF4-FFF2-40B4-BE49-F238E27FC236}">
              <a16:creationId xmlns:a16="http://schemas.microsoft.com/office/drawing/2014/main" id="{418A4A7F-EFE8-44C7-9B5A-8AAEE48F6924}"/>
            </a:ext>
          </a:extLst>
        </xdr:cNvPr>
        <xdr:cNvSpPr txBox="1"/>
      </xdr:nvSpPr>
      <xdr:spPr>
        <a:xfrm>
          <a:off x="8768715" y="2598324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8</xdr:col>
      <xdr:colOff>504825</xdr:colOff>
      <xdr:row>77</xdr:row>
      <xdr:rowOff>104775</xdr:rowOff>
    </xdr:from>
    <xdr:to>
      <xdr:col>12</xdr:col>
      <xdr:colOff>394617</xdr:colOff>
      <xdr:row>86</xdr:row>
      <xdr:rowOff>112541</xdr:rowOff>
    </xdr:to>
    <xdr:pic>
      <xdr:nvPicPr>
        <xdr:cNvPr id="2" name="Picture 1">
          <a:extLst>
            <a:ext uri="{FF2B5EF4-FFF2-40B4-BE49-F238E27FC236}">
              <a16:creationId xmlns:a16="http://schemas.microsoft.com/office/drawing/2014/main" id="{F6B8921C-EED1-4E17-B4A5-AFE7B940E1DD}"/>
            </a:ext>
          </a:extLst>
        </xdr:cNvPr>
        <xdr:cNvPicPr>
          <a:picLocks noChangeAspect="1"/>
        </xdr:cNvPicPr>
      </xdr:nvPicPr>
      <xdr:blipFill>
        <a:blip xmlns:r="http://schemas.openxmlformats.org/officeDocument/2006/relationships" r:embed="rId1"/>
        <a:stretch>
          <a:fillRect/>
        </a:stretch>
      </xdr:blipFill>
      <xdr:spPr>
        <a:xfrm>
          <a:off x="7820025" y="14782800"/>
          <a:ext cx="2594892" cy="1722266"/>
        </a:xfrm>
        <a:prstGeom prst="rect">
          <a:avLst/>
        </a:prstGeom>
      </xdr:spPr>
    </xdr:pic>
    <xdr:clientData/>
  </xdr:twoCellAnchor>
  <xdr:twoCellAnchor>
    <xdr:from>
      <xdr:col>14</xdr:col>
      <xdr:colOff>569686</xdr:colOff>
      <xdr:row>19</xdr:row>
      <xdr:rowOff>48532</xdr:rowOff>
    </xdr:from>
    <xdr:to>
      <xdr:col>22</xdr:col>
      <xdr:colOff>388711</xdr:colOff>
      <xdr:row>34</xdr:row>
      <xdr:rowOff>86632</xdr:rowOff>
    </xdr:to>
    <xdr:graphicFrame macro="">
      <xdr:nvGraphicFramePr>
        <xdr:cNvPr id="21" name="Chart 1">
          <a:extLst>
            <a:ext uri="{FF2B5EF4-FFF2-40B4-BE49-F238E27FC236}">
              <a16:creationId xmlns:a16="http://schemas.microsoft.com/office/drawing/2014/main" id="{E1C33873-B92B-4DA3-A7C1-9C49771B2C85}"/>
            </a:ext>
            <a:ext uri="{147F2762-F138-4A5C-976F-8EAC2B608ADB}">
              <a16:predDERef xmlns:a16="http://schemas.microsoft.com/office/drawing/2014/main" pred="{8E50EB23-B59E-7AC2-2B01-32B66CADE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2806700</xdr:colOff>
      <xdr:row>25</xdr:row>
      <xdr:rowOff>12246</xdr:rowOff>
    </xdr:from>
    <xdr:to>
      <xdr:col>31</xdr:col>
      <xdr:colOff>200025</xdr:colOff>
      <xdr:row>39</xdr:row>
      <xdr:rowOff>47624</xdr:rowOff>
    </xdr:to>
    <xdr:graphicFrame macro="">
      <xdr:nvGraphicFramePr>
        <xdr:cNvPr id="22" name="Chart 2">
          <a:extLst>
            <a:ext uri="{FF2B5EF4-FFF2-40B4-BE49-F238E27FC236}">
              <a16:creationId xmlns:a16="http://schemas.microsoft.com/office/drawing/2014/main" id="{5E33CB58-8543-4ED8-90C6-6E17125CE573}"/>
            </a:ext>
            <a:ext uri="{147F2762-F138-4A5C-976F-8EAC2B608ADB}">
              <a16:predDERef xmlns:a16="http://schemas.microsoft.com/office/drawing/2014/main" pred="{15F60DEB-4425-F13E-ABF1-386EF4B2E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504825</xdr:colOff>
      <xdr:row>42</xdr:row>
      <xdr:rowOff>161925</xdr:rowOff>
    </xdr:from>
    <xdr:to>
      <xdr:col>23</xdr:col>
      <xdr:colOff>2571750</xdr:colOff>
      <xdr:row>58</xdr:row>
      <xdr:rowOff>144689</xdr:rowOff>
    </xdr:to>
    <xdr:graphicFrame macro="">
      <xdr:nvGraphicFramePr>
        <xdr:cNvPr id="37" name="Chart 1">
          <a:extLst>
            <a:ext uri="{FF2B5EF4-FFF2-40B4-BE49-F238E27FC236}">
              <a16:creationId xmlns:a16="http://schemas.microsoft.com/office/drawing/2014/main" id="{07BB8DC4-A070-4F9D-80F7-1C53FEC7C88E}"/>
            </a:ext>
            <a:ext uri="{147F2762-F138-4A5C-976F-8EAC2B608ADB}">
              <a16:predDERef xmlns:a16="http://schemas.microsoft.com/office/drawing/2014/main" pred="{B6564EA5-FBFD-4429-F918-506E29F612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95250</xdr:colOff>
      <xdr:row>91</xdr:row>
      <xdr:rowOff>180975</xdr:rowOff>
    </xdr:from>
    <xdr:to>
      <xdr:col>21</xdr:col>
      <xdr:colOff>552450</xdr:colOff>
      <xdr:row>109</xdr:row>
      <xdr:rowOff>66675</xdr:rowOff>
    </xdr:to>
    <xdr:graphicFrame macro="">
      <xdr:nvGraphicFramePr>
        <xdr:cNvPr id="40" name="Chart 2">
          <a:extLst>
            <a:ext uri="{FF2B5EF4-FFF2-40B4-BE49-F238E27FC236}">
              <a16:creationId xmlns:a16="http://schemas.microsoft.com/office/drawing/2014/main" id="{73432DBB-25FD-4A72-8A6C-E4F7AFA1B9C7}"/>
            </a:ext>
            <a:ext uri="{147F2762-F138-4A5C-976F-8EAC2B608ADB}">
              <a16:predDERef xmlns:a16="http://schemas.microsoft.com/office/drawing/2014/main" pred="{3CF9FF48-99E4-4489-93A0-CD59E4AF9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571500</xdr:colOff>
      <xdr:row>111</xdr:row>
      <xdr:rowOff>28575</xdr:rowOff>
    </xdr:from>
    <xdr:to>
      <xdr:col>19</xdr:col>
      <xdr:colOff>438150</xdr:colOff>
      <xdr:row>125</xdr:row>
      <xdr:rowOff>104775</xdr:rowOff>
    </xdr:to>
    <xdr:graphicFrame macro="">
      <xdr:nvGraphicFramePr>
        <xdr:cNvPr id="60" name="Chart 1">
          <a:extLst>
            <a:ext uri="{FF2B5EF4-FFF2-40B4-BE49-F238E27FC236}">
              <a16:creationId xmlns:a16="http://schemas.microsoft.com/office/drawing/2014/main" id="{E9E1ECF7-0AEE-459C-877E-06DCBFF0D16D}"/>
            </a:ext>
            <a:ext uri="{147F2762-F138-4A5C-976F-8EAC2B608ADB}">
              <a16:predDERef xmlns:a16="http://schemas.microsoft.com/office/drawing/2014/main" pred="{73432DBB-25FD-4A72-8A6C-E4F7AFA1B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38100</xdr:colOff>
      <xdr:row>125</xdr:row>
      <xdr:rowOff>152400</xdr:rowOff>
    </xdr:from>
    <xdr:to>
      <xdr:col>19</xdr:col>
      <xdr:colOff>495300</xdr:colOff>
      <xdr:row>140</xdr:row>
      <xdr:rowOff>38100</xdr:rowOff>
    </xdr:to>
    <xdr:graphicFrame macro="">
      <xdr:nvGraphicFramePr>
        <xdr:cNvPr id="44" name="Chart 2">
          <a:extLst>
            <a:ext uri="{FF2B5EF4-FFF2-40B4-BE49-F238E27FC236}">
              <a16:creationId xmlns:a16="http://schemas.microsoft.com/office/drawing/2014/main" id="{76C7A441-21E3-4F99-AC97-986E808E086C}"/>
            </a:ext>
            <a:ext uri="{147F2762-F138-4A5C-976F-8EAC2B608ADB}">
              <a16:predDERef xmlns:a16="http://schemas.microsoft.com/office/drawing/2014/main" pred="{10C5AFE9-04C3-E8AB-7732-0170B87BB9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57150</xdr:colOff>
      <xdr:row>118</xdr:row>
      <xdr:rowOff>114300</xdr:rowOff>
    </xdr:from>
    <xdr:to>
      <xdr:col>23</xdr:col>
      <xdr:colOff>1276350</xdr:colOff>
      <xdr:row>133</xdr:row>
      <xdr:rowOff>0</xdr:rowOff>
    </xdr:to>
    <xdr:graphicFrame macro="">
      <xdr:nvGraphicFramePr>
        <xdr:cNvPr id="46" name="Chart 3">
          <a:extLst>
            <a:ext uri="{FF2B5EF4-FFF2-40B4-BE49-F238E27FC236}">
              <a16:creationId xmlns:a16="http://schemas.microsoft.com/office/drawing/2014/main" id="{7175B21F-5B9C-48EA-B0FD-BE9C3A71340F}"/>
            </a:ext>
            <a:ext uri="{147F2762-F138-4A5C-976F-8EAC2B608ADB}">
              <a16:predDERef xmlns:a16="http://schemas.microsoft.com/office/drawing/2014/main" pred="{6D8FB862-3AAB-A26E-5553-A57A45E20F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561975</xdr:colOff>
      <xdr:row>145</xdr:row>
      <xdr:rowOff>76200</xdr:rowOff>
    </xdr:from>
    <xdr:to>
      <xdr:col>19</xdr:col>
      <xdr:colOff>428625</xdr:colOff>
      <xdr:row>160</xdr:row>
      <xdr:rowOff>104775</xdr:rowOff>
    </xdr:to>
    <xdr:graphicFrame macro="">
      <xdr:nvGraphicFramePr>
        <xdr:cNvPr id="48" name="Chart 1">
          <a:extLst>
            <a:ext uri="{FF2B5EF4-FFF2-40B4-BE49-F238E27FC236}">
              <a16:creationId xmlns:a16="http://schemas.microsoft.com/office/drawing/2014/main" id="{4B1223CC-100F-4EE5-92C8-7726D3530CF9}"/>
            </a:ext>
            <a:ext uri="{147F2762-F138-4A5C-976F-8EAC2B608ADB}">
              <a16:predDERef xmlns:a16="http://schemas.microsoft.com/office/drawing/2014/main" pred="{1118D511-09D8-5EDB-6EDF-AE462A0A8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19050</xdr:colOff>
      <xdr:row>91</xdr:row>
      <xdr:rowOff>161925</xdr:rowOff>
    </xdr:from>
    <xdr:to>
      <xdr:col>23</xdr:col>
      <xdr:colOff>2762250</xdr:colOff>
      <xdr:row>109</xdr:row>
      <xdr:rowOff>38100</xdr:rowOff>
    </xdr:to>
    <xdr:graphicFrame macro="">
      <xdr:nvGraphicFramePr>
        <xdr:cNvPr id="50" name="Chart 10">
          <a:extLst>
            <a:ext uri="{FF2B5EF4-FFF2-40B4-BE49-F238E27FC236}">
              <a16:creationId xmlns:a16="http://schemas.microsoft.com/office/drawing/2014/main" id="{7C7BB386-C286-4631-9224-380D99F93349}"/>
            </a:ext>
            <a:ext uri="{147F2762-F138-4A5C-976F-8EAC2B608ADB}">
              <a16:predDERef xmlns:a16="http://schemas.microsoft.com/office/drawing/2014/main" pred="{680518A9-DBF3-E51D-43DD-2F3FA7BDD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506385</xdr:colOff>
      <xdr:row>115</xdr:row>
      <xdr:rowOff>11153</xdr:rowOff>
    </xdr:from>
    <xdr:to>
      <xdr:col>4</xdr:col>
      <xdr:colOff>474345</xdr:colOff>
      <xdr:row>130</xdr:row>
      <xdr:rowOff>163830</xdr:rowOff>
    </xdr:to>
    <xdr:graphicFrame macro="">
      <xdr:nvGraphicFramePr>
        <xdr:cNvPr id="59" name="Chart 2">
          <a:extLst>
            <a:ext uri="{FF2B5EF4-FFF2-40B4-BE49-F238E27FC236}">
              <a16:creationId xmlns:a16="http://schemas.microsoft.com/office/drawing/2014/main" id="{AF38A9F2-5A3B-4CF9-90E7-82E634423225}"/>
            </a:ext>
            <a:ext uri="{147F2762-F138-4A5C-976F-8EAC2B608ADB}">
              <a16:predDERef xmlns:a16="http://schemas.microsoft.com/office/drawing/2014/main" pred="{7C7BB386-C286-4631-9224-380D99F93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755072</xdr:colOff>
      <xdr:row>136</xdr:row>
      <xdr:rowOff>117764</xdr:rowOff>
    </xdr:from>
    <xdr:to>
      <xdr:col>5</xdr:col>
      <xdr:colOff>37232</xdr:colOff>
      <xdr:row>152</xdr:row>
      <xdr:rowOff>79941</xdr:rowOff>
    </xdr:to>
    <xdr:graphicFrame macro="">
      <xdr:nvGraphicFramePr>
        <xdr:cNvPr id="58" name="Chart 3">
          <a:extLst>
            <a:ext uri="{FF2B5EF4-FFF2-40B4-BE49-F238E27FC236}">
              <a16:creationId xmlns:a16="http://schemas.microsoft.com/office/drawing/2014/main" id="{D323B5E6-DB0A-4D8F-B618-CD4AE6FC07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14</xdr:row>
      <xdr:rowOff>120650</xdr:rowOff>
    </xdr:from>
    <xdr:to>
      <xdr:col>5</xdr:col>
      <xdr:colOff>1098021</xdr:colOff>
      <xdr:row>29</xdr:row>
      <xdr:rowOff>101600</xdr:rowOff>
    </xdr:to>
    <xdr:graphicFrame macro="">
      <xdr:nvGraphicFramePr>
        <xdr:cNvPr id="10" name="Chart 1">
          <a:extLst>
            <a:ext uri="{FF2B5EF4-FFF2-40B4-BE49-F238E27FC236}">
              <a16:creationId xmlns:a16="http://schemas.microsoft.com/office/drawing/2014/main" id="{BD3EE7EE-210D-6E4A-758D-B167E6D6E2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364309</xdr:colOff>
      <xdr:row>118</xdr:row>
      <xdr:rowOff>59325</xdr:rowOff>
    </xdr:from>
    <xdr:to>
      <xdr:col>26</xdr:col>
      <xdr:colOff>542925</xdr:colOff>
      <xdr:row>139</xdr:row>
      <xdr:rowOff>38099</xdr:rowOff>
    </xdr:to>
    <xdr:graphicFrame macro="">
      <xdr:nvGraphicFramePr>
        <xdr:cNvPr id="8" name="Chart 1">
          <a:extLst>
            <a:ext uri="{FF2B5EF4-FFF2-40B4-BE49-F238E27FC236}">
              <a16:creationId xmlns:a16="http://schemas.microsoft.com/office/drawing/2014/main" id="{9657D145-C81D-AF3A-2E89-A7EA4F4E2C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504825</xdr:colOff>
      <xdr:row>77</xdr:row>
      <xdr:rowOff>104775</xdr:rowOff>
    </xdr:from>
    <xdr:to>
      <xdr:col>12</xdr:col>
      <xdr:colOff>270792</xdr:colOff>
      <xdr:row>86</xdr:row>
      <xdr:rowOff>112541</xdr:rowOff>
    </xdr:to>
    <xdr:pic>
      <xdr:nvPicPr>
        <xdr:cNvPr id="48" name="Picture 1">
          <a:extLst>
            <a:ext uri="{FF2B5EF4-FFF2-40B4-BE49-F238E27FC236}">
              <a16:creationId xmlns:a16="http://schemas.microsoft.com/office/drawing/2014/main" id="{8E50EB23-B59E-7AC2-2B01-32B66CADE60A}"/>
            </a:ext>
          </a:extLst>
        </xdr:cNvPr>
        <xdr:cNvPicPr>
          <a:picLocks noChangeAspect="1"/>
        </xdr:cNvPicPr>
      </xdr:nvPicPr>
      <xdr:blipFill>
        <a:blip xmlns:r="http://schemas.openxmlformats.org/officeDocument/2006/relationships" r:embed="rId1"/>
        <a:stretch>
          <a:fillRect/>
        </a:stretch>
      </xdr:blipFill>
      <xdr:spPr>
        <a:xfrm>
          <a:off x="7839075" y="14763750"/>
          <a:ext cx="3007642" cy="1722266"/>
        </a:xfrm>
        <a:prstGeom prst="rect">
          <a:avLst/>
        </a:prstGeom>
      </xdr:spPr>
    </xdr:pic>
    <xdr:clientData/>
  </xdr:twoCellAnchor>
  <xdr:twoCellAnchor>
    <xdr:from>
      <xdr:col>14</xdr:col>
      <xdr:colOff>569686</xdr:colOff>
      <xdr:row>19</xdr:row>
      <xdr:rowOff>48532</xdr:rowOff>
    </xdr:from>
    <xdr:to>
      <xdr:col>25</xdr:col>
      <xdr:colOff>388711</xdr:colOff>
      <xdr:row>34</xdr:row>
      <xdr:rowOff>86632</xdr:rowOff>
    </xdr:to>
    <xdr:graphicFrame macro="">
      <xdr:nvGraphicFramePr>
        <xdr:cNvPr id="9" name="Chart 1">
          <a:extLst>
            <a:ext uri="{FF2B5EF4-FFF2-40B4-BE49-F238E27FC236}">
              <a16:creationId xmlns:a16="http://schemas.microsoft.com/office/drawing/2014/main" id="{15F60DEB-4425-F13E-ABF1-386EF4B2E0DF}"/>
            </a:ext>
            <a:ext uri="{147F2762-F138-4A5C-976F-8EAC2B608ADB}">
              <a16:predDERef xmlns:a16="http://schemas.microsoft.com/office/drawing/2014/main" pred="{8E50EB23-B59E-7AC2-2B01-32B66CADE6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504825</xdr:colOff>
      <xdr:row>42</xdr:row>
      <xdr:rowOff>161925</xdr:rowOff>
    </xdr:from>
    <xdr:to>
      <xdr:col>26</xdr:col>
      <xdr:colOff>2571750</xdr:colOff>
      <xdr:row>58</xdr:row>
      <xdr:rowOff>144689</xdr:rowOff>
    </xdr:to>
    <xdr:graphicFrame macro="">
      <xdr:nvGraphicFramePr>
        <xdr:cNvPr id="17" name="Chart 1">
          <a:extLst>
            <a:ext uri="{FF2B5EF4-FFF2-40B4-BE49-F238E27FC236}">
              <a16:creationId xmlns:a16="http://schemas.microsoft.com/office/drawing/2014/main" id="{3CF9FF48-99E4-4489-93A0-CD59E4AF9FAB}"/>
            </a:ext>
            <a:ext uri="{147F2762-F138-4A5C-976F-8EAC2B608ADB}">
              <a16:predDERef xmlns:a16="http://schemas.microsoft.com/office/drawing/2014/main" pred="{B6564EA5-FBFD-4429-F918-506E29F612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552450</xdr:colOff>
      <xdr:row>88</xdr:row>
      <xdr:rowOff>104775</xdr:rowOff>
    </xdr:from>
    <xdr:to>
      <xdr:col>17</xdr:col>
      <xdr:colOff>76200</xdr:colOff>
      <xdr:row>107</xdr:row>
      <xdr:rowOff>180975</xdr:rowOff>
    </xdr:to>
    <xdr:graphicFrame macro="">
      <xdr:nvGraphicFramePr>
        <xdr:cNvPr id="12" name="Chart 2">
          <a:extLst>
            <a:ext uri="{FF2B5EF4-FFF2-40B4-BE49-F238E27FC236}">
              <a16:creationId xmlns:a16="http://schemas.microsoft.com/office/drawing/2014/main" id="{CC88348E-A617-EF6E-489D-194EE509AC0F}"/>
            </a:ext>
            <a:ext uri="{147F2762-F138-4A5C-976F-8EAC2B608ADB}">
              <a16:predDERef xmlns:a16="http://schemas.microsoft.com/office/drawing/2014/main" pred="{3CF9FF48-99E4-4489-93A0-CD59E4AF9F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28575</xdr:colOff>
      <xdr:row>110</xdr:row>
      <xdr:rowOff>57150</xdr:rowOff>
    </xdr:from>
    <xdr:to>
      <xdr:col>26</xdr:col>
      <xdr:colOff>1219200</xdr:colOff>
      <xdr:row>129</xdr:row>
      <xdr:rowOff>133350</xdr:rowOff>
    </xdr:to>
    <xdr:graphicFrame macro="">
      <xdr:nvGraphicFramePr>
        <xdr:cNvPr id="23" name="Chart 1">
          <a:extLst>
            <a:ext uri="{FF2B5EF4-FFF2-40B4-BE49-F238E27FC236}">
              <a16:creationId xmlns:a16="http://schemas.microsoft.com/office/drawing/2014/main" id="{10C5AFE9-04C3-E8AB-7732-0170B87BB93D}"/>
            </a:ext>
            <a:ext uri="{147F2762-F138-4A5C-976F-8EAC2B608ADB}">
              <a16:predDERef xmlns:a16="http://schemas.microsoft.com/office/drawing/2014/main" pred="{CC88348E-A617-EF6E-489D-194EE509A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19050</xdr:colOff>
      <xdr:row>131</xdr:row>
      <xdr:rowOff>9525</xdr:rowOff>
    </xdr:from>
    <xdr:to>
      <xdr:col>26</xdr:col>
      <xdr:colOff>1238250</xdr:colOff>
      <xdr:row>145</xdr:row>
      <xdr:rowOff>95250</xdr:rowOff>
    </xdr:to>
    <xdr:graphicFrame macro="">
      <xdr:nvGraphicFramePr>
        <xdr:cNvPr id="21" name="Chart 2">
          <a:extLst>
            <a:ext uri="{FF2B5EF4-FFF2-40B4-BE49-F238E27FC236}">
              <a16:creationId xmlns:a16="http://schemas.microsoft.com/office/drawing/2014/main" id="{6D8FB862-3AAB-A26E-5553-A57A45E20FB2}"/>
            </a:ext>
            <a:ext uri="{147F2762-F138-4A5C-976F-8EAC2B608ADB}">
              <a16:predDERef xmlns:a16="http://schemas.microsoft.com/office/drawing/2014/main" pred="{10C5AFE9-04C3-E8AB-7732-0170B87BB9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392641</xdr:colOff>
      <xdr:row>158</xdr:row>
      <xdr:rowOff>59267</xdr:rowOff>
    </xdr:from>
    <xdr:to>
      <xdr:col>22</xdr:col>
      <xdr:colOff>434975</xdr:colOff>
      <xdr:row>173</xdr:row>
      <xdr:rowOff>87842</xdr:rowOff>
    </xdr:to>
    <xdr:graphicFrame macro="">
      <xdr:nvGraphicFramePr>
        <xdr:cNvPr id="52" name="Chart 1">
          <a:extLst>
            <a:ext uri="{FF2B5EF4-FFF2-40B4-BE49-F238E27FC236}">
              <a16:creationId xmlns:a16="http://schemas.microsoft.com/office/drawing/2014/main" id="{680518A9-DBF3-E51D-43DD-2F3FA7BDD622}"/>
            </a:ext>
            <a:ext uri="{147F2762-F138-4A5C-976F-8EAC2B608ADB}">
              <a16:predDERef xmlns:a16="http://schemas.microsoft.com/office/drawing/2014/main" pred="{6D8FB862-3AAB-A26E-5553-A57A45E20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623860</xdr:colOff>
      <xdr:row>121</xdr:row>
      <xdr:rowOff>33378</xdr:rowOff>
    </xdr:from>
    <xdr:to>
      <xdr:col>8</xdr:col>
      <xdr:colOff>391795</xdr:colOff>
      <xdr:row>137</xdr:row>
      <xdr:rowOff>8255</xdr:rowOff>
    </xdr:to>
    <xdr:graphicFrame macro="">
      <xdr:nvGraphicFramePr>
        <xdr:cNvPr id="13" name="Chart 2">
          <a:extLst>
            <a:ext uri="{FF2B5EF4-FFF2-40B4-BE49-F238E27FC236}">
              <a16:creationId xmlns:a16="http://schemas.microsoft.com/office/drawing/2014/main" id="{C84E179A-2967-113E-9057-7F939EA1C80A}"/>
            </a:ext>
            <a:ext uri="{147F2762-F138-4A5C-976F-8EAC2B608ADB}">
              <a16:predDERef xmlns:a16="http://schemas.microsoft.com/office/drawing/2014/main" pred="{680518A9-DBF3-E51D-43DD-2F3FA7BDD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838200</xdr:colOff>
      <xdr:row>142</xdr:row>
      <xdr:rowOff>19050</xdr:rowOff>
    </xdr:from>
    <xdr:to>
      <xdr:col>8</xdr:col>
      <xdr:colOff>447675</xdr:colOff>
      <xdr:row>157</xdr:row>
      <xdr:rowOff>171450</xdr:rowOff>
    </xdr:to>
    <xdr:graphicFrame macro="">
      <xdr:nvGraphicFramePr>
        <xdr:cNvPr id="37" name="Chart 3">
          <a:extLst>
            <a:ext uri="{FF2B5EF4-FFF2-40B4-BE49-F238E27FC236}">
              <a16:creationId xmlns:a16="http://schemas.microsoft.com/office/drawing/2014/main" id="{7A5ECE26-36BC-4C41-A2FF-2488C4E94F9B}"/>
            </a:ext>
            <a:ext uri="{147F2762-F138-4A5C-976F-8EAC2B608ADB}">
              <a16:predDERef xmlns:a16="http://schemas.microsoft.com/office/drawing/2014/main" pred="{C84E179A-2967-113E-9057-7F939EA1C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73025</xdr:colOff>
      <xdr:row>142</xdr:row>
      <xdr:rowOff>73025</xdr:rowOff>
    </xdr:from>
    <xdr:to>
      <xdr:col>22</xdr:col>
      <xdr:colOff>620184</xdr:colOff>
      <xdr:row>156</xdr:row>
      <xdr:rowOff>139700</xdr:rowOff>
    </xdr:to>
    <xdr:graphicFrame macro="">
      <xdr:nvGraphicFramePr>
        <xdr:cNvPr id="8" name="Chart 2">
          <a:extLst>
            <a:ext uri="{FF2B5EF4-FFF2-40B4-BE49-F238E27FC236}">
              <a16:creationId xmlns:a16="http://schemas.microsoft.com/office/drawing/2014/main" id="{513615AE-0B6E-665F-B611-D1452693B591}"/>
            </a:ext>
            <a:ext uri="{147F2762-F138-4A5C-976F-8EAC2B608ADB}">
              <a16:predDERef xmlns:a16="http://schemas.microsoft.com/office/drawing/2014/main" pred="{7A5ECE26-36BC-4C41-A2FF-2488C4E94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190500</xdr:colOff>
      <xdr:row>167</xdr:row>
      <xdr:rowOff>0</xdr:rowOff>
    </xdr:from>
    <xdr:to>
      <xdr:col>19</xdr:col>
      <xdr:colOff>571500</xdr:colOff>
      <xdr:row>168</xdr:row>
      <xdr:rowOff>76200</xdr:rowOff>
    </xdr:to>
    <xdr:sp macro="" textlink="">
      <xdr:nvSpPr>
        <xdr:cNvPr id="69" name="TextBox 12">
          <a:extLst>
            <a:ext uri="{FF2B5EF4-FFF2-40B4-BE49-F238E27FC236}">
              <a16:creationId xmlns:a16="http://schemas.microsoft.com/office/drawing/2014/main" id="{5868144F-A880-EB33-39D0-F603038DDCDF}"/>
            </a:ext>
            <a:ext uri="{147F2762-F138-4A5C-976F-8EAC2B608ADB}">
              <a16:predDERef xmlns:a16="http://schemas.microsoft.com/office/drawing/2014/main" pred="{513615AE-0B6E-665F-B611-D1452693B591}"/>
            </a:ext>
          </a:extLst>
        </xdr:cNvPr>
        <xdr:cNvSpPr txBox="1"/>
      </xdr:nvSpPr>
      <xdr:spPr>
        <a:xfrm>
          <a:off x="14868525" y="30880050"/>
          <a:ext cx="1143000" cy="2571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Aptos Narrow" panose="020B0004020202020204" pitchFamily="34" charset="0"/>
            </a:rPr>
            <a:t>End Ground Roll</a:t>
          </a:r>
        </a:p>
      </xdr:txBody>
    </xdr:sp>
    <xdr:clientData/>
  </xdr:twoCellAnchor>
  <xdr:twoCellAnchor>
    <xdr:from>
      <xdr:col>18</xdr:col>
      <xdr:colOff>209550</xdr:colOff>
      <xdr:row>164</xdr:row>
      <xdr:rowOff>171450</xdr:rowOff>
    </xdr:from>
    <xdr:to>
      <xdr:col>19</xdr:col>
      <xdr:colOff>0</xdr:colOff>
      <xdr:row>167</xdr:row>
      <xdr:rowOff>0</xdr:rowOff>
    </xdr:to>
    <xdr:cxnSp macro="">
      <xdr:nvCxnSpPr>
        <xdr:cNvPr id="71" name="Straight Connector 14">
          <a:extLst>
            <a:ext uri="{FF2B5EF4-FFF2-40B4-BE49-F238E27FC236}">
              <a16:creationId xmlns:a16="http://schemas.microsoft.com/office/drawing/2014/main" id="{56C69ADF-F4D2-B04F-0ECC-2645636BABFF}"/>
            </a:ext>
            <a:ext uri="{147F2762-F138-4A5C-976F-8EAC2B608ADB}">
              <a16:predDERef xmlns:a16="http://schemas.microsoft.com/office/drawing/2014/main" pred="{5868144F-A880-EB33-39D0-F603038DDCDF}"/>
            </a:ext>
          </a:extLst>
        </xdr:cNvPr>
        <xdr:cNvCxnSpPr>
          <a:cxnSpLocks/>
          <a:stCxn id="69" idx="0"/>
          <a:extLst>
            <a:ext uri="{5F17804C-33F3-41E3-A699-7DCFA2EF7971}">
              <a16:cxnDERefs xmlns:a16="http://schemas.microsoft.com/office/drawing/2014/main" st="{5868144F-A880-EB33-39D0-F603038DDCDF}" end="{00000000-0000-0000-0000-000000000000}"/>
            </a:ext>
          </a:extLst>
        </xdr:cNvCxnSpPr>
      </xdr:nvCxnSpPr>
      <xdr:spPr>
        <a:xfrm flipH="1" flipV="1">
          <a:off x="14887575" y="30508575"/>
          <a:ext cx="552450" cy="371475"/>
        </a:xfrm>
        <a:prstGeom prst="line">
          <a:avLst/>
        </a:prstGeom>
        <a:ln>
          <a:solidFill>
            <a:schemeClr val="tx1"/>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510391</xdr:colOff>
      <xdr:row>159</xdr:row>
      <xdr:rowOff>45269</xdr:rowOff>
    </xdr:from>
    <xdr:to>
      <xdr:col>26</xdr:col>
      <xdr:colOff>1156164</xdr:colOff>
      <xdr:row>173</xdr:row>
      <xdr:rowOff>91503</xdr:rowOff>
    </xdr:to>
    <xdr:graphicFrame macro="">
      <xdr:nvGraphicFramePr>
        <xdr:cNvPr id="38" name="Chart 1">
          <a:extLst>
            <a:ext uri="{FF2B5EF4-FFF2-40B4-BE49-F238E27FC236}">
              <a16:creationId xmlns:a16="http://schemas.microsoft.com/office/drawing/2014/main" id="{59A7D977-4473-6505-13FD-12C917FF2C06}"/>
            </a:ext>
            <a:ext uri="{147F2762-F138-4A5C-976F-8EAC2B608ADB}">
              <a16:predDERef xmlns:a16="http://schemas.microsoft.com/office/drawing/2014/main" pred="{56C69ADF-F4D2-B04F-0ECC-2645636BA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7</xdr:col>
      <xdr:colOff>271615</xdr:colOff>
      <xdr:row>16</xdr:row>
      <xdr:rowOff>175922</xdr:rowOff>
    </xdr:from>
    <xdr:to>
      <xdr:col>14</xdr:col>
      <xdr:colOff>561086</xdr:colOff>
      <xdr:row>37</xdr:row>
      <xdr:rowOff>16648</xdr:rowOff>
    </xdr:to>
    <xdr:graphicFrame macro="">
      <xdr:nvGraphicFramePr>
        <xdr:cNvPr id="19" name="Chart 1">
          <a:extLst>
            <a:ext uri="{FF2B5EF4-FFF2-40B4-BE49-F238E27FC236}">
              <a16:creationId xmlns:a16="http://schemas.microsoft.com/office/drawing/2014/main" id="{B36DA36B-9A29-4350-A297-35AE5BEA9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260936</xdr:colOff>
      <xdr:row>17</xdr:row>
      <xdr:rowOff>116559</xdr:rowOff>
    </xdr:from>
    <xdr:to>
      <xdr:col>22</xdr:col>
      <xdr:colOff>415192</xdr:colOff>
      <xdr:row>38</xdr:row>
      <xdr:rowOff>47217</xdr:rowOff>
    </xdr:to>
    <xdr:graphicFrame macro="">
      <xdr:nvGraphicFramePr>
        <xdr:cNvPr id="34" name="Chart 2">
          <a:extLst>
            <a:ext uri="{FF2B5EF4-FFF2-40B4-BE49-F238E27FC236}">
              <a16:creationId xmlns:a16="http://schemas.microsoft.com/office/drawing/2014/main" id="{B422DC76-6707-4A3A-ACBC-5B762C957A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295649</xdr:colOff>
      <xdr:row>2</xdr:row>
      <xdr:rowOff>66430</xdr:rowOff>
    </xdr:from>
    <xdr:to>
      <xdr:col>37</xdr:col>
      <xdr:colOff>600822</xdr:colOff>
      <xdr:row>21</xdr:row>
      <xdr:rowOff>160058</xdr:rowOff>
    </xdr:to>
    <xdr:graphicFrame macro="">
      <xdr:nvGraphicFramePr>
        <xdr:cNvPr id="43" name="Chart 3">
          <a:extLst>
            <a:ext uri="{FF2B5EF4-FFF2-40B4-BE49-F238E27FC236}">
              <a16:creationId xmlns:a16="http://schemas.microsoft.com/office/drawing/2014/main" id="{DD4ACFE0-116F-4BD1-9AF6-FAED55296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7</xdr:col>
      <xdr:colOff>271615</xdr:colOff>
      <xdr:row>16</xdr:row>
      <xdr:rowOff>175922</xdr:rowOff>
    </xdr:from>
    <xdr:to>
      <xdr:col>14</xdr:col>
      <xdr:colOff>561086</xdr:colOff>
      <xdr:row>37</xdr:row>
      <xdr:rowOff>16648</xdr:rowOff>
    </xdr:to>
    <xdr:graphicFrame macro="">
      <xdr:nvGraphicFramePr>
        <xdr:cNvPr id="2" name="Chart 1">
          <a:extLst>
            <a:ext uri="{FF2B5EF4-FFF2-40B4-BE49-F238E27FC236}">
              <a16:creationId xmlns:a16="http://schemas.microsoft.com/office/drawing/2014/main" id="{F8FFACD5-660E-4760-9863-D7A284F85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260936</xdr:colOff>
      <xdr:row>17</xdr:row>
      <xdr:rowOff>116559</xdr:rowOff>
    </xdr:from>
    <xdr:to>
      <xdr:col>22</xdr:col>
      <xdr:colOff>415192</xdr:colOff>
      <xdr:row>38</xdr:row>
      <xdr:rowOff>47217</xdr:rowOff>
    </xdr:to>
    <xdr:graphicFrame macro="">
      <xdr:nvGraphicFramePr>
        <xdr:cNvPr id="3" name="Chart 2">
          <a:extLst>
            <a:ext uri="{FF2B5EF4-FFF2-40B4-BE49-F238E27FC236}">
              <a16:creationId xmlns:a16="http://schemas.microsoft.com/office/drawing/2014/main" id="{855AA48B-6B6F-4EAF-A088-FD5B19FB9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295649</xdr:colOff>
      <xdr:row>2</xdr:row>
      <xdr:rowOff>66430</xdr:rowOff>
    </xdr:from>
    <xdr:to>
      <xdr:col>37</xdr:col>
      <xdr:colOff>600822</xdr:colOff>
      <xdr:row>21</xdr:row>
      <xdr:rowOff>160058</xdr:rowOff>
    </xdr:to>
    <xdr:graphicFrame macro="">
      <xdr:nvGraphicFramePr>
        <xdr:cNvPr id="4" name="Chart 3">
          <a:extLst>
            <a:ext uri="{FF2B5EF4-FFF2-40B4-BE49-F238E27FC236}">
              <a16:creationId xmlns:a16="http://schemas.microsoft.com/office/drawing/2014/main" id="{B70C1620-12EF-4B5A-B716-53493F590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53340</xdr:colOff>
      <xdr:row>8</xdr:row>
      <xdr:rowOff>137160</xdr:rowOff>
    </xdr:from>
    <xdr:to>
      <xdr:col>4</xdr:col>
      <xdr:colOff>1844195</xdr:colOff>
      <xdr:row>10</xdr:row>
      <xdr:rowOff>20342</xdr:rowOff>
    </xdr:to>
    <xdr:pic>
      <xdr:nvPicPr>
        <xdr:cNvPr id="3" name="Picture 1">
          <a:extLst>
            <a:ext uri="{FF2B5EF4-FFF2-40B4-BE49-F238E27FC236}">
              <a16:creationId xmlns:a16="http://schemas.microsoft.com/office/drawing/2014/main" id="{8024044F-590A-EB0E-BCBF-A5DB5FB7F335}"/>
            </a:ext>
          </a:extLst>
        </xdr:cNvPr>
        <xdr:cNvPicPr>
          <a:picLocks noChangeAspect="1"/>
        </xdr:cNvPicPr>
      </xdr:nvPicPr>
      <xdr:blipFill>
        <a:blip xmlns:r="http://schemas.openxmlformats.org/officeDocument/2006/relationships" r:embed="rId1"/>
        <a:stretch>
          <a:fillRect/>
        </a:stretch>
      </xdr:blipFill>
      <xdr:spPr>
        <a:xfrm>
          <a:off x="4084320" y="1600200"/>
          <a:ext cx="1790855" cy="251482"/>
        </a:xfrm>
        <a:prstGeom prst="rect">
          <a:avLst/>
        </a:prstGeom>
      </xdr:spPr>
    </xdr:pic>
    <xdr:clientData/>
  </xdr:twoCellAnchor>
  <xdr:twoCellAnchor editAs="oneCell">
    <xdr:from>
      <xdr:col>4</xdr:col>
      <xdr:colOff>167640</xdr:colOff>
      <xdr:row>19</xdr:row>
      <xdr:rowOff>0</xdr:rowOff>
    </xdr:from>
    <xdr:to>
      <xdr:col>4</xdr:col>
      <xdr:colOff>1943254</xdr:colOff>
      <xdr:row>22</xdr:row>
      <xdr:rowOff>16562</xdr:rowOff>
    </xdr:to>
    <xdr:pic>
      <xdr:nvPicPr>
        <xdr:cNvPr id="5" name="Picture 2">
          <a:extLst>
            <a:ext uri="{FF2B5EF4-FFF2-40B4-BE49-F238E27FC236}">
              <a16:creationId xmlns:a16="http://schemas.microsoft.com/office/drawing/2014/main" id="{36D95F1F-D576-A7B6-5A21-ABC058BC3412}"/>
            </a:ext>
          </a:extLst>
        </xdr:cNvPr>
        <xdr:cNvPicPr>
          <a:picLocks noChangeAspect="1"/>
        </xdr:cNvPicPr>
      </xdr:nvPicPr>
      <xdr:blipFill>
        <a:blip xmlns:r="http://schemas.openxmlformats.org/officeDocument/2006/relationships" r:embed="rId2"/>
        <a:stretch>
          <a:fillRect/>
        </a:stretch>
      </xdr:blipFill>
      <xdr:spPr>
        <a:xfrm>
          <a:off x="4198620" y="3474720"/>
          <a:ext cx="1775614" cy="594412"/>
        </a:xfrm>
        <a:prstGeom prst="rect">
          <a:avLst/>
        </a:prstGeom>
      </xdr:spPr>
    </xdr:pic>
    <xdr:clientData/>
  </xdr:twoCellAnchor>
  <xdr:twoCellAnchor editAs="oneCell">
    <xdr:from>
      <xdr:col>4</xdr:col>
      <xdr:colOff>114300</xdr:colOff>
      <xdr:row>29</xdr:row>
      <xdr:rowOff>114300</xdr:rowOff>
    </xdr:from>
    <xdr:to>
      <xdr:col>4</xdr:col>
      <xdr:colOff>2301430</xdr:colOff>
      <xdr:row>32</xdr:row>
      <xdr:rowOff>59738</xdr:rowOff>
    </xdr:to>
    <xdr:pic>
      <xdr:nvPicPr>
        <xdr:cNvPr id="7" name="Picture 3">
          <a:extLst>
            <a:ext uri="{FF2B5EF4-FFF2-40B4-BE49-F238E27FC236}">
              <a16:creationId xmlns:a16="http://schemas.microsoft.com/office/drawing/2014/main" id="{FA03C681-A976-99B5-5A16-CFF59E38320E}"/>
            </a:ext>
          </a:extLst>
        </xdr:cNvPr>
        <xdr:cNvPicPr>
          <a:picLocks noChangeAspect="1"/>
        </xdr:cNvPicPr>
      </xdr:nvPicPr>
      <xdr:blipFill>
        <a:blip xmlns:r="http://schemas.openxmlformats.org/officeDocument/2006/relationships" r:embed="rId3"/>
        <a:stretch>
          <a:fillRect/>
        </a:stretch>
      </xdr:blipFill>
      <xdr:spPr>
        <a:xfrm>
          <a:off x="4145280" y="5417820"/>
          <a:ext cx="2187130" cy="548688"/>
        </a:xfrm>
        <a:prstGeom prst="rect">
          <a:avLst/>
        </a:prstGeom>
      </xdr:spPr>
    </xdr:pic>
    <xdr:clientData/>
  </xdr:twoCellAnchor>
  <xdr:twoCellAnchor editAs="oneCell">
    <xdr:from>
      <xdr:col>4</xdr:col>
      <xdr:colOff>38100</xdr:colOff>
      <xdr:row>43</xdr:row>
      <xdr:rowOff>53340</xdr:rowOff>
    </xdr:from>
    <xdr:to>
      <xdr:col>4</xdr:col>
      <xdr:colOff>2270953</xdr:colOff>
      <xdr:row>46</xdr:row>
      <xdr:rowOff>34336</xdr:rowOff>
    </xdr:to>
    <xdr:pic>
      <xdr:nvPicPr>
        <xdr:cNvPr id="9" name="Picture 4">
          <a:extLst>
            <a:ext uri="{FF2B5EF4-FFF2-40B4-BE49-F238E27FC236}">
              <a16:creationId xmlns:a16="http://schemas.microsoft.com/office/drawing/2014/main" id="{AB91441F-E3A6-69C2-3E9E-077AC1FE1BEA}"/>
            </a:ext>
          </a:extLst>
        </xdr:cNvPr>
        <xdr:cNvPicPr>
          <a:picLocks noChangeAspect="1"/>
        </xdr:cNvPicPr>
      </xdr:nvPicPr>
      <xdr:blipFill>
        <a:blip xmlns:r="http://schemas.openxmlformats.org/officeDocument/2006/relationships" r:embed="rId4"/>
        <a:stretch>
          <a:fillRect/>
        </a:stretch>
      </xdr:blipFill>
      <xdr:spPr>
        <a:xfrm>
          <a:off x="4069080" y="7917180"/>
          <a:ext cx="2232853" cy="533446"/>
        </a:xfrm>
        <a:prstGeom prst="rect">
          <a:avLst/>
        </a:prstGeom>
      </xdr:spPr>
    </xdr:pic>
    <xdr:clientData/>
  </xdr:twoCellAnchor>
  <xdr:twoCellAnchor editAs="oneCell">
    <xdr:from>
      <xdr:col>4</xdr:col>
      <xdr:colOff>38100</xdr:colOff>
      <xdr:row>51</xdr:row>
      <xdr:rowOff>152400</xdr:rowOff>
    </xdr:from>
    <xdr:to>
      <xdr:col>5</xdr:col>
      <xdr:colOff>63728</xdr:colOff>
      <xdr:row>57</xdr:row>
      <xdr:rowOff>15324</xdr:rowOff>
    </xdr:to>
    <xdr:pic>
      <xdr:nvPicPr>
        <xdr:cNvPr id="12" name="Picture 5">
          <a:extLst>
            <a:ext uri="{FF2B5EF4-FFF2-40B4-BE49-F238E27FC236}">
              <a16:creationId xmlns:a16="http://schemas.microsoft.com/office/drawing/2014/main" id="{C19A5975-532A-4F4B-1DBF-2B3BE3361202}"/>
            </a:ext>
          </a:extLst>
        </xdr:cNvPr>
        <xdr:cNvPicPr>
          <a:picLocks noChangeAspect="1"/>
        </xdr:cNvPicPr>
      </xdr:nvPicPr>
      <xdr:blipFill>
        <a:blip xmlns:r="http://schemas.openxmlformats.org/officeDocument/2006/relationships" r:embed="rId5"/>
        <a:stretch>
          <a:fillRect/>
        </a:stretch>
      </xdr:blipFill>
      <xdr:spPr>
        <a:xfrm>
          <a:off x="4064000" y="9220200"/>
          <a:ext cx="2629128" cy="967824"/>
        </a:xfrm>
        <a:prstGeom prst="rect">
          <a:avLst/>
        </a:prstGeom>
      </xdr:spPr>
    </xdr:pic>
    <xdr:clientData/>
  </xdr:twoCellAnchor>
  <xdr:twoCellAnchor editAs="oneCell">
    <xdr:from>
      <xdr:col>4</xdr:col>
      <xdr:colOff>101600</xdr:colOff>
      <xdr:row>87</xdr:row>
      <xdr:rowOff>76200</xdr:rowOff>
    </xdr:from>
    <xdr:to>
      <xdr:col>5</xdr:col>
      <xdr:colOff>12700</xdr:colOff>
      <xdr:row>91</xdr:row>
      <xdr:rowOff>90434</xdr:rowOff>
    </xdr:to>
    <xdr:pic>
      <xdr:nvPicPr>
        <xdr:cNvPr id="15" name="Picture 6">
          <a:extLst>
            <a:ext uri="{FF2B5EF4-FFF2-40B4-BE49-F238E27FC236}">
              <a16:creationId xmlns:a16="http://schemas.microsoft.com/office/drawing/2014/main" id="{F423F3CE-19E3-3388-F782-D493FF2FBC35}"/>
            </a:ext>
          </a:extLst>
        </xdr:cNvPr>
        <xdr:cNvPicPr>
          <a:picLocks noChangeAspect="1"/>
        </xdr:cNvPicPr>
      </xdr:nvPicPr>
      <xdr:blipFill>
        <a:blip xmlns:r="http://schemas.openxmlformats.org/officeDocument/2006/relationships" r:embed="rId6"/>
        <a:stretch>
          <a:fillRect/>
        </a:stretch>
      </xdr:blipFill>
      <xdr:spPr>
        <a:xfrm>
          <a:off x="4445000" y="15544800"/>
          <a:ext cx="2514600" cy="801634"/>
        </a:xfrm>
        <a:prstGeom prst="rect">
          <a:avLst/>
        </a:prstGeom>
      </xdr:spPr>
    </xdr:pic>
    <xdr:clientData/>
  </xdr:twoCellAnchor>
  <xdr:twoCellAnchor editAs="oneCell">
    <xdr:from>
      <xdr:col>4</xdr:col>
      <xdr:colOff>63500</xdr:colOff>
      <xdr:row>76</xdr:row>
      <xdr:rowOff>0</xdr:rowOff>
    </xdr:from>
    <xdr:to>
      <xdr:col>4</xdr:col>
      <xdr:colOff>2349698</xdr:colOff>
      <xdr:row>79</xdr:row>
      <xdr:rowOff>14023</xdr:rowOff>
    </xdr:to>
    <xdr:pic>
      <xdr:nvPicPr>
        <xdr:cNvPr id="19" name="Picture 7">
          <a:extLst>
            <a:ext uri="{FF2B5EF4-FFF2-40B4-BE49-F238E27FC236}">
              <a16:creationId xmlns:a16="http://schemas.microsoft.com/office/drawing/2014/main" id="{34FE4500-69F7-4446-6C3A-43186F68E6FD}"/>
            </a:ext>
          </a:extLst>
        </xdr:cNvPr>
        <xdr:cNvPicPr>
          <a:picLocks noChangeAspect="1"/>
        </xdr:cNvPicPr>
      </xdr:nvPicPr>
      <xdr:blipFill>
        <a:blip xmlns:r="http://schemas.openxmlformats.org/officeDocument/2006/relationships" r:embed="rId7"/>
        <a:stretch>
          <a:fillRect/>
        </a:stretch>
      </xdr:blipFill>
      <xdr:spPr>
        <a:xfrm>
          <a:off x="4406900" y="13512800"/>
          <a:ext cx="2286198" cy="617273"/>
        </a:xfrm>
        <a:prstGeom prst="rect">
          <a:avLst/>
        </a:prstGeom>
      </xdr:spPr>
    </xdr:pic>
    <xdr:clientData/>
  </xdr:twoCellAnchor>
  <xdr:twoCellAnchor editAs="oneCell">
    <xdr:from>
      <xdr:col>4</xdr:col>
      <xdr:colOff>12700</xdr:colOff>
      <xdr:row>79</xdr:row>
      <xdr:rowOff>127000</xdr:rowOff>
    </xdr:from>
    <xdr:to>
      <xdr:col>5</xdr:col>
      <xdr:colOff>465085</xdr:colOff>
      <xdr:row>82</xdr:row>
      <xdr:rowOff>161347</xdr:rowOff>
    </xdr:to>
    <xdr:pic>
      <xdr:nvPicPr>
        <xdr:cNvPr id="20" name="Picture 8">
          <a:extLst>
            <a:ext uri="{FF2B5EF4-FFF2-40B4-BE49-F238E27FC236}">
              <a16:creationId xmlns:a16="http://schemas.microsoft.com/office/drawing/2014/main" id="{A17425C2-AB92-5725-BB1E-683D0969FBE9}"/>
            </a:ext>
          </a:extLst>
        </xdr:cNvPr>
        <xdr:cNvPicPr>
          <a:picLocks noChangeAspect="1"/>
        </xdr:cNvPicPr>
      </xdr:nvPicPr>
      <xdr:blipFill>
        <a:blip xmlns:r="http://schemas.openxmlformats.org/officeDocument/2006/relationships" r:embed="rId8"/>
        <a:stretch>
          <a:fillRect/>
        </a:stretch>
      </xdr:blipFill>
      <xdr:spPr>
        <a:xfrm>
          <a:off x="4356100" y="14173200"/>
          <a:ext cx="3055885" cy="662997"/>
        </a:xfrm>
        <a:prstGeom prst="rect">
          <a:avLst/>
        </a:prstGeom>
      </xdr:spPr>
    </xdr:pic>
    <xdr:clientData/>
  </xdr:twoCellAnchor>
  <xdr:twoCellAnchor editAs="oneCell">
    <xdr:from>
      <xdr:col>4</xdr:col>
      <xdr:colOff>50800</xdr:colOff>
      <xdr:row>83</xdr:row>
      <xdr:rowOff>127000</xdr:rowOff>
    </xdr:from>
    <xdr:to>
      <xdr:col>4</xdr:col>
      <xdr:colOff>1790700</xdr:colOff>
      <xdr:row>86</xdr:row>
      <xdr:rowOff>72602</xdr:rowOff>
    </xdr:to>
    <xdr:pic>
      <xdr:nvPicPr>
        <xdr:cNvPr id="24" name="Picture 9">
          <a:extLst>
            <a:ext uri="{FF2B5EF4-FFF2-40B4-BE49-F238E27FC236}">
              <a16:creationId xmlns:a16="http://schemas.microsoft.com/office/drawing/2014/main" id="{4031414D-854A-6977-EE27-3BA7BEC28C69}"/>
            </a:ext>
          </a:extLst>
        </xdr:cNvPr>
        <xdr:cNvPicPr>
          <a:picLocks noChangeAspect="1"/>
        </xdr:cNvPicPr>
      </xdr:nvPicPr>
      <xdr:blipFill>
        <a:blip xmlns:r="http://schemas.openxmlformats.org/officeDocument/2006/relationships" r:embed="rId9"/>
        <a:stretch>
          <a:fillRect/>
        </a:stretch>
      </xdr:blipFill>
      <xdr:spPr>
        <a:xfrm>
          <a:off x="4394200" y="14884400"/>
          <a:ext cx="1739900" cy="574252"/>
        </a:xfrm>
        <a:prstGeom prst="rect">
          <a:avLst/>
        </a:prstGeom>
      </xdr:spPr>
    </xdr:pic>
    <xdr:clientData/>
  </xdr:twoCellAnchor>
  <xdr:twoCellAnchor editAs="oneCell">
    <xdr:from>
      <xdr:col>0</xdr:col>
      <xdr:colOff>241300</xdr:colOff>
      <xdr:row>94</xdr:row>
      <xdr:rowOff>38100</xdr:rowOff>
    </xdr:from>
    <xdr:to>
      <xdr:col>10</xdr:col>
      <xdr:colOff>469900</xdr:colOff>
      <xdr:row>150</xdr:row>
      <xdr:rowOff>159479</xdr:rowOff>
    </xdr:to>
    <xdr:pic>
      <xdr:nvPicPr>
        <xdr:cNvPr id="27" name="Picture 10">
          <a:extLst>
            <a:ext uri="{FF2B5EF4-FFF2-40B4-BE49-F238E27FC236}">
              <a16:creationId xmlns:a16="http://schemas.microsoft.com/office/drawing/2014/main" id="{498421E2-1693-3D2E-5862-F8170E628852}"/>
            </a:ext>
          </a:extLst>
        </xdr:cNvPr>
        <xdr:cNvPicPr>
          <a:picLocks noChangeAspect="1"/>
        </xdr:cNvPicPr>
      </xdr:nvPicPr>
      <xdr:blipFill>
        <a:blip xmlns:r="http://schemas.openxmlformats.org/officeDocument/2006/relationships" r:embed="rId10"/>
        <a:stretch>
          <a:fillRect/>
        </a:stretch>
      </xdr:blipFill>
      <xdr:spPr>
        <a:xfrm>
          <a:off x="241300" y="16751300"/>
          <a:ext cx="10299700" cy="10433779"/>
        </a:xfrm>
        <a:prstGeom prst="rect">
          <a:avLst/>
        </a:prstGeom>
      </xdr:spPr>
    </xdr:pic>
    <xdr:clientData/>
  </xdr:twoCellAnchor>
  <xdr:twoCellAnchor editAs="oneCell">
    <xdr:from>
      <xdr:col>0</xdr:col>
      <xdr:colOff>1689100</xdr:colOff>
      <xdr:row>153</xdr:row>
      <xdr:rowOff>127000</xdr:rowOff>
    </xdr:from>
    <xdr:to>
      <xdr:col>8</xdr:col>
      <xdr:colOff>330200</xdr:colOff>
      <xdr:row>204</xdr:row>
      <xdr:rowOff>71866</xdr:rowOff>
    </xdr:to>
    <xdr:pic>
      <xdr:nvPicPr>
        <xdr:cNvPr id="30" name="Picture 11">
          <a:extLst>
            <a:ext uri="{FF2B5EF4-FFF2-40B4-BE49-F238E27FC236}">
              <a16:creationId xmlns:a16="http://schemas.microsoft.com/office/drawing/2014/main" id="{E1A1C0CA-76B6-19EE-F711-A765C69AA033}"/>
            </a:ext>
          </a:extLst>
        </xdr:cNvPr>
        <xdr:cNvPicPr>
          <a:picLocks noChangeAspect="1"/>
        </xdr:cNvPicPr>
      </xdr:nvPicPr>
      <xdr:blipFill>
        <a:blip xmlns:r="http://schemas.openxmlformats.org/officeDocument/2006/relationships" r:embed="rId11"/>
        <a:stretch>
          <a:fillRect/>
        </a:stretch>
      </xdr:blipFill>
      <xdr:spPr>
        <a:xfrm>
          <a:off x="1689100" y="27330400"/>
          <a:ext cx="7493000" cy="933651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601980</xdr:colOff>
      <xdr:row>3</xdr:row>
      <xdr:rowOff>62565</xdr:rowOff>
    </xdr:from>
    <xdr:to>
      <xdr:col>7</xdr:col>
      <xdr:colOff>558165</xdr:colOff>
      <xdr:row>15</xdr:row>
      <xdr:rowOff>91009</xdr:rowOff>
    </xdr:to>
    <xdr:pic>
      <xdr:nvPicPr>
        <xdr:cNvPr id="9" name="Picture 1">
          <a:extLst>
            <a:ext uri="{FF2B5EF4-FFF2-40B4-BE49-F238E27FC236}">
              <a16:creationId xmlns:a16="http://schemas.microsoft.com/office/drawing/2014/main" id="{7833AF58-5597-64DB-DC11-81E090F13975}"/>
            </a:ext>
          </a:extLst>
        </xdr:cNvPr>
        <xdr:cNvPicPr>
          <a:picLocks noChangeAspect="1"/>
        </xdr:cNvPicPr>
      </xdr:nvPicPr>
      <xdr:blipFill>
        <a:blip xmlns:r="http://schemas.openxmlformats.org/officeDocument/2006/relationships" r:embed="rId1"/>
        <a:stretch>
          <a:fillRect/>
        </a:stretch>
      </xdr:blipFill>
      <xdr:spPr>
        <a:xfrm>
          <a:off x="3169920" y="611205"/>
          <a:ext cx="3337560" cy="2238244"/>
        </a:xfrm>
        <a:prstGeom prst="rect">
          <a:avLst/>
        </a:prstGeom>
      </xdr:spPr>
    </xdr:pic>
    <xdr:clientData/>
  </xdr:twoCellAnchor>
  <xdr:twoCellAnchor editAs="oneCell">
    <xdr:from>
      <xdr:col>3</xdr:col>
      <xdr:colOff>588645</xdr:colOff>
      <xdr:row>15</xdr:row>
      <xdr:rowOff>137160</xdr:rowOff>
    </xdr:from>
    <xdr:to>
      <xdr:col>6</xdr:col>
      <xdr:colOff>507627</xdr:colOff>
      <xdr:row>22</xdr:row>
      <xdr:rowOff>100</xdr:rowOff>
    </xdr:to>
    <xdr:pic>
      <xdr:nvPicPr>
        <xdr:cNvPr id="2" name="Picture 2">
          <a:extLst>
            <a:ext uri="{FF2B5EF4-FFF2-40B4-BE49-F238E27FC236}">
              <a16:creationId xmlns:a16="http://schemas.microsoft.com/office/drawing/2014/main" id="{AFEFB383-CE0D-225E-25A4-3214F96442AD}"/>
            </a:ext>
            <a:ext uri="{147F2762-F138-4A5C-976F-8EAC2B608ADB}">
              <a16:predDERef xmlns:a16="http://schemas.microsoft.com/office/drawing/2014/main" pred="{7833AF58-5597-64DB-DC11-81E090F13975}"/>
            </a:ext>
          </a:extLst>
        </xdr:cNvPr>
        <xdr:cNvPicPr>
          <a:picLocks noChangeAspect="1"/>
        </xdr:cNvPicPr>
      </xdr:nvPicPr>
      <xdr:blipFill>
        <a:blip xmlns:r="http://schemas.openxmlformats.org/officeDocument/2006/relationships" r:embed="rId2"/>
        <a:stretch>
          <a:fillRect/>
        </a:stretch>
      </xdr:blipFill>
      <xdr:spPr>
        <a:xfrm>
          <a:off x="3065145" y="2994660"/>
          <a:ext cx="2903482" cy="119644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29</xdr:row>
      <xdr:rowOff>104775</xdr:rowOff>
    </xdr:from>
    <xdr:to>
      <xdr:col>7</xdr:col>
      <xdr:colOff>574675</xdr:colOff>
      <xdr:row>43</xdr:row>
      <xdr:rowOff>114300</xdr:rowOff>
    </xdr:to>
    <xdr:pic>
      <xdr:nvPicPr>
        <xdr:cNvPr id="8" name="Picture 1">
          <a:extLst>
            <a:ext uri="{FF2B5EF4-FFF2-40B4-BE49-F238E27FC236}">
              <a16:creationId xmlns:a16="http://schemas.microsoft.com/office/drawing/2014/main" id="{871EA1F0-B94A-530C-5ACE-3844C47A89A2}"/>
            </a:ext>
          </a:extLst>
        </xdr:cNvPr>
        <xdr:cNvPicPr>
          <a:picLocks noChangeAspect="1"/>
        </xdr:cNvPicPr>
      </xdr:nvPicPr>
      <xdr:blipFill>
        <a:blip xmlns:r="http://schemas.openxmlformats.org/officeDocument/2006/relationships" r:embed="rId1"/>
        <a:stretch>
          <a:fillRect/>
        </a:stretch>
      </xdr:blipFill>
      <xdr:spPr>
        <a:xfrm>
          <a:off x="0" y="5200650"/>
          <a:ext cx="6543675" cy="2676525"/>
        </a:xfrm>
        <a:prstGeom prst="rect">
          <a:avLst/>
        </a:prstGeom>
      </xdr:spPr>
    </xdr:pic>
    <xdr:clientData/>
  </xdr:twoCellAnchor>
  <xdr:twoCellAnchor editAs="oneCell">
    <xdr:from>
      <xdr:col>0</xdr:col>
      <xdr:colOff>186765</xdr:colOff>
      <xdr:row>44</xdr:row>
      <xdr:rowOff>97570</xdr:rowOff>
    </xdr:from>
    <xdr:to>
      <xdr:col>7</xdr:col>
      <xdr:colOff>366268</xdr:colOff>
      <xdr:row>69</xdr:row>
      <xdr:rowOff>24550</xdr:rowOff>
    </xdr:to>
    <xdr:pic>
      <xdr:nvPicPr>
        <xdr:cNvPr id="4" name="Picture 2">
          <a:extLst>
            <a:ext uri="{FF2B5EF4-FFF2-40B4-BE49-F238E27FC236}">
              <a16:creationId xmlns:a16="http://schemas.microsoft.com/office/drawing/2014/main" id="{83902E65-12B3-E231-2E05-77EF822EAAE6}"/>
            </a:ext>
            <a:ext uri="{147F2762-F138-4A5C-976F-8EAC2B608ADB}">
              <a16:predDERef xmlns:a16="http://schemas.microsoft.com/office/drawing/2014/main" pred="{871EA1F0-B94A-530C-5ACE-3844C47A89A2}"/>
            </a:ext>
          </a:extLst>
        </xdr:cNvPr>
        <xdr:cNvPicPr>
          <a:picLocks noChangeAspect="1"/>
        </xdr:cNvPicPr>
      </xdr:nvPicPr>
      <xdr:blipFill>
        <a:blip xmlns:r="http://schemas.openxmlformats.org/officeDocument/2006/relationships" r:embed="rId2"/>
        <a:stretch>
          <a:fillRect/>
        </a:stretch>
      </xdr:blipFill>
      <xdr:spPr>
        <a:xfrm>
          <a:off x="186765" y="8626492"/>
          <a:ext cx="6161203" cy="468948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17</xdr:col>
      <xdr:colOff>590550</xdr:colOff>
      <xdr:row>42</xdr:row>
      <xdr:rowOff>200025</xdr:rowOff>
    </xdr:from>
    <xdr:to>
      <xdr:col>25</xdr:col>
      <xdr:colOff>457200</xdr:colOff>
      <xdr:row>57</xdr:row>
      <xdr:rowOff>28575</xdr:rowOff>
    </xdr:to>
    <xdr:graphicFrame macro="">
      <xdr:nvGraphicFramePr>
        <xdr:cNvPr id="37" name="Chart 1">
          <a:extLst>
            <a:ext uri="{FF2B5EF4-FFF2-40B4-BE49-F238E27FC236}">
              <a16:creationId xmlns:a16="http://schemas.microsoft.com/office/drawing/2014/main" id="{604DD947-62D1-41F7-8A79-D86200BF5A7A}"/>
            </a:ext>
            <a:ext uri="{147F2762-F138-4A5C-976F-8EAC2B608ADB}">
              <a16:predDERef xmlns:a16="http://schemas.microsoft.com/office/drawing/2014/main" pred="{B70F2244-A636-4E64-8B9F-ABD668BCD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561975</xdr:colOff>
      <xdr:row>44</xdr:row>
      <xdr:rowOff>152400</xdr:rowOff>
    </xdr:from>
    <xdr:to>
      <xdr:col>33</xdr:col>
      <xdr:colOff>28575</xdr:colOff>
      <xdr:row>62</xdr:row>
      <xdr:rowOff>180975</xdr:rowOff>
    </xdr:to>
    <xdr:graphicFrame macro="">
      <xdr:nvGraphicFramePr>
        <xdr:cNvPr id="2" name="Chart 3">
          <a:extLst>
            <a:ext uri="{FF2B5EF4-FFF2-40B4-BE49-F238E27FC236}">
              <a16:creationId xmlns:a16="http://schemas.microsoft.com/office/drawing/2014/main" id="{690ABB76-276E-5439-2CA5-53696590983D}"/>
            </a:ext>
            <a:ext uri="{147F2762-F138-4A5C-976F-8EAC2B608ADB}">
              <a16:predDERef xmlns:a16="http://schemas.microsoft.com/office/drawing/2014/main" pred="{604DD947-62D1-41F7-8A79-D86200BF5A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133350</xdr:colOff>
      <xdr:row>65</xdr:row>
      <xdr:rowOff>47625</xdr:rowOff>
    </xdr:from>
    <xdr:to>
      <xdr:col>12</xdr:col>
      <xdr:colOff>1219200</xdr:colOff>
      <xdr:row>78</xdr:row>
      <xdr:rowOff>85725</xdr:rowOff>
    </xdr:to>
    <xdr:graphicFrame macro="">
      <xdr:nvGraphicFramePr>
        <xdr:cNvPr id="9" name="Chart 3">
          <a:extLst>
            <a:ext uri="{FF2B5EF4-FFF2-40B4-BE49-F238E27FC236}">
              <a16:creationId xmlns:a16="http://schemas.microsoft.com/office/drawing/2014/main" id="{BD17E3A2-53BE-D4EC-3943-7AF171FB6CA3}"/>
            </a:ext>
            <a:ext uri="{147F2762-F138-4A5C-976F-8EAC2B608ADB}">
              <a16:predDERef xmlns:a16="http://schemas.microsoft.com/office/drawing/2014/main" pred="{690ABB76-276E-5439-2CA5-5369659098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628650</xdr:colOff>
      <xdr:row>8</xdr:row>
      <xdr:rowOff>180975</xdr:rowOff>
    </xdr:from>
    <xdr:to>
      <xdr:col>0</xdr:col>
      <xdr:colOff>628650</xdr:colOff>
      <xdr:row>8</xdr:row>
      <xdr:rowOff>180975</xdr:rowOff>
    </xdr:to>
    <xdr:pic>
      <xdr:nvPicPr>
        <xdr:cNvPr id="5" name="Picture 2" descr="A diagram of a table and chairs&#10;&#10;AI-generated content may be incorrect.">
          <a:extLst>
            <a:ext uri="{FF2B5EF4-FFF2-40B4-BE49-F238E27FC236}">
              <a16:creationId xmlns:a16="http://schemas.microsoft.com/office/drawing/2014/main" id="{1EAFB42A-FEA2-9D9D-C6A9-9594B9895FD0}"/>
            </a:ext>
            <a:ext uri="{147F2762-F138-4A5C-976F-8EAC2B608ADB}">
              <a16:predDERef xmlns:a16="http://schemas.microsoft.com/office/drawing/2014/main" pred="{BD17E3A2-53BE-D4EC-3943-7AF171FB6CA3}"/>
            </a:ext>
          </a:extLst>
        </xdr:cNvPr>
        <xdr:cNvPicPr>
          <a:picLocks noChangeAspect="1"/>
        </xdr:cNvPicPr>
      </xdr:nvPicPr>
      <xdr:blipFill>
        <a:blip xmlns:r="http://schemas.openxmlformats.org/officeDocument/2006/relationships" r:embed="rId4"/>
        <a:stretch>
          <a:fillRect/>
        </a:stretch>
      </xdr:blipFill>
      <xdr:spPr>
        <a:xfrm>
          <a:off x="628650" y="1743075"/>
          <a:ext cx="0" cy="0"/>
        </a:xfrm>
        <a:prstGeom prst="rect">
          <a:avLst/>
        </a:prstGeom>
      </xdr:spPr>
    </xdr:pic>
    <xdr:clientData/>
  </xdr:twoCellAnchor>
  <xdr:twoCellAnchor editAs="oneCell">
    <xdr:from>
      <xdr:col>17</xdr:col>
      <xdr:colOff>323850</xdr:colOff>
      <xdr:row>76</xdr:row>
      <xdr:rowOff>142875</xdr:rowOff>
    </xdr:from>
    <xdr:to>
      <xdr:col>35</xdr:col>
      <xdr:colOff>102870</xdr:colOff>
      <xdr:row>84</xdr:row>
      <xdr:rowOff>40005</xdr:rowOff>
    </xdr:to>
    <xdr:pic>
      <xdr:nvPicPr>
        <xdr:cNvPr id="15" name="Picture 4" descr="A diagram of a table and chairs&#10;&#10;AI-generated content may be incorrect.">
          <a:extLst>
            <a:ext uri="{FF2B5EF4-FFF2-40B4-BE49-F238E27FC236}">
              <a16:creationId xmlns:a16="http://schemas.microsoft.com/office/drawing/2014/main" id="{F745C647-C8AA-4F1F-8B11-C31EC58F6FF6}"/>
            </a:ext>
            <a:ext uri="{147F2762-F138-4A5C-976F-8EAC2B608ADB}">
              <a16:predDERef xmlns:a16="http://schemas.microsoft.com/office/drawing/2014/main" pred="{1EAFB42A-FEA2-9D9D-C6A9-9594B9895FD0}"/>
            </a:ext>
          </a:extLst>
        </xdr:cNvPr>
        <xdr:cNvPicPr>
          <a:picLocks noChangeAspect="1"/>
        </xdr:cNvPicPr>
      </xdr:nvPicPr>
      <xdr:blipFill>
        <a:blip xmlns:r="http://schemas.openxmlformats.org/officeDocument/2006/relationships" r:embed="rId4"/>
        <a:stretch>
          <a:fillRect/>
        </a:stretch>
      </xdr:blipFill>
      <xdr:spPr>
        <a:xfrm>
          <a:off x="12411075" y="15144750"/>
          <a:ext cx="12877800" cy="15049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0</xdr:colOff>
      <xdr:row>9</xdr:row>
      <xdr:rowOff>0</xdr:rowOff>
    </xdr:from>
    <xdr:to>
      <xdr:col>14</xdr:col>
      <xdr:colOff>400050</xdr:colOff>
      <xdr:row>32</xdr:row>
      <xdr:rowOff>57150</xdr:rowOff>
    </xdr:to>
    <xdr:pic>
      <xdr:nvPicPr>
        <xdr:cNvPr id="2" name="Picture 1">
          <a:extLst>
            <a:ext uri="{FF2B5EF4-FFF2-40B4-BE49-F238E27FC236}">
              <a16:creationId xmlns:a16="http://schemas.microsoft.com/office/drawing/2014/main" id="{0F3F34A4-EBB9-261C-B3CD-C9C1A55DD51A}"/>
            </a:ext>
          </a:extLst>
        </xdr:cNvPr>
        <xdr:cNvPicPr>
          <a:picLocks noChangeAspect="1"/>
        </xdr:cNvPicPr>
      </xdr:nvPicPr>
      <xdr:blipFill>
        <a:blip xmlns:r="http://schemas.openxmlformats.org/officeDocument/2006/relationships" r:embed="rId1"/>
        <a:stretch>
          <a:fillRect/>
        </a:stretch>
      </xdr:blipFill>
      <xdr:spPr>
        <a:xfrm>
          <a:off x="8601075" y="1628775"/>
          <a:ext cx="5562600" cy="4219575"/>
        </a:xfrm>
        <a:prstGeom prst="rect">
          <a:avLst/>
        </a:prstGeom>
      </xdr:spPr>
    </xdr:pic>
    <xdr:clientData/>
  </xdr:twoCellAnchor>
  <xdr:twoCellAnchor editAs="oneCell">
    <xdr:from>
      <xdr:col>5</xdr:col>
      <xdr:colOff>561975</xdr:colOff>
      <xdr:row>33</xdr:row>
      <xdr:rowOff>19050</xdr:rowOff>
    </xdr:from>
    <xdr:to>
      <xdr:col>12</xdr:col>
      <xdr:colOff>552450</xdr:colOff>
      <xdr:row>56</xdr:row>
      <xdr:rowOff>76200</xdr:rowOff>
    </xdr:to>
    <xdr:pic>
      <xdr:nvPicPr>
        <xdr:cNvPr id="4" name="Picture 3">
          <a:extLst>
            <a:ext uri="{FF2B5EF4-FFF2-40B4-BE49-F238E27FC236}">
              <a16:creationId xmlns:a16="http://schemas.microsoft.com/office/drawing/2014/main" id="{0CA5CD4D-D3ED-5986-825D-E82AB13FE627}"/>
            </a:ext>
            <a:ext uri="{147F2762-F138-4A5C-976F-8EAC2B608ADB}">
              <a16:predDERef xmlns:a16="http://schemas.microsoft.com/office/drawing/2014/main" pred="{0F3F34A4-EBB9-261C-B3CD-C9C1A55DD51A}"/>
            </a:ext>
          </a:extLst>
        </xdr:cNvPr>
        <xdr:cNvPicPr>
          <a:picLocks noChangeAspect="1"/>
        </xdr:cNvPicPr>
      </xdr:nvPicPr>
      <xdr:blipFill>
        <a:blip xmlns:r="http://schemas.openxmlformats.org/officeDocument/2006/relationships" r:embed="rId2"/>
        <a:stretch>
          <a:fillRect/>
        </a:stretch>
      </xdr:blipFill>
      <xdr:spPr>
        <a:xfrm>
          <a:off x="8582025" y="5991225"/>
          <a:ext cx="4572000" cy="421957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766792</xdr:colOff>
      <xdr:row>41</xdr:row>
      <xdr:rowOff>143774</xdr:rowOff>
    </xdr:from>
    <xdr:to>
      <xdr:col>6</xdr:col>
      <xdr:colOff>635534</xdr:colOff>
      <xdr:row>44</xdr:row>
      <xdr:rowOff>3088</xdr:rowOff>
    </xdr:to>
    <xdr:pic>
      <xdr:nvPicPr>
        <xdr:cNvPr id="2" name="Picture 1">
          <a:extLst>
            <a:ext uri="{FF2B5EF4-FFF2-40B4-BE49-F238E27FC236}">
              <a16:creationId xmlns:a16="http://schemas.microsoft.com/office/drawing/2014/main" id="{7C287E20-77C2-8B97-751E-8B570F9C2DCF}"/>
            </a:ext>
          </a:extLst>
        </xdr:cNvPr>
        <xdr:cNvPicPr>
          <a:picLocks noChangeAspect="1"/>
        </xdr:cNvPicPr>
      </xdr:nvPicPr>
      <xdr:blipFill>
        <a:blip xmlns:r="http://schemas.openxmlformats.org/officeDocument/2006/relationships" r:embed="rId1"/>
        <a:stretch>
          <a:fillRect/>
        </a:stretch>
      </xdr:blipFill>
      <xdr:spPr>
        <a:xfrm>
          <a:off x="4840377" y="7811699"/>
          <a:ext cx="2514600" cy="419100"/>
        </a:xfrm>
        <a:prstGeom prst="rect">
          <a:avLst/>
        </a:prstGeom>
      </xdr:spPr>
    </xdr:pic>
    <xdr:clientData/>
  </xdr:twoCellAnchor>
  <xdr:twoCellAnchor editAs="oneCell">
    <xdr:from>
      <xdr:col>5</xdr:col>
      <xdr:colOff>0</xdr:colOff>
      <xdr:row>44</xdr:row>
      <xdr:rowOff>0</xdr:rowOff>
    </xdr:from>
    <xdr:to>
      <xdr:col>7</xdr:col>
      <xdr:colOff>181155</xdr:colOff>
      <xdr:row>46</xdr:row>
      <xdr:rowOff>150005</xdr:rowOff>
    </xdr:to>
    <xdr:pic>
      <xdr:nvPicPr>
        <xdr:cNvPr id="3" name="Picture 2">
          <a:extLst>
            <a:ext uri="{FF2B5EF4-FFF2-40B4-BE49-F238E27FC236}">
              <a16:creationId xmlns:a16="http://schemas.microsoft.com/office/drawing/2014/main" id="{C577BA78-AFAE-598C-F558-32DCA87B8144}"/>
            </a:ext>
          </a:extLst>
        </xdr:cNvPr>
        <xdr:cNvPicPr>
          <a:picLocks noChangeAspect="1"/>
        </xdr:cNvPicPr>
      </xdr:nvPicPr>
      <xdr:blipFill>
        <a:blip xmlns:r="http://schemas.openxmlformats.org/officeDocument/2006/relationships" r:embed="rId2"/>
        <a:stretch>
          <a:fillRect/>
        </a:stretch>
      </xdr:blipFill>
      <xdr:spPr>
        <a:xfrm>
          <a:off x="4948208" y="8243019"/>
          <a:ext cx="1930400" cy="533400"/>
        </a:xfrm>
        <a:prstGeom prst="rect">
          <a:avLst/>
        </a:prstGeom>
      </xdr:spPr>
    </xdr:pic>
    <xdr:clientData/>
  </xdr:twoCellAnchor>
  <xdr:twoCellAnchor editAs="oneCell">
    <xdr:from>
      <xdr:col>3</xdr:col>
      <xdr:colOff>596900</xdr:colOff>
      <xdr:row>36</xdr:row>
      <xdr:rowOff>121130</xdr:rowOff>
    </xdr:from>
    <xdr:to>
      <xdr:col>5</xdr:col>
      <xdr:colOff>445993</xdr:colOff>
      <xdr:row>40</xdr:row>
      <xdr:rowOff>165099</xdr:rowOff>
    </xdr:to>
    <xdr:pic>
      <xdr:nvPicPr>
        <xdr:cNvPr id="4" name="Picture 3">
          <a:extLst>
            <a:ext uri="{FF2B5EF4-FFF2-40B4-BE49-F238E27FC236}">
              <a16:creationId xmlns:a16="http://schemas.microsoft.com/office/drawing/2014/main" id="{C769C776-1731-2D14-2F37-138C43B83A47}"/>
            </a:ext>
          </a:extLst>
        </xdr:cNvPr>
        <xdr:cNvPicPr>
          <a:picLocks noChangeAspect="1"/>
        </xdr:cNvPicPr>
      </xdr:nvPicPr>
      <xdr:blipFill>
        <a:blip xmlns:r="http://schemas.openxmlformats.org/officeDocument/2006/relationships" r:embed="rId3"/>
        <a:stretch>
          <a:fillRect/>
        </a:stretch>
      </xdr:blipFill>
      <xdr:spPr>
        <a:xfrm>
          <a:off x="4673600" y="6788630"/>
          <a:ext cx="1625600" cy="805970"/>
        </a:xfrm>
        <a:prstGeom prst="rect">
          <a:avLst/>
        </a:prstGeom>
      </xdr:spPr>
    </xdr:pic>
    <xdr:clientData/>
  </xdr:twoCellAnchor>
  <xdr:twoCellAnchor>
    <xdr:from>
      <xdr:col>8</xdr:col>
      <xdr:colOff>1390460</xdr:colOff>
      <xdr:row>6</xdr:row>
      <xdr:rowOff>61950</xdr:rowOff>
    </xdr:from>
    <xdr:to>
      <xdr:col>21</xdr:col>
      <xdr:colOff>315508</xdr:colOff>
      <xdr:row>40</xdr:row>
      <xdr:rowOff>172134</xdr:rowOff>
    </xdr:to>
    <xdr:graphicFrame macro="">
      <xdr:nvGraphicFramePr>
        <xdr:cNvPr id="9" name="Chart 8">
          <a:extLst>
            <a:ext uri="{FF2B5EF4-FFF2-40B4-BE49-F238E27FC236}">
              <a16:creationId xmlns:a16="http://schemas.microsoft.com/office/drawing/2014/main" id="{29ECAD13-B88F-4CE5-8709-EDF854000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459896</xdr:colOff>
      <xdr:row>155</xdr:row>
      <xdr:rowOff>28863</xdr:rowOff>
    </xdr:from>
    <xdr:to>
      <xdr:col>8</xdr:col>
      <xdr:colOff>7122</xdr:colOff>
      <xdr:row>157</xdr:row>
      <xdr:rowOff>60035</xdr:rowOff>
    </xdr:to>
    <xdr:pic>
      <xdr:nvPicPr>
        <xdr:cNvPr id="10" name="Picture 9">
          <a:extLst>
            <a:ext uri="{FF2B5EF4-FFF2-40B4-BE49-F238E27FC236}">
              <a16:creationId xmlns:a16="http://schemas.microsoft.com/office/drawing/2014/main" id="{7A565530-C3F3-4D92-47AA-19ADC9441897}"/>
            </a:ext>
          </a:extLst>
        </xdr:cNvPr>
        <xdr:cNvPicPr>
          <a:picLocks noChangeAspect="1"/>
        </xdr:cNvPicPr>
      </xdr:nvPicPr>
      <xdr:blipFill>
        <a:blip xmlns:r="http://schemas.openxmlformats.org/officeDocument/2006/relationships" r:embed="rId5"/>
        <a:stretch>
          <a:fillRect/>
        </a:stretch>
      </xdr:blipFill>
      <xdr:spPr>
        <a:xfrm>
          <a:off x="6369629" y="28713930"/>
          <a:ext cx="1308293" cy="403706"/>
        </a:xfrm>
        <a:prstGeom prst="rect">
          <a:avLst/>
        </a:prstGeom>
      </xdr:spPr>
    </xdr:pic>
    <xdr:clientData/>
  </xdr:twoCellAnchor>
  <xdr:twoCellAnchor>
    <xdr:from>
      <xdr:col>20</xdr:col>
      <xdr:colOff>831500</xdr:colOff>
      <xdr:row>160</xdr:row>
      <xdr:rowOff>115097</xdr:rowOff>
    </xdr:from>
    <xdr:to>
      <xdr:col>31</xdr:col>
      <xdr:colOff>463010</xdr:colOff>
      <xdr:row>195</xdr:row>
      <xdr:rowOff>51235</xdr:rowOff>
    </xdr:to>
    <xdr:graphicFrame macro="">
      <xdr:nvGraphicFramePr>
        <xdr:cNvPr id="5" name="Chart 11">
          <a:extLst>
            <a:ext uri="{FF2B5EF4-FFF2-40B4-BE49-F238E27FC236}">
              <a16:creationId xmlns:a16="http://schemas.microsoft.com/office/drawing/2014/main" id="{6670FA4A-3851-FC24-3C86-9BD29D4ED6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25400</xdr:colOff>
      <xdr:row>465</xdr:row>
      <xdr:rowOff>0</xdr:rowOff>
    </xdr:from>
    <xdr:to>
      <xdr:col>18</xdr:col>
      <xdr:colOff>622300</xdr:colOff>
      <xdr:row>484</xdr:row>
      <xdr:rowOff>88900</xdr:rowOff>
    </xdr:to>
    <xdr:graphicFrame macro="">
      <xdr:nvGraphicFramePr>
        <xdr:cNvPr id="127" name="Chart 126">
          <a:extLst>
            <a:ext uri="{FF2B5EF4-FFF2-40B4-BE49-F238E27FC236}">
              <a16:creationId xmlns:a16="http://schemas.microsoft.com/office/drawing/2014/main" id="{70D6FB61-1427-12ED-5A1A-AECDFCC9BA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110236</xdr:colOff>
      <xdr:row>202</xdr:row>
      <xdr:rowOff>125400</xdr:rowOff>
    </xdr:from>
    <xdr:to>
      <xdr:col>29</xdr:col>
      <xdr:colOff>35826</xdr:colOff>
      <xdr:row>229</xdr:row>
      <xdr:rowOff>11942</xdr:rowOff>
    </xdr:to>
    <xdr:graphicFrame macro="">
      <xdr:nvGraphicFramePr>
        <xdr:cNvPr id="6" name="Chart 5">
          <a:extLst>
            <a:ext uri="{FF2B5EF4-FFF2-40B4-BE49-F238E27FC236}">
              <a16:creationId xmlns:a16="http://schemas.microsoft.com/office/drawing/2014/main" id="{07A3CD7A-8AB7-104B-9670-37B750F07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54429</xdr:colOff>
      <xdr:row>322</xdr:row>
      <xdr:rowOff>18143</xdr:rowOff>
    </xdr:from>
    <xdr:to>
      <xdr:col>22</xdr:col>
      <xdr:colOff>571500</xdr:colOff>
      <xdr:row>340</xdr:row>
      <xdr:rowOff>101600</xdr:rowOff>
    </xdr:to>
    <xdr:graphicFrame macro="">
      <xdr:nvGraphicFramePr>
        <xdr:cNvPr id="7" name="Chart 6">
          <a:extLst>
            <a:ext uri="{FF2B5EF4-FFF2-40B4-BE49-F238E27FC236}">
              <a16:creationId xmlns:a16="http://schemas.microsoft.com/office/drawing/2014/main" id="{019E3160-EC91-A9DC-7A64-C1CBC9E2D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12</xdr:col>
      <xdr:colOff>561975</xdr:colOff>
      <xdr:row>64</xdr:row>
      <xdr:rowOff>114300</xdr:rowOff>
    </xdr:from>
    <xdr:to>
      <xdr:col>21</xdr:col>
      <xdr:colOff>400050</xdr:colOff>
      <xdr:row>79</xdr:row>
      <xdr:rowOff>0</xdr:rowOff>
    </xdr:to>
    <xdr:graphicFrame macro="">
      <xdr:nvGraphicFramePr>
        <xdr:cNvPr id="78" name="Chart 1">
          <a:extLst>
            <a:ext uri="{FF2B5EF4-FFF2-40B4-BE49-F238E27FC236}">
              <a16:creationId xmlns:a16="http://schemas.microsoft.com/office/drawing/2014/main" id="{E8DDA724-DCB0-115E-1DA9-88735C6140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571500</xdr:colOff>
      <xdr:row>49</xdr:row>
      <xdr:rowOff>95250</xdr:rowOff>
    </xdr:from>
    <xdr:to>
      <xdr:col>21</xdr:col>
      <xdr:colOff>419100</xdr:colOff>
      <xdr:row>64</xdr:row>
      <xdr:rowOff>9525</xdr:rowOff>
    </xdr:to>
    <xdr:graphicFrame macro="">
      <xdr:nvGraphicFramePr>
        <xdr:cNvPr id="12" name="Chart 2">
          <a:extLst>
            <a:ext uri="{FF2B5EF4-FFF2-40B4-BE49-F238E27FC236}">
              <a16:creationId xmlns:a16="http://schemas.microsoft.com/office/drawing/2014/main" id="{741103E7-87FF-484E-827F-A75149A82821}"/>
            </a:ext>
            <a:ext uri="{147F2762-F138-4A5C-976F-8EAC2B608ADB}">
              <a16:predDERef xmlns:a16="http://schemas.microsoft.com/office/drawing/2014/main" pred="{E8DDA724-DCB0-115E-1DA9-88735C614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537330</xdr:colOff>
      <xdr:row>32</xdr:row>
      <xdr:rowOff>182045</xdr:rowOff>
    </xdr:from>
    <xdr:to>
      <xdr:col>39</xdr:col>
      <xdr:colOff>260231</xdr:colOff>
      <xdr:row>61</xdr:row>
      <xdr:rowOff>82468</xdr:rowOff>
    </xdr:to>
    <xdr:graphicFrame macro="">
      <xdr:nvGraphicFramePr>
        <xdr:cNvPr id="3" name="Chart 2">
          <a:extLst>
            <a:ext uri="{FF2B5EF4-FFF2-40B4-BE49-F238E27FC236}">
              <a16:creationId xmlns:a16="http://schemas.microsoft.com/office/drawing/2014/main" id="{7E4B4E66-C711-837F-9ECF-5FC103C7F9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59049</xdr:colOff>
      <xdr:row>107</xdr:row>
      <xdr:rowOff>5862</xdr:rowOff>
    </xdr:from>
    <xdr:to>
      <xdr:col>57</xdr:col>
      <xdr:colOff>508434</xdr:colOff>
      <xdr:row>139</xdr:row>
      <xdr:rowOff>38426</xdr:rowOff>
    </xdr:to>
    <xdr:graphicFrame macro="">
      <xdr:nvGraphicFramePr>
        <xdr:cNvPr id="4" name="Chart 3">
          <a:extLst>
            <a:ext uri="{FF2B5EF4-FFF2-40B4-BE49-F238E27FC236}">
              <a16:creationId xmlns:a16="http://schemas.microsoft.com/office/drawing/2014/main" id="{3F2F76A6-BA3A-E057-A14B-598681D7A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44</xdr:col>
      <xdr:colOff>382495</xdr:colOff>
      <xdr:row>80</xdr:row>
      <xdr:rowOff>183279</xdr:rowOff>
    </xdr:from>
    <xdr:to>
      <xdr:col>51</xdr:col>
      <xdr:colOff>248025</xdr:colOff>
      <xdr:row>95</xdr:row>
      <xdr:rowOff>125506</xdr:rowOff>
    </xdr:to>
    <xdr:graphicFrame macro="">
      <xdr:nvGraphicFramePr>
        <xdr:cNvPr id="5" name="Chart 4">
          <a:extLst>
            <a:ext uri="{FF2B5EF4-FFF2-40B4-BE49-F238E27FC236}">
              <a16:creationId xmlns:a16="http://schemas.microsoft.com/office/drawing/2014/main" id="{08E0DA2B-07A7-784A-A19F-3273B90A1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42</xdr:col>
      <xdr:colOff>304800</xdr:colOff>
      <xdr:row>31</xdr:row>
      <xdr:rowOff>19659</xdr:rowOff>
    </xdr:from>
    <xdr:to>
      <xdr:col>53</xdr:col>
      <xdr:colOff>16164</xdr:colOff>
      <xdr:row>52</xdr:row>
      <xdr:rowOff>2308</xdr:rowOff>
    </xdr:to>
    <xdr:graphicFrame macro="">
      <xdr:nvGraphicFramePr>
        <xdr:cNvPr id="2" name="Chart 1">
          <a:extLst>
            <a:ext uri="{FF2B5EF4-FFF2-40B4-BE49-F238E27FC236}">
              <a16:creationId xmlns:a16="http://schemas.microsoft.com/office/drawing/2014/main" id="{38922D7E-2AFF-2095-B16A-62EC32E4EF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136525</xdr:colOff>
      <xdr:row>61</xdr:row>
      <xdr:rowOff>11641</xdr:rowOff>
    </xdr:from>
    <xdr:to>
      <xdr:col>28</xdr:col>
      <xdr:colOff>618067</xdr:colOff>
      <xdr:row>75</xdr:row>
      <xdr:rowOff>151341</xdr:rowOff>
    </xdr:to>
    <xdr:graphicFrame macro="">
      <xdr:nvGraphicFramePr>
        <xdr:cNvPr id="6" name="Chart 5">
          <a:extLst>
            <a:ext uri="{FF2B5EF4-FFF2-40B4-BE49-F238E27FC236}">
              <a16:creationId xmlns:a16="http://schemas.microsoft.com/office/drawing/2014/main" id="{A6024314-7A2A-488B-3C67-8C8CB19FA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41</xdr:col>
      <xdr:colOff>465668</xdr:colOff>
      <xdr:row>62</xdr:row>
      <xdr:rowOff>152400</xdr:rowOff>
    </xdr:from>
    <xdr:to>
      <xdr:col>48</xdr:col>
      <xdr:colOff>533401</xdr:colOff>
      <xdr:row>77</xdr:row>
      <xdr:rowOff>101600</xdr:rowOff>
    </xdr:to>
    <xdr:graphicFrame macro="">
      <xdr:nvGraphicFramePr>
        <xdr:cNvPr id="9" name="Chart 8">
          <a:extLst>
            <a:ext uri="{FF2B5EF4-FFF2-40B4-BE49-F238E27FC236}">
              <a16:creationId xmlns:a16="http://schemas.microsoft.com/office/drawing/2014/main" id="{3EA610A3-1472-9163-23E9-1BD7AF4A22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279399</xdr:colOff>
      <xdr:row>64</xdr:row>
      <xdr:rowOff>152399</xdr:rowOff>
    </xdr:from>
    <xdr:to>
      <xdr:col>39</xdr:col>
      <xdr:colOff>618066</xdr:colOff>
      <xdr:row>79</xdr:row>
      <xdr:rowOff>101599</xdr:rowOff>
    </xdr:to>
    <xdr:graphicFrame macro="">
      <xdr:nvGraphicFramePr>
        <xdr:cNvPr id="10" name="Chart 9">
          <a:extLst>
            <a:ext uri="{FF2B5EF4-FFF2-40B4-BE49-F238E27FC236}">
              <a16:creationId xmlns:a16="http://schemas.microsoft.com/office/drawing/2014/main" id="{A75B2430-C7F4-7626-EAC5-EF3EEC27CC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38</xdr:col>
      <xdr:colOff>601133</xdr:colOff>
      <xdr:row>99</xdr:row>
      <xdr:rowOff>50800</xdr:rowOff>
    </xdr:from>
    <xdr:to>
      <xdr:col>45</xdr:col>
      <xdr:colOff>59267</xdr:colOff>
      <xdr:row>114</xdr:row>
      <xdr:rowOff>0</xdr:rowOff>
    </xdr:to>
    <xdr:graphicFrame macro="">
      <xdr:nvGraphicFramePr>
        <xdr:cNvPr id="7" name="Chart 6">
          <a:extLst>
            <a:ext uri="{FF2B5EF4-FFF2-40B4-BE49-F238E27FC236}">
              <a16:creationId xmlns:a16="http://schemas.microsoft.com/office/drawing/2014/main" id="{D6B95ABC-625D-41FF-948D-96B5201FB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26</xdr:col>
      <xdr:colOff>47625</xdr:colOff>
      <xdr:row>76</xdr:row>
      <xdr:rowOff>127000</xdr:rowOff>
    </xdr:from>
    <xdr:to>
      <xdr:col>29</xdr:col>
      <xdr:colOff>558800</xdr:colOff>
      <xdr:row>79</xdr:row>
      <xdr:rowOff>88900</xdr:rowOff>
    </xdr:to>
    <xdr:pic>
      <xdr:nvPicPr>
        <xdr:cNvPr id="11" name="Picture 10">
          <a:extLst>
            <a:ext uri="{FF2B5EF4-FFF2-40B4-BE49-F238E27FC236}">
              <a16:creationId xmlns:a16="http://schemas.microsoft.com/office/drawing/2014/main" id="{F5CF8A03-6C42-2846-994F-4E251ED6020C}"/>
            </a:ext>
          </a:extLst>
        </xdr:cNvPr>
        <xdr:cNvPicPr>
          <a:picLocks noChangeAspect="1"/>
        </xdr:cNvPicPr>
      </xdr:nvPicPr>
      <xdr:blipFill>
        <a:blip xmlns:r="http://schemas.openxmlformats.org/officeDocument/2006/relationships" r:embed="rId11"/>
        <a:stretch>
          <a:fillRect/>
        </a:stretch>
      </xdr:blipFill>
      <xdr:spPr>
        <a:xfrm>
          <a:off x="18780125" y="14605000"/>
          <a:ext cx="2705100" cy="5334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132512</xdr:colOff>
      <xdr:row>17</xdr:row>
      <xdr:rowOff>22955</xdr:rowOff>
    </xdr:from>
    <xdr:to>
      <xdr:col>5</xdr:col>
      <xdr:colOff>450012</xdr:colOff>
      <xdr:row>19</xdr:row>
      <xdr:rowOff>16342</xdr:rowOff>
    </xdr:to>
    <xdr:pic>
      <xdr:nvPicPr>
        <xdr:cNvPr id="3" name="Picture 2">
          <a:extLst>
            <a:ext uri="{FF2B5EF4-FFF2-40B4-BE49-F238E27FC236}">
              <a16:creationId xmlns:a16="http://schemas.microsoft.com/office/drawing/2014/main" id="{FD5A6BA1-EB5B-3521-B2F9-12C65B355D74}"/>
            </a:ext>
          </a:extLst>
        </xdr:cNvPr>
        <xdr:cNvPicPr>
          <a:picLocks noChangeAspect="1"/>
        </xdr:cNvPicPr>
      </xdr:nvPicPr>
      <xdr:blipFill>
        <a:blip xmlns:r="http://schemas.openxmlformats.org/officeDocument/2006/relationships" r:embed="rId1"/>
        <a:stretch>
          <a:fillRect/>
        </a:stretch>
      </xdr:blipFill>
      <xdr:spPr>
        <a:xfrm>
          <a:off x="5775625" y="3281823"/>
          <a:ext cx="2366274" cy="376783"/>
        </a:xfrm>
        <a:prstGeom prst="rect">
          <a:avLst/>
        </a:prstGeom>
      </xdr:spPr>
    </xdr:pic>
    <xdr:clientData/>
  </xdr:twoCellAnchor>
  <xdr:twoCellAnchor editAs="oneCell">
    <xdr:from>
      <xdr:col>7</xdr:col>
      <xdr:colOff>234830</xdr:colOff>
      <xdr:row>16</xdr:row>
      <xdr:rowOff>127000</xdr:rowOff>
    </xdr:from>
    <xdr:to>
      <xdr:col>11</xdr:col>
      <xdr:colOff>290723</xdr:colOff>
      <xdr:row>19</xdr:row>
      <xdr:rowOff>1255</xdr:rowOff>
    </xdr:to>
    <xdr:pic>
      <xdr:nvPicPr>
        <xdr:cNvPr id="5" name="Picture 4">
          <a:extLst>
            <a:ext uri="{FF2B5EF4-FFF2-40B4-BE49-F238E27FC236}">
              <a16:creationId xmlns:a16="http://schemas.microsoft.com/office/drawing/2014/main" id="{C6E0A7D6-B61B-0D1C-4491-20AEAAC915CB}"/>
            </a:ext>
          </a:extLst>
        </xdr:cNvPr>
        <xdr:cNvPicPr>
          <a:picLocks noChangeAspect="1"/>
        </xdr:cNvPicPr>
      </xdr:nvPicPr>
      <xdr:blipFill>
        <a:blip xmlns:r="http://schemas.openxmlformats.org/officeDocument/2006/relationships" r:embed="rId2"/>
        <a:stretch>
          <a:fillRect/>
        </a:stretch>
      </xdr:blipFill>
      <xdr:spPr>
        <a:xfrm>
          <a:off x="9268604" y="3194170"/>
          <a:ext cx="2739666" cy="449349"/>
        </a:xfrm>
        <a:prstGeom prst="rect">
          <a:avLst/>
        </a:prstGeom>
      </xdr:spPr>
    </xdr:pic>
    <xdr:clientData/>
  </xdr:twoCellAnchor>
  <xdr:twoCellAnchor editAs="oneCell">
    <xdr:from>
      <xdr:col>4</xdr:col>
      <xdr:colOff>78357</xdr:colOff>
      <xdr:row>19</xdr:row>
      <xdr:rowOff>36232</xdr:rowOff>
    </xdr:from>
    <xdr:to>
      <xdr:col>5</xdr:col>
      <xdr:colOff>552331</xdr:colOff>
      <xdr:row>24</xdr:row>
      <xdr:rowOff>100295</xdr:rowOff>
    </xdr:to>
    <xdr:pic>
      <xdr:nvPicPr>
        <xdr:cNvPr id="7" name="Picture 6">
          <a:extLst>
            <a:ext uri="{FF2B5EF4-FFF2-40B4-BE49-F238E27FC236}">
              <a16:creationId xmlns:a16="http://schemas.microsoft.com/office/drawing/2014/main" id="{800DB1D6-94B6-DBA6-D922-0C6D64DC178B}"/>
            </a:ext>
          </a:extLst>
        </xdr:cNvPr>
        <xdr:cNvPicPr>
          <a:picLocks noChangeAspect="1"/>
        </xdr:cNvPicPr>
      </xdr:nvPicPr>
      <xdr:blipFill>
        <a:blip xmlns:r="http://schemas.openxmlformats.org/officeDocument/2006/relationships" r:embed="rId3"/>
        <a:stretch>
          <a:fillRect/>
        </a:stretch>
      </xdr:blipFill>
      <xdr:spPr>
        <a:xfrm>
          <a:off x="5721470" y="3678496"/>
          <a:ext cx="2522748" cy="1022554"/>
        </a:xfrm>
        <a:prstGeom prst="rect">
          <a:avLst/>
        </a:prstGeom>
      </xdr:spPr>
    </xdr:pic>
    <xdr:clientData/>
  </xdr:twoCellAnchor>
  <xdr:twoCellAnchor editAs="oneCell">
    <xdr:from>
      <xdr:col>4</xdr:col>
      <xdr:colOff>114300</xdr:colOff>
      <xdr:row>24</xdr:row>
      <xdr:rowOff>88900</xdr:rowOff>
    </xdr:from>
    <xdr:to>
      <xdr:col>5</xdr:col>
      <xdr:colOff>0</xdr:colOff>
      <xdr:row>26</xdr:row>
      <xdr:rowOff>105679</xdr:rowOff>
    </xdr:to>
    <xdr:pic>
      <xdr:nvPicPr>
        <xdr:cNvPr id="8" name="Picture 7">
          <a:extLst>
            <a:ext uri="{FF2B5EF4-FFF2-40B4-BE49-F238E27FC236}">
              <a16:creationId xmlns:a16="http://schemas.microsoft.com/office/drawing/2014/main" id="{298111E8-9255-9033-108F-CA2B171FF72F}"/>
            </a:ext>
          </a:extLst>
        </xdr:cNvPr>
        <xdr:cNvPicPr>
          <a:picLocks noChangeAspect="1"/>
        </xdr:cNvPicPr>
      </xdr:nvPicPr>
      <xdr:blipFill>
        <a:blip xmlns:r="http://schemas.openxmlformats.org/officeDocument/2006/relationships" r:embed="rId4"/>
        <a:stretch>
          <a:fillRect/>
        </a:stretch>
      </xdr:blipFill>
      <xdr:spPr>
        <a:xfrm>
          <a:off x="4635500" y="4279900"/>
          <a:ext cx="1930400" cy="397779"/>
        </a:xfrm>
        <a:prstGeom prst="rect">
          <a:avLst/>
        </a:prstGeom>
      </xdr:spPr>
    </xdr:pic>
    <xdr:clientData/>
  </xdr:twoCellAnchor>
  <xdr:twoCellAnchor editAs="oneCell">
    <xdr:from>
      <xdr:col>3</xdr:col>
      <xdr:colOff>736600</xdr:colOff>
      <xdr:row>27</xdr:row>
      <xdr:rowOff>0</xdr:rowOff>
    </xdr:from>
    <xdr:to>
      <xdr:col>5</xdr:col>
      <xdr:colOff>546101</xdr:colOff>
      <xdr:row>28</xdr:row>
      <xdr:rowOff>114300</xdr:rowOff>
    </xdr:to>
    <xdr:pic>
      <xdr:nvPicPr>
        <xdr:cNvPr id="10" name="Picture 9">
          <a:extLst>
            <a:ext uri="{FF2B5EF4-FFF2-40B4-BE49-F238E27FC236}">
              <a16:creationId xmlns:a16="http://schemas.microsoft.com/office/drawing/2014/main" id="{36F6A9CA-056A-60E3-57B0-4A9BE830D57E}"/>
            </a:ext>
          </a:extLst>
        </xdr:cNvPr>
        <xdr:cNvPicPr>
          <a:picLocks noChangeAspect="1"/>
        </xdr:cNvPicPr>
      </xdr:nvPicPr>
      <xdr:blipFill>
        <a:blip xmlns:r="http://schemas.openxmlformats.org/officeDocument/2006/relationships" r:embed="rId5"/>
        <a:stretch>
          <a:fillRect/>
        </a:stretch>
      </xdr:blipFill>
      <xdr:spPr>
        <a:xfrm>
          <a:off x="4483100" y="4762500"/>
          <a:ext cx="2628900" cy="304800"/>
        </a:xfrm>
        <a:prstGeom prst="rect">
          <a:avLst/>
        </a:prstGeom>
      </xdr:spPr>
    </xdr:pic>
    <xdr:clientData/>
  </xdr:twoCellAnchor>
  <xdr:twoCellAnchor editAs="oneCell">
    <xdr:from>
      <xdr:col>4</xdr:col>
      <xdr:colOff>50800</xdr:colOff>
      <xdr:row>29</xdr:row>
      <xdr:rowOff>25400</xdr:rowOff>
    </xdr:from>
    <xdr:to>
      <xdr:col>5</xdr:col>
      <xdr:colOff>76200</xdr:colOff>
      <xdr:row>31</xdr:row>
      <xdr:rowOff>12700</xdr:rowOff>
    </xdr:to>
    <xdr:pic>
      <xdr:nvPicPr>
        <xdr:cNvPr id="11" name="Picture 10">
          <a:extLst>
            <a:ext uri="{FF2B5EF4-FFF2-40B4-BE49-F238E27FC236}">
              <a16:creationId xmlns:a16="http://schemas.microsoft.com/office/drawing/2014/main" id="{7383F4B6-BBA8-FFF9-5648-6B1F5E360546}"/>
            </a:ext>
          </a:extLst>
        </xdr:cNvPr>
        <xdr:cNvPicPr>
          <a:picLocks noChangeAspect="1"/>
        </xdr:cNvPicPr>
      </xdr:nvPicPr>
      <xdr:blipFill>
        <a:blip xmlns:r="http://schemas.openxmlformats.org/officeDocument/2006/relationships" r:embed="rId6"/>
        <a:stretch>
          <a:fillRect/>
        </a:stretch>
      </xdr:blipFill>
      <xdr:spPr>
        <a:xfrm>
          <a:off x="4572000" y="5168900"/>
          <a:ext cx="2070100" cy="368300"/>
        </a:xfrm>
        <a:prstGeom prst="rect">
          <a:avLst/>
        </a:prstGeom>
      </xdr:spPr>
    </xdr:pic>
    <xdr:clientData/>
  </xdr:twoCellAnchor>
  <xdr:twoCellAnchor editAs="oneCell">
    <xdr:from>
      <xdr:col>4</xdr:col>
      <xdr:colOff>25400</xdr:colOff>
      <xdr:row>32</xdr:row>
      <xdr:rowOff>12700</xdr:rowOff>
    </xdr:from>
    <xdr:to>
      <xdr:col>5</xdr:col>
      <xdr:colOff>119031</xdr:colOff>
      <xdr:row>34</xdr:row>
      <xdr:rowOff>25400</xdr:rowOff>
    </xdr:to>
    <xdr:pic>
      <xdr:nvPicPr>
        <xdr:cNvPr id="12" name="Picture 11">
          <a:extLst>
            <a:ext uri="{FF2B5EF4-FFF2-40B4-BE49-F238E27FC236}">
              <a16:creationId xmlns:a16="http://schemas.microsoft.com/office/drawing/2014/main" id="{770CA9E1-8938-F069-968A-988A24336A33}"/>
            </a:ext>
          </a:extLst>
        </xdr:cNvPr>
        <xdr:cNvPicPr>
          <a:picLocks noChangeAspect="1"/>
        </xdr:cNvPicPr>
      </xdr:nvPicPr>
      <xdr:blipFill>
        <a:blip xmlns:r="http://schemas.openxmlformats.org/officeDocument/2006/relationships" r:embed="rId7"/>
        <a:stretch>
          <a:fillRect/>
        </a:stretch>
      </xdr:blipFill>
      <xdr:spPr>
        <a:xfrm>
          <a:off x="4546600" y="5918200"/>
          <a:ext cx="2138331" cy="393700"/>
        </a:xfrm>
        <a:prstGeom prst="rect">
          <a:avLst/>
        </a:prstGeom>
      </xdr:spPr>
    </xdr:pic>
    <xdr:clientData/>
  </xdr:twoCellAnchor>
  <xdr:twoCellAnchor editAs="oneCell">
    <xdr:from>
      <xdr:col>5</xdr:col>
      <xdr:colOff>635000</xdr:colOff>
      <xdr:row>5</xdr:row>
      <xdr:rowOff>4984</xdr:rowOff>
    </xdr:from>
    <xdr:to>
      <xdr:col>10</xdr:col>
      <xdr:colOff>561974</xdr:colOff>
      <xdr:row>16</xdr:row>
      <xdr:rowOff>114300</xdr:rowOff>
    </xdr:to>
    <xdr:pic>
      <xdr:nvPicPr>
        <xdr:cNvPr id="13" name="Picture 12">
          <a:extLst>
            <a:ext uri="{FF2B5EF4-FFF2-40B4-BE49-F238E27FC236}">
              <a16:creationId xmlns:a16="http://schemas.microsoft.com/office/drawing/2014/main" id="{E5F96391-F8AD-8EB5-537F-060E740361BE}"/>
            </a:ext>
          </a:extLst>
        </xdr:cNvPr>
        <xdr:cNvPicPr>
          <a:picLocks noChangeAspect="1"/>
        </xdr:cNvPicPr>
      </xdr:nvPicPr>
      <xdr:blipFill>
        <a:blip xmlns:r="http://schemas.openxmlformats.org/officeDocument/2006/relationships" r:embed="rId8"/>
        <a:stretch>
          <a:fillRect/>
        </a:stretch>
      </xdr:blipFill>
      <xdr:spPr>
        <a:xfrm>
          <a:off x="7200900" y="957484"/>
          <a:ext cx="3302000" cy="2204816"/>
        </a:xfrm>
        <a:prstGeom prst="rect">
          <a:avLst/>
        </a:prstGeom>
      </xdr:spPr>
    </xdr:pic>
    <xdr:clientData/>
  </xdr:twoCellAnchor>
  <xdr:twoCellAnchor editAs="oneCell">
    <xdr:from>
      <xdr:col>4</xdr:col>
      <xdr:colOff>12700</xdr:colOff>
      <xdr:row>35</xdr:row>
      <xdr:rowOff>26847</xdr:rowOff>
    </xdr:from>
    <xdr:to>
      <xdr:col>5</xdr:col>
      <xdr:colOff>262969</xdr:colOff>
      <xdr:row>37</xdr:row>
      <xdr:rowOff>139701</xdr:rowOff>
    </xdr:to>
    <xdr:pic>
      <xdr:nvPicPr>
        <xdr:cNvPr id="14" name="Picture 13">
          <a:extLst>
            <a:ext uri="{FF2B5EF4-FFF2-40B4-BE49-F238E27FC236}">
              <a16:creationId xmlns:a16="http://schemas.microsoft.com/office/drawing/2014/main" id="{E3E54CEB-A6DC-7B37-730B-C10EE7F7B8A9}"/>
            </a:ext>
          </a:extLst>
        </xdr:cNvPr>
        <xdr:cNvPicPr>
          <a:picLocks noChangeAspect="1"/>
        </xdr:cNvPicPr>
      </xdr:nvPicPr>
      <xdr:blipFill>
        <a:blip xmlns:r="http://schemas.openxmlformats.org/officeDocument/2006/relationships" r:embed="rId9"/>
        <a:stretch>
          <a:fillRect/>
        </a:stretch>
      </xdr:blipFill>
      <xdr:spPr>
        <a:xfrm>
          <a:off x="4533900" y="6503847"/>
          <a:ext cx="2294969" cy="493854"/>
        </a:xfrm>
        <a:prstGeom prst="rect">
          <a:avLst/>
        </a:prstGeom>
      </xdr:spPr>
    </xdr:pic>
    <xdr:clientData/>
  </xdr:twoCellAnchor>
  <xdr:twoCellAnchor editAs="oneCell">
    <xdr:from>
      <xdr:col>3</xdr:col>
      <xdr:colOff>762000</xdr:colOff>
      <xdr:row>38</xdr:row>
      <xdr:rowOff>114300</xdr:rowOff>
    </xdr:from>
    <xdr:to>
      <xdr:col>5</xdr:col>
      <xdr:colOff>540457</xdr:colOff>
      <xdr:row>40</xdr:row>
      <xdr:rowOff>177800</xdr:rowOff>
    </xdr:to>
    <xdr:pic>
      <xdr:nvPicPr>
        <xdr:cNvPr id="15" name="Picture 14">
          <a:extLst>
            <a:ext uri="{FF2B5EF4-FFF2-40B4-BE49-F238E27FC236}">
              <a16:creationId xmlns:a16="http://schemas.microsoft.com/office/drawing/2014/main" id="{5C7C59DD-D01F-B340-B1D8-22E2BF0E235C}"/>
            </a:ext>
          </a:extLst>
        </xdr:cNvPr>
        <xdr:cNvPicPr>
          <a:picLocks noChangeAspect="1"/>
        </xdr:cNvPicPr>
      </xdr:nvPicPr>
      <xdr:blipFill>
        <a:blip xmlns:r="http://schemas.openxmlformats.org/officeDocument/2006/relationships" r:embed="rId10"/>
        <a:stretch>
          <a:fillRect/>
        </a:stretch>
      </xdr:blipFill>
      <xdr:spPr>
        <a:xfrm>
          <a:off x="4508500" y="7353300"/>
          <a:ext cx="2597856" cy="444500"/>
        </a:xfrm>
        <a:prstGeom prst="rect">
          <a:avLst/>
        </a:prstGeom>
      </xdr:spPr>
    </xdr:pic>
    <xdr:clientData/>
  </xdr:twoCellAnchor>
  <xdr:twoCellAnchor editAs="oneCell">
    <xdr:from>
      <xdr:col>7</xdr:col>
      <xdr:colOff>660400</xdr:colOff>
      <xdr:row>28</xdr:row>
      <xdr:rowOff>101600</xdr:rowOff>
    </xdr:from>
    <xdr:to>
      <xdr:col>12</xdr:col>
      <xdr:colOff>533400</xdr:colOff>
      <xdr:row>37</xdr:row>
      <xdr:rowOff>38100</xdr:rowOff>
    </xdr:to>
    <xdr:pic>
      <xdr:nvPicPr>
        <xdr:cNvPr id="16" name="Picture 15">
          <a:extLst>
            <a:ext uri="{FF2B5EF4-FFF2-40B4-BE49-F238E27FC236}">
              <a16:creationId xmlns:a16="http://schemas.microsoft.com/office/drawing/2014/main" id="{12D2B553-6482-57BA-901A-8713CE3AD60E}"/>
            </a:ext>
          </a:extLst>
        </xdr:cNvPr>
        <xdr:cNvPicPr>
          <a:picLocks noChangeAspect="1"/>
        </xdr:cNvPicPr>
      </xdr:nvPicPr>
      <xdr:blipFill>
        <a:blip xmlns:r="http://schemas.openxmlformats.org/officeDocument/2006/relationships" r:embed="rId11"/>
        <a:stretch>
          <a:fillRect/>
        </a:stretch>
      </xdr:blipFill>
      <xdr:spPr>
        <a:xfrm>
          <a:off x="8572500" y="5435600"/>
          <a:ext cx="3238500" cy="1651000"/>
        </a:xfrm>
        <a:prstGeom prst="rect">
          <a:avLst/>
        </a:prstGeom>
      </xdr:spPr>
    </xdr:pic>
    <xdr:clientData/>
  </xdr:twoCellAnchor>
  <xdr:twoCellAnchor editAs="oneCell">
    <xdr:from>
      <xdr:col>4</xdr:col>
      <xdr:colOff>155755</xdr:colOff>
      <xdr:row>44</xdr:row>
      <xdr:rowOff>95849</xdr:rowOff>
    </xdr:from>
    <xdr:to>
      <xdr:col>4</xdr:col>
      <xdr:colOff>1759130</xdr:colOff>
      <xdr:row>46</xdr:row>
      <xdr:rowOff>156953</xdr:rowOff>
    </xdr:to>
    <xdr:pic>
      <xdr:nvPicPr>
        <xdr:cNvPr id="17" name="Picture 16">
          <a:extLst>
            <a:ext uri="{FF2B5EF4-FFF2-40B4-BE49-F238E27FC236}">
              <a16:creationId xmlns:a16="http://schemas.microsoft.com/office/drawing/2014/main" id="{535DF149-D6F7-2410-23DF-B0CCDF6528F8}"/>
            </a:ext>
          </a:extLst>
        </xdr:cNvPr>
        <xdr:cNvPicPr>
          <a:picLocks noChangeAspect="1"/>
        </xdr:cNvPicPr>
      </xdr:nvPicPr>
      <xdr:blipFill>
        <a:blip xmlns:r="http://schemas.openxmlformats.org/officeDocument/2006/relationships" r:embed="rId12"/>
        <a:stretch>
          <a:fillRect/>
        </a:stretch>
      </xdr:blipFill>
      <xdr:spPr>
        <a:xfrm>
          <a:off x="5798868" y="8530566"/>
          <a:ext cx="1803400" cy="444500"/>
        </a:xfrm>
        <a:prstGeom prst="rect">
          <a:avLst/>
        </a:prstGeom>
      </xdr:spPr>
    </xdr:pic>
    <xdr:clientData/>
  </xdr:twoCellAnchor>
  <xdr:twoCellAnchor editAs="oneCell">
    <xdr:from>
      <xdr:col>4</xdr:col>
      <xdr:colOff>0</xdr:colOff>
      <xdr:row>43</xdr:row>
      <xdr:rowOff>0</xdr:rowOff>
    </xdr:from>
    <xdr:to>
      <xdr:col>5</xdr:col>
      <xdr:colOff>110226</xdr:colOff>
      <xdr:row>44</xdr:row>
      <xdr:rowOff>62302</xdr:rowOff>
    </xdr:to>
    <xdr:pic>
      <xdr:nvPicPr>
        <xdr:cNvPr id="18" name="Picture 17">
          <a:extLst>
            <a:ext uri="{FF2B5EF4-FFF2-40B4-BE49-F238E27FC236}">
              <a16:creationId xmlns:a16="http://schemas.microsoft.com/office/drawing/2014/main" id="{3E1FB577-82D8-38F2-78DD-60915AC8DDB2}"/>
            </a:ext>
          </a:extLst>
        </xdr:cNvPr>
        <xdr:cNvPicPr>
          <a:picLocks noChangeAspect="1"/>
        </xdr:cNvPicPr>
      </xdr:nvPicPr>
      <xdr:blipFill>
        <a:blip xmlns:r="http://schemas.openxmlformats.org/officeDocument/2006/relationships" r:embed="rId13"/>
        <a:stretch>
          <a:fillRect/>
        </a:stretch>
      </xdr:blipFill>
      <xdr:spPr>
        <a:xfrm>
          <a:off x="5643113" y="8243019"/>
          <a:ext cx="2159000" cy="254000"/>
        </a:xfrm>
        <a:prstGeom prst="rect">
          <a:avLst/>
        </a:prstGeom>
      </xdr:spPr>
    </xdr:pic>
    <xdr:clientData/>
  </xdr:twoCellAnchor>
  <xdr:twoCellAnchor editAs="oneCell">
    <xdr:from>
      <xdr:col>6</xdr:col>
      <xdr:colOff>51578</xdr:colOff>
      <xdr:row>44</xdr:row>
      <xdr:rowOff>54993</xdr:rowOff>
    </xdr:from>
    <xdr:to>
      <xdr:col>10</xdr:col>
      <xdr:colOff>227</xdr:colOff>
      <xdr:row>48</xdr:row>
      <xdr:rowOff>176913</xdr:rowOff>
    </xdr:to>
    <xdr:pic>
      <xdr:nvPicPr>
        <xdr:cNvPr id="4" name="Picture 18">
          <a:extLst>
            <a:ext uri="{FF2B5EF4-FFF2-40B4-BE49-F238E27FC236}">
              <a16:creationId xmlns:a16="http://schemas.microsoft.com/office/drawing/2014/main" id="{78186BE2-8358-2D2F-54DA-C094120684B1}"/>
            </a:ext>
            <a:ext uri="{147F2762-F138-4A5C-976F-8EAC2B608ADB}">
              <a16:predDERef xmlns:a16="http://schemas.microsoft.com/office/drawing/2014/main" pred="{3E1FB577-82D8-38F2-78DD-60915AC8DDB2}"/>
            </a:ext>
          </a:extLst>
        </xdr:cNvPr>
        <xdr:cNvPicPr>
          <a:picLocks noChangeAspect="1"/>
        </xdr:cNvPicPr>
      </xdr:nvPicPr>
      <xdr:blipFill>
        <a:blip xmlns:r="http://schemas.openxmlformats.org/officeDocument/2006/relationships" r:embed="rId14"/>
        <a:stretch>
          <a:fillRect/>
        </a:stretch>
      </xdr:blipFill>
      <xdr:spPr>
        <a:xfrm>
          <a:off x="7357253" y="8017893"/>
          <a:ext cx="2558499" cy="1106170"/>
        </a:xfrm>
        <a:prstGeom prst="rect">
          <a:avLst/>
        </a:prstGeom>
      </xdr:spPr>
    </xdr:pic>
    <xdr:clientData/>
  </xdr:twoCellAnchor>
  <xdr:twoCellAnchor editAs="oneCell">
    <xdr:from>
      <xdr:col>3</xdr:col>
      <xdr:colOff>766190</xdr:colOff>
      <xdr:row>53</xdr:row>
      <xdr:rowOff>47924</xdr:rowOff>
    </xdr:from>
    <xdr:to>
      <xdr:col>6</xdr:col>
      <xdr:colOff>445938</xdr:colOff>
      <xdr:row>61</xdr:row>
      <xdr:rowOff>61732</xdr:rowOff>
    </xdr:to>
    <xdr:pic>
      <xdr:nvPicPr>
        <xdr:cNvPr id="6" name="Picture 5">
          <a:extLst>
            <a:ext uri="{FF2B5EF4-FFF2-40B4-BE49-F238E27FC236}">
              <a16:creationId xmlns:a16="http://schemas.microsoft.com/office/drawing/2014/main" id="{8D1D38BE-DAD4-A491-9C5F-747F7324DBEC}"/>
            </a:ext>
          </a:extLst>
        </xdr:cNvPr>
        <xdr:cNvPicPr>
          <a:picLocks noChangeAspect="1"/>
        </xdr:cNvPicPr>
      </xdr:nvPicPr>
      <xdr:blipFill>
        <a:blip xmlns:r="http://schemas.openxmlformats.org/officeDocument/2006/relationships" r:embed="rId15"/>
        <a:stretch>
          <a:fillRect/>
        </a:stretch>
      </xdr:blipFill>
      <xdr:spPr>
        <a:xfrm>
          <a:off x="5630530" y="10207924"/>
          <a:ext cx="3178238" cy="1550360"/>
        </a:xfrm>
        <a:prstGeom prst="rect">
          <a:avLst/>
        </a:prstGeom>
      </xdr:spPr>
    </xdr:pic>
    <xdr:clientData/>
  </xdr:twoCellAnchor>
  <xdr:twoCellAnchor editAs="oneCell">
    <xdr:from>
      <xdr:col>4</xdr:col>
      <xdr:colOff>123628</xdr:colOff>
      <xdr:row>40</xdr:row>
      <xdr:rowOff>146106</xdr:rowOff>
    </xdr:from>
    <xdr:to>
      <xdr:col>4</xdr:col>
      <xdr:colOff>1573450</xdr:colOff>
      <xdr:row>42</xdr:row>
      <xdr:rowOff>114992</xdr:rowOff>
    </xdr:to>
    <xdr:pic>
      <xdr:nvPicPr>
        <xdr:cNvPr id="2" name="Picture 1">
          <a:extLst>
            <a:ext uri="{FF2B5EF4-FFF2-40B4-BE49-F238E27FC236}">
              <a16:creationId xmlns:a16="http://schemas.microsoft.com/office/drawing/2014/main" id="{8E7D4647-BF00-75C0-6B87-0CC820DF7C3C}"/>
            </a:ext>
          </a:extLst>
        </xdr:cNvPr>
        <xdr:cNvPicPr>
          <a:picLocks noChangeAspect="1"/>
        </xdr:cNvPicPr>
      </xdr:nvPicPr>
      <xdr:blipFill>
        <a:blip xmlns:r="http://schemas.openxmlformats.org/officeDocument/2006/relationships" r:embed="rId16"/>
        <a:stretch>
          <a:fillRect/>
        </a:stretch>
      </xdr:blipFill>
      <xdr:spPr>
        <a:xfrm>
          <a:off x="5833009" y="7788584"/>
          <a:ext cx="1449822" cy="35101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6</xdr:col>
      <xdr:colOff>152400</xdr:colOff>
      <xdr:row>25</xdr:row>
      <xdr:rowOff>171450</xdr:rowOff>
    </xdr:to>
    <xdr:pic>
      <xdr:nvPicPr>
        <xdr:cNvPr id="3" name="Picture 1">
          <a:extLst>
            <a:ext uri="{FF2B5EF4-FFF2-40B4-BE49-F238E27FC236}">
              <a16:creationId xmlns:a16="http://schemas.microsoft.com/office/drawing/2014/main" id="{6F02C857-453A-107D-CE13-5C149EFF52DE}"/>
            </a:ext>
          </a:extLst>
        </xdr:cNvPr>
        <xdr:cNvPicPr>
          <a:picLocks noChangeAspect="1"/>
        </xdr:cNvPicPr>
      </xdr:nvPicPr>
      <xdr:blipFill>
        <a:blip xmlns:r="http://schemas.openxmlformats.org/officeDocument/2006/relationships" r:embed="rId1"/>
        <a:stretch>
          <a:fillRect/>
        </a:stretch>
      </xdr:blipFill>
      <xdr:spPr>
        <a:xfrm>
          <a:off x="3086100" y="1905000"/>
          <a:ext cx="1663700" cy="381000"/>
        </a:xfrm>
        <a:prstGeom prst="rect">
          <a:avLst/>
        </a:prstGeom>
      </xdr:spPr>
    </xdr:pic>
    <xdr:clientData/>
  </xdr:twoCellAnchor>
  <xdr:twoCellAnchor editAs="oneCell">
    <xdr:from>
      <xdr:col>4</xdr:col>
      <xdr:colOff>368300</xdr:colOff>
      <xdr:row>26</xdr:row>
      <xdr:rowOff>88900</xdr:rowOff>
    </xdr:from>
    <xdr:to>
      <xdr:col>8</xdr:col>
      <xdr:colOff>482600</xdr:colOff>
      <xdr:row>29</xdr:row>
      <xdr:rowOff>50800</xdr:rowOff>
    </xdr:to>
    <xdr:pic>
      <xdr:nvPicPr>
        <xdr:cNvPr id="4" name="Picture 3">
          <a:extLst>
            <a:ext uri="{FF2B5EF4-FFF2-40B4-BE49-F238E27FC236}">
              <a16:creationId xmlns:a16="http://schemas.microsoft.com/office/drawing/2014/main" id="{0DA62042-C3E1-85A9-0E5F-8FDF29B5D32B}"/>
            </a:ext>
          </a:extLst>
        </xdr:cNvPr>
        <xdr:cNvPicPr>
          <a:picLocks noChangeAspect="1"/>
        </xdr:cNvPicPr>
      </xdr:nvPicPr>
      <xdr:blipFill>
        <a:blip xmlns:r="http://schemas.openxmlformats.org/officeDocument/2006/relationships" r:embed="rId2"/>
        <a:stretch>
          <a:fillRect/>
        </a:stretch>
      </xdr:blipFill>
      <xdr:spPr>
        <a:xfrm>
          <a:off x="3594100" y="5041900"/>
          <a:ext cx="2806700" cy="533400"/>
        </a:xfrm>
        <a:prstGeom prst="rect">
          <a:avLst/>
        </a:prstGeom>
      </xdr:spPr>
    </xdr:pic>
    <xdr:clientData/>
  </xdr:twoCellAnchor>
  <xdr:twoCellAnchor>
    <xdr:from>
      <xdr:col>4</xdr:col>
      <xdr:colOff>444501</xdr:colOff>
      <xdr:row>41</xdr:row>
      <xdr:rowOff>33866</xdr:rowOff>
    </xdr:from>
    <xdr:to>
      <xdr:col>11</xdr:col>
      <xdr:colOff>275168</xdr:colOff>
      <xdr:row>55</xdr:row>
      <xdr:rowOff>156632</xdr:rowOff>
    </xdr:to>
    <xdr:graphicFrame macro="">
      <xdr:nvGraphicFramePr>
        <xdr:cNvPr id="2" name="Chart 1">
          <a:extLst>
            <a:ext uri="{FF2B5EF4-FFF2-40B4-BE49-F238E27FC236}">
              <a16:creationId xmlns:a16="http://schemas.microsoft.com/office/drawing/2014/main" id="{3BDF3186-2FD5-76DA-5D21-2BE26BC86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5</xdr:col>
      <xdr:colOff>650875</xdr:colOff>
      <xdr:row>11</xdr:row>
      <xdr:rowOff>111125</xdr:rowOff>
    </xdr:from>
    <xdr:to>
      <xdr:col>8</xdr:col>
      <xdr:colOff>203836</xdr:colOff>
      <xdr:row>13</xdr:row>
      <xdr:rowOff>104775</xdr:rowOff>
    </xdr:to>
    <xdr:pic>
      <xdr:nvPicPr>
        <xdr:cNvPr id="8" name="Picture 1">
          <a:extLst>
            <a:ext uri="{FF2B5EF4-FFF2-40B4-BE49-F238E27FC236}">
              <a16:creationId xmlns:a16="http://schemas.microsoft.com/office/drawing/2014/main" id="{B33D75D4-3020-CB45-8945-580D1E6DB7E0}"/>
            </a:ext>
          </a:extLst>
        </xdr:cNvPr>
        <xdr:cNvPicPr>
          <a:picLocks noChangeAspect="1"/>
        </xdr:cNvPicPr>
      </xdr:nvPicPr>
      <xdr:blipFill>
        <a:blip xmlns:r="http://schemas.openxmlformats.org/officeDocument/2006/relationships" r:embed="rId1"/>
        <a:stretch>
          <a:fillRect/>
        </a:stretch>
      </xdr:blipFill>
      <xdr:spPr>
        <a:xfrm>
          <a:off x="6416675" y="2206625"/>
          <a:ext cx="1572260" cy="374650"/>
        </a:xfrm>
        <a:prstGeom prst="rect">
          <a:avLst/>
        </a:prstGeom>
      </xdr:spPr>
    </xdr:pic>
    <xdr:clientData/>
  </xdr:twoCellAnchor>
  <xdr:twoCellAnchor editAs="oneCell">
    <xdr:from>
      <xdr:col>6</xdr:col>
      <xdr:colOff>88900</xdr:colOff>
      <xdr:row>14</xdr:row>
      <xdr:rowOff>178557</xdr:rowOff>
    </xdr:from>
    <xdr:to>
      <xdr:col>7</xdr:col>
      <xdr:colOff>561340</xdr:colOff>
      <xdr:row>17</xdr:row>
      <xdr:rowOff>150617</xdr:rowOff>
    </xdr:to>
    <xdr:pic>
      <xdr:nvPicPr>
        <xdr:cNvPr id="3" name="Picture 2">
          <a:extLst>
            <a:ext uri="{FF2B5EF4-FFF2-40B4-BE49-F238E27FC236}">
              <a16:creationId xmlns:a16="http://schemas.microsoft.com/office/drawing/2014/main" id="{ECA6E6F0-2F2D-C6E4-7194-0EA5667FBB9C}"/>
            </a:ext>
          </a:extLst>
        </xdr:cNvPr>
        <xdr:cNvPicPr>
          <a:picLocks noChangeAspect="1"/>
        </xdr:cNvPicPr>
      </xdr:nvPicPr>
      <xdr:blipFill>
        <a:blip xmlns:r="http://schemas.openxmlformats.org/officeDocument/2006/relationships" r:embed="rId2"/>
        <a:stretch>
          <a:fillRect/>
        </a:stretch>
      </xdr:blipFill>
      <xdr:spPr>
        <a:xfrm>
          <a:off x="6527800" y="2845557"/>
          <a:ext cx="1183640" cy="543560"/>
        </a:xfrm>
        <a:prstGeom prst="rect">
          <a:avLst/>
        </a:prstGeom>
      </xdr:spPr>
    </xdr:pic>
    <xdr:clientData/>
  </xdr:twoCellAnchor>
  <xdr:twoCellAnchor editAs="oneCell">
    <xdr:from>
      <xdr:col>4</xdr:col>
      <xdr:colOff>63500</xdr:colOff>
      <xdr:row>17</xdr:row>
      <xdr:rowOff>161348</xdr:rowOff>
    </xdr:from>
    <xdr:to>
      <xdr:col>8</xdr:col>
      <xdr:colOff>956161</xdr:colOff>
      <xdr:row>21</xdr:row>
      <xdr:rowOff>50800</xdr:rowOff>
    </xdr:to>
    <xdr:pic>
      <xdr:nvPicPr>
        <xdr:cNvPr id="4" name="Picture 3">
          <a:extLst>
            <a:ext uri="{FF2B5EF4-FFF2-40B4-BE49-F238E27FC236}">
              <a16:creationId xmlns:a16="http://schemas.microsoft.com/office/drawing/2014/main" id="{F478729D-52FC-B4C1-5984-8F8B74AA270E}"/>
            </a:ext>
          </a:extLst>
        </xdr:cNvPr>
        <xdr:cNvPicPr>
          <a:picLocks noChangeAspect="1"/>
        </xdr:cNvPicPr>
      </xdr:nvPicPr>
      <xdr:blipFill>
        <a:blip xmlns:r="http://schemas.openxmlformats.org/officeDocument/2006/relationships" r:embed="rId3"/>
        <a:stretch>
          <a:fillRect/>
        </a:stretch>
      </xdr:blipFill>
      <xdr:spPr>
        <a:xfrm>
          <a:off x="3721100" y="2828348"/>
          <a:ext cx="3873500" cy="651452"/>
        </a:xfrm>
        <a:prstGeom prst="rect">
          <a:avLst/>
        </a:prstGeom>
      </xdr:spPr>
    </xdr:pic>
    <xdr:clientData/>
  </xdr:twoCellAnchor>
  <xdr:twoCellAnchor editAs="oneCell">
    <xdr:from>
      <xdr:col>4</xdr:col>
      <xdr:colOff>25400</xdr:colOff>
      <xdr:row>34</xdr:row>
      <xdr:rowOff>182684</xdr:rowOff>
    </xdr:from>
    <xdr:to>
      <xdr:col>4</xdr:col>
      <xdr:colOff>721360</xdr:colOff>
      <xdr:row>36</xdr:row>
      <xdr:rowOff>177799</xdr:rowOff>
    </xdr:to>
    <xdr:pic>
      <xdr:nvPicPr>
        <xdr:cNvPr id="5" name="Picture 4">
          <a:extLst>
            <a:ext uri="{FF2B5EF4-FFF2-40B4-BE49-F238E27FC236}">
              <a16:creationId xmlns:a16="http://schemas.microsoft.com/office/drawing/2014/main" id="{49315EE3-420C-3EAC-FE30-0D40DB025AD1}"/>
            </a:ext>
          </a:extLst>
        </xdr:cNvPr>
        <xdr:cNvPicPr>
          <a:picLocks noChangeAspect="1"/>
        </xdr:cNvPicPr>
      </xdr:nvPicPr>
      <xdr:blipFill>
        <a:blip xmlns:r="http://schemas.openxmlformats.org/officeDocument/2006/relationships" r:embed="rId4"/>
        <a:stretch>
          <a:fillRect/>
        </a:stretch>
      </xdr:blipFill>
      <xdr:spPr>
        <a:xfrm>
          <a:off x="4013200" y="4945184"/>
          <a:ext cx="698500" cy="376115"/>
        </a:xfrm>
        <a:prstGeom prst="rect">
          <a:avLst/>
        </a:prstGeom>
      </xdr:spPr>
    </xdr:pic>
    <xdr:clientData/>
  </xdr:twoCellAnchor>
  <xdr:twoCellAnchor editAs="oneCell">
    <xdr:from>
      <xdr:col>4</xdr:col>
      <xdr:colOff>0</xdr:colOff>
      <xdr:row>37</xdr:row>
      <xdr:rowOff>0</xdr:rowOff>
    </xdr:from>
    <xdr:to>
      <xdr:col>6</xdr:col>
      <xdr:colOff>293370</xdr:colOff>
      <xdr:row>40</xdr:row>
      <xdr:rowOff>103134</xdr:rowOff>
    </xdr:to>
    <xdr:pic>
      <xdr:nvPicPr>
        <xdr:cNvPr id="6" name="Picture 5">
          <a:extLst>
            <a:ext uri="{FF2B5EF4-FFF2-40B4-BE49-F238E27FC236}">
              <a16:creationId xmlns:a16="http://schemas.microsoft.com/office/drawing/2014/main" id="{0C03FD64-D1DC-46DB-8225-B582CBA7005D}"/>
            </a:ext>
          </a:extLst>
        </xdr:cNvPr>
        <xdr:cNvPicPr>
          <a:picLocks noChangeAspect="1"/>
        </xdr:cNvPicPr>
      </xdr:nvPicPr>
      <xdr:blipFill>
        <a:blip xmlns:r="http://schemas.openxmlformats.org/officeDocument/2006/relationships" r:embed="rId5"/>
        <a:stretch>
          <a:fillRect/>
        </a:stretch>
      </xdr:blipFill>
      <xdr:spPr>
        <a:xfrm>
          <a:off x="3982720" y="5731246"/>
          <a:ext cx="1976120" cy="684794"/>
        </a:xfrm>
        <a:prstGeom prst="rect">
          <a:avLst/>
        </a:prstGeom>
      </xdr:spPr>
    </xdr:pic>
    <xdr:clientData/>
  </xdr:twoCellAnchor>
  <xdr:twoCellAnchor editAs="oneCell">
    <xdr:from>
      <xdr:col>6</xdr:col>
      <xdr:colOff>579120</xdr:colOff>
      <xdr:row>30</xdr:row>
      <xdr:rowOff>1930</xdr:rowOff>
    </xdr:from>
    <xdr:to>
      <xdr:col>9</xdr:col>
      <xdr:colOff>5832</xdr:colOff>
      <xdr:row>32</xdr:row>
      <xdr:rowOff>162559</xdr:rowOff>
    </xdr:to>
    <xdr:pic>
      <xdr:nvPicPr>
        <xdr:cNvPr id="7" name="Picture 6">
          <a:extLst>
            <a:ext uri="{FF2B5EF4-FFF2-40B4-BE49-F238E27FC236}">
              <a16:creationId xmlns:a16="http://schemas.microsoft.com/office/drawing/2014/main" id="{413E5ED1-5CFD-7BA6-4438-3A38368B2C0B}"/>
            </a:ext>
          </a:extLst>
        </xdr:cNvPr>
        <xdr:cNvPicPr>
          <a:picLocks noChangeAspect="1"/>
        </xdr:cNvPicPr>
      </xdr:nvPicPr>
      <xdr:blipFill>
        <a:blip xmlns:r="http://schemas.openxmlformats.org/officeDocument/2006/relationships" r:embed="rId6"/>
        <a:stretch>
          <a:fillRect/>
        </a:stretch>
      </xdr:blipFill>
      <xdr:spPr>
        <a:xfrm>
          <a:off x="5902960" y="5793130"/>
          <a:ext cx="1945640" cy="546709"/>
        </a:xfrm>
        <a:prstGeom prst="rect">
          <a:avLst/>
        </a:prstGeom>
      </xdr:spPr>
    </xdr:pic>
    <xdr:clientData/>
  </xdr:twoCellAnchor>
  <xdr:twoCellAnchor editAs="oneCell">
    <xdr:from>
      <xdr:col>4</xdr:col>
      <xdr:colOff>0</xdr:colOff>
      <xdr:row>39</xdr:row>
      <xdr:rowOff>0</xdr:rowOff>
    </xdr:from>
    <xdr:to>
      <xdr:col>7</xdr:col>
      <xdr:colOff>480786</xdr:colOff>
      <xdr:row>41</xdr:row>
      <xdr:rowOff>89504</xdr:rowOff>
    </xdr:to>
    <xdr:pic>
      <xdr:nvPicPr>
        <xdr:cNvPr id="9" name="Picture 8">
          <a:extLst>
            <a:ext uri="{FF2B5EF4-FFF2-40B4-BE49-F238E27FC236}">
              <a16:creationId xmlns:a16="http://schemas.microsoft.com/office/drawing/2014/main" id="{A0C581DC-9E45-C9E5-C276-81F1F963CE60}"/>
            </a:ext>
          </a:extLst>
        </xdr:cNvPr>
        <xdr:cNvPicPr>
          <a:picLocks noChangeAspect="1"/>
        </xdr:cNvPicPr>
      </xdr:nvPicPr>
      <xdr:blipFill>
        <a:blip xmlns:r="http://schemas.openxmlformats.org/officeDocument/2006/relationships" r:embed="rId7"/>
        <a:stretch>
          <a:fillRect/>
        </a:stretch>
      </xdr:blipFill>
      <xdr:spPr>
        <a:xfrm>
          <a:off x="5019524" y="9041190"/>
          <a:ext cx="2794000" cy="482600"/>
        </a:xfrm>
        <a:prstGeom prst="rect">
          <a:avLst/>
        </a:prstGeom>
      </xdr:spPr>
    </xdr:pic>
    <xdr:clientData/>
  </xdr:twoCellAnchor>
  <xdr:twoCellAnchor>
    <xdr:from>
      <xdr:col>0</xdr:col>
      <xdr:colOff>0</xdr:colOff>
      <xdr:row>42</xdr:row>
      <xdr:rowOff>179360</xdr:rowOff>
    </xdr:from>
    <xdr:to>
      <xdr:col>5</xdr:col>
      <xdr:colOff>294820</xdr:colOff>
      <xdr:row>60</xdr:row>
      <xdr:rowOff>160007</xdr:rowOff>
    </xdr:to>
    <xdr:graphicFrame macro="">
      <xdr:nvGraphicFramePr>
        <xdr:cNvPr id="12" name="Chart 14">
          <a:extLst>
            <a:ext uri="{FF2B5EF4-FFF2-40B4-BE49-F238E27FC236}">
              <a16:creationId xmlns:a16="http://schemas.microsoft.com/office/drawing/2014/main" id="{14A9666E-8408-BC78-E8B1-7FD01DEB9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23331</xdr:colOff>
      <xdr:row>56</xdr:row>
      <xdr:rowOff>38703</xdr:rowOff>
    </xdr:from>
    <xdr:to>
      <xdr:col>25</xdr:col>
      <xdr:colOff>185367</xdr:colOff>
      <xdr:row>77</xdr:row>
      <xdr:rowOff>97968</xdr:rowOff>
    </xdr:to>
    <xdr:graphicFrame macro="">
      <xdr:nvGraphicFramePr>
        <xdr:cNvPr id="16" name="Chart 9">
          <a:extLst>
            <a:ext uri="{FF2B5EF4-FFF2-40B4-BE49-F238E27FC236}">
              <a16:creationId xmlns:a16="http://schemas.microsoft.com/office/drawing/2014/main" id="{6FF548AB-F3EC-0FA2-F83D-624EC1497897}"/>
            </a:ext>
            <a:ext uri="{147F2762-F138-4A5C-976F-8EAC2B608ADB}">
              <a16:predDERef xmlns:a16="http://schemas.microsoft.com/office/drawing/2014/main" pred="{D3CB57B0-1AEA-8F8D-9A0C-2CACD4909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396875</xdr:colOff>
      <xdr:row>61</xdr:row>
      <xdr:rowOff>85725</xdr:rowOff>
    </xdr:from>
    <xdr:to>
      <xdr:col>4</xdr:col>
      <xdr:colOff>777875</xdr:colOff>
      <xdr:row>75</xdr:row>
      <xdr:rowOff>161925</xdr:rowOff>
    </xdr:to>
    <xdr:graphicFrame macro="">
      <xdr:nvGraphicFramePr>
        <xdr:cNvPr id="69" name="Chart 22">
          <a:extLst>
            <a:ext uri="{FF2B5EF4-FFF2-40B4-BE49-F238E27FC236}">
              <a16:creationId xmlns:a16="http://schemas.microsoft.com/office/drawing/2014/main" id="{E9EBF81B-844A-B322-77CF-A444A4D6C4CC}"/>
            </a:ext>
            <a:ext uri="{147F2762-F138-4A5C-976F-8EAC2B608ADB}">
              <a16:predDERef xmlns:a16="http://schemas.microsoft.com/office/drawing/2014/main" pred="{01789357-3387-8CB9-80E6-C2DF67B3DA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304800</xdr:colOff>
      <xdr:row>82</xdr:row>
      <xdr:rowOff>95250</xdr:rowOff>
    </xdr:from>
    <xdr:to>
      <xdr:col>22</xdr:col>
      <xdr:colOff>381000</xdr:colOff>
      <xdr:row>96</xdr:row>
      <xdr:rowOff>171450</xdr:rowOff>
    </xdr:to>
    <xdr:graphicFrame macro="">
      <xdr:nvGraphicFramePr>
        <xdr:cNvPr id="52" name="Chart 1">
          <a:extLst>
            <a:ext uri="{FF2B5EF4-FFF2-40B4-BE49-F238E27FC236}">
              <a16:creationId xmlns:a16="http://schemas.microsoft.com/office/drawing/2014/main" id="{35A2F909-B12C-8CE8-F64F-60F7A1E29A19}"/>
            </a:ext>
            <a:ext uri="{147F2762-F138-4A5C-976F-8EAC2B608ADB}">
              <a16:predDERef xmlns:a16="http://schemas.microsoft.com/office/drawing/2014/main" pred="{E9EBF81B-844A-B322-77CF-A444A4D6C4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oneCell">
    <xdr:from>
      <xdr:col>6</xdr:col>
      <xdr:colOff>635000</xdr:colOff>
      <xdr:row>15</xdr:row>
      <xdr:rowOff>23336</xdr:rowOff>
    </xdr:from>
    <xdr:to>
      <xdr:col>16</xdr:col>
      <xdr:colOff>248004</xdr:colOff>
      <xdr:row>22</xdr:row>
      <xdr:rowOff>88899</xdr:rowOff>
    </xdr:to>
    <xdr:pic>
      <xdr:nvPicPr>
        <xdr:cNvPr id="3" name="Picture 2">
          <a:extLst>
            <a:ext uri="{FF2B5EF4-FFF2-40B4-BE49-F238E27FC236}">
              <a16:creationId xmlns:a16="http://schemas.microsoft.com/office/drawing/2014/main" id="{61F324A7-E231-A862-1E61-F059114EEEB2}"/>
            </a:ext>
          </a:extLst>
        </xdr:cNvPr>
        <xdr:cNvPicPr>
          <a:picLocks noChangeAspect="1"/>
        </xdr:cNvPicPr>
      </xdr:nvPicPr>
      <xdr:blipFill rotWithShape="1">
        <a:blip xmlns:r="http://schemas.openxmlformats.org/officeDocument/2006/relationships" r:embed="rId1"/>
        <a:srcRect l="-937" t="7767"/>
        <a:stretch/>
      </xdr:blipFill>
      <xdr:spPr>
        <a:xfrm>
          <a:off x="5740400" y="2880836"/>
          <a:ext cx="6090004" cy="1399063"/>
        </a:xfrm>
        <a:prstGeom prst="rect">
          <a:avLst/>
        </a:prstGeom>
      </xdr:spPr>
    </xdr:pic>
    <xdr:clientData/>
  </xdr:twoCellAnchor>
  <xdr:twoCellAnchor editAs="oneCell">
    <xdr:from>
      <xdr:col>3</xdr:col>
      <xdr:colOff>508000</xdr:colOff>
      <xdr:row>9</xdr:row>
      <xdr:rowOff>77694</xdr:rowOff>
    </xdr:from>
    <xdr:to>
      <xdr:col>5</xdr:col>
      <xdr:colOff>355600</xdr:colOff>
      <xdr:row>11</xdr:row>
      <xdr:rowOff>12700</xdr:rowOff>
    </xdr:to>
    <xdr:pic>
      <xdr:nvPicPr>
        <xdr:cNvPr id="4" name="Picture 3">
          <a:extLst>
            <a:ext uri="{FF2B5EF4-FFF2-40B4-BE49-F238E27FC236}">
              <a16:creationId xmlns:a16="http://schemas.microsoft.com/office/drawing/2014/main" id="{D7E57811-8DB1-5640-1945-C17ED939A829}"/>
            </a:ext>
          </a:extLst>
        </xdr:cNvPr>
        <xdr:cNvPicPr>
          <a:picLocks noChangeAspect="1"/>
        </xdr:cNvPicPr>
      </xdr:nvPicPr>
      <xdr:blipFill>
        <a:blip xmlns:r="http://schemas.openxmlformats.org/officeDocument/2006/relationships" r:embed="rId2"/>
        <a:stretch>
          <a:fillRect/>
        </a:stretch>
      </xdr:blipFill>
      <xdr:spPr>
        <a:xfrm>
          <a:off x="3492500" y="1792194"/>
          <a:ext cx="1193800" cy="316006"/>
        </a:xfrm>
        <a:prstGeom prst="rect">
          <a:avLst/>
        </a:prstGeom>
      </xdr:spPr>
    </xdr:pic>
    <xdr:clientData/>
  </xdr:twoCellAnchor>
  <xdr:twoCellAnchor editAs="oneCell">
    <xdr:from>
      <xdr:col>3</xdr:col>
      <xdr:colOff>406400</xdr:colOff>
      <xdr:row>11</xdr:row>
      <xdr:rowOff>20515</xdr:rowOff>
    </xdr:from>
    <xdr:to>
      <xdr:col>5</xdr:col>
      <xdr:colOff>274668</xdr:colOff>
      <xdr:row>13</xdr:row>
      <xdr:rowOff>63501</xdr:rowOff>
    </xdr:to>
    <xdr:pic>
      <xdr:nvPicPr>
        <xdr:cNvPr id="5" name="Picture 4">
          <a:extLst>
            <a:ext uri="{FF2B5EF4-FFF2-40B4-BE49-F238E27FC236}">
              <a16:creationId xmlns:a16="http://schemas.microsoft.com/office/drawing/2014/main" id="{7FC8A02F-73DE-D2F9-37DC-DDE1494CDA28}"/>
            </a:ext>
          </a:extLst>
        </xdr:cNvPr>
        <xdr:cNvPicPr>
          <a:picLocks noChangeAspect="1"/>
        </xdr:cNvPicPr>
      </xdr:nvPicPr>
      <xdr:blipFill>
        <a:blip xmlns:r="http://schemas.openxmlformats.org/officeDocument/2006/relationships" r:embed="rId3"/>
        <a:stretch>
          <a:fillRect/>
        </a:stretch>
      </xdr:blipFill>
      <xdr:spPr>
        <a:xfrm>
          <a:off x="3390900" y="2116015"/>
          <a:ext cx="1214468" cy="423986"/>
        </a:xfrm>
        <a:prstGeom prst="rect">
          <a:avLst/>
        </a:prstGeom>
      </xdr:spPr>
    </xdr:pic>
    <xdr:clientData/>
  </xdr:twoCellAnchor>
  <xdr:twoCellAnchor editAs="oneCell">
    <xdr:from>
      <xdr:col>5</xdr:col>
      <xdr:colOff>279400</xdr:colOff>
      <xdr:row>11</xdr:row>
      <xdr:rowOff>12700</xdr:rowOff>
    </xdr:from>
    <xdr:to>
      <xdr:col>7</xdr:col>
      <xdr:colOff>337931</xdr:colOff>
      <xdr:row>13</xdr:row>
      <xdr:rowOff>38100</xdr:rowOff>
    </xdr:to>
    <xdr:pic>
      <xdr:nvPicPr>
        <xdr:cNvPr id="6" name="Picture 5">
          <a:extLst>
            <a:ext uri="{FF2B5EF4-FFF2-40B4-BE49-F238E27FC236}">
              <a16:creationId xmlns:a16="http://schemas.microsoft.com/office/drawing/2014/main" id="{84781859-4D31-43BC-6D69-80E7E7021522}"/>
            </a:ext>
          </a:extLst>
        </xdr:cNvPr>
        <xdr:cNvPicPr>
          <a:picLocks noChangeAspect="1"/>
        </xdr:cNvPicPr>
      </xdr:nvPicPr>
      <xdr:blipFill>
        <a:blip xmlns:r="http://schemas.openxmlformats.org/officeDocument/2006/relationships" r:embed="rId4"/>
        <a:stretch>
          <a:fillRect/>
        </a:stretch>
      </xdr:blipFill>
      <xdr:spPr>
        <a:xfrm>
          <a:off x="4610100" y="2108200"/>
          <a:ext cx="1404731" cy="4064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16934</xdr:colOff>
      <xdr:row>12</xdr:row>
      <xdr:rowOff>131997</xdr:rowOff>
    </xdr:from>
    <xdr:to>
      <xdr:col>9</xdr:col>
      <xdr:colOff>4231</xdr:colOff>
      <xdr:row>22</xdr:row>
      <xdr:rowOff>145400</xdr:rowOff>
    </xdr:to>
    <xdr:pic>
      <xdr:nvPicPr>
        <xdr:cNvPr id="2" name="Picture 1">
          <a:extLst>
            <a:ext uri="{FF2B5EF4-FFF2-40B4-BE49-F238E27FC236}">
              <a16:creationId xmlns:a16="http://schemas.microsoft.com/office/drawing/2014/main" id="{8CF1F4FC-04DE-8BB8-8E4F-6638BE096F68}"/>
            </a:ext>
          </a:extLst>
        </xdr:cNvPr>
        <xdr:cNvPicPr>
          <a:picLocks noChangeAspect="1"/>
        </xdr:cNvPicPr>
      </xdr:nvPicPr>
      <xdr:blipFill>
        <a:blip xmlns:r="http://schemas.openxmlformats.org/officeDocument/2006/relationships" r:embed="rId1"/>
        <a:stretch>
          <a:fillRect/>
        </a:stretch>
      </xdr:blipFill>
      <xdr:spPr>
        <a:xfrm>
          <a:off x="3716867" y="2468797"/>
          <a:ext cx="4313764" cy="1960736"/>
        </a:xfrm>
        <a:prstGeom prst="rect">
          <a:avLst/>
        </a:prstGeom>
      </xdr:spPr>
    </xdr:pic>
    <xdr:clientData/>
  </xdr:twoCellAnchor>
  <xdr:twoCellAnchor editAs="oneCell">
    <xdr:from>
      <xdr:col>4</xdr:col>
      <xdr:colOff>289771</xdr:colOff>
      <xdr:row>23</xdr:row>
      <xdr:rowOff>67733</xdr:rowOff>
    </xdr:from>
    <xdr:to>
      <xdr:col>8</xdr:col>
      <xdr:colOff>169332</xdr:colOff>
      <xdr:row>30</xdr:row>
      <xdr:rowOff>112629</xdr:rowOff>
    </xdr:to>
    <xdr:pic>
      <xdr:nvPicPr>
        <xdr:cNvPr id="4" name="Picture 3">
          <a:extLst>
            <a:ext uri="{FF2B5EF4-FFF2-40B4-BE49-F238E27FC236}">
              <a16:creationId xmlns:a16="http://schemas.microsoft.com/office/drawing/2014/main" id="{6C1471A1-4D22-3086-3418-B60B57BD8B58}"/>
            </a:ext>
          </a:extLst>
        </xdr:cNvPr>
        <xdr:cNvPicPr>
          <a:picLocks noChangeAspect="1"/>
        </xdr:cNvPicPr>
      </xdr:nvPicPr>
      <xdr:blipFill>
        <a:blip xmlns:r="http://schemas.openxmlformats.org/officeDocument/2006/relationships" r:embed="rId2"/>
        <a:stretch>
          <a:fillRect/>
        </a:stretch>
      </xdr:blipFill>
      <xdr:spPr>
        <a:xfrm>
          <a:off x="3989704" y="4546600"/>
          <a:ext cx="3528695" cy="1408029"/>
        </a:xfrm>
        <a:prstGeom prst="rect">
          <a:avLst/>
        </a:prstGeom>
      </xdr:spPr>
    </xdr:pic>
    <xdr:clientData/>
  </xdr:twoCellAnchor>
  <xdr:twoCellAnchor>
    <xdr:from>
      <xdr:col>6</xdr:col>
      <xdr:colOff>135467</xdr:colOff>
      <xdr:row>41</xdr:row>
      <xdr:rowOff>8467</xdr:rowOff>
    </xdr:from>
    <xdr:to>
      <xdr:col>12</xdr:col>
      <xdr:colOff>389467</xdr:colOff>
      <xdr:row>55</xdr:row>
      <xdr:rowOff>143933</xdr:rowOff>
    </xdr:to>
    <xdr:graphicFrame macro="">
      <xdr:nvGraphicFramePr>
        <xdr:cNvPr id="6" name="Chart 5">
          <a:extLst>
            <a:ext uri="{FF2B5EF4-FFF2-40B4-BE49-F238E27FC236}">
              <a16:creationId xmlns:a16="http://schemas.microsoft.com/office/drawing/2014/main" id="{1FF610A8-9DFA-196A-B448-27E3AF475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267956</xdr:colOff>
      <xdr:row>42</xdr:row>
      <xdr:rowOff>46683</xdr:rowOff>
    </xdr:from>
    <xdr:to>
      <xdr:col>22</xdr:col>
      <xdr:colOff>150725</xdr:colOff>
      <xdr:row>56</xdr:row>
      <xdr:rowOff>152191</xdr:rowOff>
    </xdr:to>
    <xdr:graphicFrame macro="">
      <xdr:nvGraphicFramePr>
        <xdr:cNvPr id="3" name="Chart 2">
          <a:extLst>
            <a:ext uri="{FF2B5EF4-FFF2-40B4-BE49-F238E27FC236}">
              <a16:creationId xmlns:a16="http://schemas.microsoft.com/office/drawing/2014/main" id="{0A70F251-FD5B-28C2-4AEC-15F562F54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304800</xdr:colOff>
      <xdr:row>44</xdr:row>
      <xdr:rowOff>130917</xdr:rowOff>
    </xdr:from>
    <xdr:to>
      <xdr:col>19</xdr:col>
      <xdr:colOff>310355</xdr:colOff>
      <xdr:row>53</xdr:row>
      <xdr:rowOff>177800</xdr:rowOff>
    </xdr:to>
    <xdr:cxnSp macro="">
      <xdr:nvCxnSpPr>
        <xdr:cNvPr id="5" name="Straight Connector 4">
          <a:extLst>
            <a:ext uri="{FF2B5EF4-FFF2-40B4-BE49-F238E27FC236}">
              <a16:creationId xmlns:a16="http://schemas.microsoft.com/office/drawing/2014/main" id="{11E1F662-17D1-9ED1-8EE6-62B6930D3A16}"/>
            </a:ext>
          </a:extLst>
        </xdr:cNvPr>
        <xdr:cNvCxnSpPr/>
      </xdr:nvCxnSpPr>
      <xdr:spPr>
        <a:xfrm flipV="1">
          <a:off x="18973800" y="8512917"/>
          <a:ext cx="5555" cy="1761383"/>
        </a:xfrm>
        <a:prstGeom prst="line">
          <a:avLst/>
        </a:prstGeom>
        <a:ln w="25400"/>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203200</xdr:colOff>
      <xdr:row>62</xdr:row>
      <xdr:rowOff>12700</xdr:rowOff>
    </xdr:from>
    <xdr:to>
      <xdr:col>11</xdr:col>
      <xdr:colOff>622300</xdr:colOff>
      <xdr:row>76</xdr:row>
      <xdr:rowOff>88900</xdr:rowOff>
    </xdr:to>
    <xdr:graphicFrame macro="">
      <xdr:nvGraphicFramePr>
        <xdr:cNvPr id="8" name="Chart 7">
          <a:extLst>
            <a:ext uri="{FF2B5EF4-FFF2-40B4-BE49-F238E27FC236}">
              <a16:creationId xmlns:a16="http://schemas.microsoft.com/office/drawing/2014/main" id="{4E053E2A-0D3D-BEA5-C885-68FB9E886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0.68889</cdr:x>
      <cdr:y>0.26235</cdr:y>
    </cdr:from>
    <cdr:to>
      <cdr:x>0.68889</cdr:x>
      <cdr:y>0.8179</cdr:y>
    </cdr:to>
    <cdr:cxnSp macro="">
      <cdr:nvCxnSpPr>
        <cdr:cNvPr id="3" name="Straight Connector 2">
          <a:extLst xmlns:a="http://schemas.openxmlformats.org/drawingml/2006/main">
            <a:ext uri="{FF2B5EF4-FFF2-40B4-BE49-F238E27FC236}">
              <a16:creationId xmlns:a16="http://schemas.microsoft.com/office/drawing/2014/main" id="{E0E0702B-DDE3-B81D-7B2A-05252CBB04D0}"/>
            </a:ext>
          </a:extLst>
        </cdr:cNvPr>
        <cdr:cNvCxnSpPr/>
      </cdr:nvCxnSpPr>
      <cdr:spPr>
        <a:xfrm xmlns:a="http://schemas.openxmlformats.org/drawingml/2006/main" flipV="1">
          <a:off x="3149600" y="719667"/>
          <a:ext cx="0" cy="1524000"/>
        </a:xfrm>
        <a:prstGeom xmlns:a="http://schemas.openxmlformats.org/drawingml/2006/main" prst="line">
          <a:avLst/>
        </a:prstGeom>
        <a:ln xmlns:a="http://schemas.openxmlformats.org/drawingml/2006/main" w="25400"/>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27.xml><?xml version="1.0" encoding="utf-8"?>
<xdr:wsDr xmlns:xdr="http://schemas.openxmlformats.org/drawingml/2006/spreadsheetDrawing" xmlns:a="http://schemas.openxmlformats.org/drawingml/2006/main">
  <xdr:twoCellAnchor>
    <xdr:from>
      <xdr:col>7</xdr:col>
      <xdr:colOff>280016</xdr:colOff>
      <xdr:row>55</xdr:row>
      <xdr:rowOff>144067</xdr:rowOff>
    </xdr:from>
    <xdr:to>
      <xdr:col>14</xdr:col>
      <xdr:colOff>410021</xdr:colOff>
      <xdr:row>76</xdr:row>
      <xdr:rowOff>185569</xdr:rowOff>
    </xdr:to>
    <xdr:graphicFrame macro="">
      <xdr:nvGraphicFramePr>
        <xdr:cNvPr id="10" name="Chart 1">
          <a:extLst>
            <a:ext uri="{FF2B5EF4-FFF2-40B4-BE49-F238E27FC236}">
              <a16:creationId xmlns:a16="http://schemas.microsoft.com/office/drawing/2014/main" id="{5090D07A-7D5B-E373-0B35-3D92A5EC5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282575</xdr:colOff>
      <xdr:row>101</xdr:row>
      <xdr:rowOff>22225</xdr:rowOff>
    </xdr:from>
    <xdr:to>
      <xdr:col>12</xdr:col>
      <xdr:colOff>307975</xdr:colOff>
      <xdr:row>114</xdr:row>
      <xdr:rowOff>149225</xdr:rowOff>
    </xdr:to>
    <xdr:graphicFrame macro="">
      <xdr:nvGraphicFramePr>
        <xdr:cNvPr id="13" name="Chart 2">
          <a:extLst>
            <a:ext uri="{FF2B5EF4-FFF2-40B4-BE49-F238E27FC236}">
              <a16:creationId xmlns:a16="http://schemas.microsoft.com/office/drawing/2014/main" id="{B42CCFB0-C90A-2DE4-C59F-2044720CA694}"/>
            </a:ext>
            <a:ext uri="{147F2762-F138-4A5C-976F-8EAC2B608ADB}">
              <a16:predDERef xmlns:a16="http://schemas.microsoft.com/office/drawing/2014/main" pred="{5090D07A-7D5B-E373-0B35-3D92A5EC5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1545590</xdr:colOff>
      <xdr:row>25</xdr:row>
      <xdr:rowOff>72390</xdr:rowOff>
    </xdr:from>
    <xdr:to>
      <xdr:col>16</xdr:col>
      <xdr:colOff>1164590</xdr:colOff>
      <xdr:row>40</xdr:row>
      <xdr:rowOff>148590</xdr:rowOff>
    </xdr:to>
    <xdr:graphicFrame macro="">
      <xdr:nvGraphicFramePr>
        <xdr:cNvPr id="6" name="Chart 4">
          <a:extLst>
            <a:ext uri="{FF2B5EF4-FFF2-40B4-BE49-F238E27FC236}">
              <a16:creationId xmlns:a16="http://schemas.microsoft.com/office/drawing/2014/main" id="{E5A85B72-4EAE-340A-7D64-01A5D54F26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445406</xdr:colOff>
      <xdr:row>58</xdr:row>
      <xdr:rowOff>103414</xdr:rowOff>
    </xdr:from>
    <xdr:to>
      <xdr:col>33</xdr:col>
      <xdr:colOff>523421</xdr:colOff>
      <xdr:row>77</xdr:row>
      <xdr:rowOff>33563</xdr:rowOff>
    </xdr:to>
    <xdr:graphicFrame macro="">
      <xdr:nvGraphicFramePr>
        <xdr:cNvPr id="3" name="Chart 2">
          <a:extLst>
            <a:ext uri="{FF2B5EF4-FFF2-40B4-BE49-F238E27FC236}">
              <a16:creationId xmlns:a16="http://schemas.microsoft.com/office/drawing/2014/main" id="{8A033E26-E779-36F5-CD7C-E5351224D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304800</xdr:colOff>
      <xdr:row>85</xdr:row>
      <xdr:rowOff>3810</xdr:rowOff>
    </xdr:from>
    <xdr:to>
      <xdr:col>12</xdr:col>
      <xdr:colOff>251460</xdr:colOff>
      <xdr:row>100</xdr:row>
      <xdr:rowOff>15240</xdr:rowOff>
    </xdr:to>
    <xdr:graphicFrame macro="">
      <xdr:nvGraphicFramePr>
        <xdr:cNvPr id="12" name="Chart 4">
          <a:extLst>
            <a:ext uri="{FF2B5EF4-FFF2-40B4-BE49-F238E27FC236}">
              <a16:creationId xmlns:a16="http://schemas.microsoft.com/office/drawing/2014/main" id="{4FB354DC-D8CD-0847-4F58-751D3611A1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63500</xdr:colOff>
      <xdr:row>24</xdr:row>
      <xdr:rowOff>162278</xdr:rowOff>
    </xdr:to>
    <xdr:pic>
      <xdr:nvPicPr>
        <xdr:cNvPr id="2" name="Picture 1" descr="A graph of a lift and drag diagram&#10;&#10;AI-generated content may be incorrect.">
          <a:extLst>
            <a:ext uri="{FF2B5EF4-FFF2-40B4-BE49-F238E27FC236}">
              <a16:creationId xmlns:a16="http://schemas.microsoft.com/office/drawing/2014/main" id="{04462217-A6A8-431A-4E04-1244C86A15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197600" cy="4734278"/>
        </a:xfrm>
        <a:prstGeom prst="rect">
          <a:avLst/>
        </a:prstGeom>
      </xdr:spPr>
    </xdr:pic>
    <xdr:clientData/>
  </xdr:twoCellAnchor>
  <xdr:twoCellAnchor editAs="oneCell">
    <xdr:from>
      <xdr:col>0</xdr:col>
      <xdr:colOff>575527</xdr:colOff>
      <xdr:row>25</xdr:row>
      <xdr:rowOff>152400</xdr:rowOff>
    </xdr:from>
    <xdr:to>
      <xdr:col>9</xdr:col>
      <xdr:colOff>3175</xdr:colOff>
      <xdr:row>45</xdr:row>
      <xdr:rowOff>76200</xdr:rowOff>
    </xdr:to>
    <xdr:pic>
      <xdr:nvPicPr>
        <xdr:cNvPr id="3" name="Picture 2">
          <a:extLst>
            <a:ext uri="{FF2B5EF4-FFF2-40B4-BE49-F238E27FC236}">
              <a16:creationId xmlns:a16="http://schemas.microsoft.com/office/drawing/2014/main" id="{04B0DDB5-A9AB-B021-0D89-BF1B77FE7860}"/>
            </a:ext>
          </a:extLst>
        </xdr:cNvPr>
        <xdr:cNvPicPr>
          <a:picLocks noChangeAspect="1"/>
        </xdr:cNvPicPr>
      </xdr:nvPicPr>
      <xdr:blipFill>
        <a:blip xmlns:r="http://schemas.openxmlformats.org/officeDocument/2006/relationships" r:embed="rId2"/>
        <a:stretch>
          <a:fillRect/>
        </a:stretch>
      </xdr:blipFill>
      <xdr:spPr>
        <a:xfrm>
          <a:off x="575527" y="4914900"/>
          <a:ext cx="7209573" cy="3733800"/>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ax Lift" id="{FCE4E843-259B-4EC7-A022-CB94D9A2671A}">
    <nsvFilter filterId="{8201EADB-8D64-4F5A-B9E0-BC92468942AA}" ref="A4:I13" tableId="3">
      <sortRules>
        <sortRule colId="6" id="{D0934DE9-155C-46E7-8009-63F906B292F7}">
          <sortCondition descending="1" ref="G4:G13"/>
        </sortRule>
      </sortRules>
    </nsvFilter>
  </namedSheetView>
</namedSheetViews>
</file>

<file path=xl/persons/person.xml><?xml version="1.0" encoding="utf-8"?>
<personList xmlns="http://schemas.microsoft.com/office/spreadsheetml/2018/threadedcomments" xmlns:x="http://schemas.openxmlformats.org/spreadsheetml/2006/main">
  <person displayName="Arroyo, Kiana" id="{14BA01F8-6B3B-4E4A-9EAE-400A272D3A87}" userId="ARROYOK@my.erau.edu" providerId="PeoplePicker"/>
  <person displayName="Chidester, Alexander D." id="{4ADA5442-4C0C-4594-BFB7-4CE9F96DCBEB}" userId="CHIDESTA@my.erau.edu" providerId="PeoplePicker"/>
  <person displayName="Nadolne, Kevin T." id="{0F1B70E2-BAB0-4DE3-94BF-596E7B66DE6C}" userId="NADOLNEK@my.erau.edu" providerId="PeoplePicker"/>
  <person displayName="Solomon, Percy" id="{F1A3825E-6CBC-4D02-9D4C-44FA2488DE96}" userId="SOLOMOR5@my.erau.edu" providerId="PeoplePicker"/>
  <person displayName="Stube, Annabelle K." id="{CCE6F2ED-EF05-40C4-8CF7-8779AE797F81}" userId="S::stubea@my.erau.edu::8fb670e7-1d43-479d-8378-f39d2f62b2f3" providerId="AD"/>
  <person displayName="Chidester, Alexander D." id="{79CC07AE-E1F9-9F40-95D8-9C0E4BD01285}" userId="S::CHIDESTA@my.erau.edu::69cb2228-dc65-4d38-b3a0-569c16e405f4" providerId="AD"/>
  <person displayName="Solomon, Percy" id="{E987F8C8-4A93-4C6C-A93D-0FECDE46F820}" userId="S::SOLOMOR5@my.erau.edu::e680588c-806d-48b3-a08f-40cd3b9f5ded" providerId="AD"/>
</personList>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1">
    <v>20</v>
    <v>8</v>
    <v>17</v>
    <v>1</v>
  </rv>
</rvData>
</file>

<file path=xl/richData/rdrichvaluestructure.xml><?xml version="1.0" encoding="utf-8"?>
<rvStructures xmlns="http://schemas.microsoft.com/office/spreadsheetml/2017/richdata" count="2">
  <s t="_localImage">
    <k n="_rvRel:LocalImageIdentifier" t="i"/>
    <k n="CalcOrigin" t="i"/>
  </s>
  <s t="_error">
    <k n="colOffset" t="i"/>
    <k n="errorType" t="i"/>
    <k n="rwOffset" t="i"/>
    <k n="subType"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D2A3976-6CFA-413F-8CF5-AC66B137A577}" name="Table79" displayName="Table79" ref="B216:E325" headerRowCount="0" totalsRowShown="0">
  <tableColumns count="4">
    <tableColumn id="1" xr3:uid="{C51251B4-F325-4AFF-89A6-DC1D1A7FC0A8}" name="Column1"/>
    <tableColumn id="2" xr3:uid="{3DA291C6-1876-4157-9A97-022DB20B00B5}" name="Column2" dataDxfId="28"/>
    <tableColumn id="3" xr3:uid="{DD0C6C9E-E943-409A-B4EA-D8692935E6EE}" name="Column3" dataDxfId="27">
      <calculatedColumnFormula>0.5*#REF!*B216^2*(#REF!+#REF!)*#REF!</calculatedColumnFormula>
    </tableColumn>
    <tableColumn id="4" xr3:uid="{07FDCF51-FA93-448E-ACE7-74B18B39FCCE}" name="Column4" dataDxfId="26">
      <calculatedColumnFormula>General!C$7</calculatedColumnFormula>
    </tableColumn>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3076CD8-C6CF-4360-99E9-CCF363B320A2}" name="Table5" displayName="Table5" ref="K112:T140" headerRowCount="0" totalsRowShown="0">
  <tableColumns count="10">
    <tableColumn id="11" xr3:uid="{CE29C4DD-B01E-4E27-8643-9735B3E16F5F}" name="Column1"/>
    <tableColumn id="12" xr3:uid="{F954F692-2A84-4999-A0C3-DACAA501E422}" name="Column2"/>
    <tableColumn id="4" xr3:uid="{946710B6-4AEE-4B6E-8BA5-35D8DAEDEE1E}" name="Column4" dataDxfId="25">
      <calculatedColumnFormula>$C$92+$L$116*(Q112-$K$116)</calculatedColumnFormula>
    </tableColumn>
    <tableColumn id="5" xr3:uid="{2F8D0112-DD4E-4B1E-AAAA-D80DD943BCD6}" name="Column5"/>
    <tableColumn id="6" xr3:uid="{C78C77DA-8834-4C73-B270-A0080884F9D9}" name="Column6" dataDxfId="24">
      <calculatedColumnFormula>Q112/S112</calculatedColumnFormula>
    </tableColumn>
    <tableColumn id="7" xr3:uid="{5B17867F-25E6-465A-B00E-BA3241E67F2E}" name="Column7"/>
    <tableColumn id="8" xr3:uid="{7BAF9A3C-317D-445E-809C-44A2A8B65708}" name="Column8" dataDxfId="23">
      <calculatedColumnFormula>'Performance Analysis'!J$66+'Performance Analysis'!L$67*RADIANS(Drag!N112)</calculatedColumnFormula>
    </tableColumn>
    <tableColumn id="14" xr3:uid="{4416371D-61D5-43C5-81B8-82DA2CFB1270}" name="Column10" dataDxfId="22"/>
    <tableColumn id="9" xr3:uid="{ACF1375C-FFBA-450B-91D2-31C1401A5EBE}" name="Column9" dataDxfId="21">
      <calculatedColumnFormula>C$92+C$88+Q112^2/(PI()*C$20*'Performance Analysis'!J$70)</calculatedColumnFormula>
    </tableColumn>
    <tableColumn id="1" xr3:uid="{62A990E2-4CBE-4FB6-9E79-FD033250F468}" name="Column3" dataDxfId="20"/>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65178F8-4510-4850-AFCF-7146D2CFAEAA}" name="Table7" displayName="Table7" ref="K143:N361" headerRowCount="0" totalsRowShown="0">
  <tableColumns count="4">
    <tableColumn id="1" xr3:uid="{221256ED-70BE-44E1-AB55-95B388976640}" name="Column1"/>
    <tableColumn id="2" xr3:uid="{E34FE3C7-CF0A-40D6-AE81-88C8E4D58C03}" name="Column2" dataDxfId="19">
      <calculatedColumnFormula>SQRT($C$11)*K143/1.68780986</calculatedColumnFormula>
    </tableColumn>
    <tableColumn id="3" xr3:uid="{37DD1EAF-4132-4C90-B847-41C5CB7DAD34}" name="Column3" dataDxfId="18">
      <calculatedColumnFormula>0.5*C$109*K143^2*(#REF!+C41)*C$19</calculatedColumnFormula>
    </tableColumn>
    <tableColumn id="4" xr3:uid="{1C033F64-5A7F-BB41-8922-CD2505EA43D2}" name="Column4"/>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4DB9042-8F76-5942-89EE-804B8354ACD5}" name="Table710" displayName="Table710" ref="T186:W488" headerRowCount="0" totalsRowShown="0">
  <tableColumns count="4">
    <tableColumn id="1" xr3:uid="{AB46AEA0-5C45-D84C-9285-CCBAC93877FC}" name="Column1"/>
    <tableColumn id="2" xr3:uid="{806AE520-03E9-5A4C-8266-104D70E30026}" name="Column2" dataDxfId="17">
      <calculatedColumnFormula>SQRT($C$11)*T186/1.68780986</calculatedColumnFormula>
    </tableColumn>
    <tableColumn id="3" xr3:uid="{3CE62754-469A-0345-9D50-C22B9266DB46}" name="Column3" dataDxfId="16">
      <calculatedColumnFormula>0.5*L$109*T186^2*(#REF!+L84)*L$19</calculatedColumnFormula>
    </tableColumn>
    <tableColumn id="4" xr3:uid="{083A31A8-CED0-9248-A5EA-E10545A328AB}" name="Column4"/>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201EADB-8D64-4F5A-B9E0-BC92468942AA}" name="Table3" displayName="Table3" ref="A4:I13" totalsRowShown="0" headerRowDxfId="15" dataDxfId="14" tableBorderDxfId="13">
  <autoFilter ref="A4:I13" xr:uid="{8201EADB-8D64-4F5A-B9E0-BC92468942AA}"/>
  <tableColumns count="9">
    <tableColumn id="1" xr3:uid="{D5936264-E1BA-48F3-A4B8-6B21036901FD}" name="Column1" dataDxfId="12"/>
    <tableColumn id="2" xr3:uid="{8B170D6D-D317-497D-A714-CD9E269E8D5A}" name="αOL" dataDxfId="11"/>
    <tableColumn id="3" xr3:uid="{974DEC0E-BC01-4CEB-9169-994A7E5B9EC5}" name="Cmac" dataDxfId="10"/>
    <tableColumn id="4" xr3:uid="{37086795-EF5B-416F-9FCE-B3C033085BB6}" name="Clα" dataDxfId="9"/>
    <tableColumn id="5" xr3:uid="{0F260060-C563-4F7D-865C-A1C7B992961D}" name="a.c." dataDxfId="8"/>
    <tableColumn id="6" xr3:uid="{912C9230-B154-4844-9274-3AB0F8E04131}" name="αcLmax" dataDxfId="7"/>
    <tableColumn id="7" xr3:uid="{D0934DE9-155C-46E7-8009-63F906B292F7}" name="CLmax" dataDxfId="6"/>
    <tableColumn id="8" xr3:uid="{AF9DE33E-4B9E-4B67-B81E-06632B302B25}" name="CDmin" dataDxfId="5"/>
    <tableColumn id="9" xr3:uid="{52831974-564B-4102-A16D-2D82669DB424}" name="CL0" dataDxfId="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4C176E1-A646-45DA-840F-2B6E4CB0DC8E}" name="Table4" displayName="Table4" ref="G5:I8" headerRowCount="0" totalsRowShown="0">
  <tableColumns count="3">
    <tableColumn id="1" xr3:uid="{3A4AFAB5-4D28-4F98-93BF-DB6FE721069B}" name="Column1" dataDxfId="3"/>
    <tableColumn id="2" xr3:uid="{6CB1DB8F-3E35-418B-9B58-01AFBA8951E6}" name="Column2" headerRowDxfId="2" dataDxfId="1"/>
    <tableColumn id="3" xr3:uid="{BB1FDECD-32FE-4193-845B-046200AA362B}" name="Column3" dataDxfId="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EE38C0-7C42-44F9-B8F4-DECB770EDF20}" name="Table1" displayName="Table1" ref="E1:G10" totalsRowShown="0">
  <autoFilter ref="E1:G10" xr:uid="{C3EE38C0-7C42-44F9-B8F4-DECB770EDF20}"/>
  <tableColumns count="3">
    <tableColumn id="1" xr3:uid="{96AA33DB-B4D6-4A10-80BA-74431EFD2CCF}" name="Constraint"/>
    <tableColumn id="2" xr3:uid="{777AF16D-2F6D-4A09-934A-391D7C4789BB}" name="ft"/>
    <tableColumn id="3" xr3:uid="{68A33F43-9029-4CE9-BE21-A2A24913E6CE}" name="Column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5086F2-639B-4B19-AA7D-1DF69C29B4CB}" name="Table2" displayName="Table2" ref="I1:M11" totalsRowShown="0">
  <autoFilter ref="I1:M11" xr:uid="{3C5086F2-639B-4B19-AA7D-1DF69C29B4CB}"/>
  <tableColumns count="5">
    <tableColumn id="1" xr3:uid="{8F1A1365-B704-4926-BC47-06F6412557FA}" name="Engine Types "/>
    <tableColumn id="3" xr3:uid="{2C1E2E2D-2175-4E03-82FE-961459CF0FDA}" name="Weight (lbs)"/>
    <tableColumn id="4" xr3:uid="{7F8EE33E-150A-476B-AE45-371C79CCE11E}" name="Max Thrust"/>
    <tableColumn id="5" xr3:uid="{8EE67639-799F-4E26-818D-5D4DC7F29EBA}" name="length (in)"/>
    <tableColumn id="2" xr3:uid="{8A372877-9F69-457A-A354-D3E7641EE9D3}" name="Diameter (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68" dT="2025-03-20T01:11:24.88" personId="{CCE6F2ED-EF05-40C4-8CF7-8779AE797F81}" id="{D1FDF726-72B4-4AEE-A4C0-AC005285BB8E}">
    <text>@Chidester, Alexander D. Assuming what for thrust efficiency? My research shows about 0.75</text>
    <mentions>
      <mention mentionpersonId="{4ADA5442-4C0C-4594-BFB7-4CE9F96DCBEB}" mentionId="{4C3837AE-CA34-4C68-9E14-B21FAECE29D3}" startIndex="0" length="24"/>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P1" dT="2025-02-26T16:38:28.89" personId="{E987F8C8-4A93-4C6C-A93D-0FECDE46F820}" id="{45C6F20A-E145-47C6-9D64-8E167FD598EF}">
    <text>Double check formulas</text>
  </threadedComment>
  <threadedComment ref="C5" dT="2025-02-12T18:25:26.61" personId="{E987F8C8-4A93-4C6C-A93D-0FECDE46F820}" id="{C9BD8F85-C1ED-4B32-82B0-38CFA651D3BE}">
    <text>Estimate from Gudmenson’s book</text>
  </threadedComment>
  <threadedComment ref="C13" dT="2025-03-21T01:30:34.48" personId="{CCE6F2ED-EF05-40C4-8CF7-8779AE797F81}" id="{654F465D-1EEF-4E26-BE23-766F3BC0E41C}">
    <text>@Solomon, Percy is this value specifically in KTAS not KCAS? you can find the value for KTAS in the Drag tab</text>
    <mentions>
      <mention mentionpersonId="{F1A3825E-6CBC-4D02-9D4C-44FA2488DE96}" mentionId="{D5BE394F-4B22-4596-8242-326C56418E0D}" startIndex="0" length="15"/>
    </mentions>
  </threadedComment>
  <threadedComment ref="C14" dT="2025-02-17T16:28:57.46" personId="{E987F8C8-4A93-4C6C-A93D-0FECDE46F820}" id="{1654643E-1682-4C49-97D0-8292C87C6543}">
    <text>Estimated based on book</text>
  </threadedComment>
  <threadedComment ref="C20" dT="2025-02-17T16:29:17.79" personId="{E987F8C8-4A93-4C6C-A93D-0FECDE46F820}" id="{48A30A04-FD3B-4A65-8045-492E05DB091E}">
    <text>Estimated based on similar planes</text>
  </threadedComment>
  <threadedComment ref="C29" dT="2025-02-17T16:29:36.44" personId="{E987F8C8-4A93-4C6C-A93D-0FECDE46F820}" id="{02487A87-2051-447B-AC5C-5FB5904FA9B8}">
    <text>Based on chart in book</text>
  </threadedComment>
  <threadedComment ref="C30" dT="2025-02-17T16:29:54.25" personId="{E987F8C8-4A93-4C6C-A93D-0FECDE46F820}" id="{39A535F7-CC30-4728-BB35-DB3C57921893}">
    <text>Estimated based on chart in book</text>
  </threadedComment>
  <threadedComment ref="C32" dT="2025-02-17T16:30:18.88" personId="{E987F8C8-4A93-4C6C-A93D-0FECDE46F820}" id="{FBE87100-DAF8-4FBB-8931-68CA64F5CA73}">
    <text>Estimated based on book</text>
  </threadedComment>
</ThreadedComments>
</file>

<file path=xl/threadedComments/threadedComment3.xml><?xml version="1.0" encoding="utf-8"?>
<ThreadedComments xmlns="http://schemas.microsoft.com/office/spreadsheetml/2018/threadedcomments" xmlns:x="http://schemas.openxmlformats.org/spreadsheetml/2006/main">
  <threadedComment ref="P1" dT="2025-02-26T16:38:28.89" personId="{E987F8C8-4A93-4C6C-A93D-0FECDE46F820}" id="{741A5AFE-AD3F-454D-9714-AAC01F5AA3CA}">
    <text>Double check formulas</text>
  </threadedComment>
  <threadedComment ref="C5" dT="2025-02-12T18:25:26.61" personId="{E987F8C8-4A93-4C6C-A93D-0FECDE46F820}" id="{199419D7-7F9A-4902-A9F0-4AA2095B3876}">
    <text>Estimate from Gudmenson’s book</text>
  </threadedComment>
  <threadedComment ref="C13" dT="2025-03-21T01:30:34.48" personId="{CCE6F2ED-EF05-40C4-8CF7-8779AE797F81}" id="{8D76C0B8-7FDC-4DAE-972F-9A299B5CF455}">
    <text>@Solomon, Percy is this value specifically in KTAS not KCAS? you can find the value for KTAS in the Drag tab</text>
    <mentions>
      <mention mentionpersonId="{F1A3825E-6CBC-4D02-9D4C-44FA2488DE96}" mentionId="{15F0C545-219C-4D0E-A3BD-A31166474D5E}" startIndex="0" length="15"/>
    </mentions>
  </threadedComment>
  <threadedComment ref="C14" dT="2025-02-17T16:28:57.46" personId="{E987F8C8-4A93-4C6C-A93D-0FECDE46F820}" id="{EF6FEA49-9ACF-4055-9711-0E2BE9494020}">
    <text>Estimated based on book</text>
  </threadedComment>
  <threadedComment ref="C20" dT="2025-02-17T16:29:17.79" personId="{E987F8C8-4A93-4C6C-A93D-0FECDE46F820}" id="{9205BDFA-690C-44E7-89FA-F5A5A31B085B}">
    <text>Estimated based on similar planes</text>
  </threadedComment>
  <threadedComment ref="C29" dT="2025-02-17T16:29:36.44" personId="{E987F8C8-4A93-4C6C-A93D-0FECDE46F820}" id="{96D594BA-1BC5-47A2-B3CA-4289ECF8044D}">
    <text>Based on chart in book</text>
  </threadedComment>
  <threadedComment ref="C30" dT="2025-02-17T16:29:54.25" personId="{E987F8C8-4A93-4C6C-A93D-0FECDE46F820}" id="{3308A5C6-F1D8-42AE-B776-49ACC4073E99}">
    <text>Estimated based on chart in book</text>
  </threadedComment>
  <threadedComment ref="C32" dT="2025-02-17T16:30:18.88" personId="{E987F8C8-4A93-4C6C-A93D-0FECDE46F820}" id="{ECA35C34-6EB8-4B14-A18E-A7AC67F204C2}">
    <text>Estimated based on book</text>
  </threadedComment>
</ThreadedComments>
</file>

<file path=xl/threadedComments/threadedComment4.xml><?xml version="1.0" encoding="utf-8"?>
<ThreadedComments xmlns="http://schemas.microsoft.com/office/spreadsheetml/2018/threadedcomments" xmlns:x="http://schemas.openxmlformats.org/spreadsheetml/2006/main">
  <threadedComment ref="B23" dT="2025-03-28T15:12:26.28" personId="{CCE6F2ED-EF05-40C4-8CF7-8779AE797F81}" id="{B0617105-D461-481E-BFF8-4C86A3ADD076}">
    <text>@Nadolne, Kevin T. can you confirm/update these values as necessary</text>
    <mentions>
      <mention mentionpersonId="{0F1B70E2-BAB0-4DE3-94BF-596E7B66DE6C}" mentionId="{966AD547-B091-4CF9-898A-842C6D76687B}" startIndex="0" length="18"/>
    </mentions>
  </threadedComment>
  <threadedComment ref="C114" dT="2025-03-23T15:17:51.28" personId="{E987F8C8-4A93-4C6C-A93D-0FECDE46F820}" id="{C0B0D6C0-DCF8-46DC-92D9-695836453289}" done="1">
    <text>Check this guy</text>
  </threadedComment>
  <threadedComment ref="C143" dT="2025-03-24T14:47:30.32" personId="{E987F8C8-4A93-4C6C-A93D-0FECDE46F820}" id="{245186EC-B387-463C-952E-E3A9A7E2746C}">
    <text>And this one</text>
  </threadedComment>
  <threadedComment ref="C229" dT="2025-03-26T15:41:04.91" personId="{E987F8C8-4A93-4C6C-A93D-0FECDE46F820}" id="{6E1D99A7-710F-4D29-B3FF-9E906779973E}">
    <text>Check this guy</text>
  </threadedComment>
</ThreadedComments>
</file>

<file path=xl/threadedComments/threadedComment5.xml><?xml version="1.0" encoding="utf-8"?>
<ThreadedComments xmlns="http://schemas.microsoft.com/office/spreadsheetml/2018/threadedcomments" xmlns:x="http://schemas.openxmlformats.org/spreadsheetml/2006/main">
  <threadedComment ref="C25" dT="2025-04-02T23:16:31.07" personId="{CCE6F2ED-EF05-40C4-8CF7-8779AE797F81}" id="{29A24FAC-3E6B-4765-82F7-A13FB8B72666}">
    <text xml:space="preserve">@Chidester, Alexander D. Is this the bhp? </text>
    <mentions>
      <mention mentionpersonId="{4ADA5442-4C0C-4594-BFB7-4CE9F96DCBEB}" mentionId="{6CE7C4B2-165F-4E35-A410-730EF7206616}" startIndex="0" length="24"/>
    </mentions>
  </threadedComment>
  <threadedComment ref="C25" dT="2025-04-02T23:39:32.35" personId="{79CC07AE-E1F9-9F40-95D8-9C0E4BD01285}" id="{C202299A-9980-5C43-AE00-0CEA58614201}" parentId="{29A24FAC-3E6B-4765-82F7-A13FB8B72666}">
    <text>Yes, I’m going to adjust that page cause I think it’s wrong. I’m going to try and replicate the video gudmasson made</text>
  </threadedComment>
</ThreadedComments>
</file>

<file path=xl/threadedComments/threadedComment6.xml><?xml version="1.0" encoding="utf-8"?>
<ThreadedComments xmlns="http://schemas.microsoft.com/office/spreadsheetml/2018/threadedcomments" xmlns:x="http://schemas.openxmlformats.org/spreadsheetml/2006/main">
  <threadedComment ref="A53" dT="2025-03-27T19:18:45.12" personId="{CCE6F2ED-EF05-40C4-8CF7-8779AE797F81}" id="{3DFF37C3-0A25-44EF-99F5-5E3779210457}">
    <text>@Arroyo, Kiana when you get a chance, let's chat about the cost per unit so i dont fuck up your graphs</text>
    <mentions>
      <mention mentionpersonId="{14BA01F8-6B3B-4E4A-9EAE-400A272D3A87}" mentionId="{0107CDE2-2AC7-43CC-A51C-B7DE24250D1B}" startIndex="0" length="14"/>
    </mentions>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11.xml"/><Relationship Id="rId4"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3.xml"/><Relationship Id="rId4" Type="http://schemas.microsoft.com/office/2017/10/relationships/threadedComment" Target="../threadedComments/threadedComment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5.xml"/><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5.vml"/><Relationship Id="rId1" Type="http://schemas.openxmlformats.org/officeDocument/2006/relationships/drawing" Target="../drawings/drawing18.xml"/><Relationship Id="rId5" Type="http://schemas.microsoft.com/office/2017/10/relationships/threadedComment" Target="../threadedComments/threadedComment4.xml"/><Relationship Id="rId4" Type="http://schemas.openxmlformats.org/officeDocument/2006/relationships/comments" Target="../comments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9.xml"/><Relationship Id="rId4" Type="http://schemas.microsoft.com/office/2017/10/relationships/threadedComment" Target="../threadedComments/threadedComment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table" Target="../tables/table7.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7.xml"/><Relationship Id="rId1" Type="http://schemas.openxmlformats.org/officeDocument/2006/relationships/printerSettings" Target="../printerSettings/printerSettings3.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108"/>
  <sheetViews>
    <sheetView workbookViewId="0">
      <selection activeCell="C99" sqref="C99"/>
    </sheetView>
  </sheetViews>
  <sheetFormatPr defaultColWidth="8.42578125" defaultRowHeight="15"/>
  <cols>
    <col min="1" max="1" width="27.42578125" customWidth="1"/>
    <col min="3" max="3" width="10" bestFit="1" customWidth="1"/>
    <col min="5" max="5" width="21.42578125" customWidth="1"/>
    <col min="6" max="6" width="11.42578125" bestFit="1" customWidth="1"/>
  </cols>
  <sheetData>
    <row r="1" spans="1:11">
      <c r="A1" s="310" t="s">
        <v>0</v>
      </c>
      <c r="B1" s="311"/>
      <c r="C1" s="311"/>
      <c r="D1" s="311"/>
      <c r="E1" s="311"/>
      <c r="F1" s="311"/>
      <c r="G1" s="311"/>
      <c r="H1" s="311"/>
      <c r="I1" s="311"/>
      <c r="J1" s="311"/>
      <c r="K1" s="311"/>
    </row>
    <row r="2" spans="1:11">
      <c r="K2" s="5" t="s">
        <v>1</v>
      </c>
    </row>
    <row r="3" spans="1:11">
      <c r="A3" t="s">
        <v>2</v>
      </c>
      <c r="B3" t="s">
        <v>3</v>
      </c>
      <c r="K3" s="6" t="s">
        <v>4</v>
      </c>
    </row>
    <row r="4" spans="1:11">
      <c r="K4" s="170" t="s">
        <v>5</v>
      </c>
    </row>
    <row r="5" spans="1:11">
      <c r="A5" s="310" t="s">
        <v>6</v>
      </c>
      <c r="B5" s="311"/>
      <c r="C5" s="311"/>
      <c r="D5" s="311"/>
      <c r="E5" s="311"/>
      <c r="F5" s="311"/>
      <c r="G5" s="311"/>
      <c r="H5" s="311"/>
      <c r="I5" s="311"/>
      <c r="J5" s="311"/>
      <c r="K5" s="311"/>
    </row>
    <row r="6" spans="1:11">
      <c r="A6" s="22" t="s">
        <v>7</v>
      </c>
      <c r="B6" s="22" t="s">
        <v>8</v>
      </c>
      <c r="C6" s="22" t="s">
        <v>9</v>
      </c>
      <c r="D6" s="22" t="s">
        <v>10</v>
      </c>
      <c r="E6" s="22" t="s">
        <v>11</v>
      </c>
      <c r="F6" s="22"/>
    </row>
    <row r="7" spans="1:11" ht="17.100000000000001">
      <c r="A7" t="s">
        <v>12</v>
      </c>
      <c r="B7" s="9" t="s">
        <v>13</v>
      </c>
      <c r="C7" s="202">
        <f>SUM(C8,C12:C14)</f>
        <v>18875</v>
      </c>
      <c r="D7" t="s">
        <v>14</v>
      </c>
      <c r="E7" t="s">
        <v>15</v>
      </c>
      <c r="F7" t="s">
        <v>16</v>
      </c>
    </row>
    <row r="8" spans="1:11" ht="33">
      <c r="A8" t="s">
        <v>17</v>
      </c>
      <c r="B8" s="9" t="s">
        <v>18</v>
      </c>
      <c r="C8" s="202">
        <f>10875</f>
        <v>10875</v>
      </c>
      <c r="D8" t="s">
        <v>14</v>
      </c>
      <c r="E8" s="1" t="s">
        <v>19</v>
      </c>
    </row>
    <row r="9" spans="1:11">
      <c r="A9" t="s">
        <v>20</v>
      </c>
      <c r="B9" s="9"/>
      <c r="C9" s="235">
        <f>6800</f>
        <v>6800</v>
      </c>
      <c r="D9" t="s">
        <v>14</v>
      </c>
    </row>
    <row r="10" spans="1:11">
      <c r="A10" t="s">
        <v>21</v>
      </c>
      <c r="B10" s="9"/>
      <c r="C10" s="235">
        <v>2100</v>
      </c>
      <c r="D10" t="s">
        <v>14</v>
      </c>
    </row>
    <row r="11" spans="1:11">
      <c r="A11" t="s">
        <v>22</v>
      </c>
      <c r="B11" s="9"/>
      <c r="C11" s="235">
        <f>+(3.426+4.66)*2*32.174</f>
        <v>520.31792800000005</v>
      </c>
      <c r="D11" t="s">
        <v>14</v>
      </c>
    </row>
    <row r="12" spans="1:11" ht="17.100000000000001">
      <c r="A12" t="s">
        <v>23</v>
      </c>
      <c r="B12" s="9" t="s">
        <v>24</v>
      </c>
      <c r="C12" s="5">
        <v>3300</v>
      </c>
      <c r="D12" t="s">
        <v>14</v>
      </c>
      <c r="E12" t="s">
        <v>25</v>
      </c>
    </row>
    <row r="13" spans="1:11" ht="17.100000000000001">
      <c r="A13" t="s">
        <v>26</v>
      </c>
      <c r="B13" s="9" t="s">
        <v>27</v>
      </c>
      <c r="C13" s="5">
        <f>190*12+50*15+('Performance Electrical'!C6*2.2)</f>
        <v>4130</v>
      </c>
      <c r="D13" t="s">
        <v>14</v>
      </c>
      <c r="E13" t="s">
        <v>28</v>
      </c>
    </row>
    <row r="14" spans="1:11" ht="17.100000000000001">
      <c r="A14" t="s">
        <v>29</v>
      </c>
      <c r="B14" s="9" t="s">
        <v>30</v>
      </c>
      <c r="C14" s="5">
        <f>190*3</f>
        <v>570</v>
      </c>
      <c r="D14" t="s">
        <v>14</v>
      </c>
      <c r="E14" t="s">
        <v>31</v>
      </c>
    </row>
    <row r="15" spans="1:11" ht="17.100000000000001">
      <c r="A15" t="s">
        <v>32</v>
      </c>
      <c r="B15" s="9" t="s">
        <v>33</v>
      </c>
      <c r="C15" s="6">
        <f>C14+C12+C13</f>
        <v>8000</v>
      </c>
      <c r="D15" t="s">
        <v>14</v>
      </c>
      <c r="E15" t="s">
        <v>15</v>
      </c>
    </row>
    <row r="16" spans="1:11">
      <c r="B16" s="9"/>
    </row>
    <row r="17" spans="1:11">
      <c r="A17" t="s">
        <v>34</v>
      </c>
      <c r="B17" s="9" t="s">
        <v>35</v>
      </c>
      <c r="C17" s="47">
        <f>C7/C23</f>
        <v>39.645032556185676</v>
      </c>
      <c r="E17" t="s">
        <v>36</v>
      </c>
    </row>
    <row r="18" spans="1:11" ht="18">
      <c r="A18" t="s">
        <v>37</v>
      </c>
      <c r="B18" s="306" t="s">
        <v>38</v>
      </c>
      <c r="C18" s="47">
        <f>0.06*C23</f>
        <v>28.565999999999999</v>
      </c>
      <c r="D18" t="s">
        <v>39</v>
      </c>
    </row>
    <row r="19" spans="1:11" ht="18">
      <c r="A19" t="s">
        <v>40</v>
      </c>
      <c r="B19" s="306" t="s">
        <v>41</v>
      </c>
      <c r="C19" s="47">
        <f>0.25*C42</f>
        <v>54.093668760770882</v>
      </c>
      <c r="D19" t="s">
        <v>39</v>
      </c>
    </row>
    <row r="21" spans="1:11">
      <c r="A21" s="310" t="s">
        <v>42</v>
      </c>
      <c r="B21" s="311"/>
      <c r="C21" s="311"/>
      <c r="D21" s="311"/>
      <c r="E21" s="311"/>
      <c r="F21" s="311"/>
      <c r="G21" s="311"/>
      <c r="H21" s="311"/>
      <c r="I21" s="311"/>
      <c r="J21" s="311"/>
      <c r="K21" s="311"/>
    </row>
    <row r="22" spans="1:11">
      <c r="A22" s="7" t="s">
        <v>7</v>
      </c>
      <c r="B22" s="22" t="s">
        <v>8</v>
      </c>
      <c r="C22" s="8" t="s">
        <v>9</v>
      </c>
      <c r="D22" s="23" t="s">
        <v>10</v>
      </c>
      <c r="E22" s="22" t="s">
        <v>11</v>
      </c>
    </row>
    <row r="23" spans="1:11" ht="18">
      <c r="A23" t="s">
        <v>43</v>
      </c>
      <c r="B23" s="10" t="s">
        <v>44</v>
      </c>
      <c r="C23" s="47">
        <f>Geometry!C3</f>
        <v>476.1</v>
      </c>
      <c r="D23" t="s">
        <v>39</v>
      </c>
    </row>
    <row r="24" spans="1:11" ht="17.100000000000001">
      <c r="A24" t="s">
        <v>45</v>
      </c>
      <c r="B24" s="59" t="s">
        <v>46</v>
      </c>
      <c r="C24" s="47">
        <f>Geometry!C4</f>
        <v>10</v>
      </c>
    </row>
    <row r="25" spans="1:11" ht="17.100000000000001">
      <c r="A25" t="s">
        <v>47</v>
      </c>
      <c r="B25" s="10" t="s">
        <v>48</v>
      </c>
      <c r="C25" s="47">
        <f>Geometry!C7</f>
        <v>0.38</v>
      </c>
    </row>
    <row r="26" spans="1:11">
      <c r="A26" t="s">
        <v>49</v>
      </c>
      <c r="B26" s="10" t="s">
        <v>50</v>
      </c>
      <c r="C26" s="47">
        <f>Geometry!C8</f>
        <v>15</v>
      </c>
      <c r="D26" t="s">
        <v>51</v>
      </c>
      <c r="E26" t="s">
        <v>52</v>
      </c>
      <c r="H26" s="10"/>
    </row>
    <row r="27" spans="1:11" ht="17.100000000000001">
      <c r="A27" t="s">
        <v>53</v>
      </c>
      <c r="B27" s="59" t="s">
        <v>54</v>
      </c>
      <c r="C27" s="47">
        <f>Geometry!C9</f>
        <v>10</v>
      </c>
      <c r="D27" s="11" t="s">
        <v>55</v>
      </c>
    </row>
    <row r="28" spans="1:11" ht="17.100000000000001">
      <c r="B28" s="59" t="s">
        <v>54</v>
      </c>
      <c r="C28" s="47">
        <f>Geometry!C10</f>
        <v>0.17453292519943295</v>
      </c>
      <c r="D28" s="11" t="s">
        <v>56</v>
      </c>
    </row>
    <row r="29" spans="1:11" ht="17.100000000000001">
      <c r="A29" t="s">
        <v>57</v>
      </c>
      <c r="B29" s="59" t="s">
        <v>58</v>
      </c>
      <c r="C29" s="47">
        <f>Geometry!C11</f>
        <v>7.528633598871683</v>
      </c>
      <c r="D29" s="11" t="s">
        <v>59</v>
      </c>
    </row>
    <row r="30" spans="1:11" ht="17.100000000000001">
      <c r="B30" s="59" t="s">
        <v>58</v>
      </c>
      <c r="C30" s="47">
        <f>Geometry!C12</f>
        <v>0.13139944447658092</v>
      </c>
      <c r="D30" s="11" t="s">
        <v>56</v>
      </c>
      <c r="F30" s="9"/>
    </row>
    <row r="31" spans="1:11">
      <c r="A31" t="s">
        <v>60</v>
      </c>
      <c r="B31" s="59" t="s">
        <v>61</v>
      </c>
      <c r="C31" s="47">
        <f>Geometry!C13</f>
        <v>8.7233407294205534E-2</v>
      </c>
      <c r="D31" s="11" t="s">
        <v>56</v>
      </c>
      <c r="F31" s="9"/>
    </row>
    <row r="32" spans="1:11">
      <c r="B32" s="59" t="s">
        <v>61</v>
      </c>
      <c r="C32" s="47">
        <f>Geometry!C14</f>
        <v>4.9981060705037077</v>
      </c>
      <c r="D32" s="11" t="s">
        <v>55</v>
      </c>
      <c r="F32" s="9"/>
    </row>
    <row r="33" spans="1:11" ht="17.100000000000001">
      <c r="A33" t="s">
        <v>62</v>
      </c>
      <c r="B33" s="59" t="s">
        <v>63</v>
      </c>
      <c r="C33" s="47">
        <f>Geometry!C15</f>
        <v>0.17413833337751999</v>
      </c>
      <c r="D33" s="11" t="s">
        <v>56</v>
      </c>
      <c r="E33" s="9"/>
      <c r="F33" s="9"/>
    </row>
    <row r="34" spans="1:11" ht="17.100000000000001">
      <c r="B34" s="59" t="s">
        <v>63</v>
      </c>
      <c r="C34" s="47">
        <f>Geometry!C16</f>
        <v>9.9773915539740106</v>
      </c>
      <c r="D34" s="11" t="s">
        <v>55</v>
      </c>
      <c r="E34" s="9"/>
      <c r="F34" s="9"/>
    </row>
    <row r="35" spans="1:11" ht="17.100000000000001">
      <c r="A35" t="s">
        <v>64</v>
      </c>
      <c r="B35" s="10" t="s">
        <v>65</v>
      </c>
      <c r="C35" s="47">
        <f>Geometry!C17</f>
        <v>6.9</v>
      </c>
      <c r="D35" t="s">
        <v>66</v>
      </c>
      <c r="E35" t="s">
        <v>67</v>
      </c>
    </row>
    <row r="36" spans="1:11" ht="17.100000000000001">
      <c r="A36" t="s">
        <v>68</v>
      </c>
      <c r="B36" s="10" t="s">
        <v>69</v>
      </c>
      <c r="C36" s="47">
        <f>Geometry!C18</f>
        <v>10</v>
      </c>
      <c r="D36" t="s">
        <v>66</v>
      </c>
      <c r="E36" t="s">
        <v>67</v>
      </c>
    </row>
    <row r="37" spans="1:11" ht="17.100000000000001">
      <c r="A37" t="s">
        <v>70</v>
      </c>
      <c r="B37" s="10" t="s">
        <v>71</v>
      </c>
      <c r="C37" s="47">
        <f>Geometry!C19</f>
        <v>3.8</v>
      </c>
      <c r="D37" t="s">
        <v>66</v>
      </c>
      <c r="E37" t="s">
        <v>67</v>
      </c>
    </row>
    <row r="38" spans="1:11" ht="17.100000000000001">
      <c r="A38" t="s">
        <v>72</v>
      </c>
      <c r="B38" s="10" t="s">
        <v>73</v>
      </c>
      <c r="C38" s="47">
        <f>Geometry!C20</f>
        <v>7.3642512077294677</v>
      </c>
      <c r="D38" t="s">
        <v>66</v>
      </c>
      <c r="E38" t="s">
        <v>74</v>
      </c>
    </row>
    <row r="39" spans="1:11" ht="17.100000000000001">
      <c r="A39" t="s">
        <v>75</v>
      </c>
      <c r="B39" s="10" t="s">
        <v>76</v>
      </c>
      <c r="C39" s="47">
        <f>Geometry!C21</f>
        <v>69</v>
      </c>
      <c r="D39" t="s">
        <v>66</v>
      </c>
      <c r="E39" t="s">
        <v>77</v>
      </c>
      <c r="F39" t="s">
        <v>78</v>
      </c>
    </row>
    <row r="40" spans="1:11" ht="17.100000000000001">
      <c r="A40" t="s">
        <v>79</v>
      </c>
      <c r="B40" s="10" t="s">
        <v>80</v>
      </c>
      <c r="C40" s="47">
        <f>Geometry!C22</f>
        <v>2.5861290503908196</v>
      </c>
      <c r="D40" t="s">
        <v>66</v>
      </c>
      <c r="G40" s="69">
        <f>18.7+C40</f>
        <v>21.286129050390819</v>
      </c>
    </row>
    <row r="41" spans="1:11">
      <c r="A41" t="s">
        <v>81</v>
      </c>
      <c r="B41" s="9" t="s">
        <v>82</v>
      </c>
      <c r="C41" s="47">
        <f>Geometry!C23</f>
        <v>14.666666666666668</v>
      </c>
      <c r="D41" t="s">
        <v>66</v>
      </c>
    </row>
    <row r="42" spans="1:11" ht="18">
      <c r="A42" t="s">
        <v>83</v>
      </c>
      <c r="B42" s="306" t="s">
        <v>84</v>
      </c>
      <c r="C42" s="47">
        <f>C53*Geometry!C41/COS(RADIANS(45))</f>
        <v>216.37467504308353</v>
      </c>
      <c r="D42" t="s">
        <v>39</v>
      </c>
    </row>
    <row r="43" spans="1:11">
      <c r="B43" s="9"/>
      <c r="C43" s="69"/>
    </row>
    <row r="44" spans="1:11">
      <c r="B44" s="9"/>
      <c r="C44" s="69"/>
    </row>
    <row r="45" spans="1:11">
      <c r="A45" s="309" t="s">
        <v>85</v>
      </c>
      <c r="B45" s="309"/>
      <c r="C45" s="309"/>
      <c r="D45" s="309"/>
      <c r="E45" s="309"/>
      <c r="F45" s="309"/>
      <c r="G45" s="309"/>
      <c r="H45" s="309"/>
      <c r="I45" s="309"/>
      <c r="J45" s="309"/>
      <c r="K45" s="309"/>
    </row>
    <row r="46" spans="1:11">
      <c r="A46" s="7" t="s">
        <v>7</v>
      </c>
      <c r="B46" s="7" t="s">
        <v>8</v>
      </c>
      <c r="C46" s="7" t="str">
        <f>Geometry!C28</f>
        <v>VALUE</v>
      </c>
      <c r="D46" s="7" t="s">
        <v>10</v>
      </c>
      <c r="E46" s="7" t="s">
        <v>11</v>
      </c>
    </row>
    <row r="47" spans="1:11" ht="18">
      <c r="A47" t="s">
        <v>86</v>
      </c>
      <c r="B47" s="9" t="s">
        <v>87</v>
      </c>
      <c r="C47" s="47">
        <f>Geometry!C29</f>
        <v>108.18733752154175</v>
      </c>
      <c r="D47" t="s">
        <v>39</v>
      </c>
      <c r="E47" t="s">
        <v>88</v>
      </c>
    </row>
    <row r="48" spans="1:11" ht="17.100000000000001">
      <c r="A48" t="s">
        <v>89</v>
      </c>
      <c r="B48" s="9" t="s">
        <v>90</v>
      </c>
      <c r="C48" s="47">
        <f>Geometry!C30</f>
        <v>4.1594516540385147</v>
      </c>
    </row>
    <row r="49" spans="1:11">
      <c r="A49" t="s">
        <v>91</v>
      </c>
      <c r="B49" s="10" t="s">
        <v>92</v>
      </c>
      <c r="C49" s="47">
        <f>Geometry!C31</f>
        <v>0.72881355932203384</v>
      </c>
    </row>
    <row r="50" spans="1:11">
      <c r="A50" t="s">
        <v>49</v>
      </c>
      <c r="B50" s="9" t="s">
        <v>50</v>
      </c>
      <c r="C50" s="47">
        <f>Geometry!C32</f>
        <v>9</v>
      </c>
      <c r="D50" t="s">
        <v>51</v>
      </c>
      <c r="E50" s="58" t="s">
        <v>93</v>
      </c>
      <c r="F50" s="58"/>
      <c r="G50" s="58"/>
      <c r="H50" s="58"/>
    </row>
    <row r="51" spans="1:11">
      <c r="A51" t="s">
        <v>94</v>
      </c>
      <c r="B51" s="10" t="s">
        <v>95</v>
      </c>
      <c r="C51" s="47">
        <f>Geometry!C33</f>
        <v>30</v>
      </c>
      <c r="D51" s="11" t="s">
        <v>55</v>
      </c>
    </row>
    <row r="52" spans="1:11" ht="17.100000000000001">
      <c r="A52" t="s">
        <v>96</v>
      </c>
      <c r="B52" s="59" t="s">
        <v>63</v>
      </c>
      <c r="C52" s="47">
        <f>Geometry!C34</f>
        <v>0.52336267330928932</v>
      </c>
      <c r="D52" s="11" t="s">
        <v>56</v>
      </c>
    </row>
    <row r="53" spans="1:11" ht="17.100000000000001">
      <c r="A53" t="s">
        <v>97</v>
      </c>
      <c r="B53" s="9" t="s">
        <v>98</v>
      </c>
      <c r="C53" s="47">
        <f>Geometry!C35</f>
        <v>5.0999999999999996</v>
      </c>
      <c r="D53" t="s">
        <v>66</v>
      </c>
    </row>
    <row r="54" spans="1:11" ht="17.100000000000001">
      <c r="A54" t="s">
        <v>99</v>
      </c>
      <c r="B54" s="9" t="s">
        <v>100</v>
      </c>
      <c r="C54" s="47">
        <f>Geometry!C36</f>
        <v>5.9</v>
      </c>
      <c r="D54" t="s">
        <v>66</v>
      </c>
    </row>
    <row r="55" spans="1:11" ht="17.100000000000001">
      <c r="A55" t="s">
        <v>101</v>
      </c>
      <c r="B55" s="9" t="s">
        <v>102</v>
      </c>
      <c r="C55" s="47">
        <f>Geometry!C37</f>
        <v>4.3</v>
      </c>
      <c r="D55" t="s">
        <v>66</v>
      </c>
    </row>
    <row r="56" spans="1:11" ht="17.100000000000001">
      <c r="A56" t="s">
        <v>103</v>
      </c>
      <c r="B56" s="9" t="s">
        <v>104</v>
      </c>
      <c r="C56" s="47">
        <f>Geometry!C38</f>
        <v>21.213203435596423</v>
      </c>
      <c r="D56" t="s">
        <v>66</v>
      </c>
    </row>
    <row r="57" spans="1:11">
      <c r="A57" s="57" t="s">
        <v>79</v>
      </c>
      <c r="B57" s="9" t="s">
        <v>105</v>
      </c>
      <c r="C57" s="47">
        <f>Geometry!C39</f>
        <v>2.9017648096696131</v>
      </c>
      <c r="D57" t="s">
        <v>66</v>
      </c>
    </row>
    <row r="58" spans="1:11">
      <c r="A58" s="57" t="s">
        <v>81</v>
      </c>
      <c r="B58" s="9" t="s">
        <v>106</v>
      </c>
      <c r="C58" s="47">
        <f>Geometry!C40</f>
        <v>5.0260040819632046</v>
      </c>
      <c r="D58" t="s">
        <v>66</v>
      </c>
    </row>
    <row r="59" spans="1:11">
      <c r="C59" s="69"/>
    </row>
    <row r="60" spans="1:11">
      <c r="A60" s="309" t="s">
        <v>107</v>
      </c>
      <c r="B60" s="309"/>
      <c r="C60" s="309"/>
      <c r="D60" s="309"/>
      <c r="E60" s="309"/>
      <c r="F60" s="309"/>
      <c r="G60" s="309"/>
      <c r="H60" s="309"/>
      <c r="I60" s="309"/>
      <c r="J60" s="309"/>
      <c r="K60" s="309"/>
    </row>
    <row r="61" spans="1:11">
      <c r="A61" s="7" t="s">
        <v>7</v>
      </c>
      <c r="B61" s="7" t="s">
        <v>8</v>
      </c>
      <c r="C61" s="7" t="str">
        <f>Geometry!C44</f>
        <v>VALUE</v>
      </c>
      <c r="D61" s="7" t="s">
        <v>10</v>
      </c>
      <c r="E61" s="7" t="s">
        <v>11</v>
      </c>
    </row>
    <row r="62" spans="1:11" ht="18">
      <c r="A62" t="s">
        <v>108</v>
      </c>
      <c r="B62" s="9" t="s">
        <v>109</v>
      </c>
      <c r="C62" s="47">
        <f>Geometry!C45</f>
        <v>54.093668760770875</v>
      </c>
      <c r="D62" t="s">
        <v>39</v>
      </c>
      <c r="E62" t="s">
        <v>110</v>
      </c>
    </row>
    <row r="63" spans="1:11" ht="17.100000000000001">
      <c r="A63" t="s">
        <v>111</v>
      </c>
      <c r="B63" s="9" t="s">
        <v>112</v>
      </c>
      <c r="C63" s="47">
        <f>Geometry!C46</f>
        <v>4.1594516540385147</v>
      </c>
    </row>
    <row r="64" spans="1:11">
      <c r="A64" t="s">
        <v>113</v>
      </c>
      <c r="B64" s="10" t="s">
        <v>114</v>
      </c>
      <c r="C64" s="47">
        <f>Geometry!C47</f>
        <v>0.72881355932203384</v>
      </c>
    </row>
    <row r="65" spans="1:11">
      <c r="A65" t="s">
        <v>115</v>
      </c>
      <c r="B65" s="9" t="s">
        <v>50</v>
      </c>
      <c r="C65" s="47">
        <f>Geometry!C48</f>
        <v>9</v>
      </c>
      <c r="D65" t="s">
        <v>51</v>
      </c>
    </row>
    <row r="66" spans="1:11">
      <c r="A66" t="s">
        <v>116</v>
      </c>
      <c r="B66" s="10" t="s">
        <v>117</v>
      </c>
      <c r="C66" s="47">
        <f>Geometry!C49</f>
        <v>30</v>
      </c>
      <c r="D66" s="11" t="s">
        <v>55</v>
      </c>
    </row>
    <row r="67" spans="1:11" ht="17.100000000000001">
      <c r="A67" t="s">
        <v>64</v>
      </c>
      <c r="B67" s="9" t="s">
        <v>98</v>
      </c>
      <c r="C67" s="47">
        <f>Geometry!C50</f>
        <v>5.0999999999999996</v>
      </c>
      <c r="D67" t="s">
        <v>66</v>
      </c>
    </row>
    <row r="68" spans="1:11" ht="17.100000000000001">
      <c r="A68" t="s">
        <v>118</v>
      </c>
      <c r="B68" s="9" t="s">
        <v>119</v>
      </c>
      <c r="C68" s="47">
        <f>Geometry!C51</f>
        <v>5.9</v>
      </c>
      <c r="D68" t="s">
        <v>66</v>
      </c>
    </row>
    <row r="69" spans="1:11" ht="17.100000000000001">
      <c r="A69" t="s">
        <v>120</v>
      </c>
      <c r="B69" s="9" t="s">
        <v>121</v>
      </c>
      <c r="C69" s="47">
        <f>Geometry!C52</f>
        <v>4.3</v>
      </c>
      <c r="D69" t="s">
        <v>66</v>
      </c>
    </row>
    <row r="70" spans="1:11" ht="17.100000000000001">
      <c r="A70" t="s">
        <v>122</v>
      </c>
      <c r="B70" s="9" t="s">
        <v>123</v>
      </c>
      <c r="C70" s="47">
        <f>Geometry!C53</f>
        <v>10.606601717798211</v>
      </c>
      <c r="D70" t="s">
        <v>66</v>
      </c>
    </row>
    <row r="71" spans="1:11">
      <c r="C71" s="69"/>
    </row>
    <row r="72" spans="1:11">
      <c r="A72" s="309" t="s">
        <v>124</v>
      </c>
      <c r="B72" s="309"/>
      <c r="C72" s="309"/>
      <c r="D72" s="309"/>
      <c r="E72" s="309"/>
      <c r="F72" s="309"/>
      <c r="G72" s="309"/>
      <c r="H72" s="309"/>
      <c r="I72" s="309"/>
      <c r="J72" s="309"/>
      <c r="K72" s="309"/>
    </row>
    <row r="73" spans="1:11">
      <c r="A73" s="7" t="s">
        <v>7</v>
      </c>
      <c r="B73" s="7" t="s">
        <v>8</v>
      </c>
      <c r="C73" s="7" t="str">
        <f>Geometry!C56</f>
        <v>VALUE</v>
      </c>
      <c r="D73" s="7" t="s">
        <v>10</v>
      </c>
      <c r="E73" s="7" t="s">
        <v>11</v>
      </c>
    </row>
    <row r="74" spans="1:11" ht="18">
      <c r="A74" t="s">
        <v>125</v>
      </c>
      <c r="B74" s="9" t="s">
        <v>126</v>
      </c>
      <c r="C74" s="47">
        <f>Geometry!C57</f>
        <v>549.5101284139937</v>
      </c>
      <c r="D74" t="s">
        <v>39</v>
      </c>
      <c r="E74" s="147" t="s">
        <v>127</v>
      </c>
    </row>
    <row r="75" spans="1:11">
      <c r="A75" t="s">
        <v>128</v>
      </c>
      <c r="B75" s="9" t="s">
        <v>129</v>
      </c>
      <c r="C75" s="47">
        <f>Geometry!C58</f>
        <v>35</v>
      </c>
    </row>
    <row r="76" spans="1:11">
      <c r="A76" t="s">
        <v>130</v>
      </c>
      <c r="B76" s="9" t="s">
        <v>131</v>
      </c>
      <c r="C76" s="47">
        <f>Geometry!C59</f>
        <v>59</v>
      </c>
    </row>
    <row r="77" spans="1:11" ht="17.100000000000001">
      <c r="A77" t="s">
        <v>132</v>
      </c>
      <c r="B77" s="9" t="s">
        <v>133</v>
      </c>
      <c r="C77" s="47">
        <f>Geometry!C60</f>
        <v>21.047808147676818</v>
      </c>
      <c r="D77" t="s">
        <v>66</v>
      </c>
    </row>
    <row r="78" spans="1:11" ht="17.100000000000001">
      <c r="A78" t="s">
        <v>134</v>
      </c>
      <c r="B78" s="9" t="s">
        <v>135</v>
      </c>
      <c r="C78" s="47">
        <f>Geometry!C64</f>
        <v>7.8333300000000001</v>
      </c>
      <c r="D78" t="s">
        <v>66</v>
      </c>
    </row>
    <row r="79" spans="1:11" ht="17.100000000000001">
      <c r="A79" t="s">
        <v>136</v>
      </c>
      <c r="B79" s="9" t="s">
        <v>137</v>
      </c>
      <c r="C79" s="47">
        <f>Geometry!C65</f>
        <v>68</v>
      </c>
      <c r="D79" t="s">
        <v>66</v>
      </c>
    </row>
    <row r="80" spans="1:11" ht="17.100000000000001">
      <c r="A80" t="s">
        <v>138</v>
      </c>
      <c r="B80" s="9" t="s">
        <v>139</v>
      </c>
      <c r="C80" s="47">
        <f>Geometry!C66</f>
        <v>7.1666633400000004</v>
      </c>
      <c r="D80" t="s">
        <v>66</v>
      </c>
    </row>
    <row r="81" spans="1:11" ht="17.100000000000001">
      <c r="A81" t="s">
        <v>140</v>
      </c>
      <c r="B81" s="9" t="s">
        <v>141</v>
      </c>
      <c r="C81" s="47">
        <f>Geometry!C67</f>
        <v>2.5</v>
      </c>
      <c r="D81" t="s">
        <v>66</v>
      </c>
    </row>
    <row r="83" spans="1:11">
      <c r="A83" s="309" t="s">
        <v>142</v>
      </c>
      <c r="B83" s="309"/>
      <c r="C83" s="309"/>
      <c r="D83" s="309"/>
      <c r="E83" s="309"/>
      <c r="F83" s="309"/>
      <c r="G83" s="309"/>
      <c r="H83" s="309"/>
      <c r="I83" s="309"/>
      <c r="J83" s="309"/>
      <c r="K83" s="309"/>
    </row>
    <row r="84" spans="1:11">
      <c r="A84" s="7" t="s">
        <v>7</v>
      </c>
      <c r="B84" s="7" t="s">
        <v>8</v>
      </c>
      <c r="C84" s="7" t="s">
        <v>9</v>
      </c>
      <c r="D84" s="7" t="s">
        <v>10</v>
      </c>
      <c r="E84" s="7" t="s">
        <v>11</v>
      </c>
    </row>
    <row r="85" spans="1:11">
      <c r="A85" s="7" t="s">
        <v>143</v>
      </c>
    </row>
    <row r="86" spans="1:11" ht="17.100000000000001">
      <c r="A86" t="s">
        <v>144</v>
      </c>
      <c r="B86" s="9" t="s">
        <v>145</v>
      </c>
      <c r="C86" s="66">
        <f>Drag!C92</f>
        <v>1.5047746178408776E-2</v>
      </c>
      <c r="E86" t="s">
        <v>146</v>
      </c>
    </row>
    <row r="87" spans="1:11" ht="17.100000000000001">
      <c r="A87" t="s">
        <v>147</v>
      </c>
      <c r="B87" s="9" t="s">
        <v>148</v>
      </c>
      <c r="C87" s="66">
        <f>Drag!C68</f>
        <v>2.1154699302345863E-2</v>
      </c>
      <c r="E87" t="s">
        <v>149</v>
      </c>
    </row>
    <row r="88" spans="1:11" ht="17.100000000000001">
      <c r="A88" t="s">
        <v>150</v>
      </c>
      <c r="B88" s="9" t="s">
        <v>151</v>
      </c>
      <c r="C88" s="66">
        <f>C86+C87</f>
        <v>3.6202445480754637E-2</v>
      </c>
    </row>
    <row r="89" spans="1:11">
      <c r="A89" t="s">
        <v>152</v>
      </c>
      <c r="B89" s="9" t="s">
        <v>153</v>
      </c>
      <c r="C89" s="75">
        <f>1.78*(1-0.045*C24^0.68)-0.64</f>
        <v>0.75661729604956662</v>
      </c>
    </row>
    <row r="90" spans="1:11">
      <c r="A90" t="s">
        <v>154</v>
      </c>
      <c r="B90" s="9" t="s">
        <v>155</v>
      </c>
      <c r="C90" s="75"/>
    </row>
    <row r="91" spans="1:11">
      <c r="A91" t="s">
        <v>156</v>
      </c>
      <c r="B91" s="9" t="s">
        <v>157</v>
      </c>
      <c r="C91" s="47">
        <f>(1/2)*Drag!C12*(C105^2)</f>
        <v>39.578546834910036</v>
      </c>
      <c r="D91" t="s">
        <v>158</v>
      </c>
    </row>
    <row r="93" spans="1:11">
      <c r="A93" s="7" t="s">
        <v>159</v>
      </c>
    </row>
    <row r="94" spans="1:11" ht="17.100000000000001">
      <c r="A94" t="s">
        <v>160</v>
      </c>
      <c r="B94" s="9" t="s">
        <v>161</v>
      </c>
      <c r="C94" s="66">
        <f>Lift!C161</f>
        <v>-4.7505938242280287E-3</v>
      </c>
    </row>
    <row r="95" spans="1:11" ht="17.100000000000001">
      <c r="A95" t="s">
        <v>162</v>
      </c>
      <c r="B95" s="9" t="s">
        <v>163</v>
      </c>
      <c r="C95" s="66">
        <f>Lift!C76</f>
        <v>2.2232676824647108</v>
      </c>
    </row>
    <row r="96" spans="1:11" ht="17.100000000000001">
      <c r="A96" t="s">
        <v>164</v>
      </c>
      <c r="B96" s="9" t="s">
        <v>165</v>
      </c>
      <c r="C96" s="66">
        <f>Lift!C46</f>
        <v>9.7857172346848528E-2</v>
      </c>
      <c r="D96" t="s">
        <v>166</v>
      </c>
    </row>
    <row r="97" spans="1:11" ht="17.100000000000001">
      <c r="B97" s="9" t="s">
        <v>165</v>
      </c>
      <c r="C97" s="75">
        <f>Lift!C45</f>
        <v>5.6068029705587294</v>
      </c>
      <c r="D97" t="s">
        <v>167</v>
      </c>
    </row>
    <row r="98" spans="1:11" ht="17.100000000000001">
      <c r="A98" t="s">
        <v>168</v>
      </c>
      <c r="B98" s="9" t="s">
        <v>169</v>
      </c>
      <c r="C98" s="75">
        <f>Lift!C47</f>
        <v>0.39142868938739411</v>
      </c>
    </row>
    <row r="100" spans="1:11">
      <c r="A100" s="309" t="s">
        <v>170</v>
      </c>
      <c r="B100" s="309"/>
      <c r="C100" s="309"/>
      <c r="D100" s="309"/>
      <c r="E100" s="309"/>
      <c r="F100" s="309"/>
      <c r="G100" s="309"/>
      <c r="H100" s="309"/>
      <c r="I100" s="309"/>
      <c r="J100" s="309"/>
      <c r="K100" s="309"/>
    </row>
    <row r="101" spans="1:11">
      <c r="A101" s="7" t="s">
        <v>7</v>
      </c>
      <c r="B101" s="7" t="s">
        <v>8</v>
      </c>
      <c r="C101" s="7" t="s">
        <v>9</v>
      </c>
      <c r="D101" s="7" t="s">
        <v>10</v>
      </c>
      <c r="E101" s="7" t="s">
        <v>11</v>
      </c>
    </row>
    <row r="102" spans="1:11" ht="17.100000000000001">
      <c r="A102" t="s">
        <v>171</v>
      </c>
      <c r="B102" s="9" t="s">
        <v>172</v>
      </c>
      <c r="C102" s="5"/>
      <c r="D102" t="s">
        <v>173</v>
      </c>
      <c r="E102" t="s">
        <v>174</v>
      </c>
      <c r="F102" t="s">
        <v>175</v>
      </c>
    </row>
    <row r="103" spans="1:11" ht="17.100000000000001">
      <c r="A103" t="s">
        <v>176</v>
      </c>
      <c r="B103" s="9" t="s">
        <v>177</v>
      </c>
      <c r="C103" s="5"/>
      <c r="D103" t="s">
        <v>173</v>
      </c>
      <c r="E103" t="s">
        <v>174</v>
      </c>
    </row>
    <row r="104" spans="1:11">
      <c r="A104" t="s">
        <v>178</v>
      </c>
      <c r="B104" s="9" t="s">
        <v>179</v>
      </c>
      <c r="C104" s="5">
        <v>300</v>
      </c>
      <c r="D104" t="s">
        <v>173</v>
      </c>
    </row>
    <row r="105" spans="1:11" ht="17.100000000000001">
      <c r="A105" t="s">
        <v>180</v>
      </c>
      <c r="B105" s="9" t="s">
        <v>181</v>
      </c>
      <c r="C105" s="5">
        <v>230</v>
      </c>
      <c r="D105" t="s">
        <v>173</v>
      </c>
      <c r="E105" t="s">
        <v>182</v>
      </c>
    </row>
    <row r="106" spans="1:11" ht="17.100000000000001">
      <c r="B106" s="9" t="s">
        <v>181</v>
      </c>
      <c r="C106" s="76">
        <f>Drag!C8</f>
        <v>531.92740930825562</v>
      </c>
      <c r="D106" t="s">
        <v>183</v>
      </c>
    </row>
    <row r="107" spans="1:11">
      <c r="A107" t="s">
        <v>184</v>
      </c>
      <c r="B107" s="9" t="s">
        <v>185</v>
      </c>
      <c r="C107" s="47">
        <f>Drag!C9</f>
        <v>0.50310656472580884</v>
      </c>
      <c r="E107" t="s">
        <v>186</v>
      </c>
    </row>
    <row r="108" spans="1:11" ht="17.100000000000001">
      <c r="A108" t="s">
        <v>187</v>
      </c>
      <c r="B108" s="9" t="s">
        <v>188</v>
      </c>
      <c r="C108" s="5">
        <v>15000</v>
      </c>
      <c r="D108" t="s">
        <v>66</v>
      </c>
      <c r="E108" t="s">
        <v>182</v>
      </c>
    </row>
  </sheetData>
  <mergeCells count="8">
    <mergeCell ref="A83:K83"/>
    <mergeCell ref="A100:K100"/>
    <mergeCell ref="A1:K1"/>
    <mergeCell ref="A5:K5"/>
    <mergeCell ref="A21:K21"/>
    <mergeCell ref="A45:K45"/>
    <mergeCell ref="A60:K60"/>
    <mergeCell ref="A72:K7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ED4E8-927C-467F-944D-765C087D2DFA}">
  <sheetPr codeName="Sheet8"/>
  <dimension ref="A1:BR437"/>
  <sheetViews>
    <sheetView topLeftCell="B13" zoomScale="56" zoomScaleNormal="95" workbookViewId="0">
      <selection activeCell="C14" sqref="C14"/>
    </sheetView>
  </sheetViews>
  <sheetFormatPr defaultColWidth="8.42578125" defaultRowHeight="15"/>
  <cols>
    <col min="2" max="2" width="20.42578125" customWidth="1"/>
    <col min="4" max="4" width="17" customWidth="1"/>
    <col min="5" max="7" width="8.7109375" bestFit="1" customWidth="1"/>
    <col min="9" max="16" width="8.7109375" bestFit="1" customWidth="1"/>
    <col min="17" max="17" width="13.140625" bestFit="1" customWidth="1"/>
    <col min="18" max="30" width="8.7109375" bestFit="1" customWidth="1"/>
    <col min="33" max="35" width="8.7109375" bestFit="1" customWidth="1"/>
  </cols>
  <sheetData>
    <row r="1" spans="1:8">
      <c r="A1" s="320" t="s">
        <v>189</v>
      </c>
      <c r="B1" s="320"/>
      <c r="C1" s="320"/>
      <c r="D1" s="320"/>
      <c r="E1" s="320"/>
      <c r="F1" s="320"/>
      <c r="G1" s="320"/>
      <c r="H1" s="320"/>
    </row>
    <row r="2" spans="1:8">
      <c r="A2" s="319"/>
      <c r="B2" s="319"/>
      <c r="C2" s="8" t="s">
        <v>190</v>
      </c>
      <c r="D2" s="8" t="s">
        <v>191</v>
      </c>
      <c r="E2" s="8" t="s">
        <v>192</v>
      </c>
      <c r="F2" s="312" t="s">
        <v>193</v>
      </c>
      <c r="G2" s="312"/>
      <c r="H2" s="312"/>
    </row>
    <row r="3" spans="1:8">
      <c r="A3" s="312" t="s">
        <v>194</v>
      </c>
      <c r="B3" s="312"/>
      <c r="F3" s="314"/>
      <c r="G3" s="314"/>
      <c r="H3" s="314"/>
    </row>
    <row r="4" spans="1:8">
      <c r="A4" s="314" t="s">
        <v>43</v>
      </c>
      <c r="B4" s="314"/>
      <c r="C4" s="9" t="s">
        <v>195</v>
      </c>
      <c r="D4" s="69">
        <f>General!C23</f>
        <v>476.1</v>
      </c>
      <c r="E4" t="s">
        <v>196</v>
      </c>
      <c r="F4" s="314"/>
      <c r="G4" s="314"/>
      <c r="H4" s="314"/>
    </row>
    <row r="5" spans="1:8">
      <c r="A5" s="314" t="s">
        <v>72</v>
      </c>
      <c r="B5" s="314"/>
      <c r="C5" s="9" t="s">
        <v>197</v>
      </c>
      <c r="D5" s="69">
        <f>General!C38</f>
        <v>7.3642512077294677</v>
      </c>
      <c r="E5" t="s">
        <v>196</v>
      </c>
      <c r="F5" s="314"/>
      <c r="G5" s="314"/>
      <c r="H5" s="314"/>
    </row>
    <row r="6" spans="1:8">
      <c r="A6" s="314" t="s">
        <v>198</v>
      </c>
      <c r="B6" s="314"/>
      <c r="C6" s="9" t="s">
        <v>199</v>
      </c>
      <c r="D6">
        <f>General!C7</f>
        <v>18875</v>
      </c>
      <c r="E6" t="s">
        <v>14</v>
      </c>
      <c r="F6" s="314"/>
      <c r="G6" s="314"/>
      <c r="H6" s="314"/>
    </row>
    <row r="7" spans="1:8">
      <c r="A7" s="314"/>
      <c r="B7" s="314"/>
      <c r="C7" s="9" t="s">
        <v>200</v>
      </c>
      <c r="D7">
        <v>2.3779999999999999E-3</v>
      </c>
      <c r="E7" t="s">
        <v>201</v>
      </c>
      <c r="F7" s="314"/>
      <c r="G7" s="314"/>
      <c r="H7" s="314"/>
    </row>
    <row r="8" spans="1:8">
      <c r="A8" s="319"/>
      <c r="B8" s="319"/>
      <c r="C8" s="9" t="s">
        <v>202</v>
      </c>
      <c r="D8">
        <v>32.200000000000003</v>
      </c>
      <c r="E8" t="s">
        <v>203</v>
      </c>
      <c r="F8" s="58"/>
      <c r="G8" s="58"/>
      <c r="H8" s="58"/>
    </row>
    <row r="9" spans="1:8">
      <c r="A9" s="319" t="s">
        <v>204</v>
      </c>
      <c r="B9" s="319"/>
      <c r="C9" s="9" t="s">
        <v>205</v>
      </c>
      <c r="D9">
        <v>1.4</v>
      </c>
      <c r="F9" s="58"/>
      <c r="G9" s="58"/>
      <c r="H9" s="58"/>
    </row>
    <row r="10" spans="1:8">
      <c r="A10" s="58"/>
      <c r="B10" s="58"/>
      <c r="C10" s="9"/>
      <c r="F10" s="58"/>
      <c r="G10" s="58"/>
      <c r="H10" s="58"/>
    </row>
    <row r="11" spans="1:8">
      <c r="A11" s="321" t="s">
        <v>206</v>
      </c>
      <c r="B11" s="321"/>
      <c r="C11" s="9"/>
      <c r="F11" s="314"/>
      <c r="G11" s="314"/>
      <c r="H11" s="314"/>
    </row>
    <row r="12" spans="1:8">
      <c r="A12" s="314" t="s">
        <v>207</v>
      </c>
      <c r="B12" s="314"/>
      <c r="C12" s="9" t="s">
        <v>208</v>
      </c>
      <c r="D12" s="69">
        <f>Lift!C76</f>
        <v>2.2232676824647108</v>
      </c>
      <c r="F12" s="314"/>
      <c r="G12" s="314"/>
      <c r="H12" s="314"/>
    </row>
    <row r="13" spans="1:8">
      <c r="A13" s="314" t="s">
        <v>209</v>
      </c>
      <c r="B13" s="314"/>
      <c r="C13" s="9" t="s">
        <v>210</v>
      </c>
      <c r="D13">
        <v>-1</v>
      </c>
      <c r="F13" s="314"/>
      <c r="G13" s="314"/>
      <c r="H13" s="314"/>
    </row>
    <row r="14" spans="1:8">
      <c r="A14" s="314" t="s">
        <v>211</v>
      </c>
      <c r="B14" s="314"/>
      <c r="C14" s="9" t="s">
        <v>212</v>
      </c>
      <c r="D14" s="69">
        <f>Lift!C60</f>
        <v>91.394094063596299</v>
      </c>
      <c r="E14" t="s">
        <v>213</v>
      </c>
      <c r="F14" s="314"/>
      <c r="G14" s="314"/>
      <c r="H14" s="314"/>
    </row>
    <row r="15" spans="1:8">
      <c r="A15" s="314" t="s">
        <v>214</v>
      </c>
      <c r="B15" s="314"/>
      <c r="C15" s="9" t="s">
        <v>212</v>
      </c>
      <c r="D15">
        <f>D14*SQRT(D9)</f>
        <v>108.13895043686934</v>
      </c>
      <c r="E15" t="s">
        <v>213</v>
      </c>
      <c r="F15" s="314"/>
      <c r="G15" s="314"/>
      <c r="H15" s="314"/>
    </row>
    <row r="16" spans="1:8">
      <c r="A16" s="314" t="s">
        <v>215</v>
      </c>
      <c r="B16" s="314"/>
      <c r="C16" s="9" t="s">
        <v>216</v>
      </c>
      <c r="D16" s="98">
        <f>1.4*D14</f>
        <v>127.95173168903482</v>
      </c>
      <c r="E16" t="s">
        <v>213</v>
      </c>
      <c r="F16" s="314"/>
      <c r="G16" s="314"/>
      <c r="H16" s="314"/>
    </row>
    <row r="17" spans="1:8">
      <c r="A17" s="58"/>
      <c r="B17" s="58"/>
      <c r="C17" s="9" t="s">
        <v>217</v>
      </c>
      <c r="D17" s="98">
        <f>DEGREES(Lift!C157)</f>
        <v>6.8042247117882937</v>
      </c>
      <c r="E17" t="s">
        <v>167</v>
      </c>
      <c r="F17" s="58"/>
      <c r="G17" s="58"/>
      <c r="H17" s="58"/>
    </row>
    <row r="19" spans="1:8">
      <c r="A19" s="321" t="s">
        <v>218</v>
      </c>
      <c r="B19" s="321"/>
      <c r="C19" s="9"/>
      <c r="F19" s="314"/>
      <c r="G19" s="314"/>
      <c r="H19" s="314"/>
    </row>
    <row r="20" spans="1:8">
      <c r="A20" s="314" t="s">
        <v>219</v>
      </c>
      <c r="B20" s="314"/>
      <c r="C20" s="9" t="s">
        <v>220</v>
      </c>
      <c r="D20" s="69">
        <f>2.1+(24000/(General!C7+10000))</f>
        <v>2.9311688311688311</v>
      </c>
      <c r="E20" t="s">
        <v>221</v>
      </c>
      <c r="F20" s="314" t="s">
        <v>222</v>
      </c>
      <c r="G20" s="314"/>
      <c r="H20" s="314"/>
    </row>
    <row r="21" spans="1:8">
      <c r="A21" s="314" t="s">
        <v>223</v>
      </c>
      <c r="B21" s="314"/>
      <c r="C21" s="9" t="s">
        <v>224</v>
      </c>
      <c r="D21" s="69">
        <f>-0.4*D20</f>
        <v>-1.1724675324675324</v>
      </c>
      <c r="E21" t="s">
        <v>221</v>
      </c>
      <c r="F21" s="314"/>
      <c r="G21" s="314"/>
      <c r="H21" s="314"/>
    </row>
    <row r="22" spans="1:8">
      <c r="A22" s="314"/>
      <c r="B22" s="314"/>
      <c r="C22" s="9"/>
      <c r="F22" s="314"/>
      <c r="G22" s="314"/>
      <c r="H22" s="314"/>
    </row>
    <row r="23" spans="1:8">
      <c r="A23" s="321" t="s">
        <v>225</v>
      </c>
      <c r="B23" s="321"/>
      <c r="C23" s="9"/>
      <c r="F23" s="314"/>
      <c r="G23" s="314"/>
      <c r="H23" s="314"/>
    </row>
    <row r="24" spans="1:8">
      <c r="A24" s="314" t="s">
        <v>226</v>
      </c>
      <c r="B24" s="314"/>
      <c r="C24" s="9" t="s">
        <v>227</v>
      </c>
      <c r="D24">
        <f>D14*SQRT(D20)</f>
        <v>156.47269016040096</v>
      </c>
      <c r="F24" s="314"/>
      <c r="G24" s="314"/>
      <c r="H24" s="314"/>
    </row>
    <row r="25" spans="1:8">
      <c r="A25" s="314" t="s">
        <v>228</v>
      </c>
      <c r="B25" s="314"/>
      <c r="C25" s="9" t="s">
        <v>229</v>
      </c>
      <c r="D25" s="98">
        <f>D16</f>
        <v>127.95173168903482</v>
      </c>
      <c r="F25" s="314"/>
      <c r="G25" s="314"/>
      <c r="H25" s="314"/>
    </row>
    <row r="26" spans="1:8">
      <c r="A26" s="314" t="s">
        <v>230</v>
      </c>
      <c r="B26" s="314"/>
      <c r="C26" s="9" t="s">
        <v>231</v>
      </c>
      <c r="D26">
        <f>General!C104</f>
        <v>300</v>
      </c>
      <c r="F26" s="314"/>
      <c r="G26" s="314"/>
      <c r="H26" s="314"/>
    </row>
    <row r="27" spans="1:8">
      <c r="A27" s="314" t="s">
        <v>232</v>
      </c>
      <c r="B27" s="314"/>
      <c r="C27" s="9" t="s">
        <v>233</v>
      </c>
      <c r="D27">
        <f>33*SQRT(D6/D4)</f>
        <v>207.78219474653307</v>
      </c>
      <c r="E27" t="s">
        <v>234</v>
      </c>
      <c r="F27" s="314"/>
      <c r="G27" s="314"/>
      <c r="H27" s="314"/>
    </row>
    <row r="28" spans="1:8">
      <c r="A28" s="314" t="s">
        <v>235</v>
      </c>
      <c r="B28" s="314"/>
      <c r="C28" s="9" t="s">
        <v>236</v>
      </c>
      <c r="D28">
        <f>0.9*D26</f>
        <v>270</v>
      </c>
      <c r="F28" s="314"/>
      <c r="G28" s="314"/>
      <c r="H28" s="314"/>
    </row>
    <row r="29" spans="1:8">
      <c r="A29" s="314" t="s">
        <v>237</v>
      </c>
      <c r="B29" s="314"/>
      <c r="C29" s="9" t="s">
        <v>238</v>
      </c>
      <c r="D29">
        <f>General!C105</f>
        <v>230</v>
      </c>
      <c r="F29" s="314"/>
      <c r="G29" s="314"/>
      <c r="H29" s="314"/>
    </row>
    <row r="30" spans="1:8">
      <c r="A30" s="314" t="s">
        <v>239</v>
      </c>
      <c r="B30" s="314"/>
      <c r="C30" s="9" t="s">
        <v>240</v>
      </c>
      <c r="D30">
        <f>1.4*D28</f>
        <v>378</v>
      </c>
      <c r="F30" s="314"/>
      <c r="G30" s="314"/>
      <c r="H30" s="314"/>
    </row>
    <row r="31" spans="1:8">
      <c r="A31" s="314"/>
      <c r="B31" s="314"/>
      <c r="C31" s="9" t="s">
        <v>241</v>
      </c>
      <c r="D31">
        <f>SQRT((2*ABS(D21)*D6)/(D7*D4*ABS(D13)))</f>
        <v>197.721490063907</v>
      </c>
      <c r="F31" s="314"/>
      <c r="G31" s="314"/>
      <c r="H31" s="314"/>
    </row>
    <row r="32" spans="1:8">
      <c r="A32" s="314" t="s">
        <v>242</v>
      </c>
      <c r="B32" s="314"/>
      <c r="C32" s="9" t="s">
        <v>243</v>
      </c>
      <c r="F32" s="314"/>
      <c r="G32" s="314"/>
      <c r="H32" s="314"/>
    </row>
    <row r="33" spans="1:70">
      <c r="A33" s="58"/>
      <c r="B33" s="58"/>
      <c r="C33" s="9" t="s">
        <v>244</v>
      </c>
      <c r="D33">
        <v>-50</v>
      </c>
      <c r="E33">
        <v>-25</v>
      </c>
      <c r="F33" s="58">
        <v>25</v>
      </c>
      <c r="G33" s="58">
        <v>50</v>
      </c>
      <c r="H33" s="58"/>
    </row>
    <row r="34" spans="1:70">
      <c r="A34" s="58"/>
      <c r="B34" s="58"/>
      <c r="C34" s="9" t="s">
        <v>245</v>
      </c>
      <c r="D34" t="e">
        <f>(D33/2)*(1-COS((2*PI()*#REF!)/(25*D5)))</f>
        <v>#REF!</v>
      </c>
      <c r="F34" s="58"/>
      <c r="G34" s="58"/>
      <c r="H34" s="58"/>
    </row>
    <row r="35" spans="1:70">
      <c r="A35" s="314"/>
      <c r="B35" s="314"/>
      <c r="F35" s="314"/>
      <c r="G35" s="314"/>
      <c r="H35" s="314"/>
    </row>
    <row r="36" spans="1:70">
      <c r="A36" s="314"/>
      <c r="B36" s="314"/>
      <c r="C36" s="9" t="s">
        <v>246</v>
      </c>
      <c r="D36">
        <f>(2*(D6/D4))/(D7*D5*D17*D8)</f>
        <v>20.665399717241677</v>
      </c>
      <c r="F36" s="314"/>
      <c r="G36" s="314"/>
      <c r="H36" s="314"/>
      <c r="I36" t="s">
        <v>241</v>
      </c>
      <c r="J36" t="s">
        <v>238</v>
      </c>
      <c r="K36" t="s">
        <v>240</v>
      </c>
      <c r="L36" t="s">
        <v>227</v>
      </c>
      <c r="M36" t="s">
        <v>247</v>
      </c>
      <c r="N36" t="s">
        <v>248</v>
      </c>
      <c r="O36" t="s">
        <v>249</v>
      </c>
      <c r="P36" t="s">
        <v>250</v>
      </c>
      <c r="Q36" t="s">
        <v>251</v>
      </c>
      <c r="R36" t="s">
        <v>252</v>
      </c>
      <c r="S36" t="s">
        <v>253</v>
      </c>
      <c r="T36" t="s">
        <v>254</v>
      </c>
      <c r="U36" t="s">
        <v>255</v>
      </c>
      <c r="V36" t="s">
        <v>256</v>
      </c>
      <c r="W36" t="s">
        <v>220</v>
      </c>
      <c r="X36" t="s">
        <v>224</v>
      </c>
      <c r="Y36" t="s">
        <v>252</v>
      </c>
      <c r="Z36" t="s">
        <v>255</v>
      </c>
    </row>
    <row r="37" spans="1:70">
      <c r="A37" s="314"/>
      <c r="B37" s="314"/>
      <c r="C37" s="9" t="s">
        <v>257</v>
      </c>
      <c r="D37">
        <f>(0.88*D36)/(5.3+D36)</f>
        <v>0.70037634502876578</v>
      </c>
      <c r="F37" s="314"/>
      <c r="G37" s="314"/>
      <c r="H37" s="314"/>
      <c r="I37">
        <f>$D$31</f>
        <v>197.721490063907</v>
      </c>
      <c r="J37">
        <f>$D$29</f>
        <v>230</v>
      </c>
      <c r="K37">
        <f>$D$30</f>
        <v>378</v>
      </c>
      <c r="L37">
        <f>$D$24</f>
        <v>156.47269016040096</v>
      </c>
      <c r="M37">
        <f>$D$15</f>
        <v>108.13895043686934</v>
      </c>
      <c r="N37" s="69">
        <f>$D$14</f>
        <v>91.394094063596299</v>
      </c>
      <c r="O37">
        <v>0</v>
      </c>
      <c r="P37">
        <f t="shared" ref="P37:P100" si="0">0.003388*(O37^2*$D$4*$D$12)/$D$6</f>
        <v>0</v>
      </c>
      <c r="Q37">
        <f>-0.003388*(O37^2*$D$4*ABS($D$13)/$D$6)</f>
        <v>0</v>
      </c>
      <c r="R37">
        <f t="shared" ref="R37:R100" si="1">1+(($D$37*D$33*$O37*$D$17)/(498*($D$6/$D$4)))</f>
        <v>1</v>
      </c>
      <c r="S37">
        <f t="shared" ref="S37:S100" si="2">1+(($D$37*E$33*$O37*$D$17)/(498*($D$6/$D$4)))</f>
        <v>1</v>
      </c>
      <c r="T37">
        <f t="shared" ref="T37:T100" si="3">1+(($D$37*F$33*$O37*$D$17)/(498*($D$6/$D$4)))</f>
        <v>1</v>
      </c>
      <c r="U37">
        <f t="shared" ref="U37:U100" si="4">1+(($D$37*G$33*$O37*$D$17)/(498*($D$6/$D$4)))</f>
        <v>1</v>
      </c>
      <c r="V37">
        <v>-3</v>
      </c>
      <c r="W37" s="69">
        <f>$D$20</f>
        <v>2.9311688311688311</v>
      </c>
      <c r="X37" s="69">
        <f>$D$21</f>
        <v>-1.1724675324675324</v>
      </c>
      <c r="Y37">
        <f>1+(($D$37*D$33*$O37*$D$17)/(498*($D$6/$D$4)))</f>
        <v>1</v>
      </c>
      <c r="Z37">
        <f>1+(($D$37*G$33*$O37*$D$17)/(498*($D$6/$D$4)))</f>
        <v>1</v>
      </c>
      <c r="AA37">
        <v>378</v>
      </c>
      <c r="AB37" s="237">
        <v>-1.5489635911283322</v>
      </c>
      <c r="AC37">
        <v>378</v>
      </c>
      <c r="AD37" s="237">
        <v>3.5489635911283322</v>
      </c>
      <c r="AG37" s="315" t="s">
        <v>258</v>
      </c>
      <c r="AH37" s="316"/>
      <c r="AI37" s="315" t="s">
        <v>259</v>
      </c>
      <c r="AJ37" s="316"/>
      <c r="AK37" s="315" t="s">
        <v>241</v>
      </c>
      <c r="AL37" s="316"/>
      <c r="AM37" s="315" t="s">
        <v>238</v>
      </c>
      <c r="AN37" s="316"/>
      <c r="AO37" s="315" t="s">
        <v>240</v>
      </c>
      <c r="AP37" s="316"/>
      <c r="AQ37" s="315" t="s">
        <v>227</v>
      </c>
      <c r="AR37" s="316"/>
      <c r="AS37" s="315" t="s">
        <v>248</v>
      </c>
      <c r="AT37" s="316"/>
      <c r="AU37" s="315" t="s">
        <v>247</v>
      </c>
      <c r="AV37" s="316"/>
      <c r="AW37" s="317" t="s">
        <v>252</v>
      </c>
      <c r="AX37" s="318"/>
      <c r="AY37" s="317" t="s">
        <v>253</v>
      </c>
      <c r="AZ37" s="318"/>
      <c r="BA37" s="317" t="s">
        <v>254</v>
      </c>
      <c r="BB37" s="318"/>
      <c r="BC37" s="317" t="s">
        <v>255</v>
      </c>
      <c r="BD37" s="318"/>
      <c r="BE37" s="315" t="s">
        <v>252</v>
      </c>
      <c r="BF37" s="316"/>
      <c r="BG37" s="315" t="s">
        <v>255</v>
      </c>
      <c r="BH37" s="316"/>
      <c r="BI37" s="315" t="s">
        <v>220</v>
      </c>
      <c r="BJ37" s="316"/>
      <c r="BK37" s="315" t="s">
        <v>224</v>
      </c>
      <c r="BL37" s="316"/>
      <c r="BM37" s="313" t="s">
        <v>260</v>
      </c>
      <c r="BN37" s="312"/>
      <c r="BO37" s="312" t="s">
        <v>261</v>
      </c>
      <c r="BP37" s="312"/>
      <c r="BQ37" s="312" t="s">
        <v>262</v>
      </c>
      <c r="BR37" s="312"/>
    </row>
    <row r="38" spans="1:70">
      <c r="A38" s="314"/>
      <c r="B38" s="314"/>
      <c r="F38" s="314"/>
      <c r="G38" s="314"/>
      <c r="H38" s="314"/>
      <c r="I38">
        <f t="shared" ref="I38:I101" si="5">$D$31</f>
        <v>197.721490063907</v>
      </c>
      <c r="J38">
        <f t="shared" ref="J38:J101" si="6">$D$29</f>
        <v>230</v>
      </c>
      <c r="K38">
        <f t="shared" ref="K38:K101" si="7">$D$30</f>
        <v>378</v>
      </c>
      <c r="L38">
        <f t="shared" ref="L38:L101" si="8">$D$24</f>
        <v>156.47269016040096</v>
      </c>
      <c r="M38">
        <f t="shared" ref="M38:M101" si="9">$D$15</f>
        <v>108.13895043686934</v>
      </c>
      <c r="N38" s="69">
        <f t="shared" ref="N38:N101" si="10">$D$14</f>
        <v>91.394094063596299</v>
      </c>
      <c r="O38">
        <v>1</v>
      </c>
      <c r="P38">
        <f t="shared" si="0"/>
        <v>1.8999684002063414E-4</v>
      </c>
      <c r="Q38">
        <f t="shared" ref="Q38:Q101" si="11">-0.003388*(O38^2*$D$4*ABS($D$13)/$D$6)</f>
        <v>-8.5458373509933778E-5</v>
      </c>
      <c r="R38">
        <f t="shared" si="1"/>
        <v>0.98793125808571358</v>
      </c>
      <c r="S38">
        <f t="shared" si="2"/>
        <v>0.99396562904285679</v>
      </c>
      <c r="T38">
        <f t="shared" si="3"/>
        <v>1.0060343709571431</v>
      </c>
      <c r="U38">
        <f t="shared" si="4"/>
        <v>1.0120687419142864</v>
      </c>
      <c r="V38">
        <v>-2.98</v>
      </c>
      <c r="W38" s="69">
        <f t="shared" ref="W38:W101" si="12">$D$20</f>
        <v>2.9311688311688311</v>
      </c>
      <c r="X38" s="69">
        <f t="shared" ref="X38:X101" si="13">$D$21</f>
        <v>-1.1724675324675324</v>
      </c>
      <c r="Y38">
        <f t="shared" ref="Y38:Y101" si="14">1+(($D$37*D$33*$O38*$D$17)/(498*($D$6/$D$4)))</f>
        <v>0.98793125808571358</v>
      </c>
      <c r="Z38">
        <f t="shared" ref="Z38:Z101" si="15">1+(($D$37*G$33*$O38*$D$17)/(498*($D$6/$D$4)))</f>
        <v>1.0120687419142864</v>
      </c>
      <c r="AA38">
        <v>250</v>
      </c>
      <c r="AB38" s="19">
        <v>-2.3716449618099626</v>
      </c>
      <c r="AC38">
        <v>250</v>
      </c>
      <c r="AD38">
        <v>4.3716449618099631</v>
      </c>
      <c r="AG38" s="133" t="s">
        <v>249</v>
      </c>
      <c r="AH38" s="243" t="s">
        <v>205</v>
      </c>
      <c r="AI38" s="133" t="s">
        <v>249</v>
      </c>
      <c r="AJ38" s="243" t="s">
        <v>205</v>
      </c>
      <c r="AK38" s="133" t="s">
        <v>249</v>
      </c>
      <c r="AL38" s="243" t="s">
        <v>205</v>
      </c>
      <c r="AM38" s="133" t="s">
        <v>249</v>
      </c>
      <c r="AN38" s="243" t="s">
        <v>205</v>
      </c>
      <c r="AO38" s="133" t="s">
        <v>249</v>
      </c>
      <c r="AP38" s="243" t="s">
        <v>205</v>
      </c>
      <c r="AQ38" s="133" t="s">
        <v>249</v>
      </c>
      <c r="AR38" s="243" t="s">
        <v>205</v>
      </c>
      <c r="AS38" s="133" t="s">
        <v>249</v>
      </c>
      <c r="AT38" s="243" t="s">
        <v>205</v>
      </c>
      <c r="AU38" s="133" t="s">
        <v>249</v>
      </c>
      <c r="AV38" s="243" t="s">
        <v>205</v>
      </c>
      <c r="AW38" s="247" t="s">
        <v>249</v>
      </c>
      <c r="AX38" s="248" t="s">
        <v>205</v>
      </c>
      <c r="AY38" s="247" t="s">
        <v>249</v>
      </c>
      <c r="AZ38" s="248" t="s">
        <v>205</v>
      </c>
      <c r="BA38" s="247" t="s">
        <v>249</v>
      </c>
      <c r="BB38" s="248" t="s">
        <v>205</v>
      </c>
      <c r="BC38" s="247" t="s">
        <v>249</v>
      </c>
      <c r="BD38" s="248" t="s">
        <v>205</v>
      </c>
      <c r="BE38" s="133" t="s">
        <v>249</v>
      </c>
      <c r="BF38" s="243" t="s">
        <v>205</v>
      </c>
      <c r="BG38" s="133" t="s">
        <v>249</v>
      </c>
      <c r="BH38" s="243" t="s">
        <v>205</v>
      </c>
      <c r="BI38" s="133" t="s">
        <v>249</v>
      </c>
      <c r="BJ38" s="243" t="s">
        <v>205</v>
      </c>
      <c r="BK38" s="133" t="s">
        <v>249</v>
      </c>
      <c r="BL38" s="243" t="s">
        <v>205</v>
      </c>
      <c r="BM38" s="7" t="s">
        <v>249</v>
      </c>
      <c r="BN38" s="7" t="s">
        <v>205</v>
      </c>
      <c r="BO38" s="7" t="s">
        <v>249</v>
      </c>
      <c r="BP38" s="7" t="s">
        <v>205</v>
      </c>
      <c r="BQ38" s="7" t="s">
        <v>249</v>
      </c>
      <c r="BR38" s="7" t="s">
        <v>205</v>
      </c>
    </row>
    <row r="39" spans="1:70">
      <c r="A39" s="314"/>
      <c r="B39" s="314"/>
      <c r="F39" s="314"/>
      <c r="G39" s="314"/>
      <c r="H39" s="314"/>
      <c r="I39">
        <f t="shared" si="5"/>
        <v>197.721490063907</v>
      </c>
      <c r="J39">
        <f t="shared" si="6"/>
        <v>230</v>
      </c>
      <c r="K39">
        <f t="shared" si="7"/>
        <v>378</v>
      </c>
      <c r="L39">
        <f t="shared" si="8"/>
        <v>156.47269016040096</v>
      </c>
      <c r="M39">
        <f t="shared" si="9"/>
        <v>108.13895043686934</v>
      </c>
      <c r="N39" s="69">
        <f t="shared" si="10"/>
        <v>91.394094063596299</v>
      </c>
      <c r="O39">
        <v>2</v>
      </c>
      <c r="P39">
        <f t="shared" si="0"/>
        <v>7.5998736008253654E-4</v>
      </c>
      <c r="Q39">
        <f t="shared" si="11"/>
        <v>-3.4183349403973511E-4</v>
      </c>
      <c r="R39">
        <f t="shared" si="1"/>
        <v>0.97586251617142727</v>
      </c>
      <c r="S39">
        <f t="shared" si="2"/>
        <v>0.98793125808571358</v>
      </c>
      <c r="T39">
        <f t="shared" si="3"/>
        <v>1.0120687419142864</v>
      </c>
      <c r="U39">
        <f t="shared" si="4"/>
        <v>1.0241374838285728</v>
      </c>
      <c r="V39">
        <v>-2.96</v>
      </c>
      <c r="W39" s="69">
        <f t="shared" si="12"/>
        <v>2.9311688311688311</v>
      </c>
      <c r="X39" s="69">
        <f t="shared" si="13"/>
        <v>-1.1724675324675324</v>
      </c>
      <c r="Y39">
        <f t="shared" si="14"/>
        <v>0.97586251617142727</v>
      </c>
      <c r="Z39">
        <f t="shared" si="15"/>
        <v>1.0241374838285728</v>
      </c>
      <c r="AG39" s="245">
        <f>D14</f>
        <v>91.394094063596299</v>
      </c>
      <c r="AH39" s="103">
        <f>0.003388*(AG39^2*$D$4*$D$12)/$D$6</f>
        <v>1.5870208867142392</v>
      </c>
      <c r="AI39" s="244">
        <v>0</v>
      </c>
      <c r="AJ39" s="103">
        <f>-0.003388*(AI39^2*$D$4*ABS($D$13)/$D$6)</f>
        <v>0</v>
      </c>
      <c r="AK39" s="244">
        <f>$D$31</f>
        <v>197.721490063907</v>
      </c>
      <c r="AL39" s="103">
        <v>-3</v>
      </c>
      <c r="AM39" s="244">
        <f>$D$29</f>
        <v>230</v>
      </c>
      <c r="AN39" s="103">
        <v>-3</v>
      </c>
      <c r="AO39" s="244">
        <f>$D$30</f>
        <v>378</v>
      </c>
      <c r="AP39" s="103">
        <v>-3</v>
      </c>
      <c r="AQ39" s="244">
        <f>$D$24</f>
        <v>156.47269016040096</v>
      </c>
      <c r="AR39" s="103">
        <v>-3</v>
      </c>
      <c r="AS39" s="245">
        <f>$D$14</f>
        <v>91.394094063596299</v>
      </c>
      <c r="AT39" s="103">
        <v>-3</v>
      </c>
      <c r="AU39" s="245">
        <f>$D$15</f>
        <v>108.13895043686934</v>
      </c>
      <c r="AV39" s="103">
        <v>-3</v>
      </c>
      <c r="AW39" s="244">
        <v>0</v>
      </c>
      <c r="AX39" s="103">
        <f>1+(($D$37*D$33*AW39*$D$17)/(498*($D$6/$D$4)))</f>
        <v>1</v>
      </c>
      <c r="AY39" s="244">
        <v>0</v>
      </c>
      <c r="AZ39" s="103">
        <f>1+(($D$37*E$33*AY39*$D$17)/(498*($D$6/$D$4)))</f>
        <v>1</v>
      </c>
      <c r="BA39" s="244">
        <v>0</v>
      </c>
      <c r="BB39" s="103">
        <f>1+(($D$37*F$33*BA39*$D$17)/(498*($D$6/$D$4)))</f>
        <v>1</v>
      </c>
      <c r="BC39" s="244">
        <v>0</v>
      </c>
      <c r="BD39" s="103">
        <f>1+(($D$37*G$33*BC39*$D$17)/(498*($D$6/$D$4)))</f>
        <v>1</v>
      </c>
      <c r="BE39" s="244">
        <f>(BF39-1)/-0.0122</f>
        <v>178.07110921865018</v>
      </c>
      <c r="BF39" s="126">
        <f>D21</f>
        <v>-1.1724675324675324</v>
      </c>
      <c r="BG39" s="244">
        <f>(BH39-1)/0.0122</f>
        <v>158.29252714498614</v>
      </c>
      <c r="BH39" s="126">
        <f>D20</f>
        <v>2.9311688311688311</v>
      </c>
      <c r="BI39" s="245">
        <f>AG72</f>
        <v>132.47</v>
      </c>
      <c r="BJ39" s="126">
        <f>$D$20</f>
        <v>2.9311688311688311</v>
      </c>
      <c r="BK39" s="244">
        <v>0</v>
      </c>
      <c r="BL39" s="126">
        <f>$D$21</f>
        <v>-1.1724675324675324</v>
      </c>
      <c r="BM39">
        <f>BE40</f>
        <v>230</v>
      </c>
      <c r="BN39">
        <f>BF40</f>
        <v>-1.7758106402858638</v>
      </c>
      <c r="BO39">
        <f>BG40</f>
        <v>230</v>
      </c>
      <c r="BP39">
        <f>BH40</f>
        <v>3.7758106402858638</v>
      </c>
      <c r="BQ39" s="69">
        <f>D14</f>
        <v>91.394094063596299</v>
      </c>
      <c r="BR39">
        <v>0</v>
      </c>
    </row>
    <row r="40" spans="1:70">
      <c r="A40" s="314"/>
      <c r="B40" s="314"/>
      <c r="F40" s="314"/>
      <c r="G40" s="314"/>
      <c r="H40" s="314"/>
      <c r="I40">
        <f t="shared" si="5"/>
        <v>197.721490063907</v>
      </c>
      <c r="J40">
        <f t="shared" si="6"/>
        <v>230</v>
      </c>
      <c r="K40">
        <f t="shared" si="7"/>
        <v>378</v>
      </c>
      <c r="L40">
        <f t="shared" si="8"/>
        <v>156.47269016040096</v>
      </c>
      <c r="M40">
        <f t="shared" si="9"/>
        <v>108.13895043686934</v>
      </c>
      <c r="N40" s="69">
        <f t="shared" si="10"/>
        <v>91.394094063596299</v>
      </c>
      <c r="O40">
        <v>3</v>
      </c>
      <c r="P40">
        <f t="shared" si="0"/>
        <v>1.7099715601857071E-3</v>
      </c>
      <c r="Q40">
        <f t="shared" si="11"/>
        <v>-7.691253615894041E-4</v>
      </c>
      <c r="R40">
        <f t="shared" si="1"/>
        <v>0.96379377425714097</v>
      </c>
      <c r="S40">
        <f t="shared" si="2"/>
        <v>0.98189688712857048</v>
      </c>
      <c r="T40">
        <f t="shared" si="3"/>
        <v>1.0181031128714295</v>
      </c>
      <c r="U40">
        <f t="shared" si="4"/>
        <v>1.036206225742859</v>
      </c>
      <c r="V40">
        <v>-2.94</v>
      </c>
      <c r="W40" s="69">
        <f t="shared" si="12"/>
        <v>2.9311688311688311</v>
      </c>
      <c r="X40" s="69">
        <f t="shared" si="13"/>
        <v>-1.1724675324675324</v>
      </c>
      <c r="Y40">
        <f t="shared" si="14"/>
        <v>0.96379377425714097</v>
      </c>
      <c r="Z40">
        <f t="shared" si="15"/>
        <v>1.036206225742859</v>
      </c>
      <c r="AA40" s="69">
        <f>N37</f>
        <v>91.394094063596299</v>
      </c>
      <c r="AB40">
        <v>0</v>
      </c>
      <c r="AG40" s="245">
        <f>AG39+1</f>
        <v>92.394094063596299</v>
      </c>
      <c r="AH40" s="103">
        <f t="shared" ref="AH40:AH72" si="16">0.003388*(AG40^2*$D$4*$D$12)/$D$6</f>
        <v>1.6219400616915236</v>
      </c>
      <c r="AI40" s="244">
        <v>4</v>
      </c>
      <c r="AJ40" s="103">
        <f t="shared" ref="AJ40:AJ89" si="17">-0.003388*(AI40^2*$D$4*ABS($D$13)/$D$6)</f>
        <v>-1.3673339761589404E-3</v>
      </c>
      <c r="AK40" s="244">
        <f>$D$31</f>
        <v>197.721490063907</v>
      </c>
      <c r="AL40" s="103">
        <v>-2.84</v>
      </c>
      <c r="AM40" s="244">
        <f t="shared" ref="AM40:AM89" si="18">$D$29</f>
        <v>230</v>
      </c>
      <c r="AN40" s="103">
        <v>-2.84</v>
      </c>
      <c r="AO40" s="244">
        <f t="shared" ref="AO40:AO89" si="19">$D$30</f>
        <v>378</v>
      </c>
      <c r="AP40" s="103">
        <v>-2.84</v>
      </c>
      <c r="AQ40" s="244">
        <f t="shared" ref="AQ40:AQ89" si="20">$D$24</f>
        <v>156.47269016040096</v>
      </c>
      <c r="AR40" s="103">
        <v>-2.84</v>
      </c>
      <c r="AS40" s="245">
        <f t="shared" ref="AS40:AS89" si="21">$D$14</f>
        <v>91.394094063596299</v>
      </c>
      <c r="AT40" s="103">
        <v>-2.84</v>
      </c>
      <c r="AU40" s="245">
        <f t="shared" ref="AU40:AU89" si="22">$D$15</f>
        <v>108.13895043686934</v>
      </c>
      <c r="AV40" s="103">
        <v>-2.84</v>
      </c>
      <c r="AW40" s="244">
        <v>8</v>
      </c>
      <c r="AX40" s="103">
        <f t="shared" ref="AX40:AX89" si="23">1+(($D$37*D$33*AW40*$D$17)/(498*($D$6/$D$4)))</f>
        <v>0.9034500646857091</v>
      </c>
      <c r="AY40" s="244">
        <v>8</v>
      </c>
      <c r="AZ40" s="103">
        <f t="shared" ref="AZ40:AZ89" si="24">1+(($D$37*E$33*AY40*$D$17)/(498*($D$6/$D$4)))</f>
        <v>0.95172503234285455</v>
      </c>
      <c r="BA40" s="244">
        <v>8</v>
      </c>
      <c r="BB40" s="103">
        <f t="shared" ref="BB40:BB89" si="25">1+(($D$37*F$33*BA40*$D$17)/(498*($D$6/$D$4)))</f>
        <v>1.0482749676571455</v>
      </c>
      <c r="BC40" s="244">
        <v>8</v>
      </c>
      <c r="BD40" s="103">
        <f t="shared" ref="BD40:BD89" si="26">1+(($D$37*G$33*BC40*$D$17)/(498*($D$6/$D$4)))</f>
        <v>1.0965499353142909</v>
      </c>
      <c r="BE40" s="244">
        <f>D29</f>
        <v>230</v>
      </c>
      <c r="BF40" s="105">
        <f>1+(($D$37*D$33*BE40*$D$17)/(498*($D$6/$D$4)))</f>
        <v>-1.7758106402858638</v>
      </c>
      <c r="BG40" s="244">
        <f>D29</f>
        <v>230</v>
      </c>
      <c r="BH40" s="250">
        <f>1+(($D$37*G$33*BG40*$D$17)/(498*($D$6/$D$4)))</f>
        <v>3.7758106402858638</v>
      </c>
      <c r="BI40" s="106">
        <f>BG39</f>
        <v>158.29252714498614</v>
      </c>
      <c r="BJ40" s="128">
        <f>$D$20</f>
        <v>2.9311688311688311</v>
      </c>
      <c r="BK40" s="106">
        <f>BE39</f>
        <v>178.07110921865018</v>
      </c>
      <c r="BL40" s="128">
        <f>$D$21</f>
        <v>-1.1724675324675324</v>
      </c>
      <c r="BM40">
        <f>D30</f>
        <v>378</v>
      </c>
      <c r="BN40">
        <f>-0.0061*BM40+1</f>
        <v>-1.3058000000000001</v>
      </c>
      <c r="BO40">
        <f>D30</f>
        <v>378</v>
      </c>
      <c r="BP40">
        <f>0.0061*BO40+1</f>
        <v>3.3058000000000001</v>
      </c>
      <c r="BQ40">
        <f>D15</f>
        <v>108.13895043686934</v>
      </c>
      <c r="BR40">
        <v>0</v>
      </c>
    </row>
    <row r="41" spans="1:70">
      <c r="A41" s="314"/>
      <c r="B41" s="314"/>
      <c r="F41" s="314"/>
      <c r="G41" s="314"/>
      <c r="H41" s="314"/>
      <c r="I41">
        <f t="shared" si="5"/>
        <v>197.721490063907</v>
      </c>
      <c r="J41">
        <f t="shared" si="6"/>
        <v>230</v>
      </c>
      <c r="K41">
        <f t="shared" si="7"/>
        <v>378</v>
      </c>
      <c r="L41">
        <f t="shared" si="8"/>
        <v>156.47269016040096</v>
      </c>
      <c r="M41">
        <f t="shared" si="9"/>
        <v>108.13895043686934</v>
      </c>
      <c r="N41" s="69">
        <f t="shared" si="10"/>
        <v>91.394094063596299</v>
      </c>
      <c r="O41">
        <v>4</v>
      </c>
      <c r="P41">
        <f t="shared" si="0"/>
        <v>3.0399494403301462E-3</v>
      </c>
      <c r="Q41">
        <f t="shared" si="11"/>
        <v>-1.3673339761589404E-3</v>
      </c>
      <c r="R41">
        <f t="shared" si="1"/>
        <v>0.95172503234285455</v>
      </c>
      <c r="S41">
        <f t="shared" si="2"/>
        <v>0.97586251617142727</v>
      </c>
      <c r="T41">
        <f t="shared" si="3"/>
        <v>1.0241374838285728</v>
      </c>
      <c r="U41">
        <f t="shared" si="4"/>
        <v>1.0482749676571455</v>
      </c>
      <c r="V41">
        <v>-2.92</v>
      </c>
      <c r="W41" s="69">
        <f t="shared" si="12"/>
        <v>2.9311688311688311</v>
      </c>
      <c r="X41" s="69">
        <f t="shared" si="13"/>
        <v>-1.1724675324675324</v>
      </c>
      <c r="Y41">
        <f t="shared" si="14"/>
        <v>0.95172503234285455</v>
      </c>
      <c r="Z41">
        <f t="shared" si="15"/>
        <v>1.0482749676571455</v>
      </c>
      <c r="AA41">
        <f>M37</f>
        <v>108.13895043686934</v>
      </c>
      <c r="AB41">
        <v>0</v>
      </c>
      <c r="AG41" s="245">
        <f t="shared" ref="AG41:AG89" si="27">AG40+1</f>
        <v>93.394094063596299</v>
      </c>
      <c r="AH41" s="103">
        <f t="shared" si="16"/>
        <v>1.657239230348849</v>
      </c>
      <c r="AI41" s="244">
        <v>8</v>
      </c>
      <c r="AJ41" s="103">
        <f t="shared" si="17"/>
        <v>-5.4693359046357618E-3</v>
      </c>
      <c r="AK41" s="244">
        <f t="shared" ref="AK41:AK89" si="28">$D$31</f>
        <v>197.721490063907</v>
      </c>
      <c r="AL41" s="103">
        <v>-2.68</v>
      </c>
      <c r="AM41" s="244">
        <f t="shared" si="18"/>
        <v>230</v>
      </c>
      <c r="AN41" s="103">
        <v>-2.68</v>
      </c>
      <c r="AO41" s="244">
        <f t="shared" si="19"/>
        <v>378</v>
      </c>
      <c r="AP41" s="103">
        <v>-2.68</v>
      </c>
      <c r="AQ41" s="244">
        <f t="shared" si="20"/>
        <v>156.47269016040096</v>
      </c>
      <c r="AR41" s="103">
        <v>-2.68</v>
      </c>
      <c r="AS41" s="245">
        <f t="shared" si="21"/>
        <v>91.394094063596299</v>
      </c>
      <c r="AT41" s="103">
        <v>-2.68</v>
      </c>
      <c r="AU41" s="245">
        <f t="shared" si="22"/>
        <v>108.13895043686934</v>
      </c>
      <c r="AV41" s="103">
        <v>-2.68</v>
      </c>
      <c r="AW41" s="244">
        <v>16</v>
      </c>
      <c r="AX41" s="103">
        <f t="shared" si="23"/>
        <v>0.8069001293714182</v>
      </c>
      <c r="AY41" s="244">
        <v>16</v>
      </c>
      <c r="AZ41" s="103">
        <f t="shared" si="24"/>
        <v>0.9034500646857091</v>
      </c>
      <c r="BA41" s="244">
        <v>16</v>
      </c>
      <c r="BB41" s="103">
        <f t="shared" si="25"/>
        <v>1.0965499353142909</v>
      </c>
      <c r="BC41" s="244">
        <v>16</v>
      </c>
      <c r="BD41" s="103">
        <f t="shared" si="26"/>
        <v>1.1930998706285818</v>
      </c>
      <c r="BG41" t="s">
        <v>263</v>
      </c>
      <c r="BO41" t="s">
        <v>264</v>
      </c>
    </row>
    <row r="42" spans="1:70">
      <c r="A42" s="314"/>
      <c r="B42" s="314"/>
      <c r="F42" s="314"/>
      <c r="G42" s="314"/>
      <c r="H42" s="314"/>
      <c r="I42">
        <f t="shared" si="5"/>
        <v>197.721490063907</v>
      </c>
      <c r="J42">
        <f t="shared" si="6"/>
        <v>230</v>
      </c>
      <c r="K42">
        <f t="shared" si="7"/>
        <v>378</v>
      </c>
      <c r="L42">
        <f t="shared" si="8"/>
        <v>156.47269016040096</v>
      </c>
      <c r="M42">
        <f t="shared" si="9"/>
        <v>108.13895043686934</v>
      </c>
      <c r="N42" s="69">
        <f t="shared" si="10"/>
        <v>91.394094063596299</v>
      </c>
      <c r="O42">
        <v>5</v>
      </c>
      <c r="P42">
        <f t="shared" si="0"/>
        <v>4.7499210005158528E-3</v>
      </c>
      <c r="Q42">
        <f t="shared" si="11"/>
        <v>-2.1364593377483443E-3</v>
      </c>
      <c r="R42">
        <f t="shared" si="1"/>
        <v>0.93965629042856813</v>
      </c>
      <c r="S42">
        <f t="shared" si="2"/>
        <v>0.96982814521428407</v>
      </c>
      <c r="T42">
        <f t="shared" si="3"/>
        <v>1.0301718547857159</v>
      </c>
      <c r="U42">
        <f t="shared" si="4"/>
        <v>1.0603437095714319</v>
      </c>
      <c r="V42">
        <v>-2.9</v>
      </c>
      <c r="W42" s="69">
        <f t="shared" si="12"/>
        <v>2.9311688311688311</v>
      </c>
      <c r="X42" s="69">
        <f t="shared" si="13"/>
        <v>-1.1724675324675324</v>
      </c>
      <c r="Y42">
        <f t="shared" si="14"/>
        <v>0.93965629042856813</v>
      </c>
      <c r="Z42">
        <f t="shared" si="15"/>
        <v>1.0603437095714319</v>
      </c>
      <c r="AG42" s="245">
        <f t="shared" si="27"/>
        <v>94.394094063596299</v>
      </c>
      <c r="AH42" s="103">
        <f t="shared" si="16"/>
        <v>1.6929183926862164</v>
      </c>
      <c r="AI42" s="244">
        <v>12</v>
      </c>
      <c r="AJ42" s="103">
        <f t="shared" si="17"/>
        <v>-1.2306005785430466E-2</v>
      </c>
      <c r="AK42" s="244">
        <f t="shared" si="28"/>
        <v>197.721490063907</v>
      </c>
      <c r="AL42" s="103">
        <v>-2.52</v>
      </c>
      <c r="AM42" s="244">
        <f t="shared" si="18"/>
        <v>230</v>
      </c>
      <c r="AN42" s="103">
        <v>-2.52</v>
      </c>
      <c r="AO42" s="244">
        <f t="shared" si="19"/>
        <v>378</v>
      </c>
      <c r="AP42" s="103">
        <v>-2.52</v>
      </c>
      <c r="AQ42" s="244">
        <f t="shared" si="20"/>
        <v>156.47269016040096</v>
      </c>
      <c r="AR42" s="103">
        <v>-2.52</v>
      </c>
      <c r="AS42" s="245">
        <f t="shared" si="21"/>
        <v>91.394094063596299</v>
      </c>
      <c r="AT42" s="103">
        <v>-2.52</v>
      </c>
      <c r="AU42" s="245">
        <f t="shared" si="22"/>
        <v>108.13895043686934</v>
      </c>
      <c r="AV42" s="103">
        <v>-2.52</v>
      </c>
      <c r="AW42" s="244">
        <v>24</v>
      </c>
      <c r="AX42" s="103">
        <f t="shared" si="23"/>
        <v>0.71035019405712729</v>
      </c>
      <c r="AY42" s="244">
        <v>24</v>
      </c>
      <c r="AZ42" s="103">
        <f t="shared" si="24"/>
        <v>0.85517509702856365</v>
      </c>
      <c r="BA42" s="244">
        <v>24</v>
      </c>
      <c r="BB42" s="103">
        <f t="shared" si="25"/>
        <v>1.1448249029714364</v>
      </c>
      <c r="BC42" s="244">
        <v>24</v>
      </c>
      <c r="BD42" s="103">
        <f t="shared" si="26"/>
        <v>1.2896498059428727</v>
      </c>
      <c r="BG42" t="s">
        <v>265</v>
      </c>
    </row>
    <row r="43" spans="1:70">
      <c r="A43" s="314"/>
      <c r="B43" s="314"/>
      <c r="F43" s="314"/>
      <c r="G43" s="314"/>
      <c r="H43" s="314"/>
      <c r="I43">
        <f t="shared" si="5"/>
        <v>197.721490063907</v>
      </c>
      <c r="J43">
        <f t="shared" si="6"/>
        <v>230</v>
      </c>
      <c r="K43">
        <f t="shared" si="7"/>
        <v>378</v>
      </c>
      <c r="L43">
        <f t="shared" si="8"/>
        <v>156.47269016040096</v>
      </c>
      <c r="M43">
        <f t="shared" si="9"/>
        <v>108.13895043686934</v>
      </c>
      <c r="N43" s="69">
        <f t="shared" si="10"/>
        <v>91.394094063596299</v>
      </c>
      <c r="O43">
        <v>6</v>
      </c>
      <c r="P43">
        <f t="shared" si="0"/>
        <v>6.8398862407428283E-3</v>
      </c>
      <c r="Q43">
        <f t="shared" si="11"/>
        <v>-3.0765014463576164E-3</v>
      </c>
      <c r="R43">
        <f t="shared" si="1"/>
        <v>0.92758754851428182</v>
      </c>
      <c r="S43">
        <f t="shared" si="2"/>
        <v>0.96379377425714097</v>
      </c>
      <c r="T43">
        <f t="shared" si="3"/>
        <v>1.036206225742859</v>
      </c>
      <c r="U43">
        <f t="shared" si="4"/>
        <v>1.0724124514857181</v>
      </c>
      <c r="V43">
        <v>-2.88</v>
      </c>
      <c r="W43" s="69">
        <f t="shared" si="12"/>
        <v>2.9311688311688311</v>
      </c>
      <c r="X43" s="69">
        <f t="shared" si="13"/>
        <v>-1.1724675324675324</v>
      </c>
      <c r="Y43">
        <f t="shared" si="14"/>
        <v>0.92758754851428182</v>
      </c>
      <c r="Z43">
        <f t="shared" si="15"/>
        <v>1.0724124514857181</v>
      </c>
      <c r="AG43" s="245">
        <f t="shared" si="27"/>
        <v>95.394094063596299</v>
      </c>
      <c r="AH43" s="103">
        <f t="shared" si="16"/>
        <v>1.7289775487036243</v>
      </c>
      <c r="AI43" s="244">
        <v>16</v>
      </c>
      <c r="AJ43" s="103">
        <f t="shared" si="17"/>
        <v>-2.1877343618543047E-2</v>
      </c>
      <c r="AK43" s="244">
        <f t="shared" si="28"/>
        <v>197.721490063907</v>
      </c>
      <c r="AL43" s="103">
        <v>-2.36</v>
      </c>
      <c r="AM43" s="244">
        <f t="shared" si="18"/>
        <v>230</v>
      </c>
      <c r="AN43" s="103">
        <v>-2.36</v>
      </c>
      <c r="AO43" s="244">
        <f t="shared" si="19"/>
        <v>378</v>
      </c>
      <c r="AP43" s="103">
        <v>-2.36</v>
      </c>
      <c r="AQ43" s="244">
        <f t="shared" si="20"/>
        <v>156.47269016040096</v>
      </c>
      <c r="AR43" s="103">
        <v>-2.36</v>
      </c>
      <c r="AS43" s="245">
        <f t="shared" si="21"/>
        <v>91.394094063596299</v>
      </c>
      <c r="AT43" s="103">
        <v>-2.36</v>
      </c>
      <c r="AU43" s="245">
        <f t="shared" si="22"/>
        <v>108.13895043686934</v>
      </c>
      <c r="AV43" s="103">
        <v>-2.36</v>
      </c>
      <c r="AW43" s="244">
        <v>32</v>
      </c>
      <c r="AX43" s="103">
        <f t="shared" si="23"/>
        <v>0.61380025874283639</v>
      </c>
      <c r="AY43" s="244">
        <v>32</v>
      </c>
      <c r="AZ43" s="103">
        <f t="shared" si="24"/>
        <v>0.8069001293714182</v>
      </c>
      <c r="BA43" s="244">
        <v>32</v>
      </c>
      <c r="BB43" s="103">
        <f t="shared" si="25"/>
        <v>1.1930998706285818</v>
      </c>
      <c r="BC43" s="244">
        <v>32</v>
      </c>
      <c r="BD43" s="103">
        <f t="shared" si="26"/>
        <v>1.3861997412571636</v>
      </c>
    </row>
    <row r="44" spans="1:70">
      <c r="A44" s="314"/>
      <c r="B44" s="314"/>
      <c r="F44" s="314"/>
      <c r="G44" s="314"/>
      <c r="H44" s="314"/>
      <c r="I44">
        <f t="shared" si="5"/>
        <v>197.721490063907</v>
      </c>
      <c r="J44">
        <f t="shared" si="6"/>
        <v>230</v>
      </c>
      <c r="K44">
        <f t="shared" si="7"/>
        <v>378</v>
      </c>
      <c r="L44">
        <f t="shared" si="8"/>
        <v>156.47269016040096</v>
      </c>
      <c r="M44">
        <f t="shared" si="9"/>
        <v>108.13895043686934</v>
      </c>
      <c r="N44" s="69">
        <f t="shared" si="10"/>
        <v>91.394094063596299</v>
      </c>
      <c r="O44">
        <v>7</v>
      </c>
      <c r="P44">
        <f t="shared" si="0"/>
        <v>9.3098451610110714E-3</v>
      </c>
      <c r="Q44">
        <f t="shared" si="11"/>
        <v>-4.1874603019867555E-3</v>
      </c>
      <c r="R44">
        <f t="shared" si="1"/>
        <v>0.91551880659999541</v>
      </c>
      <c r="S44">
        <f t="shared" si="2"/>
        <v>0.95775940329999776</v>
      </c>
      <c r="T44">
        <f t="shared" si="3"/>
        <v>1.0422405967000024</v>
      </c>
      <c r="U44">
        <f t="shared" si="4"/>
        <v>1.0844811934000045</v>
      </c>
      <c r="V44">
        <v>-2.86</v>
      </c>
      <c r="W44" s="69">
        <f t="shared" si="12"/>
        <v>2.9311688311688311</v>
      </c>
      <c r="X44" s="69">
        <f t="shared" si="13"/>
        <v>-1.1724675324675324</v>
      </c>
      <c r="Y44">
        <f t="shared" si="14"/>
        <v>0.91551880659999541</v>
      </c>
      <c r="Z44">
        <f t="shared" si="15"/>
        <v>1.0844811934000045</v>
      </c>
      <c r="AG44" s="245">
        <f t="shared" si="27"/>
        <v>96.394094063596299</v>
      </c>
      <c r="AH44" s="103">
        <f t="shared" si="16"/>
        <v>1.7654166984010742</v>
      </c>
      <c r="AI44" s="244">
        <v>20</v>
      </c>
      <c r="AJ44" s="103">
        <f t="shared" si="17"/>
        <v>-3.4183349403973509E-2</v>
      </c>
      <c r="AK44" s="244">
        <f t="shared" si="28"/>
        <v>197.721490063907</v>
      </c>
      <c r="AL44" s="103">
        <v>-2.2000000000000002</v>
      </c>
      <c r="AM44" s="244">
        <f t="shared" si="18"/>
        <v>230</v>
      </c>
      <c r="AN44" s="103">
        <v>-2.2000000000000002</v>
      </c>
      <c r="AO44" s="244">
        <f t="shared" si="19"/>
        <v>378</v>
      </c>
      <c r="AP44" s="103">
        <v>-2.2000000000000002</v>
      </c>
      <c r="AQ44" s="244">
        <f t="shared" si="20"/>
        <v>156.47269016040096</v>
      </c>
      <c r="AR44" s="103">
        <v>-2.2000000000000002</v>
      </c>
      <c r="AS44" s="245">
        <f t="shared" si="21"/>
        <v>91.394094063596299</v>
      </c>
      <c r="AT44" s="103">
        <v>-2.2000000000000002</v>
      </c>
      <c r="AU44" s="245">
        <f t="shared" si="22"/>
        <v>108.13895043686934</v>
      </c>
      <c r="AV44" s="103">
        <v>-2.2000000000000002</v>
      </c>
      <c r="AW44" s="244">
        <v>40</v>
      </c>
      <c r="AX44" s="103">
        <f t="shared" si="23"/>
        <v>0.51725032342854538</v>
      </c>
      <c r="AY44" s="244">
        <v>40</v>
      </c>
      <c r="AZ44" s="103">
        <f t="shared" si="24"/>
        <v>0.75862516171427274</v>
      </c>
      <c r="BA44" s="244">
        <v>40</v>
      </c>
      <c r="BB44" s="103">
        <f t="shared" si="25"/>
        <v>1.2413748382857273</v>
      </c>
      <c r="BC44" s="244">
        <v>40</v>
      </c>
      <c r="BD44" s="103">
        <f t="shared" si="26"/>
        <v>1.4827496765714545</v>
      </c>
    </row>
    <row r="45" spans="1:70">
      <c r="A45" s="314"/>
      <c r="B45" s="314"/>
      <c r="F45" s="314"/>
      <c r="G45" s="314"/>
      <c r="H45" s="314"/>
      <c r="I45">
        <f t="shared" si="5"/>
        <v>197.721490063907</v>
      </c>
      <c r="J45">
        <f t="shared" si="6"/>
        <v>230</v>
      </c>
      <c r="K45">
        <f t="shared" si="7"/>
        <v>378</v>
      </c>
      <c r="L45">
        <f t="shared" si="8"/>
        <v>156.47269016040096</v>
      </c>
      <c r="M45">
        <f t="shared" si="9"/>
        <v>108.13895043686934</v>
      </c>
      <c r="N45" s="69">
        <f t="shared" si="10"/>
        <v>91.394094063596299</v>
      </c>
      <c r="O45">
        <v>8</v>
      </c>
      <c r="P45">
        <f t="shared" si="0"/>
        <v>1.2159797761320585E-2</v>
      </c>
      <c r="Q45">
        <f t="shared" si="11"/>
        <v>-5.4693359046357618E-3</v>
      </c>
      <c r="R45">
        <f t="shared" si="1"/>
        <v>0.9034500646857091</v>
      </c>
      <c r="S45">
        <f t="shared" si="2"/>
        <v>0.95172503234285455</v>
      </c>
      <c r="T45">
        <f t="shared" si="3"/>
        <v>1.0482749676571455</v>
      </c>
      <c r="U45">
        <f t="shared" si="4"/>
        <v>1.0965499353142909</v>
      </c>
      <c r="V45">
        <v>-2.84</v>
      </c>
      <c r="W45" s="69">
        <f t="shared" si="12"/>
        <v>2.9311688311688311</v>
      </c>
      <c r="X45" s="69">
        <f t="shared" si="13"/>
        <v>-1.1724675324675324</v>
      </c>
      <c r="Y45">
        <f t="shared" si="14"/>
        <v>0.9034500646857091</v>
      </c>
      <c r="Z45">
        <f t="shared" si="15"/>
        <v>1.0965499353142909</v>
      </c>
      <c r="AG45" s="245">
        <f t="shared" si="27"/>
        <v>97.394094063596299</v>
      </c>
      <c r="AH45" s="103">
        <f t="shared" si="16"/>
        <v>1.8022358417785647</v>
      </c>
      <c r="AI45" s="244">
        <v>24</v>
      </c>
      <c r="AJ45" s="103">
        <f t="shared" si="17"/>
        <v>-4.9224023141721862E-2</v>
      </c>
      <c r="AK45" s="244">
        <f t="shared" si="28"/>
        <v>197.721490063907</v>
      </c>
      <c r="AL45" s="103">
        <v>-2.04</v>
      </c>
      <c r="AM45" s="244">
        <f t="shared" si="18"/>
        <v>230</v>
      </c>
      <c r="AN45" s="103">
        <v>-2.04</v>
      </c>
      <c r="AO45" s="244">
        <f t="shared" si="19"/>
        <v>378</v>
      </c>
      <c r="AP45" s="103">
        <v>-2.04</v>
      </c>
      <c r="AQ45" s="244">
        <f t="shared" si="20"/>
        <v>156.47269016040096</v>
      </c>
      <c r="AR45" s="103">
        <v>-2.04</v>
      </c>
      <c r="AS45" s="245">
        <f t="shared" si="21"/>
        <v>91.394094063596299</v>
      </c>
      <c r="AT45" s="103">
        <v>-2.04</v>
      </c>
      <c r="AU45" s="245">
        <f t="shared" si="22"/>
        <v>108.13895043686934</v>
      </c>
      <c r="AV45" s="103">
        <v>-2.04</v>
      </c>
      <c r="AW45" s="244">
        <v>48</v>
      </c>
      <c r="AX45" s="103">
        <f t="shared" si="23"/>
        <v>0.42070038811425459</v>
      </c>
      <c r="AY45" s="244">
        <v>48</v>
      </c>
      <c r="AZ45" s="103">
        <f t="shared" si="24"/>
        <v>0.71035019405712729</v>
      </c>
      <c r="BA45" s="244">
        <v>48</v>
      </c>
      <c r="BB45" s="103">
        <f t="shared" si="25"/>
        <v>1.2896498059428727</v>
      </c>
      <c r="BC45" s="244">
        <v>48</v>
      </c>
      <c r="BD45" s="103">
        <f t="shared" si="26"/>
        <v>1.5792996118857454</v>
      </c>
    </row>
    <row r="46" spans="1:70">
      <c r="A46" s="314"/>
      <c r="B46" s="314"/>
      <c r="F46" s="314"/>
      <c r="G46" s="314"/>
      <c r="H46" s="314"/>
      <c r="I46">
        <f t="shared" si="5"/>
        <v>197.721490063907</v>
      </c>
      <c r="J46">
        <f t="shared" si="6"/>
        <v>230</v>
      </c>
      <c r="K46">
        <f t="shared" si="7"/>
        <v>378</v>
      </c>
      <c r="L46">
        <f t="shared" si="8"/>
        <v>156.47269016040096</v>
      </c>
      <c r="M46">
        <f t="shared" si="9"/>
        <v>108.13895043686934</v>
      </c>
      <c r="N46" s="69">
        <f t="shared" si="10"/>
        <v>91.394094063596299</v>
      </c>
      <c r="O46">
        <v>9</v>
      </c>
      <c r="P46">
        <f t="shared" si="0"/>
        <v>1.5389744041671361E-2</v>
      </c>
      <c r="Q46">
        <f t="shared" si="11"/>
        <v>-6.922128254304636E-3</v>
      </c>
      <c r="R46">
        <f t="shared" si="1"/>
        <v>0.89138132277142268</v>
      </c>
      <c r="S46">
        <f t="shared" si="2"/>
        <v>0.94569066138571134</v>
      </c>
      <c r="T46">
        <f t="shared" si="3"/>
        <v>1.0543093386142885</v>
      </c>
      <c r="U46">
        <f t="shared" si="4"/>
        <v>1.1086186772285773</v>
      </c>
      <c r="V46">
        <v>-2.82</v>
      </c>
      <c r="W46" s="69">
        <f t="shared" si="12"/>
        <v>2.9311688311688311</v>
      </c>
      <c r="X46" s="69">
        <f t="shared" si="13"/>
        <v>-1.1724675324675324</v>
      </c>
      <c r="Y46">
        <f t="shared" si="14"/>
        <v>0.89138132277142268</v>
      </c>
      <c r="Z46">
        <f t="shared" si="15"/>
        <v>1.1086186772285773</v>
      </c>
      <c r="AG46" s="245">
        <f t="shared" si="27"/>
        <v>98.394094063596299</v>
      </c>
      <c r="AH46" s="103">
        <f t="shared" si="16"/>
        <v>1.8394349788360966</v>
      </c>
      <c r="AI46" s="244">
        <v>28</v>
      </c>
      <c r="AJ46" s="103">
        <f t="shared" si="17"/>
        <v>-6.6999364831788089E-2</v>
      </c>
      <c r="AK46" s="244">
        <f t="shared" si="28"/>
        <v>197.721490063907</v>
      </c>
      <c r="AL46" s="103">
        <v>-1.88</v>
      </c>
      <c r="AM46" s="244">
        <f t="shared" si="18"/>
        <v>230</v>
      </c>
      <c r="AN46" s="103">
        <v>-1.88</v>
      </c>
      <c r="AO46" s="244">
        <f t="shared" si="19"/>
        <v>378</v>
      </c>
      <c r="AP46" s="103">
        <v>-1.88</v>
      </c>
      <c r="AQ46" s="244">
        <f t="shared" si="20"/>
        <v>156.47269016040096</v>
      </c>
      <c r="AR46" s="103">
        <v>-1.88</v>
      </c>
      <c r="AS46" s="245">
        <f t="shared" si="21"/>
        <v>91.394094063596299</v>
      </c>
      <c r="AT46" s="103">
        <v>-1.88</v>
      </c>
      <c r="AU46" s="245">
        <f t="shared" si="22"/>
        <v>108.13895043686934</v>
      </c>
      <c r="AV46" s="103">
        <v>-1.88</v>
      </c>
      <c r="AW46" s="244">
        <v>56</v>
      </c>
      <c r="AX46" s="103">
        <f t="shared" si="23"/>
        <v>0.32415045279996357</v>
      </c>
      <c r="AY46" s="244">
        <v>56</v>
      </c>
      <c r="AZ46" s="103">
        <f t="shared" si="24"/>
        <v>0.66207522639998184</v>
      </c>
      <c r="BA46" s="244">
        <v>56</v>
      </c>
      <c r="BB46" s="103">
        <f t="shared" si="25"/>
        <v>1.3379247736000182</v>
      </c>
      <c r="BC46" s="244">
        <v>56</v>
      </c>
      <c r="BD46" s="103">
        <f t="shared" si="26"/>
        <v>1.6758495472000363</v>
      </c>
    </row>
    <row r="47" spans="1:70">
      <c r="A47" s="314"/>
      <c r="B47" s="314"/>
      <c r="F47" s="314"/>
      <c r="G47" s="314"/>
      <c r="H47" s="314"/>
      <c r="I47">
        <f t="shared" si="5"/>
        <v>197.721490063907</v>
      </c>
      <c r="J47">
        <f t="shared" si="6"/>
        <v>230</v>
      </c>
      <c r="K47">
        <f t="shared" si="7"/>
        <v>378</v>
      </c>
      <c r="L47">
        <f t="shared" si="8"/>
        <v>156.47269016040096</v>
      </c>
      <c r="M47">
        <f t="shared" si="9"/>
        <v>108.13895043686934</v>
      </c>
      <c r="N47" s="69">
        <f t="shared" si="10"/>
        <v>91.394094063596299</v>
      </c>
      <c r="O47">
        <v>10</v>
      </c>
      <c r="P47">
        <f t="shared" si="0"/>
        <v>1.8999684002063411E-2</v>
      </c>
      <c r="Q47">
        <f t="shared" si="11"/>
        <v>-8.5458373509933773E-3</v>
      </c>
      <c r="R47">
        <f t="shared" si="1"/>
        <v>0.87931258085713637</v>
      </c>
      <c r="S47">
        <f t="shared" si="2"/>
        <v>0.93965629042856813</v>
      </c>
      <c r="T47">
        <f t="shared" si="3"/>
        <v>1.0603437095714319</v>
      </c>
      <c r="U47">
        <f t="shared" si="4"/>
        <v>1.1206874191428637</v>
      </c>
      <c r="V47">
        <v>-2.8</v>
      </c>
      <c r="W47" s="69">
        <f t="shared" si="12"/>
        <v>2.9311688311688311</v>
      </c>
      <c r="X47" s="69">
        <f t="shared" si="13"/>
        <v>-1.1724675324675324</v>
      </c>
      <c r="Y47">
        <f t="shared" si="14"/>
        <v>0.87931258085713637</v>
      </c>
      <c r="Z47">
        <f t="shared" si="15"/>
        <v>1.1206874191428637</v>
      </c>
      <c r="AG47" s="245">
        <f t="shared" si="27"/>
        <v>99.394094063596299</v>
      </c>
      <c r="AH47" s="103">
        <f t="shared" si="16"/>
        <v>1.8770141095736697</v>
      </c>
      <c r="AI47" s="244">
        <v>32</v>
      </c>
      <c r="AJ47" s="103">
        <f t="shared" si="17"/>
        <v>-8.7509374474172189E-2</v>
      </c>
      <c r="AK47" s="244">
        <f t="shared" si="28"/>
        <v>197.721490063907</v>
      </c>
      <c r="AL47" s="103">
        <v>-1.72</v>
      </c>
      <c r="AM47" s="244">
        <f t="shared" si="18"/>
        <v>230</v>
      </c>
      <c r="AN47" s="103">
        <v>-1.72</v>
      </c>
      <c r="AO47" s="244">
        <f t="shared" si="19"/>
        <v>378</v>
      </c>
      <c r="AP47" s="103">
        <v>-1.72</v>
      </c>
      <c r="AQ47" s="244">
        <f t="shared" si="20"/>
        <v>156.47269016040096</v>
      </c>
      <c r="AR47" s="103">
        <v>-1.72</v>
      </c>
      <c r="AS47" s="245">
        <f t="shared" si="21"/>
        <v>91.394094063596299</v>
      </c>
      <c r="AT47" s="103">
        <v>-1.72</v>
      </c>
      <c r="AU47" s="245">
        <f t="shared" si="22"/>
        <v>108.13895043686934</v>
      </c>
      <c r="AV47" s="103">
        <v>-1.72</v>
      </c>
      <c r="AW47" s="244">
        <v>64</v>
      </c>
      <c r="AX47" s="103">
        <f t="shared" si="23"/>
        <v>0.22760051748567267</v>
      </c>
      <c r="AY47" s="244">
        <v>64</v>
      </c>
      <c r="AZ47" s="103">
        <f t="shared" si="24"/>
        <v>0.61380025874283639</v>
      </c>
      <c r="BA47" s="244">
        <v>64</v>
      </c>
      <c r="BB47" s="103">
        <f t="shared" si="25"/>
        <v>1.3861997412571636</v>
      </c>
      <c r="BC47" s="244">
        <v>64</v>
      </c>
      <c r="BD47" s="103">
        <f t="shared" si="26"/>
        <v>1.7723994825143272</v>
      </c>
    </row>
    <row r="48" spans="1:70">
      <c r="A48" s="314"/>
      <c r="B48" s="314"/>
      <c r="F48" s="314"/>
      <c r="G48" s="314"/>
      <c r="H48" s="314"/>
      <c r="I48">
        <f t="shared" si="5"/>
        <v>197.721490063907</v>
      </c>
      <c r="J48">
        <f t="shared" si="6"/>
        <v>230</v>
      </c>
      <c r="K48">
        <f t="shared" si="7"/>
        <v>378</v>
      </c>
      <c r="L48">
        <f t="shared" si="8"/>
        <v>156.47269016040096</v>
      </c>
      <c r="M48">
        <f t="shared" si="9"/>
        <v>108.13895043686934</v>
      </c>
      <c r="N48" s="69">
        <f t="shared" si="10"/>
        <v>91.394094063596299</v>
      </c>
      <c r="O48">
        <v>11</v>
      </c>
      <c r="P48">
        <f t="shared" si="0"/>
        <v>2.2989617642496726E-2</v>
      </c>
      <c r="Q48">
        <f t="shared" si="11"/>
        <v>-1.0340463194701988E-2</v>
      </c>
      <c r="R48">
        <f t="shared" si="1"/>
        <v>0.86724383894284995</v>
      </c>
      <c r="S48">
        <f t="shared" si="2"/>
        <v>0.93362191947142503</v>
      </c>
      <c r="T48">
        <f t="shared" si="3"/>
        <v>1.066378080528575</v>
      </c>
      <c r="U48">
        <f t="shared" si="4"/>
        <v>1.1327561610571499</v>
      </c>
      <c r="V48">
        <v>-2.78</v>
      </c>
      <c r="W48" s="69">
        <f t="shared" si="12"/>
        <v>2.9311688311688311</v>
      </c>
      <c r="X48" s="69">
        <f t="shared" si="13"/>
        <v>-1.1724675324675324</v>
      </c>
      <c r="Y48">
        <f t="shared" si="14"/>
        <v>0.86724383894284995</v>
      </c>
      <c r="Z48">
        <f t="shared" si="15"/>
        <v>1.1327561610571499</v>
      </c>
      <c r="AG48" s="245">
        <f t="shared" si="27"/>
        <v>100.3940940635963</v>
      </c>
      <c r="AH48" s="103">
        <f t="shared" si="16"/>
        <v>1.9149732339912844</v>
      </c>
      <c r="AI48" s="244">
        <v>36</v>
      </c>
      <c r="AJ48" s="103">
        <f t="shared" si="17"/>
        <v>-0.11075405206887418</v>
      </c>
      <c r="AK48" s="244">
        <f t="shared" si="28"/>
        <v>197.721490063907</v>
      </c>
      <c r="AL48" s="103">
        <v>-1.56</v>
      </c>
      <c r="AM48" s="244">
        <f t="shared" si="18"/>
        <v>230</v>
      </c>
      <c r="AN48" s="103">
        <v>-1.56</v>
      </c>
      <c r="AO48" s="244">
        <f t="shared" si="19"/>
        <v>378</v>
      </c>
      <c r="AP48" s="103">
        <v>-1.56</v>
      </c>
      <c r="AQ48" s="244">
        <f t="shared" si="20"/>
        <v>156.47269016040096</v>
      </c>
      <c r="AR48" s="103">
        <v>-1.56</v>
      </c>
      <c r="AS48" s="245">
        <f t="shared" si="21"/>
        <v>91.394094063596299</v>
      </c>
      <c r="AT48" s="103">
        <v>-1.56</v>
      </c>
      <c r="AU48" s="245">
        <f t="shared" si="22"/>
        <v>108.13895043686934</v>
      </c>
      <c r="AV48" s="103">
        <v>-1.56</v>
      </c>
      <c r="AW48" s="244">
        <v>72</v>
      </c>
      <c r="AX48" s="103">
        <f t="shared" si="23"/>
        <v>0.13105058217138166</v>
      </c>
      <c r="AY48" s="244">
        <v>72</v>
      </c>
      <c r="AZ48" s="103">
        <f t="shared" si="24"/>
        <v>0.56552529108569083</v>
      </c>
      <c r="BA48" s="244">
        <v>72</v>
      </c>
      <c r="BB48" s="103">
        <f t="shared" si="25"/>
        <v>1.4344747089143093</v>
      </c>
      <c r="BC48" s="244">
        <v>72</v>
      </c>
      <c r="BD48" s="103">
        <f t="shared" si="26"/>
        <v>1.8689494178286183</v>
      </c>
    </row>
    <row r="49" spans="1:56">
      <c r="A49" s="314"/>
      <c r="B49" s="314"/>
      <c r="F49" s="314"/>
      <c r="G49" s="314"/>
      <c r="H49" s="314"/>
      <c r="I49">
        <f t="shared" si="5"/>
        <v>197.721490063907</v>
      </c>
      <c r="J49">
        <f t="shared" si="6"/>
        <v>230</v>
      </c>
      <c r="K49">
        <f t="shared" si="7"/>
        <v>378</v>
      </c>
      <c r="L49">
        <f t="shared" si="8"/>
        <v>156.47269016040096</v>
      </c>
      <c r="M49">
        <f t="shared" si="9"/>
        <v>108.13895043686934</v>
      </c>
      <c r="N49" s="69">
        <f t="shared" si="10"/>
        <v>91.394094063596299</v>
      </c>
      <c r="O49">
        <v>12</v>
      </c>
      <c r="P49">
        <f t="shared" si="0"/>
        <v>2.7359544962971313E-2</v>
      </c>
      <c r="Q49">
        <f t="shared" si="11"/>
        <v>-1.2306005785430466E-2</v>
      </c>
      <c r="R49">
        <f t="shared" si="1"/>
        <v>0.85517509702856365</v>
      </c>
      <c r="S49">
        <f t="shared" si="2"/>
        <v>0.92758754851428182</v>
      </c>
      <c r="T49">
        <f t="shared" si="3"/>
        <v>1.0724124514857181</v>
      </c>
      <c r="U49">
        <f t="shared" si="4"/>
        <v>1.1448249029714364</v>
      </c>
      <c r="V49">
        <v>-2.76</v>
      </c>
      <c r="W49" s="69">
        <f t="shared" si="12"/>
        <v>2.9311688311688311</v>
      </c>
      <c r="X49" s="69">
        <f t="shared" si="13"/>
        <v>-1.1724675324675324</v>
      </c>
      <c r="Y49">
        <f t="shared" si="14"/>
        <v>0.85517509702856365</v>
      </c>
      <c r="Z49">
        <f t="shared" si="15"/>
        <v>1.1448249029714364</v>
      </c>
      <c r="AG49" s="245">
        <f t="shared" si="27"/>
        <v>101.3940940635963</v>
      </c>
      <c r="AH49" s="103">
        <f t="shared" si="16"/>
        <v>1.9533123520889404</v>
      </c>
      <c r="AI49" s="244">
        <v>40</v>
      </c>
      <c r="AJ49" s="103">
        <f t="shared" si="17"/>
        <v>-0.13673339761589404</v>
      </c>
      <c r="AK49" s="244">
        <f t="shared" si="28"/>
        <v>197.721490063907</v>
      </c>
      <c r="AL49" s="103">
        <v>-1.4</v>
      </c>
      <c r="AM49" s="244">
        <f t="shared" si="18"/>
        <v>230</v>
      </c>
      <c r="AN49" s="103">
        <v>-1.4</v>
      </c>
      <c r="AO49" s="244">
        <f t="shared" si="19"/>
        <v>378</v>
      </c>
      <c r="AP49" s="103">
        <v>-1.4</v>
      </c>
      <c r="AQ49" s="244">
        <f t="shared" si="20"/>
        <v>156.47269016040096</v>
      </c>
      <c r="AR49" s="103">
        <v>-1.4</v>
      </c>
      <c r="AS49" s="245">
        <f t="shared" si="21"/>
        <v>91.394094063596299</v>
      </c>
      <c r="AT49" s="103">
        <v>-1.4</v>
      </c>
      <c r="AU49" s="245">
        <f t="shared" si="22"/>
        <v>108.13895043686934</v>
      </c>
      <c r="AV49" s="103">
        <v>-1.4</v>
      </c>
      <c r="AW49" s="244">
        <v>80</v>
      </c>
      <c r="AX49" s="103">
        <f t="shared" si="23"/>
        <v>3.4500646857090755E-2</v>
      </c>
      <c r="AY49" s="244">
        <v>80</v>
      </c>
      <c r="AZ49" s="103">
        <f t="shared" si="24"/>
        <v>0.51725032342854538</v>
      </c>
      <c r="BA49" s="244">
        <v>80</v>
      </c>
      <c r="BB49" s="103">
        <f t="shared" si="25"/>
        <v>1.4827496765714545</v>
      </c>
      <c r="BC49" s="244">
        <v>80</v>
      </c>
      <c r="BD49" s="103">
        <f t="shared" si="26"/>
        <v>1.9654993531429092</v>
      </c>
    </row>
    <row r="50" spans="1:56">
      <c r="A50" s="314"/>
      <c r="B50" s="314"/>
      <c r="F50" s="314"/>
      <c r="G50" s="314"/>
      <c r="H50" s="314"/>
      <c r="I50">
        <f t="shared" si="5"/>
        <v>197.721490063907</v>
      </c>
      <c r="J50">
        <f t="shared" si="6"/>
        <v>230</v>
      </c>
      <c r="K50">
        <f t="shared" si="7"/>
        <v>378</v>
      </c>
      <c r="L50">
        <f t="shared" si="8"/>
        <v>156.47269016040096</v>
      </c>
      <c r="M50">
        <f t="shared" si="9"/>
        <v>108.13895043686934</v>
      </c>
      <c r="N50" s="69">
        <f t="shared" si="10"/>
        <v>91.394094063596299</v>
      </c>
      <c r="O50">
        <v>13</v>
      </c>
      <c r="P50">
        <f t="shared" si="0"/>
        <v>3.2109465963487162E-2</v>
      </c>
      <c r="Q50">
        <f t="shared" si="11"/>
        <v>-1.4442465123178811E-2</v>
      </c>
      <c r="R50">
        <f t="shared" si="1"/>
        <v>0.84310635511427723</v>
      </c>
      <c r="S50">
        <f t="shared" si="2"/>
        <v>0.92155317755713861</v>
      </c>
      <c r="T50">
        <f t="shared" si="3"/>
        <v>1.0784468224428614</v>
      </c>
      <c r="U50">
        <f t="shared" si="4"/>
        <v>1.1568936448857228</v>
      </c>
      <c r="V50">
        <v>-2.74</v>
      </c>
      <c r="W50" s="69">
        <f t="shared" si="12"/>
        <v>2.9311688311688311</v>
      </c>
      <c r="X50" s="69">
        <f t="shared" si="13"/>
        <v>-1.1724675324675324</v>
      </c>
      <c r="Y50">
        <f t="shared" si="14"/>
        <v>0.84310635511427723</v>
      </c>
      <c r="Z50">
        <f t="shared" si="15"/>
        <v>1.1568936448857228</v>
      </c>
      <c r="AG50" s="245">
        <f t="shared" si="27"/>
        <v>102.3940940635963</v>
      </c>
      <c r="AH50" s="103">
        <f t="shared" si="16"/>
        <v>1.9920314638666374</v>
      </c>
      <c r="AI50" s="244">
        <v>44</v>
      </c>
      <c r="AJ50" s="103">
        <f t="shared" si="17"/>
        <v>-0.16544741111523181</v>
      </c>
      <c r="AK50" s="244">
        <f t="shared" si="28"/>
        <v>197.721490063907</v>
      </c>
      <c r="AL50" s="103">
        <v>-1.24</v>
      </c>
      <c r="AM50" s="244">
        <f t="shared" si="18"/>
        <v>230</v>
      </c>
      <c r="AN50" s="103">
        <v>-1.24</v>
      </c>
      <c r="AO50" s="244">
        <f t="shared" si="19"/>
        <v>378</v>
      </c>
      <c r="AP50" s="103">
        <v>-1.24</v>
      </c>
      <c r="AQ50" s="244">
        <f t="shared" si="20"/>
        <v>156.47269016040096</v>
      </c>
      <c r="AR50" s="103">
        <v>-1.24</v>
      </c>
      <c r="AS50" s="245">
        <f t="shared" si="21"/>
        <v>91.394094063596299</v>
      </c>
      <c r="AT50" s="103">
        <v>-1.24</v>
      </c>
      <c r="AU50" s="245">
        <f t="shared" si="22"/>
        <v>108.13895043686934</v>
      </c>
      <c r="AV50" s="103">
        <v>-1.24</v>
      </c>
      <c r="AW50" s="244">
        <v>88</v>
      </c>
      <c r="AX50" s="103">
        <f t="shared" si="23"/>
        <v>-6.2049288457200147E-2</v>
      </c>
      <c r="AY50" s="244">
        <v>88</v>
      </c>
      <c r="AZ50" s="103">
        <f t="shared" si="24"/>
        <v>0.46897535577139993</v>
      </c>
      <c r="BA50" s="244">
        <v>88</v>
      </c>
      <c r="BB50" s="103">
        <f t="shared" si="25"/>
        <v>1.5310246442286002</v>
      </c>
      <c r="BC50" s="244">
        <v>88</v>
      </c>
      <c r="BD50" s="103">
        <f t="shared" si="26"/>
        <v>2.0620492884572004</v>
      </c>
    </row>
    <row r="51" spans="1:56">
      <c r="A51" s="314"/>
      <c r="B51" s="314"/>
      <c r="F51" s="314"/>
      <c r="G51" s="314"/>
      <c r="H51" s="314"/>
      <c r="I51">
        <f t="shared" si="5"/>
        <v>197.721490063907</v>
      </c>
      <c r="J51">
        <f t="shared" si="6"/>
        <v>230</v>
      </c>
      <c r="K51">
        <f t="shared" si="7"/>
        <v>378</v>
      </c>
      <c r="L51">
        <f t="shared" si="8"/>
        <v>156.47269016040096</v>
      </c>
      <c r="M51">
        <f t="shared" si="9"/>
        <v>108.13895043686934</v>
      </c>
      <c r="N51" s="69">
        <f t="shared" si="10"/>
        <v>91.394094063596299</v>
      </c>
      <c r="O51">
        <v>14</v>
      </c>
      <c r="P51">
        <f t="shared" si="0"/>
        <v>3.7239380644044286E-2</v>
      </c>
      <c r="Q51">
        <f t="shared" si="11"/>
        <v>-1.6749841207947022E-2</v>
      </c>
      <c r="R51">
        <f t="shared" si="1"/>
        <v>0.83103761319999092</v>
      </c>
      <c r="S51">
        <f t="shared" si="2"/>
        <v>0.91551880659999541</v>
      </c>
      <c r="T51">
        <f t="shared" si="3"/>
        <v>1.0844811934000045</v>
      </c>
      <c r="U51">
        <f t="shared" si="4"/>
        <v>1.1689623868000092</v>
      </c>
      <c r="V51">
        <v>-2.72</v>
      </c>
      <c r="W51" s="69">
        <f t="shared" si="12"/>
        <v>2.9311688311688311</v>
      </c>
      <c r="X51" s="69">
        <f t="shared" si="13"/>
        <v>-1.1724675324675324</v>
      </c>
      <c r="Y51">
        <f t="shared" si="14"/>
        <v>0.83103761319999092</v>
      </c>
      <c r="Z51">
        <f t="shared" si="15"/>
        <v>1.1689623868000092</v>
      </c>
      <c r="AG51" s="245">
        <f t="shared" si="27"/>
        <v>103.3940940635963</v>
      </c>
      <c r="AH51" s="103">
        <f t="shared" si="16"/>
        <v>2.0311305693243762</v>
      </c>
      <c r="AI51" s="244">
        <v>48</v>
      </c>
      <c r="AJ51" s="103">
        <f t="shared" si="17"/>
        <v>-0.19689609256688745</v>
      </c>
      <c r="AK51" s="244">
        <f t="shared" si="28"/>
        <v>197.721490063907</v>
      </c>
      <c r="AL51" s="103">
        <v>-1.08</v>
      </c>
      <c r="AM51" s="244">
        <f t="shared" si="18"/>
        <v>230</v>
      </c>
      <c r="AN51" s="103">
        <v>-1.08</v>
      </c>
      <c r="AO51" s="244">
        <f t="shared" si="19"/>
        <v>378</v>
      </c>
      <c r="AP51" s="103">
        <v>-1.08</v>
      </c>
      <c r="AQ51" s="244">
        <f t="shared" si="20"/>
        <v>156.47269016040096</v>
      </c>
      <c r="AR51" s="103">
        <v>-1.08</v>
      </c>
      <c r="AS51" s="245">
        <f t="shared" si="21"/>
        <v>91.394094063596299</v>
      </c>
      <c r="AT51" s="103">
        <v>-1.08</v>
      </c>
      <c r="AU51" s="245">
        <f t="shared" si="22"/>
        <v>108.13895043686934</v>
      </c>
      <c r="AV51" s="103">
        <v>-1.08</v>
      </c>
      <c r="AW51" s="244">
        <v>96</v>
      </c>
      <c r="AX51" s="103">
        <f t="shared" si="23"/>
        <v>-0.15859922377149083</v>
      </c>
      <c r="AY51" s="244">
        <v>96</v>
      </c>
      <c r="AZ51" s="103">
        <f t="shared" si="24"/>
        <v>0.42070038811425459</v>
      </c>
      <c r="BA51" s="244">
        <v>96</v>
      </c>
      <c r="BB51" s="103">
        <f t="shared" si="25"/>
        <v>1.5792996118857454</v>
      </c>
      <c r="BC51" s="244">
        <v>96</v>
      </c>
      <c r="BD51" s="103">
        <f t="shared" si="26"/>
        <v>2.1585992237714908</v>
      </c>
    </row>
    <row r="52" spans="1:56">
      <c r="A52" s="314"/>
      <c r="B52" s="314"/>
      <c r="F52" s="314"/>
      <c r="G52" s="314"/>
      <c r="H52" s="314"/>
      <c r="I52">
        <f t="shared" si="5"/>
        <v>197.721490063907</v>
      </c>
      <c r="J52">
        <f t="shared" si="6"/>
        <v>230</v>
      </c>
      <c r="K52">
        <f t="shared" si="7"/>
        <v>378</v>
      </c>
      <c r="L52">
        <f t="shared" si="8"/>
        <v>156.47269016040096</v>
      </c>
      <c r="M52">
        <f t="shared" si="9"/>
        <v>108.13895043686934</v>
      </c>
      <c r="N52" s="69">
        <f t="shared" si="10"/>
        <v>91.394094063596299</v>
      </c>
      <c r="O52">
        <v>15</v>
      </c>
      <c r="P52">
        <f t="shared" si="0"/>
        <v>4.2749289004642671E-2</v>
      </c>
      <c r="Q52">
        <f t="shared" si="11"/>
        <v>-1.9228134039735098E-2</v>
      </c>
      <c r="R52">
        <f t="shared" si="1"/>
        <v>0.8189688712857045</v>
      </c>
      <c r="S52">
        <f t="shared" si="2"/>
        <v>0.9094844356428522</v>
      </c>
      <c r="T52">
        <f t="shared" si="3"/>
        <v>1.0905155643571478</v>
      </c>
      <c r="U52">
        <f t="shared" si="4"/>
        <v>1.1810311287142956</v>
      </c>
      <c r="V52">
        <v>-2.7</v>
      </c>
      <c r="W52" s="69">
        <f t="shared" si="12"/>
        <v>2.9311688311688311</v>
      </c>
      <c r="X52" s="69">
        <f t="shared" si="13"/>
        <v>-1.1724675324675324</v>
      </c>
      <c r="Y52">
        <f t="shared" si="14"/>
        <v>0.8189688712857045</v>
      </c>
      <c r="Z52">
        <f t="shared" si="15"/>
        <v>1.1810311287142956</v>
      </c>
      <c r="AG52" s="245">
        <f t="shared" si="27"/>
        <v>104.3940940635963</v>
      </c>
      <c r="AH52" s="103">
        <f t="shared" si="16"/>
        <v>2.0706096684621556</v>
      </c>
      <c r="AI52" s="244">
        <v>52</v>
      </c>
      <c r="AJ52" s="103">
        <f t="shared" si="17"/>
        <v>-0.23107944197086097</v>
      </c>
      <c r="AK52" s="244">
        <f t="shared" si="28"/>
        <v>197.721490063907</v>
      </c>
      <c r="AL52" s="103">
        <v>-0.92</v>
      </c>
      <c r="AM52" s="244">
        <f t="shared" si="18"/>
        <v>230</v>
      </c>
      <c r="AN52" s="103">
        <v>-0.92</v>
      </c>
      <c r="AO52" s="244">
        <f t="shared" si="19"/>
        <v>378</v>
      </c>
      <c r="AP52" s="103">
        <v>-0.92</v>
      </c>
      <c r="AQ52" s="244">
        <f t="shared" si="20"/>
        <v>156.47269016040096</v>
      </c>
      <c r="AR52" s="103">
        <v>-0.92</v>
      </c>
      <c r="AS52" s="245">
        <f t="shared" si="21"/>
        <v>91.394094063596299</v>
      </c>
      <c r="AT52" s="103">
        <v>-0.92</v>
      </c>
      <c r="AU52" s="245">
        <f t="shared" si="22"/>
        <v>108.13895043686934</v>
      </c>
      <c r="AV52" s="103">
        <v>-0.92</v>
      </c>
      <c r="AW52" s="244">
        <v>104</v>
      </c>
      <c r="AX52" s="103">
        <f t="shared" si="23"/>
        <v>-0.25514915908578195</v>
      </c>
      <c r="AY52" s="244">
        <v>104</v>
      </c>
      <c r="AZ52" s="103">
        <f t="shared" si="24"/>
        <v>0.37242542045710902</v>
      </c>
      <c r="BA52" s="244">
        <v>104</v>
      </c>
      <c r="BB52" s="103">
        <f t="shared" si="25"/>
        <v>1.6275745795428911</v>
      </c>
      <c r="BC52" s="244">
        <v>104</v>
      </c>
      <c r="BD52" s="103">
        <f t="shared" si="26"/>
        <v>2.2551491590857822</v>
      </c>
    </row>
    <row r="53" spans="1:56">
      <c r="A53" s="314"/>
      <c r="B53" s="314"/>
      <c r="F53" s="314"/>
      <c r="G53" s="314"/>
      <c r="H53" s="314"/>
      <c r="I53">
        <f t="shared" si="5"/>
        <v>197.721490063907</v>
      </c>
      <c r="J53">
        <f t="shared" si="6"/>
        <v>230</v>
      </c>
      <c r="K53">
        <f t="shared" si="7"/>
        <v>378</v>
      </c>
      <c r="L53">
        <f t="shared" si="8"/>
        <v>156.47269016040096</v>
      </c>
      <c r="M53">
        <f t="shared" si="9"/>
        <v>108.13895043686934</v>
      </c>
      <c r="N53" s="69">
        <f t="shared" si="10"/>
        <v>91.394094063596299</v>
      </c>
      <c r="O53">
        <v>16</v>
      </c>
      <c r="P53">
        <f t="shared" si="0"/>
        <v>4.8639191045282339E-2</v>
      </c>
      <c r="Q53">
        <f t="shared" si="11"/>
        <v>-2.1877343618543047E-2</v>
      </c>
      <c r="R53">
        <f t="shared" si="1"/>
        <v>0.8069001293714182</v>
      </c>
      <c r="S53">
        <f t="shared" si="2"/>
        <v>0.9034500646857091</v>
      </c>
      <c r="T53">
        <f t="shared" si="3"/>
        <v>1.0965499353142909</v>
      </c>
      <c r="U53">
        <f t="shared" si="4"/>
        <v>1.1930998706285818</v>
      </c>
      <c r="V53">
        <v>-2.68</v>
      </c>
      <c r="W53" s="69">
        <f t="shared" si="12"/>
        <v>2.9311688311688311</v>
      </c>
      <c r="X53" s="69">
        <f t="shared" si="13"/>
        <v>-1.1724675324675324</v>
      </c>
      <c r="Y53">
        <f t="shared" si="14"/>
        <v>0.8069001293714182</v>
      </c>
      <c r="Z53">
        <f t="shared" si="15"/>
        <v>1.1930998706285818</v>
      </c>
      <c r="AG53" s="245">
        <f t="shared" si="27"/>
        <v>105.3940940635963</v>
      </c>
      <c r="AH53" s="103">
        <f t="shared" si="16"/>
        <v>2.1104687612799768</v>
      </c>
      <c r="AI53" s="244">
        <v>56</v>
      </c>
      <c r="AJ53" s="103">
        <f t="shared" si="17"/>
        <v>-0.26799745932715235</v>
      </c>
      <c r="AK53" s="244">
        <f t="shared" si="28"/>
        <v>197.721490063907</v>
      </c>
      <c r="AL53" s="103">
        <v>-0.76</v>
      </c>
      <c r="AM53" s="244">
        <f t="shared" si="18"/>
        <v>230</v>
      </c>
      <c r="AN53" s="103">
        <v>-0.76</v>
      </c>
      <c r="AO53" s="244">
        <f t="shared" si="19"/>
        <v>378</v>
      </c>
      <c r="AP53" s="103">
        <v>-0.76</v>
      </c>
      <c r="AQ53" s="244">
        <f t="shared" si="20"/>
        <v>156.47269016040096</v>
      </c>
      <c r="AR53" s="103">
        <v>-0.76</v>
      </c>
      <c r="AS53" s="245">
        <f t="shared" si="21"/>
        <v>91.394094063596299</v>
      </c>
      <c r="AT53" s="103">
        <v>-0.76</v>
      </c>
      <c r="AU53" s="245">
        <f t="shared" si="22"/>
        <v>108.13895043686934</v>
      </c>
      <c r="AV53" s="103">
        <v>-0.76</v>
      </c>
      <c r="AW53" s="244">
        <v>112</v>
      </c>
      <c r="AX53" s="103">
        <f t="shared" si="23"/>
        <v>-0.35169909440007285</v>
      </c>
      <c r="AY53" s="244">
        <v>112</v>
      </c>
      <c r="AZ53" s="103">
        <f t="shared" si="24"/>
        <v>0.32415045279996357</v>
      </c>
      <c r="BA53" s="244">
        <v>112</v>
      </c>
      <c r="BB53" s="103">
        <f t="shared" si="25"/>
        <v>1.6758495472000363</v>
      </c>
      <c r="BC53" s="244">
        <v>112</v>
      </c>
      <c r="BD53" s="103">
        <f t="shared" si="26"/>
        <v>2.3516990944000726</v>
      </c>
    </row>
    <row r="54" spans="1:56">
      <c r="A54" s="314"/>
      <c r="B54" s="314"/>
      <c r="F54" s="314"/>
      <c r="G54" s="314"/>
      <c r="H54" s="314"/>
      <c r="I54">
        <f t="shared" si="5"/>
        <v>197.721490063907</v>
      </c>
      <c r="J54">
        <f t="shared" si="6"/>
        <v>230</v>
      </c>
      <c r="K54">
        <f t="shared" si="7"/>
        <v>378</v>
      </c>
      <c r="L54">
        <f t="shared" si="8"/>
        <v>156.47269016040096</v>
      </c>
      <c r="M54">
        <f t="shared" si="9"/>
        <v>108.13895043686934</v>
      </c>
      <c r="N54" s="69">
        <f t="shared" si="10"/>
        <v>91.394094063596299</v>
      </c>
      <c r="O54">
        <v>17</v>
      </c>
      <c r="P54">
        <f t="shared" si="0"/>
        <v>5.4909086765963261E-2</v>
      </c>
      <c r="Q54">
        <f t="shared" si="11"/>
        <v>-2.4697469944370859E-2</v>
      </c>
      <c r="R54">
        <f t="shared" si="1"/>
        <v>0.79483138745713178</v>
      </c>
      <c r="S54">
        <f t="shared" si="2"/>
        <v>0.89741569372856589</v>
      </c>
      <c r="T54">
        <f t="shared" si="3"/>
        <v>1.102584306271434</v>
      </c>
      <c r="U54">
        <f t="shared" si="4"/>
        <v>1.2051686125428682</v>
      </c>
      <c r="V54">
        <v>-2.66</v>
      </c>
      <c r="W54" s="69">
        <f t="shared" si="12"/>
        <v>2.9311688311688311</v>
      </c>
      <c r="X54" s="69">
        <f t="shared" si="13"/>
        <v>-1.1724675324675324</v>
      </c>
      <c r="Y54">
        <f t="shared" si="14"/>
        <v>0.79483138745713178</v>
      </c>
      <c r="Z54">
        <f t="shared" si="15"/>
        <v>1.2051686125428682</v>
      </c>
      <c r="AG54" s="245">
        <f t="shared" si="27"/>
        <v>106.3940940635963</v>
      </c>
      <c r="AH54" s="103">
        <f t="shared" si="16"/>
        <v>2.1507078477778383</v>
      </c>
      <c r="AI54" s="244">
        <v>60</v>
      </c>
      <c r="AJ54" s="103">
        <f t="shared" si="17"/>
        <v>-0.30765014463576157</v>
      </c>
      <c r="AK54" s="244">
        <f t="shared" si="28"/>
        <v>197.721490063907</v>
      </c>
      <c r="AL54" s="103">
        <v>-0.6</v>
      </c>
      <c r="AM54" s="244">
        <f t="shared" si="18"/>
        <v>230</v>
      </c>
      <c r="AN54" s="103">
        <v>-0.6</v>
      </c>
      <c r="AO54" s="244">
        <f t="shared" si="19"/>
        <v>378</v>
      </c>
      <c r="AP54" s="103">
        <v>-0.6</v>
      </c>
      <c r="AQ54" s="244">
        <f t="shared" si="20"/>
        <v>156.47269016040096</v>
      </c>
      <c r="AR54" s="103">
        <v>-0.6</v>
      </c>
      <c r="AS54" s="245">
        <f t="shared" si="21"/>
        <v>91.394094063596299</v>
      </c>
      <c r="AT54" s="103">
        <v>-0.6</v>
      </c>
      <c r="AU54" s="245">
        <f t="shared" si="22"/>
        <v>108.13895043686934</v>
      </c>
      <c r="AV54" s="103">
        <v>-0.6</v>
      </c>
      <c r="AW54" s="244">
        <v>120</v>
      </c>
      <c r="AX54" s="103">
        <f t="shared" si="23"/>
        <v>-0.44824902971436398</v>
      </c>
      <c r="AY54" s="244">
        <v>120</v>
      </c>
      <c r="AZ54" s="103">
        <f t="shared" si="24"/>
        <v>0.27587548514281801</v>
      </c>
      <c r="BA54" s="244">
        <v>120</v>
      </c>
      <c r="BB54" s="103">
        <f t="shared" si="25"/>
        <v>1.724124514857182</v>
      </c>
      <c r="BC54" s="244">
        <v>120</v>
      </c>
      <c r="BD54" s="103">
        <f t="shared" si="26"/>
        <v>2.448249029714364</v>
      </c>
    </row>
    <row r="55" spans="1:56">
      <c r="F55" s="314"/>
      <c r="G55" s="314"/>
      <c r="H55" s="314"/>
      <c r="I55">
        <f t="shared" si="5"/>
        <v>197.721490063907</v>
      </c>
      <c r="J55">
        <f t="shared" si="6"/>
        <v>230</v>
      </c>
      <c r="K55">
        <f t="shared" si="7"/>
        <v>378</v>
      </c>
      <c r="L55">
        <f t="shared" si="8"/>
        <v>156.47269016040096</v>
      </c>
      <c r="M55">
        <f t="shared" si="9"/>
        <v>108.13895043686934</v>
      </c>
      <c r="N55" s="69">
        <f t="shared" si="10"/>
        <v>91.394094063596299</v>
      </c>
      <c r="O55">
        <v>18</v>
      </c>
      <c r="P55">
        <f t="shared" si="0"/>
        <v>6.1558976166685445E-2</v>
      </c>
      <c r="Q55">
        <f t="shared" si="11"/>
        <v>-2.7688513017218544E-2</v>
      </c>
      <c r="R55">
        <f t="shared" si="1"/>
        <v>0.78276264554284536</v>
      </c>
      <c r="S55">
        <f t="shared" si="2"/>
        <v>0.89138132277142268</v>
      </c>
      <c r="T55">
        <f t="shared" si="3"/>
        <v>1.1086186772285773</v>
      </c>
      <c r="U55">
        <f t="shared" si="4"/>
        <v>1.2172373544571546</v>
      </c>
      <c r="V55">
        <v>-2.64</v>
      </c>
      <c r="W55" s="69">
        <f t="shared" si="12"/>
        <v>2.9311688311688311</v>
      </c>
      <c r="X55" s="69">
        <f t="shared" si="13"/>
        <v>-1.1724675324675324</v>
      </c>
      <c r="Y55">
        <f t="shared" si="14"/>
        <v>0.78276264554284536</v>
      </c>
      <c r="Z55">
        <f t="shared" si="15"/>
        <v>1.2172373544571546</v>
      </c>
      <c r="AG55" s="245">
        <f t="shared" si="27"/>
        <v>107.3940940635963</v>
      </c>
      <c r="AH55" s="103">
        <f t="shared" si="16"/>
        <v>2.1913269279557417</v>
      </c>
      <c r="AI55" s="244">
        <v>64</v>
      </c>
      <c r="AJ55" s="103">
        <f t="shared" si="17"/>
        <v>-0.35003749789668875</v>
      </c>
      <c r="AK55" s="244">
        <f t="shared" si="28"/>
        <v>197.721490063907</v>
      </c>
      <c r="AL55" s="103">
        <v>-0.44</v>
      </c>
      <c r="AM55" s="244">
        <f t="shared" si="18"/>
        <v>230</v>
      </c>
      <c r="AN55" s="103">
        <v>-0.44</v>
      </c>
      <c r="AO55" s="244">
        <f t="shared" si="19"/>
        <v>378</v>
      </c>
      <c r="AP55" s="103">
        <v>-0.44</v>
      </c>
      <c r="AQ55" s="244">
        <f t="shared" si="20"/>
        <v>156.47269016040096</v>
      </c>
      <c r="AR55" s="103">
        <v>-0.44</v>
      </c>
      <c r="AS55" s="245">
        <f t="shared" si="21"/>
        <v>91.394094063596299</v>
      </c>
      <c r="AT55" s="103">
        <v>-0.44</v>
      </c>
      <c r="AU55" s="245">
        <f t="shared" si="22"/>
        <v>108.13895043686934</v>
      </c>
      <c r="AV55" s="103">
        <v>-0.44</v>
      </c>
      <c r="AW55" s="244">
        <v>128</v>
      </c>
      <c r="AX55" s="103">
        <f t="shared" si="23"/>
        <v>-0.54479896502865466</v>
      </c>
      <c r="AY55" s="244">
        <v>128</v>
      </c>
      <c r="AZ55" s="103">
        <f t="shared" si="24"/>
        <v>0.22760051748567267</v>
      </c>
      <c r="BA55" s="244">
        <v>128</v>
      </c>
      <c r="BB55" s="103">
        <f t="shared" si="25"/>
        <v>1.7723994825143272</v>
      </c>
      <c r="BC55" s="244">
        <v>128</v>
      </c>
      <c r="BD55" s="103">
        <f t="shared" si="26"/>
        <v>2.5447989650286544</v>
      </c>
    </row>
    <row r="56" spans="1:56">
      <c r="F56" s="314"/>
      <c r="G56" s="314"/>
      <c r="H56" s="314"/>
      <c r="I56">
        <f t="shared" si="5"/>
        <v>197.721490063907</v>
      </c>
      <c r="J56">
        <f t="shared" si="6"/>
        <v>230</v>
      </c>
      <c r="K56">
        <f t="shared" si="7"/>
        <v>378</v>
      </c>
      <c r="L56">
        <f t="shared" si="8"/>
        <v>156.47269016040096</v>
      </c>
      <c r="M56">
        <f t="shared" si="9"/>
        <v>108.13895043686934</v>
      </c>
      <c r="N56" s="69">
        <f t="shared" si="10"/>
        <v>91.394094063596299</v>
      </c>
      <c r="O56">
        <v>19</v>
      </c>
      <c r="P56">
        <f t="shared" si="0"/>
        <v>6.8588859247448924E-2</v>
      </c>
      <c r="Q56">
        <f t="shared" si="11"/>
        <v>-3.0850472837086095E-2</v>
      </c>
      <c r="R56">
        <f t="shared" si="1"/>
        <v>0.77069390362855905</v>
      </c>
      <c r="S56">
        <f t="shared" si="2"/>
        <v>0.88534695181427958</v>
      </c>
      <c r="T56">
        <f t="shared" si="3"/>
        <v>1.1146530481857204</v>
      </c>
      <c r="U56">
        <f t="shared" si="4"/>
        <v>1.2293060963714408</v>
      </c>
      <c r="V56">
        <v>-2.62</v>
      </c>
      <c r="W56" s="69">
        <f t="shared" si="12"/>
        <v>2.9311688311688311</v>
      </c>
      <c r="X56" s="69">
        <f t="shared" si="13"/>
        <v>-1.1724675324675324</v>
      </c>
      <c r="Y56">
        <f t="shared" si="14"/>
        <v>0.77069390362855905</v>
      </c>
      <c r="Z56">
        <f t="shared" si="15"/>
        <v>1.2293060963714408</v>
      </c>
      <c r="AG56" s="245">
        <f t="shared" si="27"/>
        <v>108.3940940635963</v>
      </c>
      <c r="AH56" s="103">
        <f t="shared" si="16"/>
        <v>2.2323260018136866</v>
      </c>
      <c r="AI56" s="244">
        <v>68</v>
      </c>
      <c r="AJ56" s="103">
        <f t="shared" si="17"/>
        <v>-0.39515951910993374</v>
      </c>
      <c r="AK56" s="244">
        <f t="shared" si="28"/>
        <v>197.721490063907</v>
      </c>
      <c r="AL56" s="103">
        <v>-0.28000000000000003</v>
      </c>
      <c r="AM56" s="244">
        <f t="shared" si="18"/>
        <v>230</v>
      </c>
      <c r="AN56" s="103">
        <v>-0.28000000000000003</v>
      </c>
      <c r="AO56" s="244">
        <f t="shared" si="19"/>
        <v>378</v>
      </c>
      <c r="AP56" s="103">
        <v>-0.28000000000000003</v>
      </c>
      <c r="AQ56" s="244">
        <f t="shared" si="20"/>
        <v>156.47269016040096</v>
      </c>
      <c r="AR56" s="103">
        <v>-0.28000000000000003</v>
      </c>
      <c r="AS56" s="245">
        <f t="shared" si="21"/>
        <v>91.394094063596299</v>
      </c>
      <c r="AT56" s="103">
        <v>-0.28000000000000003</v>
      </c>
      <c r="AU56" s="245">
        <f t="shared" si="22"/>
        <v>108.13895043686934</v>
      </c>
      <c r="AV56" s="103">
        <v>-0.28000000000000003</v>
      </c>
      <c r="AW56" s="244">
        <v>136</v>
      </c>
      <c r="AX56" s="103">
        <f t="shared" si="23"/>
        <v>-0.64134890034294534</v>
      </c>
      <c r="AY56" s="244">
        <v>136</v>
      </c>
      <c r="AZ56" s="103">
        <f t="shared" si="24"/>
        <v>0.17932554982852733</v>
      </c>
      <c r="BA56" s="244">
        <v>136</v>
      </c>
      <c r="BB56" s="103">
        <f t="shared" si="25"/>
        <v>1.8206744501714727</v>
      </c>
      <c r="BC56" s="244">
        <v>136</v>
      </c>
      <c r="BD56" s="103">
        <f t="shared" si="26"/>
        <v>2.6413489003429453</v>
      </c>
    </row>
    <row r="57" spans="1:56">
      <c r="F57" s="314"/>
      <c r="G57" s="314"/>
      <c r="H57" s="314"/>
      <c r="I57">
        <f t="shared" si="5"/>
        <v>197.721490063907</v>
      </c>
      <c r="J57">
        <f t="shared" si="6"/>
        <v>230</v>
      </c>
      <c r="K57">
        <f t="shared" si="7"/>
        <v>378</v>
      </c>
      <c r="L57">
        <f t="shared" si="8"/>
        <v>156.47269016040096</v>
      </c>
      <c r="M57">
        <f t="shared" si="9"/>
        <v>108.13895043686934</v>
      </c>
      <c r="N57" s="69">
        <f t="shared" si="10"/>
        <v>91.394094063596299</v>
      </c>
      <c r="O57">
        <v>20</v>
      </c>
      <c r="P57">
        <f t="shared" si="0"/>
        <v>7.5998736008253645E-2</v>
      </c>
      <c r="Q57">
        <f t="shared" si="11"/>
        <v>-3.4183349403973509E-2</v>
      </c>
      <c r="R57">
        <f t="shared" si="1"/>
        <v>0.75862516171427274</v>
      </c>
      <c r="S57">
        <f t="shared" si="2"/>
        <v>0.87931258085713637</v>
      </c>
      <c r="T57">
        <f t="shared" si="3"/>
        <v>1.1206874191428637</v>
      </c>
      <c r="U57">
        <f t="shared" si="4"/>
        <v>1.2413748382857273</v>
      </c>
      <c r="V57">
        <v>-2.6</v>
      </c>
      <c r="W57" s="69">
        <f t="shared" si="12"/>
        <v>2.9311688311688311</v>
      </c>
      <c r="X57" s="69">
        <f t="shared" si="13"/>
        <v>-1.1724675324675324</v>
      </c>
      <c r="Y57">
        <f t="shared" si="14"/>
        <v>0.75862516171427274</v>
      </c>
      <c r="Z57">
        <f t="shared" si="15"/>
        <v>1.2413748382857273</v>
      </c>
      <c r="AG57" s="245">
        <f t="shared" si="27"/>
        <v>109.3940940635963</v>
      </c>
      <c r="AH57" s="103">
        <f t="shared" si="16"/>
        <v>2.2737050693516725</v>
      </c>
      <c r="AI57" s="244">
        <v>72</v>
      </c>
      <c r="AJ57" s="103">
        <f t="shared" si="17"/>
        <v>-0.4430162082754967</v>
      </c>
      <c r="AK57" s="244">
        <f t="shared" si="28"/>
        <v>197.721490063907</v>
      </c>
      <c r="AL57" s="103">
        <v>-0.12</v>
      </c>
      <c r="AM57" s="244">
        <f t="shared" si="18"/>
        <v>230</v>
      </c>
      <c r="AN57" s="103">
        <v>-0.12</v>
      </c>
      <c r="AO57" s="244">
        <f t="shared" si="19"/>
        <v>378</v>
      </c>
      <c r="AP57" s="103">
        <v>-0.12</v>
      </c>
      <c r="AQ57" s="244">
        <f t="shared" si="20"/>
        <v>156.47269016040096</v>
      </c>
      <c r="AR57" s="103">
        <v>-0.12</v>
      </c>
      <c r="AS57" s="245">
        <f t="shared" si="21"/>
        <v>91.394094063596299</v>
      </c>
      <c r="AT57" s="103">
        <v>-0.12</v>
      </c>
      <c r="AU57" s="245">
        <f t="shared" si="22"/>
        <v>108.13895043686934</v>
      </c>
      <c r="AV57" s="103">
        <v>-0.12</v>
      </c>
      <c r="AW57" s="244">
        <v>144</v>
      </c>
      <c r="AX57" s="103">
        <f t="shared" si="23"/>
        <v>-0.73789883565723668</v>
      </c>
      <c r="AY57" s="244">
        <v>144</v>
      </c>
      <c r="AZ57" s="103">
        <f t="shared" si="24"/>
        <v>0.13105058217138166</v>
      </c>
      <c r="BA57" s="244">
        <v>144</v>
      </c>
      <c r="BB57" s="103">
        <f t="shared" si="25"/>
        <v>1.8689494178286183</v>
      </c>
      <c r="BC57" s="244">
        <v>144</v>
      </c>
      <c r="BD57" s="103">
        <f t="shared" si="26"/>
        <v>2.7378988356572367</v>
      </c>
    </row>
    <row r="58" spans="1:56">
      <c r="F58" s="314"/>
      <c r="G58" s="314"/>
      <c r="H58" s="314"/>
      <c r="I58">
        <f t="shared" si="5"/>
        <v>197.721490063907</v>
      </c>
      <c r="J58">
        <f t="shared" si="6"/>
        <v>230</v>
      </c>
      <c r="K58">
        <f t="shared" si="7"/>
        <v>378</v>
      </c>
      <c r="L58">
        <f t="shared" si="8"/>
        <v>156.47269016040096</v>
      </c>
      <c r="M58">
        <f t="shared" si="9"/>
        <v>108.13895043686934</v>
      </c>
      <c r="N58" s="69">
        <f t="shared" si="10"/>
        <v>91.394094063596299</v>
      </c>
      <c r="O58">
        <v>21</v>
      </c>
      <c r="P58">
        <f t="shared" si="0"/>
        <v>8.3788606449099648E-2</v>
      </c>
      <c r="Q58">
        <f t="shared" si="11"/>
        <v>-3.7687142717880796E-2</v>
      </c>
      <c r="R58">
        <f t="shared" si="1"/>
        <v>0.74655641979998633</v>
      </c>
      <c r="S58">
        <f t="shared" si="2"/>
        <v>0.87327820989999316</v>
      </c>
      <c r="T58">
        <f t="shared" si="3"/>
        <v>1.1267217901000068</v>
      </c>
      <c r="U58">
        <f t="shared" si="4"/>
        <v>1.2534435802000137</v>
      </c>
      <c r="V58">
        <v>-2.58</v>
      </c>
      <c r="W58" s="69">
        <f t="shared" si="12"/>
        <v>2.9311688311688311</v>
      </c>
      <c r="X58" s="69">
        <f t="shared" si="13"/>
        <v>-1.1724675324675324</v>
      </c>
      <c r="Y58">
        <f t="shared" si="14"/>
        <v>0.74655641979998633</v>
      </c>
      <c r="Z58">
        <f t="shared" si="15"/>
        <v>1.2534435802000137</v>
      </c>
      <c r="AG58" s="245">
        <f t="shared" si="27"/>
        <v>110.3940940635963</v>
      </c>
      <c r="AH58" s="103">
        <f t="shared" si="16"/>
        <v>2.3154641305696999</v>
      </c>
      <c r="AI58" s="244">
        <v>76</v>
      </c>
      <c r="AJ58" s="103">
        <f t="shared" si="17"/>
        <v>-0.49360756539337752</v>
      </c>
      <c r="AK58" s="244">
        <f t="shared" si="28"/>
        <v>197.721490063907</v>
      </c>
      <c r="AL58" s="103">
        <v>0.04</v>
      </c>
      <c r="AM58" s="244">
        <f t="shared" si="18"/>
        <v>230</v>
      </c>
      <c r="AN58" s="103">
        <v>0.04</v>
      </c>
      <c r="AO58" s="244">
        <f t="shared" si="19"/>
        <v>378</v>
      </c>
      <c r="AP58" s="103">
        <v>0.04</v>
      </c>
      <c r="AQ58" s="244">
        <f t="shared" si="20"/>
        <v>156.47269016040096</v>
      </c>
      <c r="AR58" s="103">
        <v>0.04</v>
      </c>
      <c r="AS58" s="245">
        <f t="shared" si="21"/>
        <v>91.394094063596299</v>
      </c>
      <c r="AT58" s="103">
        <v>0.04</v>
      </c>
      <c r="AU58" s="245">
        <f t="shared" si="22"/>
        <v>108.13895043686934</v>
      </c>
      <c r="AV58" s="103">
        <v>0</v>
      </c>
      <c r="AW58" s="244">
        <v>152</v>
      </c>
      <c r="AX58" s="103">
        <f t="shared" si="23"/>
        <v>-0.83444877097152736</v>
      </c>
      <c r="AY58" s="244">
        <v>152</v>
      </c>
      <c r="AZ58" s="103">
        <f t="shared" si="24"/>
        <v>8.2775614514236318E-2</v>
      </c>
      <c r="BA58" s="244">
        <v>152</v>
      </c>
      <c r="BB58" s="103">
        <f t="shared" si="25"/>
        <v>1.9172243854857638</v>
      </c>
      <c r="BC58" s="244">
        <v>152</v>
      </c>
      <c r="BD58" s="103">
        <f t="shared" si="26"/>
        <v>2.8344487709715276</v>
      </c>
    </row>
    <row r="59" spans="1:56">
      <c r="I59">
        <f t="shared" si="5"/>
        <v>197.721490063907</v>
      </c>
      <c r="J59">
        <f t="shared" si="6"/>
        <v>230</v>
      </c>
      <c r="K59">
        <f t="shared" si="7"/>
        <v>378</v>
      </c>
      <c r="L59">
        <f t="shared" si="8"/>
        <v>156.47269016040096</v>
      </c>
      <c r="M59">
        <f t="shared" si="9"/>
        <v>108.13895043686934</v>
      </c>
      <c r="N59" s="69">
        <f t="shared" si="10"/>
        <v>91.394094063596299</v>
      </c>
      <c r="O59">
        <v>22</v>
      </c>
      <c r="P59">
        <f t="shared" si="0"/>
        <v>9.1958470569986905E-2</v>
      </c>
      <c r="Q59">
        <f t="shared" si="11"/>
        <v>-4.1361852778807953E-2</v>
      </c>
      <c r="R59">
        <f t="shared" si="1"/>
        <v>0.73448767788569991</v>
      </c>
      <c r="S59">
        <f t="shared" si="2"/>
        <v>0.86724383894284995</v>
      </c>
      <c r="T59">
        <f t="shared" si="3"/>
        <v>1.1327561610571499</v>
      </c>
      <c r="U59">
        <f t="shared" si="4"/>
        <v>1.2655123221143001</v>
      </c>
      <c r="V59">
        <v>-2.56</v>
      </c>
      <c r="W59" s="69">
        <f t="shared" si="12"/>
        <v>2.9311688311688311</v>
      </c>
      <c r="X59" s="69">
        <f t="shared" si="13"/>
        <v>-1.1724675324675324</v>
      </c>
      <c r="Y59">
        <f t="shared" si="14"/>
        <v>0.73448767788569991</v>
      </c>
      <c r="Z59">
        <f t="shared" si="15"/>
        <v>1.2655123221143001</v>
      </c>
      <c r="AG59" s="245">
        <f t="shared" si="27"/>
        <v>111.3940940635963</v>
      </c>
      <c r="AH59" s="103">
        <f t="shared" si="16"/>
        <v>2.3576031854677684</v>
      </c>
      <c r="AI59" s="244">
        <v>80</v>
      </c>
      <c r="AJ59" s="103">
        <f t="shared" si="17"/>
        <v>-0.54693359046357615</v>
      </c>
      <c r="AK59" s="244">
        <f t="shared" si="28"/>
        <v>197.721490063907</v>
      </c>
      <c r="AL59" s="103">
        <v>0.2</v>
      </c>
      <c r="AM59" s="244">
        <f t="shared" si="18"/>
        <v>230</v>
      </c>
      <c r="AN59" s="103">
        <v>0.2</v>
      </c>
      <c r="AO59" s="244">
        <f t="shared" si="19"/>
        <v>378</v>
      </c>
      <c r="AP59" s="103">
        <v>0.2</v>
      </c>
      <c r="AQ59" s="244">
        <f t="shared" si="20"/>
        <v>156.47269016040096</v>
      </c>
      <c r="AR59" s="103">
        <v>0.2</v>
      </c>
      <c r="AS59" s="245">
        <f t="shared" si="21"/>
        <v>91.394094063596299</v>
      </c>
      <c r="AT59" s="103">
        <v>0.2</v>
      </c>
      <c r="AU59" s="245">
        <f t="shared" si="22"/>
        <v>108.13895043686934</v>
      </c>
      <c r="AV59" s="103"/>
      <c r="AW59" s="244">
        <v>160</v>
      </c>
      <c r="AX59" s="103">
        <f t="shared" si="23"/>
        <v>-0.93099870628581849</v>
      </c>
      <c r="AY59" s="244">
        <v>160</v>
      </c>
      <c r="AZ59" s="103">
        <f t="shared" si="24"/>
        <v>3.4500646857090755E-2</v>
      </c>
      <c r="BA59" s="244">
        <v>160</v>
      </c>
      <c r="BB59" s="103">
        <f t="shared" si="25"/>
        <v>1.9654993531429092</v>
      </c>
      <c r="BC59" s="244">
        <v>160</v>
      </c>
      <c r="BD59" s="103">
        <f t="shared" si="26"/>
        <v>2.9309987062858185</v>
      </c>
    </row>
    <row r="60" spans="1:56">
      <c r="I60">
        <f t="shared" si="5"/>
        <v>197.721490063907</v>
      </c>
      <c r="J60">
        <f t="shared" si="6"/>
        <v>230</v>
      </c>
      <c r="K60">
        <f t="shared" si="7"/>
        <v>378</v>
      </c>
      <c r="L60">
        <f t="shared" si="8"/>
        <v>156.47269016040096</v>
      </c>
      <c r="M60">
        <f t="shared" si="9"/>
        <v>108.13895043686934</v>
      </c>
      <c r="N60" s="69">
        <f t="shared" si="10"/>
        <v>91.394094063596299</v>
      </c>
      <c r="O60">
        <v>23</v>
      </c>
      <c r="P60">
        <f t="shared" si="0"/>
        <v>0.10050832837091546</v>
      </c>
      <c r="Q60">
        <f t="shared" si="11"/>
        <v>-4.5207479586754973E-2</v>
      </c>
      <c r="R60">
        <f t="shared" si="1"/>
        <v>0.72241893597141371</v>
      </c>
      <c r="S60">
        <f t="shared" si="2"/>
        <v>0.86120946798570686</v>
      </c>
      <c r="T60">
        <f t="shared" si="3"/>
        <v>1.1387905320142933</v>
      </c>
      <c r="U60">
        <f t="shared" si="4"/>
        <v>1.2775810640285863</v>
      </c>
      <c r="V60">
        <v>-2.54</v>
      </c>
      <c r="W60" s="69">
        <f t="shared" si="12"/>
        <v>2.9311688311688311</v>
      </c>
      <c r="X60" s="69">
        <f t="shared" si="13"/>
        <v>-1.1724675324675324</v>
      </c>
      <c r="Y60">
        <f t="shared" si="14"/>
        <v>0.72241893597141371</v>
      </c>
      <c r="Z60">
        <f t="shared" si="15"/>
        <v>1.2775810640285863</v>
      </c>
      <c r="AG60" s="245">
        <f t="shared" si="27"/>
        <v>112.3940940635963</v>
      </c>
      <c r="AH60" s="103">
        <f t="shared" si="16"/>
        <v>2.4001222340458783</v>
      </c>
      <c r="AI60" s="244">
        <v>84</v>
      </c>
      <c r="AJ60" s="103">
        <f t="shared" si="17"/>
        <v>-0.60299428348609274</v>
      </c>
      <c r="AK60" s="244">
        <f t="shared" si="28"/>
        <v>197.721490063907</v>
      </c>
      <c r="AL60" s="103">
        <v>0.36</v>
      </c>
      <c r="AM60" s="244">
        <f t="shared" si="18"/>
        <v>230</v>
      </c>
      <c r="AN60" s="103">
        <v>0.36</v>
      </c>
      <c r="AO60" s="244">
        <f t="shared" si="19"/>
        <v>378</v>
      </c>
      <c r="AP60" s="103">
        <v>0.36</v>
      </c>
      <c r="AQ60" s="244">
        <f t="shared" si="20"/>
        <v>156.47269016040096</v>
      </c>
      <c r="AR60" s="103">
        <v>0.36</v>
      </c>
      <c r="AS60" s="245">
        <f t="shared" si="21"/>
        <v>91.394094063596299</v>
      </c>
      <c r="AT60" s="103">
        <v>0.36</v>
      </c>
      <c r="AU60" s="245">
        <f t="shared" si="22"/>
        <v>108.13895043686934</v>
      </c>
      <c r="AV60" s="103"/>
      <c r="AW60" s="244">
        <v>168</v>
      </c>
      <c r="AX60" s="103">
        <f t="shared" si="23"/>
        <v>-1.0275486416001089</v>
      </c>
      <c r="AY60" s="244">
        <v>168</v>
      </c>
      <c r="AZ60" s="103">
        <f t="shared" si="24"/>
        <v>-1.3774320800054474E-2</v>
      </c>
      <c r="BA60" s="244">
        <v>168</v>
      </c>
      <c r="BB60" s="103">
        <f t="shared" si="25"/>
        <v>2.0137743208000547</v>
      </c>
      <c r="BC60" s="244">
        <v>168</v>
      </c>
      <c r="BD60" s="103">
        <f t="shared" si="26"/>
        <v>3.0275486416001089</v>
      </c>
    </row>
    <row r="61" spans="1:56">
      <c r="I61">
        <f t="shared" si="5"/>
        <v>197.721490063907</v>
      </c>
      <c r="J61">
        <f t="shared" si="6"/>
        <v>230</v>
      </c>
      <c r="K61">
        <f t="shared" si="7"/>
        <v>378</v>
      </c>
      <c r="L61">
        <f t="shared" si="8"/>
        <v>156.47269016040096</v>
      </c>
      <c r="M61">
        <f t="shared" si="9"/>
        <v>108.13895043686934</v>
      </c>
      <c r="N61" s="69">
        <f t="shared" si="10"/>
        <v>91.394094063596299</v>
      </c>
      <c r="O61">
        <v>24</v>
      </c>
      <c r="P61">
        <f t="shared" si="0"/>
        <v>0.10943817985188525</v>
      </c>
      <c r="Q61">
        <f t="shared" si="11"/>
        <v>-4.9224023141721862E-2</v>
      </c>
      <c r="R61">
        <f t="shared" si="1"/>
        <v>0.71035019405712729</v>
      </c>
      <c r="S61">
        <f t="shared" si="2"/>
        <v>0.85517509702856365</v>
      </c>
      <c r="T61">
        <f t="shared" si="3"/>
        <v>1.1448249029714364</v>
      </c>
      <c r="U61">
        <f t="shared" si="4"/>
        <v>1.2896498059428727</v>
      </c>
      <c r="V61">
        <v>-2.52</v>
      </c>
      <c r="W61" s="69">
        <f t="shared" si="12"/>
        <v>2.9311688311688311</v>
      </c>
      <c r="X61" s="69">
        <f t="shared" si="13"/>
        <v>-1.1724675324675324</v>
      </c>
      <c r="Y61">
        <f t="shared" si="14"/>
        <v>0.71035019405712729</v>
      </c>
      <c r="Z61">
        <f t="shared" si="15"/>
        <v>1.2896498059428727</v>
      </c>
      <c r="AG61" s="245">
        <f t="shared" si="27"/>
        <v>113.3940940635963</v>
      </c>
      <c r="AH61" s="103">
        <f t="shared" si="16"/>
        <v>2.4430212763040298</v>
      </c>
      <c r="AI61" s="244">
        <v>88</v>
      </c>
      <c r="AJ61" s="103">
        <f t="shared" si="17"/>
        <v>-0.66178964446092725</v>
      </c>
      <c r="AK61" s="244">
        <f t="shared" si="28"/>
        <v>197.721490063907</v>
      </c>
      <c r="AL61" s="103">
        <v>0.52</v>
      </c>
      <c r="AM61" s="244">
        <f t="shared" si="18"/>
        <v>230</v>
      </c>
      <c r="AN61" s="103">
        <v>0.52</v>
      </c>
      <c r="AO61" s="244">
        <f t="shared" si="19"/>
        <v>378</v>
      </c>
      <c r="AP61" s="103">
        <v>0.52</v>
      </c>
      <c r="AQ61" s="244">
        <f t="shared" si="20"/>
        <v>156.47269016040096</v>
      </c>
      <c r="AR61" s="103">
        <v>0.52</v>
      </c>
      <c r="AS61" s="245">
        <f t="shared" si="21"/>
        <v>91.394094063596299</v>
      </c>
      <c r="AT61" s="103">
        <v>0.52</v>
      </c>
      <c r="AU61" s="245">
        <f t="shared" si="22"/>
        <v>108.13895043686934</v>
      </c>
      <c r="AV61" s="103"/>
      <c r="AW61" s="244">
        <v>176</v>
      </c>
      <c r="AX61" s="103">
        <f t="shared" si="23"/>
        <v>-1.1240985769144003</v>
      </c>
      <c r="AY61" s="244">
        <v>176</v>
      </c>
      <c r="AZ61" s="103">
        <f t="shared" si="24"/>
        <v>-6.2049288457200147E-2</v>
      </c>
      <c r="BA61" s="244">
        <v>176</v>
      </c>
      <c r="BB61" s="103">
        <f t="shared" si="25"/>
        <v>2.0620492884572004</v>
      </c>
      <c r="BC61" s="244">
        <v>176</v>
      </c>
      <c r="BD61" s="103">
        <f t="shared" si="26"/>
        <v>3.1240985769144003</v>
      </c>
    </row>
    <row r="62" spans="1:56">
      <c r="I62">
        <f t="shared" si="5"/>
        <v>197.721490063907</v>
      </c>
      <c r="J62">
        <f t="shared" si="6"/>
        <v>230</v>
      </c>
      <c r="K62">
        <f t="shared" si="7"/>
        <v>378</v>
      </c>
      <c r="L62">
        <f t="shared" si="8"/>
        <v>156.47269016040096</v>
      </c>
      <c r="M62">
        <f t="shared" si="9"/>
        <v>108.13895043686934</v>
      </c>
      <c r="N62" s="69">
        <f t="shared" si="10"/>
        <v>91.394094063596299</v>
      </c>
      <c r="O62">
        <v>25</v>
      </c>
      <c r="P62">
        <f t="shared" si="0"/>
        <v>0.1187480250128963</v>
      </c>
      <c r="Q62">
        <f t="shared" si="11"/>
        <v>-5.3411483443708607E-2</v>
      </c>
      <c r="R62">
        <f t="shared" si="1"/>
        <v>0.69828145214284087</v>
      </c>
      <c r="S62">
        <f t="shared" si="2"/>
        <v>0.84914072607142044</v>
      </c>
      <c r="T62">
        <f t="shared" si="3"/>
        <v>1.1508592739285795</v>
      </c>
      <c r="U62">
        <f t="shared" si="4"/>
        <v>1.3017185478571591</v>
      </c>
      <c r="V62">
        <v>-2.5</v>
      </c>
      <c r="W62" s="69">
        <f t="shared" si="12"/>
        <v>2.9311688311688311</v>
      </c>
      <c r="X62" s="69">
        <f t="shared" si="13"/>
        <v>-1.1724675324675324</v>
      </c>
      <c r="Y62">
        <f t="shared" si="14"/>
        <v>0.69828145214284087</v>
      </c>
      <c r="Z62">
        <f t="shared" si="15"/>
        <v>1.3017185478571591</v>
      </c>
      <c r="AG62" s="245">
        <f t="shared" si="27"/>
        <v>114.3940940635963</v>
      </c>
      <c r="AH62" s="103">
        <f t="shared" si="16"/>
        <v>2.4863003122422218</v>
      </c>
      <c r="AI62" s="244">
        <v>92</v>
      </c>
      <c r="AJ62" s="103">
        <f t="shared" si="17"/>
        <v>-0.72331967338807956</v>
      </c>
      <c r="AK62" s="244">
        <f t="shared" si="28"/>
        <v>197.721490063907</v>
      </c>
      <c r="AL62" s="103">
        <v>0.68</v>
      </c>
      <c r="AM62" s="244">
        <f t="shared" si="18"/>
        <v>230</v>
      </c>
      <c r="AN62" s="103">
        <v>0.68</v>
      </c>
      <c r="AO62" s="244">
        <f t="shared" si="19"/>
        <v>378</v>
      </c>
      <c r="AP62" s="103">
        <v>0.68</v>
      </c>
      <c r="AQ62" s="244">
        <f t="shared" si="20"/>
        <v>156.47269016040096</v>
      </c>
      <c r="AR62" s="103">
        <v>0.68</v>
      </c>
      <c r="AS62" s="245">
        <f t="shared" si="21"/>
        <v>91.394094063596299</v>
      </c>
      <c r="AT62" s="103">
        <v>0.68</v>
      </c>
      <c r="AU62" s="245">
        <f t="shared" si="22"/>
        <v>108.13895043686934</v>
      </c>
      <c r="AV62" s="103"/>
      <c r="AW62" s="244">
        <v>184</v>
      </c>
      <c r="AX62" s="103">
        <f t="shared" si="23"/>
        <v>-1.2206485122286908</v>
      </c>
      <c r="AY62" s="244">
        <v>184</v>
      </c>
      <c r="AZ62" s="103">
        <f t="shared" si="24"/>
        <v>-0.11032425611434538</v>
      </c>
      <c r="BA62" s="244">
        <v>184</v>
      </c>
      <c r="BB62" s="103">
        <f t="shared" si="25"/>
        <v>2.1103242561143452</v>
      </c>
      <c r="BC62" s="244">
        <v>184</v>
      </c>
      <c r="BD62" s="103">
        <f t="shared" si="26"/>
        <v>3.2206485122286908</v>
      </c>
    </row>
    <row r="63" spans="1:56">
      <c r="I63">
        <f t="shared" si="5"/>
        <v>197.721490063907</v>
      </c>
      <c r="J63">
        <f t="shared" si="6"/>
        <v>230</v>
      </c>
      <c r="K63">
        <f t="shared" si="7"/>
        <v>378</v>
      </c>
      <c r="L63">
        <f t="shared" si="8"/>
        <v>156.47269016040096</v>
      </c>
      <c r="M63">
        <f t="shared" si="9"/>
        <v>108.13895043686934</v>
      </c>
      <c r="N63" s="69">
        <f t="shared" si="10"/>
        <v>91.394094063596299</v>
      </c>
      <c r="O63">
        <v>26</v>
      </c>
      <c r="P63">
        <f t="shared" si="0"/>
        <v>0.12843786385394865</v>
      </c>
      <c r="Q63">
        <f t="shared" si="11"/>
        <v>-5.7769860492715243E-2</v>
      </c>
      <c r="R63">
        <f t="shared" si="1"/>
        <v>0.68621271022855446</v>
      </c>
      <c r="S63">
        <f t="shared" si="2"/>
        <v>0.84310635511427723</v>
      </c>
      <c r="T63">
        <f t="shared" si="3"/>
        <v>1.1568936448857228</v>
      </c>
      <c r="U63">
        <f t="shared" si="4"/>
        <v>1.3137872897714455</v>
      </c>
      <c r="V63">
        <v>-2.48</v>
      </c>
      <c r="W63" s="69">
        <f t="shared" si="12"/>
        <v>2.9311688311688311</v>
      </c>
      <c r="X63" s="69">
        <f t="shared" si="13"/>
        <v>-1.1724675324675324</v>
      </c>
      <c r="Y63">
        <f t="shared" si="14"/>
        <v>0.68621271022855446</v>
      </c>
      <c r="Z63">
        <f t="shared" si="15"/>
        <v>1.3137872897714455</v>
      </c>
      <c r="AG63" s="245">
        <f t="shared" si="27"/>
        <v>115.3940940635963</v>
      </c>
      <c r="AH63" s="103">
        <f t="shared" si="16"/>
        <v>2.5299593418604549</v>
      </c>
      <c r="AI63" s="244">
        <v>96</v>
      </c>
      <c r="AJ63" s="103">
        <f t="shared" si="17"/>
        <v>-0.78758437026754979</v>
      </c>
      <c r="AK63" s="244">
        <f t="shared" si="28"/>
        <v>197.721490063907</v>
      </c>
      <c r="AL63" s="103">
        <v>0.84</v>
      </c>
      <c r="AM63" s="244">
        <f t="shared" si="18"/>
        <v>230</v>
      </c>
      <c r="AN63" s="103">
        <v>0.84</v>
      </c>
      <c r="AO63" s="244">
        <f t="shared" si="19"/>
        <v>378</v>
      </c>
      <c r="AP63" s="103">
        <v>0.84</v>
      </c>
      <c r="AQ63" s="244">
        <f t="shared" si="20"/>
        <v>156.47269016040096</v>
      </c>
      <c r="AR63" s="103">
        <v>0.84</v>
      </c>
      <c r="AS63" s="245">
        <f t="shared" si="21"/>
        <v>91.394094063596299</v>
      </c>
      <c r="AT63" s="103">
        <v>0.84</v>
      </c>
      <c r="AU63" s="245">
        <f t="shared" si="22"/>
        <v>108.13895043686934</v>
      </c>
      <c r="AV63" s="103"/>
      <c r="AW63" s="244">
        <v>192</v>
      </c>
      <c r="AX63" s="103">
        <f t="shared" si="23"/>
        <v>-1.3171984475429817</v>
      </c>
      <c r="AY63" s="244">
        <v>192</v>
      </c>
      <c r="AZ63" s="103">
        <f t="shared" si="24"/>
        <v>-0.15859922377149083</v>
      </c>
      <c r="BA63" s="244">
        <v>192</v>
      </c>
      <c r="BB63" s="103">
        <f t="shared" si="25"/>
        <v>2.1585992237714908</v>
      </c>
      <c r="BC63" s="244">
        <v>192</v>
      </c>
      <c r="BD63" s="103">
        <f t="shared" si="26"/>
        <v>3.3171984475429817</v>
      </c>
    </row>
    <row r="64" spans="1:56">
      <c r="I64">
        <f t="shared" si="5"/>
        <v>197.721490063907</v>
      </c>
      <c r="J64">
        <f t="shared" si="6"/>
        <v>230</v>
      </c>
      <c r="K64">
        <f t="shared" si="7"/>
        <v>378</v>
      </c>
      <c r="L64">
        <f t="shared" si="8"/>
        <v>156.47269016040096</v>
      </c>
      <c r="M64">
        <f t="shared" si="9"/>
        <v>108.13895043686934</v>
      </c>
      <c r="N64" s="69">
        <f t="shared" si="10"/>
        <v>91.394094063596299</v>
      </c>
      <c r="O64">
        <v>27</v>
      </c>
      <c r="P64">
        <f t="shared" si="0"/>
        <v>0.13850769637504226</v>
      </c>
      <c r="Q64">
        <f t="shared" si="11"/>
        <v>-6.2299154288741727E-2</v>
      </c>
      <c r="R64">
        <f t="shared" si="1"/>
        <v>0.67414396831426815</v>
      </c>
      <c r="S64">
        <f t="shared" si="2"/>
        <v>0.83707198415713413</v>
      </c>
      <c r="T64">
        <f t="shared" si="3"/>
        <v>1.1629280158428659</v>
      </c>
      <c r="U64">
        <f t="shared" si="4"/>
        <v>1.3258560316857317</v>
      </c>
      <c r="V64">
        <v>-2.46</v>
      </c>
      <c r="W64" s="69">
        <f t="shared" si="12"/>
        <v>2.9311688311688311</v>
      </c>
      <c r="X64" s="69">
        <f t="shared" si="13"/>
        <v>-1.1724675324675324</v>
      </c>
      <c r="Y64">
        <f t="shared" si="14"/>
        <v>0.67414396831426815</v>
      </c>
      <c r="Z64">
        <f t="shared" si="15"/>
        <v>1.3258560316857317</v>
      </c>
      <c r="AG64" s="245">
        <f t="shared" si="27"/>
        <v>116.3940940635963</v>
      </c>
      <c r="AH64" s="103">
        <f t="shared" si="16"/>
        <v>2.5739983651587304</v>
      </c>
      <c r="AI64" s="244">
        <v>100</v>
      </c>
      <c r="AJ64" s="103">
        <f t="shared" si="17"/>
        <v>-0.85458373509933772</v>
      </c>
      <c r="AK64" s="244">
        <f t="shared" si="28"/>
        <v>197.721490063907</v>
      </c>
      <c r="AL64" s="103">
        <v>1</v>
      </c>
      <c r="AM64" s="244">
        <f t="shared" si="18"/>
        <v>230</v>
      </c>
      <c r="AN64" s="103">
        <v>1</v>
      </c>
      <c r="AO64" s="244">
        <f t="shared" si="19"/>
        <v>378</v>
      </c>
      <c r="AP64" s="103">
        <v>1</v>
      </c>
      <c r="AQ64" s="244">
        <f t="shared" si="20"/>
        <v>156.47269016040096</v>
      </c>
      <c r="AR64" s="103">
        <v>1</v>
      </c>
      <c r="AS64" s="245">
        <f t="shared" si="21"/>
        <v>91.394094063596299</v>
      </c>
      <c r="AT64" s="103">
        <v>1</v>
      </c>
      <c r="AU64" s="245">
        <f t="shared" si="22"/>
        <v>108.13895043686934</v>
      </c>
      <c r="AV64" s="103"/>
      <c r="AW64" s="244">
        <v>200</v>
      </c>
      <c r="AX64" s="103">
        <f t="shared" si="23"/>
        <v>-1.4137483828572726</v>
      </c>
      <c r="AY64" s="244">
        <v>200</v>
      </c>
      <c r="AZ64" s="103">
        <f t="shared" si="24"/>
        <v>-0.20687419142863628</v>
      </c>
      <c r="BA64" s="244">
        <v>200</v>
      </c>
      <c r="BB64" s="103">
        <f t="shared" si="25"/>
        <v>2.2068741914286365</v>
      </c>
      <c r="BC64" s="244">
        <v>200</v>
      </c>
      <c r="BD64" s="103">
        <f t="shared" si="26"/>
        <v>3.4137483828572726</v>
      </c>
    </row>
    <row r="65" spans="9:56">
      <c r="I65">
        <f t="shared" si="5"/>
        <v>197.721490063907</v>
      </c>
      <c r="J65">
        <f t="shared" si="6"/>
        <v>230</v>
      </c>
      <c r="K65">
        <f t="shared" si="7"/>
        <v>378</v>
      </c>
      <c r="L65">
        <f t="shared" si="8"/>
        <v>156.47269016040096</v>
      </c>
      <c r="M65">
        <f t="shared" si="9"/>
        <v>108.13895043686934</v>
      </c>
      <c r="N65" s="69">
        <f t="shared" si="10"/>
        <v>91.394094063596299</v>
      </c>
      <c r="O65">
        <v>28</v>
      </c>
      <c r="P65">
        <f t="shared" si="0"/>
        <v>0.14895752257617714</v>
      </c>
      <c r="Q65">
        <f t="shared" si="11"/>
        <v>-6.6999364831788089E-2</v>
      </c>
      <c r="R65">
        <f t="shared" si="1"/>
        <v>0.66207522639998184</v>
      </c>
      <c r="S65">
        <f t="shared" si="2"/>
        <v>0.83103761319999092</v>
      </c>
      <c r="T65">
        <f t="shared" si="3"/>
        <v>1.1689623868000092</v>
      </c>
      <c r="U65">
        <f t="shared" si="4"/>
        <v>1.3379247736000182</v>
      </c>
      <c r="V65">
        <v>-2.44</v>
      </c>
      <c r="W65" s="69">
        <f t="shared" si="12"/>
        <v>2.9311688311688311</v>
      </c>
      <c r="X65" s="69">
        <f t="shared" si="13"/>
        <v>-1.1724675324675324</v>
      </c>
      <c r="Y65">
        <f t="shared" si="14"/>
        <v>0.66207522639998184</v>
      </c>
      <c r="Z65">
        <f t="shared" si="15"/>
        <v>1.3379247736000182</v>
      </c>
      <c r="AG65" s="245">
        <f t="shared" si="27"/>
        <v>117.3940940635963</v>
      </c>
      <c r="AH65" s="103">
        <f t="shared" si="16"/>
        <v>2.618417382137046</v>
      </c>
      <c r="AI65" s="244">
        <v>104</v>
      </c>
      <c r="AJ65" s="103">
        <f t="shared" si="17"/>
        <v>-0.92431776788344389</v>
      </c>
      <c r="AK65" s="244">
        <f t="shared" si="28"/>
        <v>197.721490063907</v>
      </c>
      <c r="AL65" s="103">
        <v>1.1599999999999999</v>
      </c>
      <c r="AM65" s="244">
        <f t="shared" si="18"/>
        <v>230</v>
      </c>
      <c r="AN65" s="103">
        <v>1.1599999999999999</v>
      </c>
      <c r="AO65" s="244">
        <f t="shared" si="19"/>
        <v>378</v>
      </c>
      <c r="AP65" s="103">
        <v>1.1599999999999999</v>
      </c>
      <c r="AQ65" s="244">
        <f t="shared" si="20"/>
        <v>156.47269016040096</v>
      </c>
      <c r="AR65" s="103">
        <v>1.1599999999999999</v>
      </c>
      <c r="AS65" s="245">
        <f t="shared" si="21"/>
        <v>91.394094063596299</v>
      </c>
      <c r="AT65" s="103">
        <v>1.1599999999999999</v>
      </c>
      <c r="AU65" s="245">
        <f t="shared" si="22"/>
        <v>108.13895043686934</v>
      </c>
      <c r="AV65" s="103"/>
      <c r="AW65" s="244">
        <v>208</v>
      </c>
      <c r="AX65" s="103">
        <f t="shared" si="23"/>
        <v>-1.5102983181715639</v>
      </c>
      <c r="AY65" s="244">
        <v>208</v>
      </c>
      <c r="AZ65" s="103">
        <f t="shared" si="24"/>
        <v>-0.25514915908578195</v>
      </c>
      <c r="BA65" s="244">
        <v>208</v>
      </c>
      <c r="BB65" s="103">
        <f t="shared" si="25"/>
        <v>2.2551491590857822</v>
      </c>
      <c r="BC65" s="244">
        <v>208</v>
      </c>
      <c r="BD65" s="103">
        <f t="shared" si="26"/>
        <v>3.5102983181715639</v>
      </c>
    </row>
    <row r="66" spans="9:56">
      <c r="I66">
        <f t="shared" si="5"/>
        <v>197.721490063907</v>
      </c>
      <c r="J66">
        <f t="shared" si="6"/>
        <v>230</v>
      </c>
      <c r="K66">
        <f t="shared" si="7"/>
        <v>378</v>
      </c>
      <c r="L66">
        <f t="shared" si="8"/>
        <v>156.47269016040096</v>
      </c>
      <c r="M66">
        <f t="shared" si="9"/>
        <v>108.13895043686934</v>
      </c>
      <c r="N66" s="69">
        <f t="shared" si="10"/>
        <v>91.394094063596299</v>
      </c>
      <c r="O66">
        <v>29</v>
      </c>
      <c r="P66">
        <f t="shared" si="0"/>
        <v>0.15978734245735329</v>
      </c>
      <c r="Q66">
        <f t="shared" si="11"/>
        <v>-7.1870492121854312E-2</v>
      </c>
      <c r="R66">
        <f t="shared" si="1"/>
        <v>0.65000648448569542</v>
      </c>
      <c r="S66">
        <f t="shared" si="2"/>
        <v>0.82500324224284771</v>
      </c>
      <c r="T66">
        <f t="shared" si="3"/>
        <v>1.1749967577571523</v>
      </c>
      <c r="U66">
        <f t="shared" si="4"/>
        <v>1.3499935155143046</v>
      </c>
      <c r="V66">
        <v>-2.42</v>
      </c>
      <c r="W66" s="69">
        <f t="shared" si="12"/>
        <v>2.9311688311688311</v>
      </c>
      <c r="X66" s="69">
        <f t="shared" si="13"/>
        <v>-1.1724675324675324</v>
      </c>
      <c r="Y66">
        <f t="shared" si="14"/>
        <v>0.65000648448569542</v>
      </c>
      <c r="Z66">
        <f t="shared" si="15"/>
        <v>1.3499935155143046</v>
      </c>
      <c r="AG66" s="245">
        <f t="shared" si="27"/>
        <v>118.3940940635963</v>
      </c>
      <c r="AH66" s="103">
        <f t="shared" si="16"/>
        <v>2.6632163927954036</v>
      </c>
      <c r="AI66" s="244">
        <v>108</v>
      </c>
      <c r="AJ66" s="103">
        <f t="shared" si="17"/>
        <v>-0.99678646861986764</v>
      </c>
      <c r="AK66" s="244">
        <f t="shared" si="28"/>
        <v>197.721490063907</v>
      </c>
      <c r="AL66" s="103">
        <v>1.32</v>
      </c>
      <c r="AM66" s="244">
        <f t="shared" si="18"/>
        <v>230</v>
      </c>
      <c r="AN66" s="103">
        <v>1.32</v>
      </c>
      <c r="AO66" s="244">
        <f t="shared" si="19"/>
        <v>378</v>
      </c>
      <c r="AP66" s="103">
        <v>1.32</v>
      </c>
      <c r="AQ66" s="244">
        <f t="shared" si="20"/>
        <v>156.47269016040096</v>
      </c>
      <c r="AR66" s="103">
        <v>1.32</v>
      </c>
      <c r="AS66" s="245">
        <f t="shared" si="21"/>
        <v>91.394094063596299</v>
      </c>
      <c r="AT66" s="103">
        <v>1.32</v>
      </c>
      <c r="AU66" s="245">
        <f t="shared" si="22"/>
        <v>108.13895043686934</v>
      </c>
      <c r="AV66" s="103"/>
      <c r="AW66" s="244">
        <v>216</v>
      </c>
      <c r="AX66" s="103">
        <f t="shared" si="23"/>
        <v>-1.6068482534858548</v>
      </c>
      <c r="AY66" s="244">
        <v>216</v>
      </c>
      <c r="AZ66" s="103">
        <f t="shared" si="24"/>
        <v>-0.3034241267429274</v>
      </c>
      <c r="BA66" s="244">
        <v>216</v>
      </c>
      <c r="BB66" s="103">
        <f t="shared" si="25"/>
        <v>2.3034241267429274</v>
      </c>
      <c r="BC66" s="244">
        <v>216</v>
      </c>
      <c r="BD66" s="103">
        <f t="shared" si="26"/>
        <v>3.6068482534858548</v>
      </c>
    </row>
    <row r="67" spans="9:56">
      <c r="I67">
        <f t="shared" si="5"/>
        <v>197.721490063907</v>
      </c>
      <c r="J67">
        <f t="shared" si="6"/>
        <v>230</v>
      </c>
      <c r="K67">
        <f t="shared" si="7"/>
        <v>378</v>
      </c>
      <c r="L67">
        <f t="shared" si="8"/>
        <v>156.47269016040096</v>
      </c>
      <c r="M67">
        <f t="shared" si="9"/>
        <v>108.13895043686934</v>
      </c>
      <c r="N67" s="69">
        <f t="shared" si="10"/>
        <v>91.394094063596299</v>
      </c>
      <c r="O67">
        <v>30</v>
      </c>
      <c r="P67">
        <f t="shared" si="0"/>
        <v>0.17099715601857068</v>
      </c>
      <c r="Q67">
        <f t="shared" si="11"/>
        <v>-7.6912536158940392E-2</v>
      </c>
      <c r="R67">
        <f t="shared" si="1"/>
        <v>0.63793774257140901</v>
      </c>
      <c r="S67">
        <f t="shared" si="2"/>
        <v>0.8189688712857045</v>
      </c>
      <c r="T67">
        <f t="shared" si="3"/>
        <v>1.1810311287142956</v>
      </c>
      <c r="U67">
        <f t="shared" si="4"/>
        <v>1.362062257428591</v>
      </c>
      <c r="V67">
        <v>-2.4</v>
      </c>
      <c r="W67" s="69">
        <f t="shared" si="12"/>
        <v>2.9311688311688311</v>
      </c>
      <c r="X67" s="69">
        <f t="shared" si="13"/>
        <v>-1.1724675324675324</v>
      </c>
      <c r="Y67">
        <f t="shared" si="14"/>
        <v>0.63793774257140901</v>
      </c>
      <c r="Z67">
        <f t="shared" si="15"/>
        <v>1.362062257428591</v>
      </c>
      <c r="AG67" s="245">
        <f t="shared" si="27"/>
        <v>119.3940940635963</v>
      </c>
      <c r="AH67" s="103">
        <f t="shared" si="16"/>
        <v>2.7083953971338017</v>
      </c>
      <c r="AI67" s="244">
        <v>112</v>
      </c>
      <c r="AJ67" s="103">
        <f t="shared" si="17"/>
        <v>-1.0719898373086094</v>
      </c>
      <c r="AK67" s="244">
        <f t="shared" si="28"/>
        <v>197.721490063907</v>
      </c>
      <c r="AL67" s="103">
        <v>1.48</v>
      </c>
      <c r="AM67" s="244">
        <f t="shared" si="18"/>
        <v>230</v>
      </c>
      <c r="AN67" s="103">
        <v>1.48</v>
      </c>
      <c r="AO67" s="244">
        <f t="shared" si="19"/>
        <v>378</v>
      </c>
      <c r="AP67" s="103">
        <v>1.48</v>
      </c>
      <c r="AQ67" s="244">
        <f t="shared" si="20"/>
        <v>156.47269016040096</v>
      </c>
      <c r="AR67" s="103">
        <v>1.48</v>
      </c>
      <c r="AS67" s="245">
        <f t="shared" si="21"/>
        <v>91.394094063596299</v>
      </c>
      <c r="AT67" s="103">
        <v>1.48</v>
      </c>
      <c r="AU67" s="245">
        <f t="shared" si="22"/>
        <v>108.13895043686934</v>
      </c>
      <c r="AV67" s="103"/>
      <c r="AW67" s="244">
        <v>224</v>
      </c>
      <c r="AX67" s="103">
        <f t="shared" si="23"/>
        <v>-1.7033981888001457</v>
      </c>
      <c r="AY67" s="244">
        <v>224</v>
      </c>
      <c r="AZ67" s="103">
        <f t="shared" si="24"/>
        <v>-0.35169909440007285</v>
      </c>
      <c r="BA67" s="244">
        <v>224</v>
      </c>
      <c r="BB67" s="103">
        <f t="shared" si="25"/>
        <v>2.3516990944000726</v>
      </c>
      <c r="BC67" s="244">
        <v>224</v>
      </c>
      <c r="BD67" s="103">
        <f t="shared" si="26"/>
        <v>3.7033981888001457</v>
      </c>
    </row>
    <row r="68" spans="9:56">
      <c r="I68">
        <f t="shared" si="5"/>
        <v>197.721490063907</v>
      </c>
      <c r="J68">
        <f t="shared" si="6"/>
        <v>230</v>
      </c>
      <c r="K68">
        <f t="shared" si="7"/>
        <v>378</v>
      </c>
      <c r="L68">
        <f t="shared" si="8"/>
        <v>156.47269016040096</v>
      </c>
      <c r="M68">
        <f t="shared" si="9"/>
        <v>108.13895043686934</v>
      </c>
      <c r="N68" s="69">
        <f t="shared" si="10"/>
        <v>91.394094063596299</v>
      </c>
      <c r="O68">
        <v>31</v>
      </c>
      <c r="P68">
        <f t="shared" si="0"/>
        <v>0.18258696325982937</v>
      </c>
      <c r="Q68">
        <f t="shared" si="11"/>
        <v>-8.2125496943046369E-2</v>
      </c>
      <c r="R68">
        <f t="shared" si="1"/>
        <v>0.62586900065712281</v>
      </c>
      <c r="S68">
        <f t="shared" si="2"/>
        <v>0.8129345003285614</v>
      </c>
      <c r="T68">
        <f t="shared" si="3"/>
        <v>1.1870654996714387</v>
      </c>
      <c r="U68">
        <f t="shared" si="4"/>
        <v>1.3741309993428772</v>
      </c>
      <c r="V68">
        <v>-2.38</v>
      </c>
      <c r="W68" s="69">
        <f t="shared" si="12"/>
        <v>2.9311688311688311</v>
      </c>
      <c r="X68" s="69">
        <f t="shared" si="13"/>
        <v>-1.1724675324675324</v>
      </c>
      <c r="Y68">
        <f t="shared" si="14"/>
        <v>0.62586900065712281</v>
      </c>
      <c r="Z68">
        <f t="shared" si="15"/>
        <v>1.3741309993428772</v>
      </c>
      <c r="AG68" s="245">
        <f t="shared" si="27"/>
        <v>120.3940940635963</v>
      </c>
      <c r="AH68" s="103">
        <f t="shared" si="16"/>
        <v>2.7539543951522418</v>
      </c>
      <c r="AI68" s="244">
        <v>116</v>
      </c>
      <c r="AJ68" s="103">
        <f t="shared" si="17"/>
        <v>-1.149927873949669</v>
      </c>
      <c r="AK68" s="244">
        <f t="shared" si="28"/>
        <v>197.721490063907</v>
      </c>
      <c r="AL68" s="103">
        <v>1.64</v>
      </c>
      <c r="AM68" s="244">
        <f t="shared" si="18"/>
        <v>230</v>
      </c>
      <c r="AN68" s="103">
        <v>1.64</v>
      </c>
      <c r="AO68" s="244">
        <f t="shared" si="19"/>
        <v>378</v>
      </c>
      <c r="AP68" s="103">
        <v>1.64</v>
      </c>
      <c r="AQ68" s="244">
        <f t="shared" si="20"/>
        <v>156.47269016040096</v>
      </c>
      <c r="AR68" s="103">
        <v>1.64</v>
      </c>
      <c r="AS68" s="245">
        <f t="shared" si="21"/>
        <v>91.394094063596299</v>
      </c>
      <c r="AT68" s="103">
        <v>1.64</v>
      </c>
      <c r="AU68" s="245">
        <f t="shared" si="22"/>
        <v>108.13895043686934</v>
      </c>
      <c r="AV68" s="103"/>
      <c r="AW68" s="244">
        <v>232</v>
      </c>
      <c r="AX68" s="103">
        <f t="shared" si="23"/>
        <v>-1.7999481241144366</v>
      </c>
      <c r="AY68" s="244">
        <v>232</v>
      </c>
      <c r="AZ68" s="103">
        <f t="shared" si="24"/>
        <v>-0.3999740620572183</v>
      </c>
      <c r="BA68" s="244">
        <v>232</v>
      </c>
      <c r="BB68" s="103">
        <f t="shared" si="25"/>
        <v>2.3999740620572183</v>
      </c>
      <c r="BC68" s="244">
        <v>232</v>
      </c>
      <c r="BD68" s="103">
        <f t="shared" si="26"/>
        <v>3.7999481241144366</v>
      </c>
    </row>
    <row r="69" spans="9:56">
      <c r="I69">
        <f t="shared" si="5"/>
        <v>197.721490063907</v>
      </c>
      <c r="J69">
        <f t="shared" si="6"/>
        <v>230</v>
      </c>
      <c r="K69">
        <f t="shared" si="7"/>
        <v>378</v>
      </c>
      <c r="L69">
        <f t="shared" si="8"/>
        <v>156.47269016040096</v>
      </c>
      <c r="M69">
        <f t="shared" si="9"/>
        <v>108.13895043686934</v>
      </c>
      <c r="N69" s="69">
        <f t="shared" si="10"/>
        <v>91.394094063596299</v>
      </c>
      <c r="O69">
        <v>32</v>
      </c>
      <c r="P69">
        <f t="shared" si="0"/>
        <v>0.19455676418112935</v>
      </c>
      <c r="Q69">
        <f t="shared" si="11"/>
        <v>-8.7509374474172189E-2</v>
      </c>
      <c r="R69">
        <f t="shared" si="1"/>
        <v>0.61380025874283639</v>
      </c>
      <c r="S69">
        <f t="shared" si="2"/>
        <v>0.8069001293714182</v>
      </c>
      <c r="T69">
        <f t="shared" si="3"/>
        <v>1.1930998706285818</v>
      </c>
      <c r="U69">
        <f t="shared" si="4"/>
        <v>1.3861997412571636</v>
      </c>
      <c r="V69">
        <v>-2.36</v>
      </c>
      <c r="W69" s="69">
        <f t="shared" si="12"/>
        <v>2.9311688311688311</v>
      </c>
      <c r="X69" s="69">
        <f t="shared" si="13"/>
        <v>-1.1724675324675324</v>
      </c>
      <c r="Y69">
        <f t="shared" si="14"/>
        <v>0.61380025874283639</v>
      </c>
      <c r="Z69">
        <f t="shared" si="15"/>
        <v>1.3861997412571636</v>
      </c>
      <c r="AG69" s="245">
        <f t="shared" si="27"/>
        <v>121.3940940635963</v>
      </c>
      <c r="AH69" s="103">
        <f t="shared" si="16"/>
        <v>2.7998933868507234</v>
      </c>
      <c r="AI69" s="244">
        <v>120</v>
      </c>
      <c r="AJ69" s="103">
        <f t="shared" si="17"/>
        <v>-1.2306005785430463</v>
      </c>
      <c r="AK69" s="244">
        <f t="shared" si="28"/>
        <v>197.721490063907</v>
      </c>
      <c r="AL69" s="103">
        <v>1.8</v>
      </c>
      <c r="AM69" s="244">
        <f t="shared" si="18"/>
        <v>230</v>
      </c>
      <c r="AN69" s="103">
        <v>1.8</v>
      </c>
      <c r="AO69" s="244">
        <f t="shared" si="19"/>
        <v>378</v>
      </c>
      <c r="AP69" s="103">
        <v>1.8</v>
      </c>
      <c r="AQ69" s="244">
        <f t="shared" si="20"/>
        <v>156.47269016040096</v>
      </c>
      <c r="AR69" s="103">
        <v>1.8</v>
      </c>
      <c r="AS69" s="245">
        <f t="shared" si="21"/>
        <v>91.394094063596299</v>
      </c>
      <c r="AT69" s="103">
        <v>1.8</v>
      </c>
      <c r="AU69" s="245">
        <f t="shared" si="22"/>
        <v>108.13895043686934</v>
      </c>
      <c r="AV69" s="103"/>
      <c r="AW69" s="244">
        <v>240</v>
      </c>
      <c r="AX69" s="103">
        <f t="shared" si="23"/>
        <v>-1.896498059428728</v>
      </c>
      <c r="AY69" s="244">
        <v>240</v>
      </c>
      <c r="AZ69" s="103">
        <f t="shared" si="24"/>
        <v>-0.44824902971436398</v>
      </c>
      <c r="BA69" s="244">
        <v>240</v>
      </c>
      <c r="BB69" s="103">
        <f t="shared" si="25"/>
        <v>2.448249029714364</v>
      </c>
      <c r="BC69" s="244">
        <v>240</v>
      </c>
      <c r="BD69" s="103">
        <f t="shared" si="26"/>
        <v>3.896498059428728</v>
      </c>
    </row>
    <row r="70" spans="9:56">
      <c r="I70">
        <f t="shared" si="5"/>
        <v>197.721490063907</v>
      </c>
      <c r="J70">
        <f t="shared" si="6"/>
        <v>230</v>
      </c>
      <c r="K70">
        <f t="shared" si="7"/>
        <v>378</v>
      </c>
      <c r="L70">
        <f t="shared" si="8"/>
        <v>156.47269016040096</v>
      </c>
      <c r="M70">
        <f t="shared" si="9"/>
        <v>108.13895043686934</v>
      </c>
      <c r="N70" s="69">
        <f t="shared" si="10"/>
        <v>91.394094063596299</v>
      </c>
      <c r="O70">
        <v>33</v>
      </c>
      <c r="P70">
        <f t="shared" si="0"/>
        <v>0.20690655878247055</v>
      </c>
      <c r="Q70">
        <f t="shared" si="11"/>
        <v>-9.3064168752317891E-2</v>
      </c>
      <c r="R70">
        <f t="shared" si="1"/>
        <v>0.60173151682854997</v>
      </c>
      <c r="S70">
        <f t="shared" si="2"/>
        <v>0.80086575841427499</v>
      </c>
      <c r="T70">
        <f t="shared" si="3"/>
        <v>1.1991342415857251</v>
      </c>
      <c r="U70">
        <f t="shared" si="4"/>
        <v>1.39826848317145</v>
      </c>
      <c r="V70">
        <v>-2.34</v>
      </c>
      <c r="W70" s="69">
        <f t="shared" si="12"/>
        <v>2.9311688311688311</v>
      </c>
      <c r="X70" s="69">
        <f t="shared" si="13"/>
        <v>-1.1724675324675324</v>
      </c>
      <c r="Y70">
        <f t="shared" si="14"/>
        <v>0.60173151682854997</v>
      </c>
      <c r="Z70">
        <f t="shared" si="15"/>
        <v>1.39826848317145</v>
      </c>
      <c r="AG70" s="245">
        <f t="shared" si="27"/>
        <v>122.3940940635963</v>
      </c>
      <c r="AH70" s="103">
        <f t="shared" si="16"/>
        <v>2.8462123722292456</v>
      </c>
      <c r="AI70" s="244">
        <v>124</v>
      </c>
      <c r="AJ70" s="103">
        <f t="shared" si="17"/>
        <v>-1.3140079510887419</v>
      </c>
      <c r="AK70" s="244">
        <f t="shared" si="28"/>
        <v>197.721490063907</v>
      </c>
      <c r="AL70" s="103">
        <v>1.96</v>
      </c>
      <c r="AM70" s="244">
        <f t="shared" si="18"/>
        <v>230</v>
      </c>
      <c r="AN70" s="103">
        <v>1.96</v>
      </c>
      <c r="AO70" s="244">
        <f t="shared" si="19"/>
        <v>378</v>
      </c>
      <c r="AP70" s="103">
        <v>1.96</v>
      </c>
      <c r="AQ70" s="244">
        <f t="shared" si="20"/>
        <v>156.47269016040096</v>
      </c>
      <c r="AR70" s="103">
        <v>1.96</v>
      </c>
      <c r="AS70" s="245">
        <f t="shared" si="21"/>
        <v>91.394094063596299</v>
      </c>
      <c r="AT70" s="103">
        <v>1.96</v>
      </c>
      <c r="AU70" s="245">
        <f t="shared" si="22"/>
        <v>108.13895043686934</v>
      </c>
      <c r="AV70" s="103"/>
      <c r="AW70" s="244">
        <v>248</v>
      </c>
      <c r="AX70" s="103">
        <f t="shared" si="23"/>
        <v>-1.993047994743018</v>
      </c>
      <c r="AY70" s="244">
        <v>248</v>
      </c>
      <c r="AZ70" s="103">
        <f t="shared" si="24"/>
        <v>-0.49652399737150898</v>
      </c>
      <c r="BA70" s="244">
        <v>248</v>
      </c>
      <c r="BB70" s="103">
        <f t="shared" si="25"/>
        <v>2.4965239973715088</v>
      </c>
      <c r="BC70" s="244">
        <v>248</v>
      </c>
      <c r="BD70" s="103">
        <f t="shared" si="26"/>
        <v>3.993047994743018</v>
      </c>
    </row>
    <row r="71" spans="9:56">
      <c r="I71">
        <f t="shared" si="5"/>
        <v>197.721490063907</v>
      </c>
      <c r="J71">
        <f t="shared" si="6"/>
        <v>230</v>
      </c>
      <c r="K71">
        <f t="shared" si="7"/>
        <v>378</v>
      </c>
      <c r="L71">
        <f t="shared" si="8"/>
        <v>156.47269016040096</v>
      </c>
      <c r="M71">
        <f t="shared" si="9"/>
        <v>108.13895043686934</v>
      </c>
      <c r="N71" s="69">
        <f t="shared" si="10"/>
        <v>91.394094063596299</v>
      </c>
      <c r="O71">
        <v>34</v>
      </c>
      <c r="P71">
        <f t="shared" si="0"/>
        <v>0.21963634706385304</v>
      </c>
      <c r="Q71">
        <f t="shared" si="11"/>
        <v>-9.8789879777483436E-2</v>
      </c>
      <c r="R71">
        <f t="shared" si="1"/>
        <v>0.58966277491426367</v>
      </c>
      <c r="S71">
        <f t="shared" si="2"/>
        <v>0.79483138745713178</v>
      </c>
      <c r="T71">
        <f t="shared" si="3"/>
        <v>1.2051686125428682</v>
      </c>
      <c r="U71">
        <f t="shared" si="4"/>
        <v>1.4103372250857364</v>
      </c>
      <c r="V71">
        <v>-2.3199999999999998</v>
      </c>
      <c r="W71" s="69">
        <f t="shared" si="12"/>
        <v>2.9311688311688311</v>
      </c>
      <c r="X71" s="69">
        <f t="shared" si="13"/>
        <v>-1.1724675324675324</v>
      </c>
      <c r="Y71">
        <f t="shared" si="14"/>
        <v>0.58966277491426367</v>
      </c>
      <c r="Z71">
        <f t="shared" si="15"/>
        <v>1.4103372250857364</v>
      </c>
      <c r="AG71" s="245">
        <f t="shared" si="27"/>
        <v>123.3940940635963</v>
      </c>
      <c r="AH71" s="103">
        <f t="shared" si="16"/>
        <v>2.8929113512878097</v>
      </c>
      <c r="AI71" s="244">
        <v>128</v>
      </c>
      <c r="AJ71" s="103">
        <f t="shared" si="17"/>
        <v>-1.400149991586755</v>
      </c>
      <c r="AK71" s="244">
        <f t="shared" si="28"/>
        <v>197.721490063907</v>
      </c>
      <c r="AL71" s="103">
        <v>2.12</v>
      </c>
      <c r="AM71" s="244">
        <f t="shared" si="18"/>
        <v>230</v>
      </c>
      <c r="AN71" s="103">
        <v>2.12</v>
      </c>
      <c r="AO71" s="244">
        <f t="shared" si="19"/>
        <v>378</v>
      </c>
      <c r="AP71" s="103">
        <v>2.12</v>
      </c>
      <c r="AQ71" s="244">
        <f t="shared" si="20"/>
        <v>156.47269016040096</v>
      </c>
      <c r="AR71" s="103">
        <v>2.12</v>
      </c>
      <c r="AS71" s="245">
        <f t="shared" si="21"/>
        <v>91.394094063596299</v>
      </c>
      <c r="AT71" s="103">
        <v>2.12</v>
      </c>
      <c r="AU71" s="245">
        <f t="shared" si="22"/>
        <v>108.13895043686934</v>
      </c>
      <c r="AV71" s="103"/>
      <c r="AW71" s="244">
        <v>256</v>
      </c>
      <c r="AX71" s="103">
        <f t="shared" si="23"/>
        <v>-2.0895979300573093</v>
      </c>
      <c r="AY71" s="244">
        <v>256</v>
      </c>
      <c r="AZ71" s="103">
        <f t="shared" si="24"/>
        <v>-0.54479896502865466</v>
      </c>
      <c r="BA71" s="244">
        <v>256</v>
      </c>
      <c r="BB71" s="103">
        <f t="shared" si="25"/>
        <v>2.5447989650286544</v>
      </c>
      <c r="BC71" s="244">
        <v>256</v>
      </c>
      <c r="BD71" s="103">
        <f t="shared" si="26"/>
        <v>4.0895979300573089</v>
      </c>
    </row>
    <row r="72" spans="9:56">
      <c r="I72">
        <f t="shared" si="5"/>
        <v>197.721490063907</v>
      </c>
      <c r="J72">
        <f t="shared" si="6"/>
        <v>230</v>
      </c>
      <c r="K72">
        <f t="shared" si="7"/>
        <v>378</v>
      </c>
      <c r="L72">
        <f t="shared" si="8"/>
        <v>156.47269016040096</v>
      </c>
      <c r="M72">
        <f t="shared" si="9"/>
        <v>108.13895043686934</v>
      </c>
      <c r="N72" s="69">
        <f t="shared" si="10"/>
        <v>91.394094063596299</v>
      </c>
      <c r="O72">
        <v>35</v>
      </c>
      <c r="P72">
        <f t="shared" si="0"/>
        <v>0.23274612902527675</v>
      </c>
      <c r="Q72">
        <f t="shared" si="11"/>
        <v>-0.10468650754966888</v>
      </c>
      <c r="R72">
        <f t="shared" si="1"/>
        <v>0.57759403299997725</v>
      </c>
      <c r="S72">
        <f t="shared" si="2"/>
        <v>0.78879701649998868</v>
      </c>
      <c r="T72">
        <f t="shared" si="3"/>
        <v>1.2112029835000113</v>
      </c>
      <c r="U72">
        <f t="shared" si="4"/>
        <v>1.4224059670000226</v>
      </c>
      <c r="V72">
        <v>-2.2999999999999998</v>
      </c>
      <c r="W72" s="69">
        <f t="shared" si="12"/>
        <v>2.9311688311688311</v>
      </c>
      <c r="X72" s="69">
        <f t="shared" si="13"/>
        <v>-1.1724675324675324</v>
      </c>
      <c r="Y72">
        <f t="shared" si="14"/>
        <v>0.57759403299997725</v>
      </c>
      <c r="Z72">
        <f t="shared" si="15"/>
        <v>1.4224059670000226</v>
      </c>
      <c r="AG72" s="249">
        <v>132.47</v>
      </c>
      <c r="AH72" s="103">
        <f t="shared" si="16"/>
        <v>3.3341217187312489</v>
      </c>
      <c r="AI72" s="244">
        <v>132</v>
      </c>
      <c r="AJ72" s="103">
        <f t="shared" si="17"/>
        <v>-1.4890267000370863</v>
      </c>
      <c r="AK72" s="244">
        <f t="shared" si="28"/>
        <v>197.721490063907</v>
      </c>
      <c r="AL72" s="103">
        <v>2.2799999999999998</v>
      </c>
      <c r="AM72" s="244">
        <f t="shared" si="18"/>
        <v>230</v>
      </c>
      <c r="AN72" s="103">
        <v>2.2799999999999998</v>
      </c>
      <c r="AO72" s="244">
        <f t="shared" si="19"/>
        <v>378</v>
      </c>
      <c r="AP72" s="103">
        <v>2.2799999999999998</v>
      </c>
      <c r="AQ72" s="244">
        <f t="shared" si="20"/>
        <v>156.47269016040096</v>
      </c>
      <c r="AR72" s="103">
        <v>2.2799999999999998</v>
      </c>
      <c r="AS72" s="245">
        <f t="shared" si="21"/>
        <v>91.394094063596299</v>
      </c>
      <c r="AT72" s="103">
        <v>2.2799999999999998</v>
      </c>
      <c r="AU72" s="245">
        <f t="shared" si="22"/>
        <v>108.13895043686934</v>
      </c>
      <c r="AV72" s="103"/>
      <c r="AW72" s="244">
        <v>264</v>
      </c>
      <c r="AX72" s="103">
        <f t="shared" si="23"/>
        <v>-2.1861478653716002</v>
      </c>
      <c r="AY72" s="244">
        <v>264</v>
      </c>
      <c r="AZ72" s="103">
        <f t="shared" si="24"/>
        <v>-0.59307393268580011</v>
      </c>
      <c r="BA72" s="244">
        <v>264</v>
      </c>
      <c r="BB72" s="103">
        <f t="shared" si="25"/>
        <v>2.5930739326858001</v>
      </c>
      <c r="BC72" s="244">
        <v>264</v>
      </c>
      <c r="BD72" s="103">
        <f t="shared" si="26"/>
        <v>4.1861478653716002</v>
      </c>
    </row>
    <row r="73" spans="9:56">
      <c r="I73">
        <f t="shared" si="5"/>
        <v>197.721490063907</v>
      </c>
      <c r="J73">
        <f t="shared" si="6"/>
        <v>230</v>
      </c>
      <c r="K73">
        <f t="shared" si="7"/>
        <v>378</v>
      </c>
      <c r="L73">
        <f t="shared" si="8"/>
        <v>156.47269016040096</v>
      </c>
      <c r="M73">
        <f t="shared" si="9"/>
        <v>108.13895043686934</v>
      </c>
      <c r="N73" s="69">
        <f t="shared" si="10"/>
        <v>91.394094063596299</v>
      </c>
      <c r="O73">
        <v>36</v>
      </c>
      <c r="P73">
        <f t="shared" si="0"/>
        <v>0.24623590466674178</v>
      </c>
      <c r="Q73">
        <f t="shared" si="11"/>
        <v>-0.11075405206887418</v>
      </c>
      <c r="R73">
        <f t="shared" si="1"/>
        <v>0.56552529108569083</v>
      </c>
      <c r="S73">
        <f t="shared" si="2"/>
        <v>0.78276264554284536</v>
      </c>
      <c r="T73">
        <f t="shared" si="3"/>
        <v>1.2172373544571546</v>
      </c>
      <c r="U73">
        <f t="shared" si="4"/>
        <v>1.4344747089143093</v>
      </c>
      <c r="V73">
        <v>-2.2799999999999998</v>
      </c>
      <c r="W73" s="69">
        <f t="shared" si="12"/>
        <v>2.9311688311688311</v>
      </c>
      <c r="X73" s="69">
        <f t="shared" si="13"/>
        <v>-1.1724675324675324</v>
      </c>
      <c r="Y73">
        <f t="shared" si="14"/>
        <v>0.56552529108569083</v>
      </c>
      <c r="Z73">
        <f t="shared" si="15"/>
        <v>1.4344747089143093</v>
      </c>
      <c r="AG73" s="245">
        <f t="shared" si="27"/>
        <v>133.47</v>
      </c>
      <c r="AH73" s="103"/>
      <c r="AI73" s="244">
        <v>136</v>
      </c>
      <c r="AJ73" s="103">
        <f t="shared" si="17"/>
        <v>-1.580638076439735</v>
      </c>
      <c r="AK73" s="244">
        <f t="shared" si="28"/>
        <v>197.721490063907</v>
      </c>
      <c r="AL73" s="103">
        <v>2.44</v>
      </c>
      <c r="AM73" s="244">
        <f t="shared" si="18"/>
        <v>230</v>
      </c>
      <c r="AN73" s="103">
        <v>2.44</v>
      </c>
      <c r="AO73" s="244">
        <f t="shared" si="19"/>
        <v>378</v>
      </c>
      <c r="AP73" s="103">
        <v>2.44</v>
      </c>
      <c r="AQ73" s="244">
        <f t="shared" si="20"/>
        <v>156.47269016040096</v>
      </c>
      <c r="AR73" s="103">
        <v>2.44</v>
      </c>
      <c r="AS73" s="245">
        <f t="shared" si="21"/>
        <v>91.394094063596299</v>
      </c>
      <c r="AT73" s="103">
        <v>2.44</v>
      </c>
      <c r="AU73" s="245">
        <f t="shared" si="22"/>
        <v>108.13895043686934</v>
      </c>
      <c r="AV73" s="103"/>
      <c r="AW73" s="244">
        <v>272</v>
      </c>
      <c r="AX73" s="103">
        <f t="shared" si="23"/>
        <v>-2.2826978006858907</v>
      </c>
      <c r="AY73" s="244">
        <v>272</v>
      </c>
      <c r="AZ73" s="103">
        <f t="shared" si="24"/>
        <v>-0.64134890034294534</v>
      </c>
      <c r="BA73" s="244">
        <v>272</v>
      </c>
      <c r="BB73" s="103">
        <f t="shared" si="25"/>
        <v>2.6413489003429453</v>
      </c>
      <c r="BC73" s="244">
        <v>272</v>
      </c>
      <c r="BD73" s="103">
        <f t="shared" si="26"/>
        <v>4.2826978006858907</v>
      </c>
    </row>
    <row r="74" spans="9:56">
      <c r="I74">
        <f t="shared" si="5"/>
        <v>197.721490063907</v>
      </c>
      <c r="J74">
        <f t="shared" si="6"/>
        <v>230</v>
      </c>
      <c r="K74">
        <f t="shared" si="7"/>
        <v>378</v>
      </c>
      <c r="L74">
        <f t="shared" si="8"/>
        <v>156.47269016040096</v>
      </c>
      <c r="M74">
        <f t="shared" si="9"/>
        <v>108.13895043686934</v>
      </c>
      <c r="N74" s="69">
        <f t="shared" si="10"/>
        <v>91.394094063596299</v>
      </c>
      <c r="O74">
        <v>37</v>
      </c>
      <c r="P74">
        <f t="shared" si="0"/>
        <v>0.26010567398824808</v>
      </c>
      <c r="Q74">
        <f t="shared" si="11"/>
        <v>-0.11699251333509933</v>
      </c>
      <c r="R74">
        <f t="shared" si="1"/>
        <v>0.55345654917140452</v>
      </c>
      <c r="S74">
        <f t="shared" si="2"/>
        <v>0.77672827458570226</v>
      </c>
      <c r="T74">
        <f t="shared" si="3"/>
        <v>1.2232717254142977</v>
      </c>
      <c r="U74">
        <f t="shared" si="4"/>
        <v>1.4465434508285955</v>
      </c>
      <c r="V74">
        <v>-2.2599999999999998</v>
      </c>
      <c r="W74" s="69">
        <f t="shared" si="12"/>
        <v>2.9311688311688311</v>
      </c>
      <c r="X74" s="69">
        <f t="shared" si="13"/>
        <v>-1.1724675324675324</v>
      </c>
      <c r="Y74">
        <f t="shared" si="14"/>
        <v>0.55345654917140452</v>
      </c>
      <c r="Z74">
        <f t="shared" si="15"/>
        <v>1.4465434508285955</v>
      </c>
      <c r="AG74" s="245">
        <f t="shared" si="27"/>
        <v>134.47</v>
      </c>
      <c r="AH74" s="103"/>
      <c r="AI74" s="244">
        <v>140</v>
      </c>
      <c r="AJ74" s="103">
        <f t="shared" si="17"/>
        <v>-1.674984120794702</v>
      </c>
      <c r="AK74" s="244">
        <f t="shared" si="28"/>
        <v>197.721490063907</v>
      </c>
      <c r="AL74" s="103">
        <v>2.6</v>
      </c>
      <c r="AM74" s="244">
        <f t="shared" si="18"/>
        <v>230</v>
      </c>
      <c r="AN74" s="103">
        <v>2.6</v>
      </c>
      <c r="AO74" s="244">
        <f t="shared" si="19"/>
        <v>378</v>
      </c>
      <c r="AP74" s="103">
        <v>2.6</v>
      </c>
      <c r="AQ74" s="244">
        <f t="shared" si="20"/>
        <v>156.47269016040096</v>
      </c>
      <c r="AR74" s="103">
        <v>2.6</v>
      </c>
      <c r="AS74" s="245">
        <f t="shared" si="21"/>
        <v>91.394094063596299</v>
      </c>
      <c r="AT74" s="103">
        <v>2.6</v>
      </c>
      <c r="AU74" s="245">
        <f t="shared" si="22"/>
        <v>108.13895043686934</v>
      </c>
      <c r="AV74" s="103"/>
      <c r="AW74" s="244">
        <v>280</v>
      </c>
      <c r="AX74" s="103">
        <f t="shared" si="23"/>
        <v>-2.379247736000182</v>
      </c>
      <c r="AY74" s="244">
        <v>280</v>
      </c>
      <c r="AZ74" s="103">
        <f t="shared" si="24"/>
        <v>-0.68962386800009101</v>
      </c>
      <c r="BA74" s="244">
        <v>280</v>
      </c>
      <c r="BB74" s="103">
        <f t="shared" si="25"/>
        <v>2.689623868000091</v>
      </c>
      <c r="BC74" s="244">
        <v>280</v>
      </c>
      <c r="BD74" s="103">
        <f t="shared" si="26"/>
        <v>4.379247736000182</v>
      </c>
    </row>
    <row r="75" spans="9:56">
      <c r="I75">
        <f t="shared" si="5"/>
        <v>197.721490063907</v>
      </c>
      <c r="J75">
        <f t="shared" si="6"/>
        <v>230</v>
      </c>
      <c r="K75">
        <f t="shared" si="7"/>
        <v>378</v>
      </c>
      <c r="L75">
        <f t="shared" si="8"/>
        <v>156.47269016040096</v>
      </c>
      <c r="M75">
        <f t="shared" si="9"/>
        <v>108.13895043686934</v>
      </c>
      <c r="N75" s="69">
        <f t="shared" si="10"/>
        <v>91.394094063596299</v>
      </c>
      <c r="O75">
        <v>38</v>
      </c>
      <c r="P75">
        <f t="shared" si="0"/>
        <v>0.2743554369897957</v>
      </c>
      <c r="Q75">
        <f t="shared" si="11"/>
        <v>-0.12340189134834438</v>
      </c>
      <c r="R75">
        <f t="shared" si="1"/>
        <v>0.5413878072571181</v>
      </c>
      <c r="S75">
        <f t="shared" si="2"/>
        <v>0.77069390362855905</v>
      </c>
      <c r="T75">
        <f t="shared" si="3"/>
        <v>1.2293060963714408</v>
      </c>
      <c r="U75">
        <f t="shared" si="4"/>
        <v>1.4586121927428819</v>
      </c>
      <c r="V75">
        <v>-2.2400000000000002</v>
      </c>
      <c r="W75" s="69">
        <f t="shared" si="12"/>
        <v>2.9311688311688311</v>
      </c>
      <c r="X75" s="69">
        <f t="shared" si="13"/>
        <v>-1.1724675324675324</v>
      </c>
      <c r="Y75">
        <f t="shared" si="14"/>
        <v>0.5413878072571181</v>
      </c>
      <c r="Z75">
        <f t="shared" si="15"/>
        <v>1.4586121927428819</v>
      </c>
      <c r="AG75" s="245">
        <f t="shared" si="27"/>
        <v>135.47</v>
      </c>
      <c r="AH75" s="103"/>
      <c r="AI75" s="244">
        <v>144</v>
      </c>
      <c r="AJ75" s="103">
        <f t="shared" si="17"/>
        <v>-1.7720648331019868</v>
      </c>
      <c r="AK75" s="244">
        <f t="shared" si="28"/>
        <v>197.721490063907</v>
      </c>
      <c r="AL75" s="103">
        <v>2.76000000000001</v>
      </c>
      <c r="AM75" s="244">
        <f t="shared" si="18"/>
        <v>230</v>
      </c>
      <c r="AN75" s="103">
        <v>2.76000000000001</v>
      </c>
      <c r="AO75" s="244">
        <f t="shared" si="19"/>
        <v>378</v>
      </c>
      <c r="AP75" s="103">
        <v>2.76000000000001</v>
      </c>
      <c r="AQ75" s="244">
        <f t="shared" si="20"/>
        <v>156.47269016040096</v>
      </c>
      <c r="AR75" s="103">
        <v>2.76000000000001</v>
      </c>
      <c r="AS75" s="245">
        <f t="shared" si="21"/>
        <v>91.394094063596299</v>
      </c>
      <c r="AT75" s="103">
        <v>2.76000000000001</v>
      </c>
      <c r="AU75" s="245">
        <f t="shared" si="22"/>
        <v>108.13895043686934</v>
      </c>
      <c r="AV75" s="103"/>
      <c r="AW75" s="244">
        <v>288</v>
      </c>
      <c r="AX75" s="103">
        <f t="shared" si="23"/>
        <v>-2.4757976713144734</v>
      </c>
      <c r="AY75" s="244">
        <v>288</v>
      </c>
      <c r="AZ75" s="103">
        <f t="shared" si="24"/>
        <v>-0.73789883565723668</v>
      </c>
      <c r="BA75" s="244">
        <v>288</v>
      </c>
      <c r="BB75" s="103">
        <f t="shared" si="25"/>
        <v>2.7378988356572367</v>
      </c>
      <c r="BC75" s="244">
        <v>288</v>
      </c>
      <c r="BD75" s="103">
        <f t="shared" si="26"/>
        <v>4.4757976713144734</v>
      </c>
    </row>
    <row r="76" spans="9:56">
      <c r="I76">
        <f t="shared" si="5"/>
        <v>197.721490063907</v>
      </c>
      <c r="J76">
        <f t="shared" si="6"/>
        <v>230</v>
      </c>
      <c r="K76">
        <f t="shared" si="7"/>
        <v>378</v>
      </c>
      <c r="L76">
        <f t="shared" si="8"/>
        <v>156.47269016040096</v>
      </c>
      <c r="M76">
        <f t="shared" si="9"/>
        <v>108.13895043686934</v>
      </c>
      <c r="N76" s="69">
        <f t="shared" si="10"/>
        <v>91.394094063596299</v>
      </c>
      <c r="O76">
        <v>39</v>
      </c>
      <c r="P76">
        <f t="shared" si="0"/>
        <v>0.28898519367138448</v>
      </c>
      <c r="Q76">
        <f t="shared" si="11"/>
        <v>-0.12998218610860926</v>
      </c>
      <c r="R76">
        <f t="shared" si="1"/>
        <v>0.5293190653428318</v>
      </c>
      <c r="S76">
        <f t="shared" si="2"/>
        <v>0.76465953267141584</v>
      </c>
      <c r="T76">
        <f t="shared" si="3"/>
        <v>1.2353404673285842</v>
      </c>
      <c r="U76">
        <f t="shared" si="4"/>
        <v>1.4706809346571683</v>
      </c>
      <c r="V76">
        <v>-2.2200000000000002</v>
      </c>
      <c r="W76" s="69">
        <f t="shared" si="12"/>
        <v>2.9311688311688311</v>
      </c>
      <c r="X76" s="69">
        <f t="shared" si="13"/>
        <v>-1.1724675324675324</v>
      </c>
      <c r="Y76">
        <f t="shared" si="14"/>
        <v>0.5293190653428318</v>
      </c>
      <c r="Z76">
        <f t="shared" si="15"/>
        <v>1.4706809346571683</v>
      </c>
      <c r="AG76" s="245">
        <f t="shared" si="27"/>
        <v>136.47</v>
      </c>
      <c r="AH76" s="103"/>
      <c r="AI76" s="244">
        <v>148</v>
      </c>
      <c r="AJ76" s="103">
        <f t="shared" si="17"/>
        <v>-1.8718802133615893</v>
      </c>
      <c r="AK76" s="244">
        <f t="shared" si="28"/>
        <v>197.721490063907</v>
      </c>
      <c r="AL76" s="103">
        <v>2.9200000000000101</v>
      </c>
      <c r="AM76" s="244">
        <f t="shared" si="18"/>
        <v>230</v>
      </c>
      <c r="AN76" s="103">
        <v>2.9200000000000101</v>
      </c>
      <c r="AO76" s="244">
        <f t="shared" si="19"/>
        <v>378</v>
      </c>
      <c r="AP76" s="103">
        <v>2.9200000000000101</v>
      </c>
      <c r="AQ76" s="244">
        <f t="shared" si="20"/>
        <v>156.47269016040096</v>
      </c>
      <c r="AR76" s="103">
        <v>2.9200000000000101</v>
      </c>
      <c r="AS76" s="245">
        <f t="shared" si="21"/>
        <v>91.394094063596299</v>
      </c>
      <c r="AT76" s="103">
        <v>2.9200000000000101</v>
      </c>
      <c r="AU76" s="245">
        <f t="shared" si="22"/>
        <v>108.13895043686934</v>
      </c>
      <c r="AV76" s="103"/>
      <c r="AW76" s="244">
        <v>296</v>
      </c>
      <c r="AX76" s="103">
        <f t="shared" si="23"/>
        <v>-2.5723476066287643</v>
      </c>
      <c r="AY76" s="244">
        <v>296</v>
      </c>
      <c r="AZ76" s="103">
        <f t="shared" si="24"/>
        <v>-0.78617380331438214</v>
      </c>
      <c r="BA76" s="244">
        <v>296</v>
      </c>
      <c r="BB76" s="103">
        <f t="shared" si="25"/>
        <v>2.7861738033143819</v>
      </c>
      <c r="BC76" s="244">
        <v>296</v>
      </c>
      <c r="BD76" s="103">
        <f t="shared" si="26"/>
        <v>4.5723476066287638</v>
      </c>
    </row>
    <row r="77" spans="9:56">
      <c r="I77">
        <f t="shared" si="5"/>
        <v>197.721490063907</v>
      </c>
      <c r="J77">
        <f t="shared" si="6"/>
        <v>230</v>
      </c>
      <c r="K77">
        <f t="shared" si="7"/>
        <v>378</v>
      </c>
      <c r="L77">
        <f t="shared" si="8"/>
        <v>156.47269016040096</v>
      </c>
      <c r="M77">
        <f t="shared" si="9"/>
        <v>108.13895043686934</v>
      </c>
      <c r="N77" s="69">
        <f t="shared" si="10"/>
        <v>91.394094063596299</v>
      </c>
      <c r="O77">
        <v>40</v>
      </c>
      <c r="P77">
        <f t="shared" si="0"/>
        <v>0.30399494403301458</v>
      </c>
      <c r="Q77">
        <f t="shared" si="11"/>
        <v>-0.13673339761589404</v>
      </c>
      <c r="R77">
        <f t="shared" si="1"/>
        <v>0.51725032342854538</v>
      </c>
      <c r="S77">
        <f t="shared" si="2"/>
        <v>0.75862516171427274</v>
      </c>
      <c r="T77">
        <f t="shared" si="3"/>
        <v>1.2413748382857273</v>
      </c>
      <c r="U77">
        <f t="shared" si="4"/>
        <v>1.4827496765714545</v>
      </c>
      <c r="V77">
        <v>-2.2000000000000002</v>
      </c>
      <c r="W77" s="69">
        <f t="shared" si="12"/>
        <v>2.9311688311688311</v>
      </c>
      <c r="X77" s="69">
        <f t="shared" si="13"/>
        <v>-1.1724675324675324</v>
      </c>
      <c r="Y77">
        <f t="shared" si="14"/>
        <v>0.51725032342854538</v>
      </c>
      <c r="Z77">
        <f t="shared" si="15"/>
        <v>1.4827496765714545</v>
      </c>
      <c r="AG77" s="245">
        <f t="shared" si="27"/>
        <v>137.47</v>
      </c>
      <c r="AH77" s="103"/>
      <c r="AI77" s="244">
        <v>152</v>
      </c>
      <c r="AJ77" s="103">
        <f t="shared" si="17"/>
        <v>-1.9744302615735101</v>
      </c>
      <c r="AK77" s="244">
        <f t="shared" si="28"/>
        <v>197.721490063907</v>
      </c>
      <c r="AL77" s="103">
        <v>3.0800000000000098</v>
      </c>
      <c r="AM77" s="244">
        <f t="shared" si="18"/>
        <v>230</v>
      </c>
      <c r="AN77" s="103">
        <v>3.0800000000000098</v>
      </c>
      <c r="AO77" s="244">
        <f t="shared" si="19"/>
        <v>378</v>
      </c>
      <c r="AP77" s="103">
        <v>3.0800000000000098</v>
      </c>
      <c r="AQ77" s="244">
        <f t="shared" si="20"/>
        <v>156.47269016040096</v>
      </c>
      <c r="AR77" s="103">
        <v>3.0800000000000098</v>
      </c>
      <c r="AS77" s="245">
        <f t="shared" si="21"/>
        <v>91.394094063596299</v>
      </c>
      <c r="AT77" s="103">
        <v>3.0800000000000098</v>
      </c>
      <c r="AU77" s="245">
        <f t="shared" si="22"/>
        <v>108.13895043686934</v>
      </c>
      <c r="AV77" s="103"/>
      <c r="AW77" s="244">
        <v>304</v>
      </c>
      <c r="AX77" s="103">
        <f t="shared" si="23"/>
        <v>-2.6688975419430547</v>
      </c>
      <c r="AY77" s="244">
        <v>304</v>
      </c>
      <c r="AZ77" s="103">
        <f t="shared" si="24"/>
        <v>-0.83444877097152736</v>
      </c>
      <c r="BA77" s="244">
        <v>304</v>
      </c>
      <c r="BB77" s="103">
        <f t="shared" si="25"/>
        <v>2.8344487709715276</v>
      </c>
      <c r="BC77" s="244">
        <v>304</v>
      </c>
      <c r="BD77" s="103">
        <f t="shared" si="26"/>
        <v>4.6688975419430552</v>
      </c>
    </row>
    <row r="78" spans="9:56">
      <c r="I78">
        <f t="shared" si="5"/>
        <v>197.721490063907</v>
      </c>
      <c r="J78">
        <f t="shared" si="6"/>
        <v>230</v>
      </c>
      <c r="K78">
        <f t="shared" si="7"/>
        <v>378</v>
      </c>
      <c r="L78">
        <f t="shared" si="8"/>
        <v>156.47269016040096</v>
      </c>
      <c r="M78">
        <f t="shared" si="9"/>
        <v>108.13895043686934</v>
      </c>
      <c r="N78" s="69">
        <f t="shared" si="10"/>
        <v>91.394094063596299</v>
      </c>
      <c r="O78">
        <v>41</v>
      </c>
      <c r="P78">
        <f t="shared" si="0"/>
        <v>0.31938468807468601</v>
      </c>
      <c r="Q78">
        <f t="shared" si="11"/>
        <v>-0.1436555258701987</v>
      </c>
      <c r="R78">
        <f t="shared" si="1"/>
        <v>0.50518158151425907</v>
      </c>
      <c r="S78">
        <f t="shared" si="2"/>
        <v>0.75259079075712954</v>
      </c>
      <c r="T78">
        <f t="shared" si="3"/>
        <v>1.2474092092428704</v>
      </c>
      <c r="U78">
        <f t="shared" si="4"/>
        <v>1.4948184184857409</v>
      </c>
      <c r="V78">
        <v>-2.1800000000000002</v>
      </c>
      <c r="W78" s="69">
        <f t="shared" si="12"/>
        <v>2.9311688311688311</v>
      </c>
      <c r="X78" s="69">
        <f t="shared" si="13"/>
        <v>-1.1724675324675324</v>
      </c>
      <c r="Y78">
        <f t="shared" si="14"/>
        <v>0.50518158151425907</v>
      </c>
      <c r="Z78">
        <f t="shared" si="15"/>
        <v>1.4948184184857409</v>
      </c>
      <c r="AG78" s="245">
        <f t="shared" si="27"/>
        <v>138.47</v>
      </c>
      <c r="AH78" s="103"/>
      <c r="AI78" s="244">
        <v>156</v>
      </c>
      <c r="AJ78" s="103">
        <f t="shared" si="17"/>
        <v>-2.0797149777377482</v>
      </c>
      <c r="AK78" s="244">
        <f t="shared" si="28"/>
        <v>197.721490063907</v>
      </c>
      <c r="AL78" s="103">
        <v>3.24000000000001</v>
      </c>
      <c r="AM78" s="244">
        <f t="shared" si="18"/>
        <v>230</v>
      </c>
      <c r="AN78" s="103">
        <v>3.24000000000001</v>
      </c>
      <c r="AO78" s="244">
        <f t="shared" si="19"/>
        <v>378</v>
      </c>
      <c r="AP78" s="103">
        <v>3.24000000000001</v>
      </c>
      <c r="AQ78" s="244">
        <f t="shared" si="20"/>
        <v>156.47269016040096</v>
      </c>
      <c r="AR78" s="103">
        <v>3.24000000000001</v>
      </c>
      <c r="AS78" s="245">
        <f t="shared" si="21"/>
        <v>91.394094063596299</v>
      </c>
      <c r="AT78" s="103">
        <v>3.24000000000001</v>
      </c>
      <c r="AU78" s="245">
        <f t="shared" si="22"/>
        <v>108.13895043686934</v>
      </c>
      <c r="AV78" s="103"/>
      <c r="AW78" s="244">
        <v>312</v>
      </c>
      <c r="AX78" s="103">
        <f t="shared" si="23"/>
        <v>-2.7654474772573456</v>
      </c>
      <c r="AY78" s="244">
        <v>312</v>
      </c>
      <c r="AZ78" s="103">
        <f t="shared" si="24"/>
        <v>-0.88272373862867282</v>
      </c>
      <c r="BA78" s="244">
        <v>312</v>
      </c>
      <c r="BB78" s="103">
        <f t="shared" si="25"/>
        <v>2.8827237386286728</v>
      </c>
      <c r="BC78" s="244">
        <v>312</v>
      </c>
      <c r="BD78" s="103">
        <f t="shared" si="26"/>
        <v>4.7654474772573456</v>
      </c>
    </row>
    <row r="79" spans="9:56">
      <c r="I79">
        <f t="shared" si="5"/>
        <v>197.721490063907</v>
      </c>
      <c r="J79">
        <f t="shared" si="6"/>
        <v>230</v>
      </c>
      <c r="K79">
        <f t="shared" si="7"/>
        <v>378</v>
      </c>
      <c r="L79">
        <f t="shared" si="8"/>
        <v>156.47269016040096</v>
      </c>
      <c r="M79">
        <f t="shared" si="9"/>
        <v>108.13895043686934</v>
      </c>
      <c r="N79" s="69">
        <f t="shared" si="10"/>
        <v>91.394094063596299</v>
      </c>
      <c r="O79">
        <v>42</v>
      </c>
      <c r="P79">
        <f t="shared" si="0"/>
        <v>0.33515442579639859</v>
      </c>
      <c r="Q79">
        <f t="shared" si="11"/>
        <v>-0.15074857087152319</v>
      </c>
      <c r="R79">
        <f t="shared" si="1"/>
        <v>0.49311283959997276</v>
      </c>
      <c r="S79">
        <f t="shared" si="2"/>
        <v>0.74655641979998633</v>
      </c>
      <c r="T79">
        <f t="shared" si="3"/>
        <v>1.2534435802000137</v>
      </c>
      <c r="U79">
        <f t="shared" si="4"/>
        <v>1.5068871604000273</v>
      </c>
      <c r="V79">
        <v>-2.16</v>
      </c>
      <c r="W79" s="69">
        <f t="shared" si="12"/>
        <v>2.9311688311688311</v>
      </c>
      <c r="X79" s="69">
        <f t="shared" si="13"/>
        <v>-1.1724675324675324</v>
      </c>
      <c r="Y79">
        <f t="shared" si="14"/>
        <v>0.49311283959997276</v>
      </c>
      <c r="Z79">
        <f t="shared" si="15"/>
        <v>1.5068871604000273</v>
      </c>
      <c r="AG79" s="245">
        <f t="shared" si="27"/>
        <v>139.47</v>
      </c>
      <c r="AH79" s="103"/>
      <c r="AI79" s="244">
        <v>160</v>
      </c>
      <c r="AJ79" s="103">
        <f t="shared" si="17"/>
        <v>-2.1877343618543046</v>
      </c>
      <c r="AK79" s="244">
        <f t="shared" si="28"/>
        <v>197.721490063907</v>
      </c>
      <c r="AL79" s="103">
        <v>3.4000000000000101</v>
      </c>
      <c r="AM79" s="244">
        <f t="shared" si="18"/>
        <v>230</v>
      </c>
      <c r="AN79" s="103">
        <v>3.4000000000000101</v>
      </c>
      <c r="AO79" s="244">
        <f t="shared" si="19"/>
        <v>378</v>
      </c>
      <c r="AP79" s="103">
        <v>3.4000000000000101</v>
      </c>
      <c r="AQ79" s="244">
        <f t="shared" si="20"/>
        <v>156.47269016040096</v>
      </c>
      <c r="AR79" s="103">
        <v>3.4000000000000101</v>
      </c>
      <c r="AS79" s="245">
        <f t="shared" si="21"/>
        <v>91.394094063596299</v>
      </c>
      <c r="AT79" s="103">
        <v>3.4000000000000101</v>
      </c>
      <c r="AU79" s="245">
        <f t="shared" si="22"/>
        <v>108.13895043686934</v>
      </c>
      <c r="AV79" s="103"/>
      <c r="AW79" s="244">
        <v>320</v>
      </c>
      <c r="AX79" s="103">
        <f t="shared" si="23"/>
        <v>-2.861997412571637</v>
      </c>
      <c r="AY79" s="244">
        <v>320</v>
      </c>
      <c r="AZ79" s="103">
        <f t="shared" si="24"/>
        <v>-0.93099870628581849</v>
      </c>
      <c r="BA79" s="244">
        <v>320</v>
      </c>
      <c r="BB79" s="103">
        <f t="shared" si="25"/>
        <v>2.9309987062858185</v>
      </c>
      <c r="BC79" s="244">
        <v>320</v>
      </c>
      <c r="BD79" s="103">
        <f t="shared" si="26"/>
        <v>4.861997412571637</v>
      </c>
    </row>
    <row r="80" spans="9:56">
      <c r="I80">
        <f t="shared" si="5"/>
        <v>197.721490063907</v>
      </c>
      <c r="J80">
        <f t="shared" si="6"/>
        <v>230</v>
      </c>
      <c r="K80">
        <f t="shared" si="7"/>
        <v>378</v>
      </c>
      <c r="L80">
        <f t="shared" si="8"/>
        <v>156.47269016040096</v>
      </c>
      <c r="M80">
        <f t="shared" si="9"/>
        <v>108.13895043686934</v>
      </c>
      <c r="N80" s="69">
        <f t="shared" si="10"/>
        <v>91.394094063596299</v>
      </c>
      <c r="O80">
        <v>43</v>
      </c>
      <c r="P80">
        <f t="shared" si="0"/>
        <v>0.3513041571981525</v>
      </c>
      <c r="Q80">
        <f t="shared" si="11"/>
        <v>-0.15801253261986756</v>
      </c>
      <c r="R80">
        <f t="shared" si="1"/>
        <v>0.48104409768568634</v>
      </c>
      <c r="S80">
        <f t="shared" si="2"/>
        <v>0.74052204884284323</v>
      </c>
      <c r="T80">
        <f t="shared" si="3"/>
        <v>1.2594779511571568</v>
      </c>
      <c r="U80">
        <f t="shared" si="4"/>
        <v>1.5189559023143135</v>
      </c>
      <c r="V80">
        <v>-2.14</v>
      </c>
      <c r="W80" s="69">
        <f t="shared" si="12"/>
        <v>2.9311688311688311</v>
      </c>
      <c r="X80" s="69">
        <f t="shared" si="13"/>
        <v>-1.1724675324675324</v>
      </c>
      <c r="Y80">
        <f t="shared" si="14"/>
        <v>0.48104409768568634</v>
      </c>
      <c r="Z80">
        <f t="shared" si="15"/>
        <v>1.5189559023143135</v>
      </c>
      <c r="AG80" s="245">
        <f t="shared" si="27"/>
        <v>140.47</v>
      </c>
      <c r="AH80" s="103"/>
      <c r="AI80" s="244">
        <v>164</v>
      </c>
      <c r="AJ80" s="103">
        <f t="shared" si="17"/>
        <v>-2.2984884139231792</v>
      </c>
      <c r="AK80" s="244">
        <f t="shared" si="28"/>
        <v>197.721490063907</v>
      </c>
      <c r="AL80" s="103">
        <v>3.5600000000000098</v>
      </c>
      <c r="AM80" s="244">
        <f t="shared" si="18"/>
        <v>230</v>
      </c>
      <c r="AN80" s="103">
        <v>3.5600000000000098</v>
      </c>
      <c r="AO80" s="244">
        <f t="shared" si="19"/>
        <v>378</v>
      </c>
      <c r="AP80" s="103">
        <v>3.5600000000000098</v>
      </c>
      <c r="AQ80" s="244">
        <f t="shared" si="20"/>
        <v>156.47269016040096</v>
      </c>
      <c r="AR80" s="103">
        <v>3.5600000000000098</v>
      </c>
      <c r="AS80" s="245">
        <f t="shared" si="21"/>
        <v>91.394094063596299</v>
      </c>
      <c r="AT80" s="103">
        <v>3.5600000000000098</v>
      </c>
      <c r="AU80" s="245">
        <f t="shared" si="22"/>
        <v>108.13895043686934</v>
      </c>
      <c r="AV80" s="103"/>
      <c r="AW80" s="244">
        <v>328</v>
      </c>
      <c r="AX80" s="103">
        <f t="shared" si="23"/>
        <v>-2.958547347885927</v>
      </c>
      <c r="AY80" s="244">
        <v>328</v>
      </c>
      <c r="AZ80" s="103">
        <f t="shared" si="24"/>
        <v>-0.9792736739429635</v>
      </c>
      <c r="BA80" s="244">
        <v>328</v>
      </c>
      <c r="BB80" s="103">
        <f t="shared" si="25"/>
        <v>2.9792736739429637</v>
      </c>
      <c r="BC80" s="244">
        <v>328</v>
      </c>
      <c r="BD80" s="103">
        <f t="shared" si="26"/>
        <v>4.9585473478859274</v>
      </c>
    </row>
    <row r="81" spans="9:56">
      <c r="I81">
        <f t="shared" si="5"/>
        <v>197.721490063907</v>
      </c>
      <c r="J81">
        <f t="shared" si="6"/>
        <v>230</v>
      </c>
      <c r="K81">
        <f t="shared" si="7"/>
        <v>378</v>
      </c>
      <c r="L81">
        <f t="shared" si="8"/>
        <v>156.47269016040096</v>
      </c>
      <c r="M81">
        <f t="shared" si="9"/>
        <v>108.13895043686934</v>
      </c>
      <c r="N81" s="69">
        <f t="shared" si="10"/>
        <v>91.394094063596299</v>
      </c>
      <c r="O81">
        <v>44</v>
      </c>
      <c r="P81">
        <f t="shared" si="0"/>
        <v>0.36783388227994762</v>
      </c>
      <c r="Q81">
        <f t="shared" si="11"/>
        <v>-0.16544741111523181</v>
      </c>
      <c r="R81">
        <f t="shared" si="1"/>
        <v>0.46897535577139993</v>
      </c>
      <c r="S81">
        <f t="shared" si="2"/>
        <v>0.73448767788569991</v>
      </c>
      <c r="T81">
        <f t="shared" si="3"/>
        <v>1.2655123221143001</v>
      </c>
      <c r="U81">
        <f t="shared" si="4"/>
        <v>1.5310246442286002</v>
      </c>
      <c r="V81">
        <v>-2.12</v>
      </c>
      <c r="W81" s="69">
        <f t="shared" si="12"/>
        <v>2.9311688311688311</v>
      </c>
      <c r="X81" s="69">
        <f t="shared" si="13"/>
        <v>-1.1724675324675324</v>
      </c>
      <c r="Y81">
        <f t="shared" si="14"/>
        <v>0.46897535577139993</v>
      </c>
      <c r="Z81">
        <f t="shared" si="15"/>
        <v>1.5310246442286002</v>
      </c>
      <c r="AG81" s="245">
        <f t="shared" si="27"/>
        <v>141.47</v>
      </c>
      <c r="AH81" s="103"/>
      <c r="AI81" s="244">
        <v>168</v>
      </c>
      <c r="AJ81" s="103">
        <f t="shared" si="17"/>
        <v>-2.411977133944371</v>
      </c>
      <c r="AK81" s="244">
        <f t="shared" si="28"/>
        <v>197.721490063907</v>
      </c>
      <c r="AL81" s="103">
        <v>3.72000000000001</v>
      </c>
      <c r="AM81" s="244">
        <f t="shared" si="18"/>
        <v>230</v>
      </c>
      <c r="AN81" s="103">
        <v>3.72000000000001</v>
      </c>
      <c r="AO81" s="244">
        <f t="shared" si="19"/>
        <v>378</v>
      </c>
      <c r="AP81" s="103">
        <v>3.72000000000001</v>
      </c>
      <c r="AQ81" s="244">
        <f t="shared" si="20"/>
        <v>156.47269016040096</v>
      </c>
      <c r="AR81" s="103">
        <v>3.72000000000001</v>
      </c>
      <c r="AS81" s="245">
        <f t="shared" si="21"/>
        <v>91.394094063596299</v>
      </c>
      <c r="AT81" s="103">
        <v>3.72000000000001</v>
      </c>
      <c r="AU81" s="245">
        <f t="shared" si="22"/>
        <v>108.13895043686934</v>
      </c>
      <c r="AV81" s="103"/>
      <c r="AW81" s="244">
        <v>336</v>
      </c>
      <c r="AX81" s="103">
        <f t="shared" si="23"/>
        <v>-3.0550972832002179</v>
      </c>
      <c r="AY81" s="244">
        <v>336</v>
      </c>
      <c r="AZ81" s="103">
        <f t="shared" si="24"/>
        <v>-1.0275486416001089</v>
      </c>
      <c r="BA81" s="244">
        <v>336</v>
      </c>
      <c r="BB81" s="103">
        <f t="shared" si="25"/>
        <v>3.0275486416001089</v>
      </c>
      <c r="BC81" s="244">
        <v>336</v>
      </c>
      <c r="BD81" s="103">
        <f t="shared" si="26"/>
        <v>5.0550972832002179</v>
      </c>
    </row>
    <row r="82" spans="9:56">
      <c r="I82">
        <f t="shared" si="5"/>
        <v>197.721490063907</v>
      </c>
      <c r="J82">
        <f t="shared" si="6"/>
        <v>230</v>
      </c>
      <c r="K82">
        <f t="shared" si="7"/>
        <v>378</v>
      </c>
      <c r="L82">
        <f t="shared" si="8"/>
        <v>156.47269016040096</v>
      </c>
      <c r="M82">
        <f t="shared" si="9"/>
        <v>108.13895043686934</v>
      </c>
      <c r="N82" s="69">
        <f t="shared" si="10"/>
        <v>91.394094063596299</v>
      </c>
      <c r="O82">
        <v>45</v>
      </c>
      <c r="P82">
        <f t="shared" si="0"/>
        <v>0.38474360104178401</v>
      </c>
      <c r="Q82">
        <f t="shared" si="11"/>
        <v>-0.1730532063576159</v>
      </c>
      <c r="R82">
        <f t="shared" si="1"/>
        <v>0.45690661385711362</v>
      </c>
      <c r="S82">
        <f t="shared" si="2"/>
        <v>0.72845330692855681</v>
      </c>
      <c r="T82">
        <f t="shared" si="3"/>
        <v>1.2715466930714432</v>
      </c>
      <c r="U82">
        <f t="shared" si="4"/>
        <v>1.5430933861428864</v>
      </c>
      <c r="V82">
        <v>-2.1</v>
      </c>
      <c r="W82" s="69">
        <f t="shared" si="12"/>
        <v>2.9311688311688311</v>
      </c>
      <c r="X82" s="69">
        <f t="shared" si="13"/>
        <v>-1.1724675324675324</v>
      </c>
      <c r="Y82">
        <f t="shared" si="14"/>
        <v>0.45690661385711362</v>
      </c>
      <c r="Z82">
        <f t="shared" si="15"/>
        <v>1.5430933861428864</v>
      </c>
      <c r="AG82" s="245">
        <f t="shared" si="27"/>
        <v>142.47</v>
      </c>
      <c r="AH82" s="103"/>
      <c r="AI82" s="244">
        <v>172</v>
      </c>
      <c r="AJ82" s="103">
        <f t="shared" si="17"/>
        <v>-2.5282005219178809</v>
      </c>
      <c r="AK82" s="244">
        <f t="shared" si="28"/>
        <v>197.721490063907</v>
      </c>
      <c r="AL82" s="103">
        <v>3.8800000000000101</v>
      </c>
      <c r="AM82" s="244">
        <f t="shared" si="18"/>
        <v>230</v>
      </c>
      <c r="AN82" s="103">
        <v>3.8800000000000101</v>
      </c>
      <c r="AO82" s="244">
        <f t="shared" si="19"/>
        <v>378</v>
      </c>
      <c r="AP82" s="103">
        <v>3.8800000000000101</v>
      </c>
      <c r="AQ82" s="244">
        <f t="shared" si="20"/>
        <v>156.47269016040096</v>
      </c>
      <c r="AR82" s="103">
        <v>3.8800000000000101</v>
      </c>
      <c r="AS82" s="245">
        <f t="shared" si="21"/>
        <v>91.394094063596299</v>
      </c>
      <c r="AT82" s="103">
        <v>3.8800000000000101</v>
      </c>
      <c r="AU82" s="245">
        <f t="shared" si="22"/>
        <v>108.13895043686934</v>
      </c>
      <c r="AV82" s="103"/>
      <c r="AW82" s="244">
        <v>344</v>
      </c>
      <c r="AX82" s="103">
        <f t="shared" si="23"/>
        <v>-3.1516472185145092</v>
      </c>
      <c r="AY82" s="244">
        <v>344</v>
      </c>
      <c r="AZ82" s="103">
        <f t="shared" si="24"/>
        <v>-1.0758236092572546</v>
      </c>
      <c r="BA82" s="244">
        <v>344</v>
      </c>
      <c r="BB82" s="103">
        <f t="shared" si="25"/>
        <v>3.0758236092572546</v>
      </c>
      <c r="BC82" s="244">
        <v>344</v>
      </c>
      <c r="BD82" s="103">
        <f t="shared" si="26"/>
        <v>5.1516472185145092</v>
      </c>
    </row>
    <row r="83" spans="9:56">
      <c r="I83">
        <f t="shared" si="5"/>
        <v>197.721490063907</v>
      </c>
      <c r="J83">
        <f t="shared" si="6"/>
        <v>230</v>
      </c>
      <c r="K83">
        <f t="shared" si="7"/>
        <v>378</v>
      </c>
      <c r="L83">
        <f t="shared" si="8"/>
        <v>156.47269016040096</v>
      </c>
      <c r="M83">
        <f t="shared" si="9"/>
        <v>108.13895043686934</v>
      </c>
      <c r="N83" s="69">
        <f t="shared" si="10"/>
        <v>91.394094063596299</v>
      </c>
      <c r="O83">
        <v>46</v>
      </c>
      <c r="P83">
        <f t="shared" si="0"/>
        <v>0.40203331348366184</v>
      </c>
      <c r="Q83">
        <f t="shared" si="11"/>
        <v>-0.18082991834701989</v>
      </c>
      <c r="R83">
        <f t="shared" si="1"/>
        <v>0.44483787194282731</v>
      </c>
      <c r="S83">
        <f t="shared" si="2"/>
        <v>0.72241893597141371</v>
      </c>
      <c r="T83">
        <f t="shared" si="3"/>
        <v>1.2775810640285863</v>
      </c>
      <c r="U83">
        <f t="shared" si="4"/>
        <v>1.5551621280571726</v>
      </c>
      <c r="V83">
        <v>-2.08</v>
      </c>
      <c r="W83" s="69">
        <f t="shared" si="12"/>
        <v>2.9311688311688311</v>
      </c>
      <c r="X83" s="69">
        <f t="shared" si="13"/>
        <v>-1.1724675324675324</v>
      </c>
      <c r="Y83">
        <f t="shared" si="14"/>
        <v>0.44483787194282731</v>
      </c>
      <c r="Z83">
        <f t="shared" si="15"/>
        <v>1.5551621280571726</v>
      </c>
      <c r="AG83" s="245">
        <f t="shared" si="27"/>
        <v>143.47</v>
      </c>
      <c r="AH83" s="103"/>
      <c r="AI83" s="244">
        <v>176</v>
      </c>
      <c r="AJ83" s="103">
        <f t="shared" si="17"/>
        <v>-2.647158577843709</v>
      </c>
      <c r="AK83" s="244">
        <f t="shared" si="28"/>
        <v>197.721490063907</v>
      </c>
      <c r="AL83" s="103">
        <v>4.0400000000000098</v>
      </c>
      <c r="AM83" s="244">
        <f t="shared" si="18"/>
        <v>230</v>
      </c>
      <c r="AN83" s="103">
        <v>4.0400000000000098</v>
      </c>
      <c r="AO83" s="244">
        <f t="shared" si="19"/>
        <v>378</v>
      </c>
      <c r="AP83" s="103">
        <v>4.0400000000000098</v>
      </c>
      <c r="AQ83" s="244">
        <f t="shared" si="20"/>
        <v>156.47269016040096</v>
      </c>
      <c r="AR83" s="103">
        <v>4.0400000000000098</v>
      </c>
      <c r="AS83" s="245">
        <f t="shared" si="21"/>
        <v>91.394094063596299</v>
      </c>
      <c r="AT83" s="103">
        <v>4.0400000000000098</v>
      </c>
      <c r="AU83" s="245">
        <f t="shared" si="22"/>
        <v>108.13895043686934</v>
      </c>
      <c r="AV83" s="103"/>
      <c r="AW83" s="244">
        <v>352</v>
      </c>
      <c r="AX83" s="103">
        <f t="shared" si="23"/>
        <v>-3.2481971538288006</v>
      </c>
      <c r="AY83" s="244">
        <v>352</v>
      </c>
      <c r="AZ83" s="103">
        <f t="shared" si="24"/>
        <v>-1.1240985769144003</v>
      </c>
      <c r="BA83" s="244">
        <v>352</v>
      </c>
      <c r="BB83" s="103">
        <f t="shared" si="25"/>
        <v>3.1240985769144003</v>
      </c>
      <c r="BC83" s="244">
        <v>352</v>
      </c>
      <c r="BD83" s="103">
        <f t="shared" si="26"/>
        <v>5.2481971538288006</v>
      </c>
    </row>
    <row r="84" spans="9:56">
      <c r="I84">
        <f t="shared" si="5"/>
        <v>197.721490063907</v>
      </c>
      <c r="J84">
        <f t="shared" si="6"/>
        <v>230</v>
      </c>
      <c r="K84">
        <f t="shared" si="7"/>
        <v>378</v>
      </c>
      <c r="L84">
        <f t="shared" si="8"/>
        <v>156.47269016040096</v>
      </c>
      <c r="M84">
        <f t="shared" si="9"/>
        <v>108.13895043686934</v>
      </c>
      <c r="N84" s="69">
        <f t="shared" si="10"/>
        <v>91.394094063596299</v>
      </c>
      <c r="O84">
        <v>47</v>
      </c>
      <c r="P84">
        <f t="shared" si="0"/>
        <v>0.41970301960558076</v>
      </c>
      <c r="Q84">
        <f t="shared" si="11"/>
        <v>-0.18877754708344374</v>
      </c>
      <c r="R84">
        <f t="shared" si="1"/>
        <v>0.43276913002854089</v>
      </c>
      <c r="S84">
        <f t="shared" si="2"/>
        <v>0.71638456501427039</v>
      </c>
      <c r="T84">
        <f t="shared" si="3"/>
        <v>1.2836154349857296</v>
      </c>
      <c r="U84">
        <f t="shared" si="4"/>
        <v>1.5672308699714592</v>
      </c>
      <c r="V84">
        <v>-2.06</v>
      </c>
      <c r="W84" s="69">
        <f t="shared" si="12"/>
        <v>2.9311688311688311</v>
      </c>
      <c r="X84" s="69">
        <f t="shared" si="13"/>
        <v>-1.1724675324675324</v>
      </c>
      <c r="Y84">
        <f t="shared" si="14"/>
        <v>0.43276913002854089</v>
      </c>
      <c r="Z84">
        <f t="shared" si="15"/>
        <v>1.5672308699714592</v>
      </c>
      <c r="AG84" s="245">
        <f t="shared" si="27"/>
        <v>144.47</v>
      </c>
      <c r="AH84" s="103"/>
      <c r="AI84" s="244">
        <v>180</v>
      </c>
      <c r="AJ84" s="103">
        <f t="shared" si="17"/>
        <v>-2.7688513017218543</v>
      </c>
      <c r="AK84" s="244">
        <f t="shared" si="28"/>
        <v>197.721490063907</v>
      </c>
      <c r="AL84" s="103">
        <v>4.2000000000000099</v>
      </c>
      <c r="AM84" s="244">
        <f t="shared" si="18"/>
        <v>230</v>
      </c>
      <c r="AN84" s="103">
        <v>4.2000000000000099</v>
      </c>
      <c r="AO84" s="244">
        <f t="shared" si="19"/>
        <v>378</v>
      </c>
      <c r="AP84" s="103">
        <v>4.2000000000000099</v>
      </c>
      <c r="AQ84" s="244">
        <f t="shared" si="20"/>
        <v>156.47269016040096</v>
      </c>
      <c r="AR84" s="103">
        <v>4.2000000000000099</v>
      </c>
      <c r="AS84" s="245">
        <f t="shared" si="21"/>
        <v>91.394094063596299</v>
      </c>
      <c r="AT84" s="103">
        <v>4.2000000000000099</v>
      </c>
      <c r="AU84" s="245">
        <f t="shared" si="22"/>
        <v>108.13895043686934</v>
      </c>
      <c r="AV84" s="103"/>
      <c r="AW84" s="244">
        <v>360</v>
      </c>
      <c r="AX84" s="103">
        <f t="shared" si="23"/>
        <v>-3.344747089143091</v>
      </c>
      <c r="AY84" s="244">
        <v>360</v>
      </c>
      <c r="AZ84" s="103">
        <f t="shared" si="24"/>
        <v>-1.1723735445715455</v>
      </c>
      <c r="BA84" s="244">
        <v>360</v>
      </c>
      <c r="BB84" s="103">
        <f t="shared" si="25"/>
        <v>3.1723735445715455</v>
      </c>
      <c r="BC84" s="244">
        <v>360</v>
      </c>
      <c r="BD84" s="103">
        <f t="shared" si="26"/>
        <v>5.344747089143091</v>
      </c>
    </row>
    <row r="85" spans="9:56">
      <c r="I85">
        <f t="shared" si="5"/>
        <v>197.721490063907</v>
      </c>
      <c r="J85">
        <f t="shared" si="6"/>
        <v>230</v>
      </c>
      <c r="K85">
        <f t="shared" si="7"/>
        <v>378</v>
      </c>
      <c r="L85">
        <f t="shared" si="8"/>
        <v>156.47269016040096</v>
      </c>
      <c r="M85">
        <f t="shared" si="9"/>
        <v>108.13895043686934</v>
      </c>
      <c r="N85" s="69">
        <f t="shared" si="10"/>
        <v>91.394094063596299</v>
      </c>
      <c r="O85">
        <v>48</v>
      </c>
      <c r="P85">
        <f t="shared" si="0"/>
        <v>0.43775271940754101</v>
      </c>
      <c r="Q85">
        <f t="shared" si="11"/>
        <v>-0.19689609256688745</v>
      </c>
      <c r="R85">
        <f t="shared" si="1"/>
        <v>0.42070038811425459</v>
      </c>
      <c r="S85">
        <f t="shared" si="2"/>
        <v>0.71035019405712729</v>
      </c>
      <c r="T85">
        <f t="shared" si="3"/>
        <v>1.2896498059428727</v>
      </c>
      <c r="U85">
        <f t="shared" si="4"/>
        <v>1.5792996118857454</v>
      </c>
      <c r="V85">
        <v>-2.04</v>
      </c>
      <c r="W85" s="69">
        <f t="shared" si="12"/>
        <v>2.9311688311688311</v>
      </c>
      <c r="X85" s="69">
        <f t="shared" si="13"/>
        <v>-1.1724675324675324</v>
      </c>
      <c r="Y85">
        <f t="shared" si="14"/>
        <v>0.42070038811425459</v>
      </c>
      <c r="Z85">
        <f t="shared" si="15"/>
        <v>1.5792996118857454</v>
      </c>
      <c r="AG85" s="245">
        <f t="shared" si="27"/>
        <v>145.47</v>
      </c>
      <c r="AH85" s="103"/>
      <c r="AI85" s="244">
        <v>184</v>
      </c>
      <c r="AJ85" s="103">
        <f t="shared" si="17"/>
        <v>-2.8932786935523183</v>
      </c>
      <c r="AK85" s="244">
        <f t="shared" si="28"/>
        <v>197.721490063907</v>
      </c>
      <c r="AL85" s="103">
        <v>4.3600000000000101</v>
      </c>
      <c r="AM85" s="244">
        <f t="shared" si="18"/>
        <v>230</v>
      </c>
      <c r="AN85" s="103">
        <v>4.3600000000000101</v>
      </c>
      <c r="AO85" s="244">
        <f t="shared" si="19"/>
        <v>378</v>
      </c>
      <c r="AP85" s="103">
        <v>4.3600000000000101</v>
      </c>
      <c r="AQ85" s="244">
        <f t="shared" si="20"/>
        <v>156.47269016040096</v>
      </c>
      <c r="AR85" s="103">
        <v>4.3600000000000101</v>
      </c>
      <c r="AS85" s="245">
        <f t="shared" si="21"/>
        <v>91.394094063596299</v>
      </c>
      <c r="AT85" s="103">
        <v>4.3600000000000101</v>
      </c>
      <c r="AU85" s="245">
        <f t="shared" si="22"/>
        <v>108.13895043686934</v>
      </c>
      <c r="AV85" s="103"/>
      <c r="AW85" s="244">
        <v>368</v>
      </c>
      <c r="AX85" s="103">
        <f t="shared" si="23"/>
        <v>-3.4412970244573815</v>
      </c>
      <c r="AY85" s="244">
        <v>368</v>
      </c>
      <c r="AZ85" s="103">
        <f t="shared" si="24"/>
        <v>-1.2206485122286908</v>
      </c>
      <c r="BA85" s="244">
        <v>368</v>
      </c>
      <c r="BB85" s="103">
        <f t="shared" si="25"/>
        <v>3.2206485122286908</v>
      </c>
      <c r="BC85" s="244">
        <v>368</v>
      </c>
      <c r="BD85" s="103">
        <f t="shared" si="26"/>
        <v>5.4412970244573815</v>
      </c>
    </row>
    <row r="86" spans="9:56">
      <c r="I86">
        <f t="shared" si="5"/>
        <v>197.721490063907</v>
      </c>
      <c r="J86">
        <f t="shared" si="6"/>
        <v>230</v>
      </c>
      <c r="K86">
        <f t="shared" si="7"/>
        <v>378</v>
      </c>
      <c r="L86">
        <f t="shared" si="8"/>
        <v>156.47269016040096</v>
      </c>
      <c r="M86">
        <f t="shared" si="9"/>
        <v>108.13895043686934</v>
      </c>
      <c r="N86" s="69">
        <f t="shared" si="10"/>
        <v>91.394094063596299</v>
      </c>
      <c r="O86">
        <v>49</v>
      </c>
      <c r="P86">
        <f t="shared" si="0"/>
        <v>0.45618241288954253</v>
      </c>
      <c r="Q86">
        <f t="shared" si="11"/>
        <v>-0.20518555479735101</v>
      </c>
      <c r="R86">
        <f t="shared" si="1"/>
        <v>0.40863164619996817</v>
      </c>
      <c r="S86">
        <f t="shared" si="2"/>
        <v>0.70431582309998408</v>
      </c>
      <c r="T86">
        <f t="shared" si="3"/>
        <v>1.295684176900016</v>
      </c>
      <c r="U86">
        <f t="shared" si="4"/>
        <v>1.5913683538000318</v>
      </c>
      <c r="V86">
        <v>-2.02</v>
      </c>
      <c r="W86" s="69">
        <f t="shared" si="12"/>
        <v>2.9311688311688311</v>
      </c>
      <c r="X86" s="69">
        <f t="shared" si="13"/>
        <v>-1.1724675324675324</v>
      </c>
      <c r="Y86">
        <f t="shared" si="14"/>
        <v>0.40863164619996817</v>
      </c>
      <c r="Z86">
        <f t="shared" si="15"/>
        <v>1.5913683538000318</v>
      </c>
      <c r="AG86" s="245">
        <f t="shared" si="27"/>
        <v>146.47</v>
      </c>
      <c r="AH86" s="103"/>
      <c r="AI86" s="244">
        <v>188</v>
      </c>
      <c r="AJ86" s="103">
        <f t="shared" si="17"/>
        <v>-3.0204407533350999</v>
      </c>
      <c r="AK86" s="244">
        <f t="shared" si="28"/>
        <v>197.721490063907</v>
      </c>
      <c r="AL86" s="103">
        <v>4.5200000000000102</v>
      </c>
      <c r="AM86" s="244">
        <f t="shared" si="18"/>
        <v>230</v>
      </c>
      <c r="AN86" s="103">
        <v>4.5200000000000102</v>
      </c>
      <c r="AO86" s="244">
        <f t="shared" si="19"/>
        <v>378</v>
      </c>
      <c r="AP86" s="103">
        <v>4.5200000000000102</v>
      </c>
      <c r="AQ86" s="244">
        <f t="shared" si="20"/>
        <v>156.47269016040096</v>
      </c>
      <c r="AR86" s="103">
        <v>4.5200000000000102</v>
      </c>
      <c r="AS86" s="245">
        <f t="shared" si="21"/>
        <v>91.394094063596299</v>
      </c>
      <c r="AT86" s="103">
        <v>4.5200000000000102</v>
      </c>
      <c r="AU86" s="245">
        <f t="shared" si="22"/>
        <v>108.13895043686934</v>
      </c>
      <c r="AV86" s="103"/>
      <c r="AW86" s="244">
        <v>376</v>
      </c>
      <c r="AX86" s="103">
        <f t="shared" si="23"/>
        <v>-3.5378469597716729</v>
      </c>
      <c r="AY86" s="244">
        <v>376</v>
      </c>
      <c r="AZ86" s="103">
        <f t="shared" si="24"/>
        <v>-1.2689234798858364</v>
      </c>
      <c r="BA86" s="244">
        <v>376</v>
      </c>
      <c r="BB86" s="103">
        <f t="shared" si="25"/>
        <v>3.2689234798858364</v>
      </c>
      <c r="BC86" s="244">
        <v>376</v>
      </c>
      <c r="BD86" s="103">
        <f t="shared" si="26"/>
        <v>5.5378469597716729</v>
      </c>
    </row>
    <row r="87" spans="9:56">
      <c r="I87">
        <f t="shared" si="5"/>
        <v>197.721490063907</v>
      </c>
      <c r="J87">
        <f t="shared" si="6"/>
        <v>230</v>
      </c>
      <c r="K87">
        <f t="shared" si="7"/>
        <v>378</v>
      </c>
      <c r="L87">
        <f t="shared" si="8"/>
        <v>156.47269016040096</v>
      </c>
      <c r="M87">
        <f t="shared" si="9"/>
        <v>108.13895043686934</v>
      </c>
      <c r="N87" s="69">
        <f t="shared" si="10"/>
        <v>91.394094063596299</v>
      </c>
      <c r="O87">
        <v>50</v>
      </c>
      <c r="P87">
        <f t="shared" si="0"/>
        <v>0.47499210005158521</v>
      </c>
      <c r="Q87">
        <f t="shared" si="11"/>
        <v>-0.21364593377483443</v>
      </c>
      <c r="R87">
        <f t="shared" si="1"/>
        <v>0.39656290428568186</v>
      </c>
      <c r="S87">
        <f t="shared" si="2"/>
        <v>0.69828145214284087</v>
      </c>
      <c r="T87">
        <f t="shared" si="3"/>
        <v>1.3017185478571591</v>
      </c>
      <c r="U87">
        <f t="shared" si="4"/>
        <v>1.6034370957143183</v>
      </c>
      <c r="V87">
        <v>-2</v>
      </c>
      <c r="W87" s="69">
        <f t="shared" si="12"/>
        <v>2.9311688311688311</v>
      </c>
      <c r="X87" s="69">
        <f t="shared" si="13"/>
        <v>-1.1724675324675324</v>
      </c>
      <c r="Y87">
        <f t="shared" si="14"/>
        <v>0.39656290428568186</v>
      </c>
      <c r="Z87">
        <f t="shared" si="15"/>
        <v>1.6034370957143183</v>
      </c>
      <c r="AG87" s="245">
        <f t="shared" si="27"/>
        <v>147.47</v>
      </c>
      <c r="AH87" s="103"/>
      <c r="AI87" s="244">
        <v>192</v>
      </c>
      <c r="AJ87" s="103">
        <f t="shared" si="17"/>
        <v>-3.1503374810701992</v>
      </c>
      <c r="AK87" s="244">
        <f t="shared" si="28"/>
        <v>197.721490063907</v>
      </c>
      <c r="AL87" s="103">
        <v>4.6800000000000104</v>
      </c>
      <c r="AM87" s="244">
        <f t="shared" si="18"/>
        <v>230</v>
      </c>
      <c r="AN87" s="103">
        <v>4.6800000000000104</v>
      </c>
      <c r="AO87" s="244">
        <f t="shared" si="19"/>
        <v>378</v>
      </c>
      <c r="AP87" s="103">
        <v>4.6800000000000104</v>
      </c>
      <c r="AQ87" s="244">
        <f t="shared" si="20"/>
        <v>156.47269016040096</v>
      </c>
      <c r="AR87" s="103">
        <v>4.6800000000000104</v>
      </c>
      <c r="AS87" s="245">
        <f t="shared" si="21"/>
        <v>91.394094063596299</v>
      </c>
      <c r="AT87" s="103">
        <v>4.6800000000000104</v>
      </c>
      <c r="AU87" s="245">
        <f t="shared" si="22"/>
        <v>108.13895043686934</v>
      </c>
      <c r="AV87" s="103"/>
      <c r="AW87" s="244">
        <v>384</v>
      </c>
      <c r="AX87" s="103">
        <f t="shared" si="23"/>
        <v>-3.6343968950859633</v>
      </c>
      <c r="AY87" s="244">
        <v>384</v>
      </c>
      <c r="AZ87" s="103">
        <f t="shared" si="24"/>
        <v>-1.3171984475429817</v>
      </c>
      <c r="BA87" s="244">
        <v>384</v>
      </c>
      <c r="BB87" s="103">
        <f t="shared" si="25"/>
        <v>3.3171984475429817</v>
      </c>
      <c r="BC87" s="244">
        <v>384</v>
      </c>
      <c r="BD87" s="103">
        <f t="shared" si="26"/>
        <v>5.6343968950859633</v>
      </c>
    </row>
    <row r="88" spans="9:56">
      <c r="I88">
        <f t="shared" si="5"/>
        <v>197.721490063907</v>
      </c>
      <c r="J88">
        <f t="shared" si="6"/>
        <v>230</v>
      </c>
      <c r="K88">
        <f t="shared" si="7"/>
        <v>378</v>
      </c>
      <c r="L88">
        <f t="shared" si="8"/>
        <v>156.47269016040096</v>
      </c>
      <c r="M88">
        <f t="shared" si="9"/>
        <v>108.13895043686934</v>
      </c>
      <c r="N88" s="69">
        <f t="shared" si="10"/>
        <v>91.394094063596299</v>
      </c>
      <c r="O88">
        <v>51</v>
      </c>
      <c r="P88">
        <f t="shared" si="0"/>
        <v>0.49418178089366932</v>
      </c>
      <c r="Q88">
        <f t="shared" si="11"/>
        <v>-0.22227722949933776</v>
      </c>
      <c r="R88">
        <f t="shared" si="1"/>
        <v>0.38449416237139544</v>
      </c>
      <c r="S88">
        <f t="shared" si="2"/>
        <v>0.69224708118569778</v>
      </c>
      <c r="T88">
        <f t="shared" si="3"/>
        <v>1.3077529188143022</v>
      </c>
      <c r="U88">
        <f t="shared" si="4"/>
        <v>1.6155058376286044</v>
      </c>
      <c r="V88">
        <v>-1.98</v>
      </c>
      <c r="W88" s="69">
        <f t="shared" si="12"/>
        <v>2.9311688311688311</v>
      </c>
      <c r="X88" s="69">
        <f t="shared" si="13"/>
        <v>-1.1724675324675324</v>
      </c>
      <c r="Y88">
        <f t="shared" si="14"/>
        <v>0.38449416237139544</v>
      </c>
      <c r="Z88">
        <f t="shared" si="15"/>
        <v>1.6155058376286044</v>
      </c>
      <c r="AG88" s="245">
        <f t="shared" si="27"/>
        <v>148.47</v>
      </c>
      <c r="AH88" s="103"/>
      <c r="AI88" s="244">
        <v>196</v>
      </c>
      <c r="AJ88" s="103">
        <f t="shared" si="17"/>
        <v>-3.2829688767576162</v>
      </c>
      <c r="AK88" s="244">
        <f t="shared" si="28"/>
        <v>197.721490063907</v>
      </c>
      <c r="AL88" s="103">
        <v>4.8400000000000096</v>
      </c>
      <c r="AM88" s="244">
        <f t="shared" si="18"/>
        <v>230</v>
      </c>
      <c r="AN88" s="103">
        <v>4.8400000000000096</v>
      </c>
      <c r="AO88" s="244">
        <f t="shared" si="19"/>
        <v>378</v>
      </c>
      <c r="AP88" s="103">
        <v>4.8400000000000096</v>
      </c>
      <c r="AQ88" s="244">
        <f t="shared" si="20"/>
        <v>156.47269016040096</v>
      </c>
      <c r="AR88" s="103">
        <v>4.8400000000000096</v>
      </c>
      <c r="AS88" s="245">
        <f t="shared" si="21"/>
        <v>91.394094063596299</v>
      </c>
      <c r="AT88" s="103">
        <v>4.8400000000000096</v>
      </c>
      <c r="AU88" s="245">
        <f t="shared" si="22"/>
        <v>108.13895043686934</v>
      </c>
      <c r="AV88" s="103"/>
      <c r="AW88" s="244">
        <v>392</v>
      </c>
      <c r="AX88" s="103">
        <f t="shared" si="23"/>
        <v>-3.7309468304002547</v>
      </c>
      <c r="AY88" s="244">
        <v>392</v>
      </c>
      <c r="AZ88" s="103">
        <f t="shared" si="24"/>
        <v>-1.3654734152001273</v>
      </c>
      <c r="BA88" s="244">
        <v>392</v>
      </c>
      <c r="BB88" s="103">
        <f t="shared" si="25"/>
        <v>3.3654734152001273</v>
      </c>
      <c r="BC88" s="244">
        <v>392</v>
      </c>
      <c r="BD88" s="103">
        <f t="shared" si="26"/>
        <v>5.7309468304002547</v>
      </c>
    </row>
    <row r="89" spans="9:56">
      <c r="I89">
        <f t="shared" si="5"/>
        <v>197.721490063907</v>
      </c>
      <c r="J89">
        <f t="shared" si="6"/>
        <v>230</v>
      </c>
      <c r="K89">
        <f t="shared" si="7"/>
        <v>378</v>
      </c>
      <c r="L89">
        <f t="shared" si="8"/>
        <v>156.47269016040096</v>
      </c>
      <c r="M89">
        <f t="shared" si="9"/>
        <v>108.13895043686934</v>
      </c>
      <c r="N89" s="69">
        <f t="shared" si="10"/>
        <v>91.394094063596299</v>
      </c>
      <c r="O89">
        <v>52</v>
      </c>
      <c r="P89">
        <f t="shared" si="0"/>
        <v>0.51375145541579459</v>
      </c>
      <c r="Q89">
        <f t="shared" si="11"/>
        <v>-0.23107944197086097</v>
      </c>
      <c r="R89">
        <f t="shared" si="1"/>
        <v>0.37242542045710902</v>
      </c>
      <c r="S89">
        <f t="shared" si="2"/>
        <v>0.68621271022855446</v>
      </c>
      <c r="T89">
        <f t="shared" si="3"/>
        <v>1.3137872897714455</v>
      </c>
      <c r="U89">
        <f t="shared" si="4"/>
        <v>1.6275745795428911</v>
      </c>
      <c r="V89">
        <v>-1.96</v>
      </c>
      <c r="W89" s="69">
        <f t="shared" si="12"/>
        <v>2.9311688311688311</v>
      </c>
      <c r="X89" s="69">
        <f t="shared" si="13"/>
        <v>-1.1724675324675324</v>
      </c>
      <c r="Y89">
        <f t="shared" si="14"/>
        <v>0.37242542045710902</v>
      </c>
      <c r="Z89">
        <f t="shared" si="15"/>
        <v>1.6275745795428911</v>
      </c>
      <c r="AG89" s="245">
        <f t="shared" si="27"/>
        <v>149.47</v>
      </c>
      <c r="AH89" s="105"/>
      <c r="AI89" s="106">
        <v>200</v>
      </c>
      <c r="AJ89" s="105">
        <f t="shared" si="17"/>
        <v>-3.4183349403973509</v>
      </c>
      <c r="AK89" s="106">
        <f t="shared" si="28"/>
        <v>197.721490063907</v>
      </c>
      <c r="AL89" s="105">
        <v>5.0000000000000098</v>
      </c>
      <c r="AM89" s="106">
        <f t="shared" si="18"/>
        <v>230</v>
      </c>
      <c r="AN89" s="105">
        <v>5.0000000000000098</v>
      </c>
      <c r="AO89" s="106">
        <f t="shared" si="19"/>
        <v>378</v>
      </c>
      <c r="AP89" s="105">
        <v>5.0000000000000098</v>
      </c>
      <c r="AQ89" s="106">
        <f t="shared" si="20"/>
        <v>156.47269016040096</v>
      </c>
      <c r="AR89" s="105">
        <v>5.0000000000000098</v>
      </c>
      <c r="AS89" s="246">
        <f t="shared" si="21"/>
        <v>91.394094063596299</v>
      </c>
      <c r="AT89" s="105">
        <v>5.0000000000000098</v>
      </c>
      <c r="AU89" s="246">
        <f t="shared" si="22"/>
        <v>108.13895043686934</v>
      </c>
      <c r="AV89" s="105"/>
      <c r="AW89" s="244">
        <v>400</v>
      </c>
      <c r="AX89" s="105">
        <f t="shared" si="23"/>
        <v>-3.8274967657145451</v>
      </c>
      <c r="AY89" s="244">
        <v>400</v>
      </c>
      <c r="AZ89" s="105">
        <f t="shared" si="24"/>
        <v>-1.4137483828572726</v>
      </c>
      <c r="BA89" s="244">
        <v>400</v>
      </c>
      <c r="BB89" s="105">
        <f t="shared" si="25"/>
        <v>3.4137483828572726</v>
      </c>
      <c r="BC89" s="244">
        <v>400</v>
      </c>
      <c r="BD89" s="105">
        <f t="shared" si="26"/>
        <v>5.8274967657145451</v>
      </c>
    </row>
    <row r="90" spans="9:56">
      <c r="I90">
        <f t="shared" si="5"/>
        <v>197.721490063907</v>
      </c>
      <c r="J90">
        <f t="shared" si="6"/>
        <v>230</v>
      </c>
      <c r="K90">
        <f t="shared" si="7"/>
        <v>378</v>
      </c>
      <c r="L90">
        <f t="shared" si="8"/>
        <v>156.47269016040096</v>
      </c>
      <c r="M90">
        <f t="shared" si="9"/>
        <v>108.13895043686934</v>
      </c>
      <c r="N90" s="69">
        <f t="shared" si="10"/>
        <v>91.394094063596299</v>
      </c>
      <c r="O90">
        <v>53</v>
      </c>
      <c r="P90">
        <f t="shared" si="0"/>
        <v>0.53370112361796129</v>
      </c>
      <c r="Q90">
        <f t="shared" si="11"/>
        <v>-0.24005257118940401</v>
      </c>
      <c r="R90">
        <f t="shared" si="1"/>
        <v>0.36035667854282261</v>
      </c>
      <c r="S90">
        <f t="shared" si="2"/>
        <v>0.68017833927141136</v>
      </c>
      <c r="T90">
        <f t="shared" si="3"/>
        <v>1.3198216607285886</v>
      </c>
      <c r="U90">
        <f t="shared" si="4"/>
        <v>1.6396433214571773</v>
      </c>
      <c r="V90">
        <v>-1.94</v>
      </c>
      <c r="W90" s="69">
        <f t="shared" si="12"/>
        <v>2.9311688311688311</v>
      </c>
      <c r="X90" s="69">
        <f t="shared" si="13"/>
        <v>-1.1724675324675324</v>
      </c>
      <c r="Y90">
        <f t="shared" si="14"/>
        <v>0.36035667854282261</v>
      </c>
      <c r="Z90">
        <f t="shared" si="15"/>
        <v>1.6396433214571773</v>
      </c>
    </row>
    <row r="91" spans="9:56">
      <c r="I91">
        <f t="shared" si="5"/>
        <v>197.721490063907</v>
      </c>
      <c r="J91">
        <f t="shared" si="6"/>
        <v>230</v>
      </c>
      <c r="K91">
        <f t="shared" si="7"/>
        <v>378</v>
      </c>
      <c r="L91">
        <f t="shared" si="8"/>
        <v>156.47269016040096</v>
      </c>
      <c r="M91">
        <f t="shared" si="9"/>
        <v>108.13895043686934</v>
      </c>
      <c r="N91" s="69">
        <f t="shared" si="10"/>
        <v>91.394094063596299</v>
      </c>
      <c r="O91">
        <v>54</v>
      </c>
      <c r="P91">
        <f t="shared" si="0"/>
        <v>0.55403078550016904</v>
      </c>
      <c r="Q91">
        <f t="shared" si="11"/>
        <v>-0.24919661715496691</v>
      </c>
      <c r="R91">
        <f t="shared" si="1"/>
        <v>0.3482879366285363</v>
      </c>
      <c r="S91">
        <f t="shared" si="2"/>
        <v>0.67414396831426815</v>
      </c>
      <c r="T91">
        <f t="shared" si="3"/>
        <v>1.3258560316857317</v>
      </c>
      <c r="U91">
        <f t="shared" si="4"/>
        <v>1.6517120633714637</v>
      </c>
      <c r="V91">
        <v>-1.92</v>
      </c>
      <c r="W91" s="69">
        <f t="shared" si="12"/>
        <v>2.9311688311688311</v>
      </c>
      <c r="X91" s="69">
        <f t="shared" si="13"/>
        <v>-1.1724675324675324</v>
      </c>
      <c r="Y91">
        <f t="shared" si="14"/>
        <v>0.3482879366285363</v>
      </c>
      <c r="Z91">
        <f t="shared" si="15"/>
        <v>1.6517120633714637</v>
      </c>
    </row>
    <row r="92" spans="9:56">
      <c r="I92">
        <f t="shared" si="5"/>
        <v>197.721490063907</v>
      </c>
      <c r="J92">
        <f t="shared" si="6"/>
        <v>230</v>
      </c>
      <c r="K92">
        <f t="shared" si="7"/>
        <v>378</v>
      </c>
      <c r="L92">
        <f t="shared" si="8"/>
        <v>156.47269016040096</v>
      </c>
      <c r="M92">
        <f t="shared" si="9"/>
        <v>108.13895043686934</v>
      </c>
      <c r="N92" s="69">
        <f t="shared" si="10"/>
        <v>91.394094063596299</v>
      </c>
      <c r="O92">
        <v>55</v>
      </c>
      <c r="P92">
        <f t="shared" si="0"/>
        <v>0.57474044106241817</v>
      </c>
      <c r="Q92">
        <f t="shared" si="11"/>
        <v>-0.25851157986754969</v>
      </c>
      <c r="R92">
        <f t="shared" si="1"/>
        <v>0.33621919471424988</v>
      </c>
      <c r="S92">
        <f t="shared" si="2"/>
        <v>0.66810959735712494</v>
      </c>
      <c r="T92">
        <f t="shared" si="3"/>
        <v>1.3318904026428751</v>
      </c>
      <c r="U92">
        <f t="shared" si="4"/>
        <v>1.6637808052857501</v>
      </c>
      <c r="V92">
        <v>-1.9</v>
      </c>
      <c r="W92" s="69">
        <f t="shared" si="12"/>
        <v>2.9311688311688311</v>
      </c>
      <c r="X92" s="69">
        <f t="shared" si="13"/>
        <v>-1.1724675324675324</v>
      </c>
      <c r="Y92">
        <f t="shared" si="14"/>
        <v>0.33621919471424988</v>
      </c>
      <c r="Z92">
        <f t="shared" si="15"/>
        <v>1.6637808052857501</v>
      </c>
    </row>
    <row r="93" spans="9:56">
      <c r="I93">
        <f t="shared" si="5"/>
        <v>197.721490063907</v>
      </c>
      <c r="J93">
        <f t="shared" si="6"/>
        <v>230</v>
      </c>
      <c r="K93">
        <f t="shared" si="7"/>
        <v>378</v>
      </c>
      <c r="L93">
        <f t="shared" si="8"/>
        <v>156.47269016040096</v>
      </c>
      <c r="M93">
        <f t="shared" si="9"/>
        <v>108.13895043686934</v>
      </c>
      <c r="N93" s="69">
        <f t="shared" si="10"/>
        <v>91.394094063596299</v>
      </c>
      <c r="O93">
        <v>56</v>
      </c>
      <c r="P93">
        <f t="shared" si="0"/>
        <v>0.59583009030470857</v>
      </c>
      <c r="Q93">
        <f t="shared" si="11"/>
        <v>-0.26799745932715235</v>
      </c>
      <c r="R93">
        <f t="shared" si="1"/>
        <v>0.32415045279996357</v>
      </c>
      <c r="S93">
        <f t="shared" si="2"/>
        <v>0.66207522639998184</v>
      </c>
      <c r="T93">
        <f t="shared" si="3"/>
        <v>1.3379247736000182</v>
      </c>
      <c r="U93">
        <f t="shared" si="4"/>
        <v>1.6758495472000363</v>
      </c>
      <c r="V93">
        <v>-1.88</v>
      </c>
      <c r="W93" s="69">
        <f t="shared" si="12"/>
        <v>2.9311688311688311</v>
      </c>
      <c r="X93" s="69">
        <f t="shared" si="13"/>
        <v>-1.1724675324675324</v>
      </c>
      <c r="Y93">
        <f t="shared" si="14"/>
        <v>0.32415045279996357</v>
      </c>
      <c r="Z93">
        <f t="shared" si="15"/>
        <v>1.6758495472000363</v>
      </c>
    </row>
    <row r="94" spans="9:56">
      <c r="I94">
        <f t="shared" si="5"/>
        <v>197.721490063907</v>
      </c>
      <c r="J94">
        <f t="shared" si="6"/>
        <v>230</v>
      </c>
      <c r="K94">
        <f t="shared" si="7"/>
        <v>378</v>
      </c>
      <c r="L94">
        <f t="shared" si="8"/>
        <v>156.47269016040096</v>
      </c>
      <c r="M94">
        <f t="shared" si="9"/>
        <v>108.13895043686934</v>
      </c>
      <c r="N94" s="69">
        <f t="shared" si="10"/>
        <v>91.394094063596299</v>
      </c>
      <c r="O94">
        <v>57</v>
      </c>
      <c r="P94">
        <f t="shared" si="0"/>
        <v>0.61729973322704024</v>
      </c>
      <c r="Q94">
        <f t="shared" si="11"/>
        <v>-0.27765425553377482</v>
      </c>
      <c r="R94">
        <f t="shared" si="1"/>
        <v>0.31208171088567715</v>
      </c>
      <c r="S94">
        <f t="shared" si="2"/>
        <v>0.65604085544283852</v>
      </c>
      <c r="T94">
        <f t="shared" si="3"/>
        <v>1.3439591445571615</v>
      </c>
      <c r="U94">
        <f t="shared" si="4"/>
        <v>1.687918289114323</v>
      </c>
      <c r="V94">
        <v>-1.86</v>
      </c>
      <c r="W94" s="69">
        <f t="shared" si="12"/>
        <v>2.9311688311688311</v>
      </c>
      <c r="X94" s="69">
        <f t="shared" si="13"/>
        <v>-1.1724675324675324</v>
      </c>
      <c r="Y94">
        <f t="shared" si="14"/>
        <v>0.31208171088567715</v>
      </c>
      <c r="Z94">
        <f t="shared" si="15"/>
        <v>1.687918289114323</v>
      </c>
    </row>
    <row r="95" spans="9:56">
      <c r="I95">
        <f t="shared" si="5"/>
        <v>197.721490063907</v>
      </c>
      <c r="J95">
        <f t="shared" si="6"/>
        <v>230</v>
      </c>
      <c r="K95">
        <f t="shared" si="7"/>
        <v>378</v>
      </c>
      <c r="L95">
        <f t="shared" si="8"/>
        <v>156.47269016040096</v>
      </c>
      <c r="M95">
        <f t="shared" si="9"/>
        <v>108.13895043686934</v>
      </c>
      <c r="N95" s="69">
        <f t="shared" si="10"/>
        <v>91.394094063596299</v>
      </c>
      <c r="O95">
        <v>58</v>
      </c>
      <c r="P95">
        <f t="shared" si="0"/>
        <v>0.63914936982941317</v>
      </c>
      <c r="Q95">
        <f t="shared" si="11"/>
        <v>-0.28748196848741725</v>
      </c>
      <c r="R95">
        <f t="shared" si="1"/>
        <v>0.30001296897139085</v>
      </c>
      <c r="S95">
        <f t="shared" si="2"/>
        <v>0.65000648448569542</v>
      </c>
      <c r="T95">
        <f t="shared" si="3"/>
        <v>1.3499935155143046</v>
      </c>
      <c r="U95">
        <f t="shared" si="4"/>
        <v>1.6999870310286092</v>
      </c>
      <c r="V95">
        <v>-1.84</v>
      </c>
      <c r="W95" s="69">
        <f t="shared" si="12"/>
        <v>2.9311688311688311</v>
      </c>
      <c r="X95" s="69">
        <f t="shared" si="13"/>
        <v>-1.1724675324675324</v>
      </c>
      <c r="Y95">
        <f t="shared" si="14"/>
        <v>0.30001296897139085</v>
      </c>
      <c r="Z95">
        <f t="shared" si="15"/>
        <v>1.6999870310286092</v>
      </c>
    </row>
    <row r="96" spans="9:56">
      <c r="I96">
        <f t="shared" si="5"/>
        <v>197.721490063907</v>
      </c>
      <c r="J96">
        <f t="shared" si="6"/>
        <v>230</v>
      </c>
      <c r="K96">
        <f t="shared" si="7"/>
        <v>378</v>
      </c>
      <c r="L96">
        <f t="shared" si="8"/>
        <v>156.47269016040096</v>
      </c>
      <c r="M96">
        <f t="shared" si="9"/>
        <v>108.13895043686934</v>
      </c>
      <c r="N96" s="69">
        <f t="shared" si="10"/>
        <v>91.394094063596299</v>
      </c>
      <c r="O96">
        <v>59</v>
      </c>
      <c r="P96">
        <f t="shared" si="0"/>
        <v>0.66137900011182738</v>
      </c>
      <c r="Q96">
        <f t="shared" si="11"/>
        <v>-0.29748059818807948</v>
      </c>
      <c r="R96">
        <f t="shared" si="1"/>
        <v>0.28794422705710454</v>
      </c>
      <c r="S96">
        <f t="shared" si="2"/>
        <v>0.64397211352855233</v>
      </c>
      <c r="T96">
        <f t="shared" si="3"/>
        <v>1.3560278864714477</v>
      </c>
      <c r="U96">
        <f t="shared" si="4"/>
        <v>1.7120557729428953</v>
      </c>
      <c r="V96">
        <v>-1.82</v>
      </c>
      <c r="W96" s="69">
        <f t="shared" si="12"/>
        <v>2.9311688311688311</v>
      </c>
      <c r="X96" s="69">
        <f t="shared" si="13"/>
        <v>-1.1724675324675324</v>
      </c>
      <c r="Y96">
        <f t="shared" si="14"/>
        <v>0.28794422705710454</v>
      </c>
      <c r="Z96">
        <f t="shared" si="15"/>
        <v>1.7120557729428953</v>
      </c>
    </row>
    <row r="97" spans="9:26">
      <c r="I97">
        <f t="shared" si="5"/>
        <v>197.721490063907</v>
      </c>
      <c r="J97">
        <f t="shared" si="6"/>
        <v>230</v>
      </c>
      <c r="K97">
        <f t="shared" si="7"/>
        <v>378</v>
      </c>
      <c r="L97">
        <f t="shared" si="8"/>
        <v>156.47269016040096</v>
      </c>
      <c r="M97">
        <f t="shared" si="9"/>
        <v>108.13895043686934</v>
      </c>
      <c r="N97" s="69">
        <f t="shared" si="10"/>
        <v>91.394094063596299</v>
      </c>
      <c r="O97">
        <v>60</v>
      </c>
      <c r="P97">
        <f t="shared" si="0"/>
        <v>0.68398862407428274</v>
      </c>
      <c r="Q97">
        <f t="shared" si="11"/>
        <v>-0.30765014463576157</v>
      </c>
      <c r="R97">
        <f t="shared" si="1"/>
        <v>0.27587548514281801</v>
      </c>
      <c r="S97">
        <f t="shared" si="2"/>
        <v>0.63793774257140901</v>
      </c>
      <c r="T97">
        <f t="shared" si="3"/>
        <v>1.362062257428591</v>
      </c>
      <c r="U97">
        <f t="shared" si="4"/>
        <v>1.724124514857182</v>
      </c>
      <c r="V97">
        <v>-1.8</v>
      </c>
      <c r="W97" s="69">
        <f t="shared" si="12"/>
        <v>2.9311688311688311</v>
      </c>
      <c r="X97" s="69">
        <f t="shared" si="13"/>
        <v>-1.1724675324675324</v>
      </c>
      <c r="Y97">
        <f t="shared" si="14"/>
        <v>0.27587548514281801</v>
      </c>
      <c r="Z97">
        <f t="shared" si="15"/>
        <v>1.724124514857182</v>
      </c>
    </row>
    <row r="98" spans="9:26">
      <c r="I98">
        <f t="shared" si="5"/>
        <v>197.721490063907</v>
      </c>
      <c r="J98">
        <f t="shared" si="6"/>
        <v>230</v>
      </c>
      <c r="K98">
        <f t="shared" si="7"/>
        <v>378</v>
      </c>
      <c r="L98">
        <f t="shared" si="8"/>
        <v>156.47269016040096</v>
      </c>
      <c r="M98">
        <f t="shared" si="9"/>
        <v>108.13895043686934</v>
      </c>
      <c r="N98" s="69">
        <f t="shared" si="10"/>
        <v>91.394094063596299</v>
      </c>
      <c r="O98">
        <v>61</v>
      </c>
      <c r="P98">
        <f t="shared" si="0"/>
        <v>0.70697824171677959</v>
      </c>
      <c r="Q98">
        <f t="shared" si="11"/>
        <v>-0.31799060783046362</v>
      </c>
      <c r="R98">
        <f t="shared" si="1"/>
        <v>0.2638067432285317</v>
      </c>
      <c r="S98">
        <f t="shared" si="2"/>
        <v>0.63190337161426591</v>
      </c>
      <c r="T98">
        <f t="shared" si="3"/>
        <v>1.3680966283857341</v>
      </c>
      <c r="U98">
        <f t="shared" si="4"/>
        <v>1.7361932567714682</v>
      </c>
      <c r="V98">
        <v>-1.78</v>
      </c>
      <c r="W98" s="69">
        <f t="shared" si="12"/>
        <v>2.9311688311688311</v>
      </c>
      <c r="X98" s="69">
        <f t="shared" si="13"/>
        <v>-1.1724675324675324</v>
      </c>
      <c r="Y98">
        <f t="shared" si="14"/>
        <v>0.2638067432285317</v>
      </c>
      <c r="Z98">
        <f t="shared" si="15"/>
        <v>1.7361932567714682</v>
      </c>
    </row>
    <row r="99" spans="9:26">
      <c r="I99">
        <f t="shared" si="5"/>
        <v>197.721490063907</v>
      </c>
      <c r="J99">
        <f t="shared" si="6"/>
        <v>230</v>
      </c>
      <c r="K99">
        <f t="shared" si="7"/>
        <v>378</v>
      </c>
      <c r="L99">
        <f t="shared" si="8"/>
        <v>156.47269016040096</v>
      </c>
      <c r="M99">
        <f t="shared" si="9"/>
        <v>108.13895043686934</v>
      </c>
      <c r="N99" s="69">
        <f t="shared" si="10"/>
        <v>91.394094063596299</v>
      </c>
      <c r="O99">
        <v>62</v>
      </c>
      <c r="P99">
        <f t="shared" si="0"/>
        <v>0.73034785303931749</v>
      </c>
      <c r="Q99">
        <f t="shared" si="11"/>
        <v>-0.32850198777218548</v>
      </c>
      <c r="R99">
        <f t="shared" si="1"/>
        <v>0.25173800131424551</v>
      </c>
      <c r="S99">
        <f t="shared" si="2"/>
        <v>0.62586900065712281</v>
      </c>
      <c r="T99">
        <f t="shared" si="3"/>
        <v>1.3741309993428772</v>
      </c>
      <c r="U99">
        <f t="shared" si="4"/>
        <v>1.7482619986857544</v>
      </c>
      <c r="V99">
        <v>-1.76</v>
      </c>
      <c r="W99" s="69">
        <f t="shared" si="12"/>
        <v>2.9311688311688311</v>
      </c>
      <c r="X99" s="69">
        <f t="shared" si="13"/>
        <v>-1.1724675324675324</v>
      </c>
      <c r="Y99">
        <f t="shared" si="14"/>
        <v>0.25173800131424551</v>
      </c>
      <c r="Z99">
        <f t="shared" si="15"/>
        <v>1.7482619986857544</v>
      </c>
    </row>
    <row r="100" spans="9:26">
      <c r="I100">
        <f t="shared" si="5"/>
        <v>197.721490063907</v>
      </c>
      <c r="J100">
        <f t="shared" si="6"/>
        <v>230</v>
      </c>
      <c r="K100">
        <f t="shared" si="7"/>
        <v>378</v>
      </c>
      <c r="L100">
        <f t="shared" si="8"/>
        <v>156.47269016040096</v>
      </c>
      <c r="M100">
        <f t="shared" si="9"/>
        <v>108.13895043686934</v>
      </c>
      <c r="N100" s="69">
        <f t="shared" si="10"/>
        <v>91.394094063596299</v>
      </c>
      <c r="O100">
        <v>63</v>
      </c>
      <c r="P100">
        <f t="shared" si="0"/>
        <v>0.75409745804189676</v>
      </c>
      <c r="Q100">
        <f t="shared" si="11"/>
        <v>-0.33918428446092713</v>
      </c>
      <c r="R100">
        <f t="shared" si="1"/>
        <v>0.23966925939995898</v>
      </c>
      <c r="S100">
        <f t="shared" si="2"/>
        <v>0.61983462969997949</v>
      </c>
      <c r="T100">
        <f t="shared" si="3"/>
        <v>1.3801653703000205</v>
      </c>
      <c r="U100">
        <f t="shared" si="4"/>
        <v>1.760330740600041</v>
      </c>
      <c r="V100">
        <v>-1.74</v>
      </c>
      <c r="W100" s="69">
        <f t="shared" si="12"/>
        <v>2.9311688311688311</v>
      </c>
      <c r="X100" s="69">
        <f t="shared" si="13"/>
        <v>-1.1724675324675324</v>
      </c>
      <c r="Y100">
        <f t="shared" si="14"/>
        <v>0.23966925939995898</v>
      </c>
      <c r="Z100">
        <f t="shared" si="15"/>
        <v>1.760330740600041</v>
      </c>
    </row>
    <row r="101" spans="9:26">
      <c r="I101">
        <f t="shared" si="5"/>
        <v>197.721490063907</v>
      </c>
      <c r="J101">
        <f t="shared" si="6"/>
        <v>230</v>
      </c>
      <c r="K101">
        <f t="shared" si="7"/>
        <v>378</v>
      </c>
      <c r="L101">
        <f t="shared" si="8"/>
        <v>156.47269016040096</v>
      </c>
      <c r="M101">
        <f t="shared" si="9"/>
        <v>108.13895043686934</v>
      </c>
      <c r="N101" s="69">
        <f t="shared" si="10"/>
        <v>91.394094063596299</v>
      </c>
      <c r="O101">
        <v>64</v>
      </c>
      <c r="P101">
        <f t="shared" ref="P101:P164" si="29">0.003388*(O101^2*$D$4*$D$12)/$D$6</f>
        <v>0.77822705672451742</v>
      </c>
      <c r="Q101">
        <f t="shared" si="11"/>
        <v>-0.35003749789668875</v>
      </c>
      <c r="R101">
        <f t="shared" ref="R101:U164" si="30">1+(($D$37*D$33*$O101*$D$17)/(498*($D$6/$D$4)))</f>
        <v>0.22760051748567267</v>
      </c>
      <c r="S101">
        <f t="shared" si="30"/>
        <v>0.61380025874283639</v>
      </c>
      <c r="T101">
        <f t="shared" si="30"/>
        <v>1.3861997412571636</v>
      </c>
      <c r="U101">
        <f t="shared" si="30"/>
        <v>1.7723994825143272</v>
      </c>
      <c r="V101">
        <v>-1.72</v>
      </c>
      <c r="W101" s="69">
        <f t="shared" si="12"/>
        <v>2.9311688311688311</v>
      </c>
      <c r="X101" s="69">
        <f t="shared" si="13"/>
        <v>-1.1724675324675324</v>
      </c>
      <c r="Y101">
        <f t="shared" si="14"/>
        <v>0.22760051748567267</v>
      </c>
      <c r="Z101">
        <f t="shared" si="15"/>
        <v>1.7723994825143272</v>
      </c>
    </row>
    <row r="102" spans="9:26">
      <c r="I102">
        <f t="shared" ref="I102:I165" si="31">$D$31</f>
        <v>197.721490063907</v>
      </c>
      <c r="J102">
        <f t="shared" ref="J102:J165" si="32">$D$29</f>
        <v>230</v>
      </c>
      <c r="K102">
        <f t="shared" ref="K102:K165" si="33">$D$30</f>
        <v>378</v>
      </c>
      <c r="L102">
        <f t="shared" ref="L102:L165" si="34">$D$24</f>
        <v>156.47269016040096</v>
      </c>
      <c r="M102">
        <f t="shared" ref="M102:M165" si="35">$D$15</f>
        <v>108.13895043686934</v>
      </c>
      <c r="N102" s="69">
        <f t="shared" ref="N102:N165" si="36">$D$14</f>
        <v>91.394094063596299</v>
      </c>
      <c r="O102">
        <v>65</v>
      </c>
      <c r="P102">
        <f t="shared" si="29"/>
        <v>0.80273664908717912</v>
      </c>
      <c r="Q102">
        <f t="shared" ref="Q102:Q165" si="37">-0.003388*(O102^2*$D$4*ABS($D$13)/$D$6)</f>
        <v>-0.36106162807947018</v>
      </c>
      <c r="R102">
        <f t="shared" si="30"/>
        <v>0.21553177557138636</v>
      </c>
      <c r="S102">
        <f t="shared" si="30"/>
        <v>0.60776588778569318</v>
      </c>
      <c r="T102">
        <f t="shared" si="30"/>
        <v>1.3922341122143069</v>
      </c>
      <c r="U102">
        <f t="shared" si="30"/>
        <v>1.7844682244286136</v>
      </c>
      <c r="V102">
        <v>-1.7</v>
      </c>
      <c r="W102" s="69">
        <f t="shared" ref="W102:W165" si="38">$D$20</f>
        <v>2.9311688311688311</v>
      </c>
      <c r="X102" s="69">
        <f t="shared" ref="X102:X165" si="39">$D$21</f>
        <v>-1.1724675324675324</v>
      </c>
      <c r="Y102">
        <f t="shared" ref="Y102:Y165" si="40">1+(($D$37*D$33*$O102*$D$17)/(498*($D$6/$D$4)))</f>
        <v>0.21553177557138636</v>
      </c>
      <c r="Z102">
        <f t="shared" ref="Z102:Z165" si="41">1+(($D$37*G$33*$O102*$D$17)/(498*($D$6/$D$4)))</f>
        <v>1.7844682244286136</v>
      </c>
    </row>
    <row r="103" spans="9:26">
      <c r="I103">
        <f t="shared" si="31"/>
        <v>197.721490063907</v>
      </c>
      <c r="J103">
        <f t="shared" si="32"/>
        <v>230</v>
      </c>
      <c r="K103">
        <f t="shared" si="33"/>
        <v>378</v>
      </c>
      <c r="L103">
        <f t="shared" si="34"/>
        <v>156.47269016040096</v>
      </c>
      <c r="M103">
        <f t="shared" si="35"/>
        <v>108.13895043686934</v>
      </c>
      <c r="N103" s="69">
        <f t="shared" si="36"/>
        <v>91.394094063596299</v>
      </c>
      <c r="O103">
        <v>66</v>
      </c>
      <c r="P103">
        <f t="shared" si="29"/>
        <v>0.8276262351298822</v>
      </c>
      <c r="Q103">
        <f t="shared" si="37"/>
        <v>-0.37225667500927156</v>
      </c>
      <c r="R103">
        <f t="shared" si="30"/>
        <v>0.20346303365709995</v>
      </c>
      <c r="S103">
        <f t="shared" si="30"/>
        <v>0.60173151682854997</v>
      </c>
      <c r="T103">
        <f t="shared" si="30"/>
        <v>1.39826848317145</v>
      </c>
      <c r="U103">
        <f t="shared" si="30"/>
        <v>1.7965369663429001</v>
      </c>
      <c r="V103">
        <v>-1.68</v>
      </c>
      <c r="W103" s="69">
        <f t="shared" si="38"/>
        <v>2.9311688311688311</v>
      </c>
      <c r="X103" s="69">
        <f t="shared" si="39"/>
        <v>-1.1724675324675324</v>
      </c>
      <c r="Y103">
        <f t="shared" si="40"/>
        <v>0.20346303365709995</v>
      </c>
      <c r="Z103">
        <f t="shared" si="41"/>
        <v>1.7965369663429001</v>
      </c>
    </row>
    <row r="104" spans="9:26">
      <c r="I104">
        <f t="shared" si="31"/>
        <v>197.721490063907</v>
      </c>
      <c r="J104">
        <f t="shared" si="32"/>
        <v>230</v>
      </c>
      <c r="K104">
        <f t="shared" si="33"/>
        <v>378</v>
      </c>
      <c r="L104">
        <f t="shared" si="34"/>
        <v>156.47269016040096</v>
      </c>
      <c r="M104">
        <f t="shared" si="35"/>
        <v>108.13895043686934</v>
      </c>
      <c r="N104" s="69">
        <f t="shared" si="36"/>
        <v>91.394094063596299</v>
      </c>
      <c r="O104">
        <v>67</v>
      </c>
      <c r="P104">
        <f t="shared" si="29"/>
        <v>0.85289581485262644</v>
      </c>
      <c r="Q104">
        <f t="shared" si="37"/>
        <v>-0.3836226386860927</v>
      </c>
      <c r="R104">
        <f t="shared" si="30"/>
        <v>0.19139429174281364</v>
      </c>
      <c r="S104">
        <f t="shared" si="30"/>
        <v>0.59569714587140687</v>
      </c>
      <c r="T104">
        <f t="shared" si="30"/>
        <v>1.4043028541285931</v>
      </c>
      <c r="U104">
        <f t="shared" si="30"/>
        <v>1.8086057082571863</v>
      </c>
      <c r="V104">
        <v>-1.66</v>
      </c>
      <c r="W104" s="69">
        <f t="shared" si="38"/>
        <v>2.9311688311688311</v>
      </c>
      <c r="X104" s="69">
        <f t="shared" si="39"/>
        <v>-1.1724675324675324</v>
      </c>
      <c r="Y104">
        <f t="shared" si="40"/>
        <v>0.19139429174281364</v>
      </c>
      <c r="Z104">
        <f t="shared" si="41"/>
        <v>1.8086057082571863</v>
      </c>
    </row>
    <row r="105" spans="9:26">
      <c r="I105">
        <f t="shared" si="31"/>
        <v>197.721490063907</v>
      </c>
      <c r="J105">
        <f t="shared" si="32"/>
        <v>230</v>
      </c>
      <c r="K105">
        <f t="shared" si="33"/>
        <v>378</v>
      </c>
      <c r="L105">
        <f t="shared" si="34"/>
        <v>156.47269016040096</v>
      </c>
      <c r="M105">
        <f t="shared" si="35"/>
        <v>108.13895043686934</v>
      </c>
      <c r="N105" s="69">
        <f t="shared" si="36"/>
        <v>91.394094063596299</v>
      </c>
      <c r="O105">
        <v>68</v>
      </c>
      <c r="P105">
        <f t="shared" si="29"/>
        <v>0.87854538825541217</v>
      </c>
      <c r="Q105">
        <f t="shared" si="37"/>
        <v>-0.39515951910993374</v>
      </c>
      <c r="R105">
        <f t="shared" si="30"/>
        <v>0.17932554982852733</v>
      </c>
      <c r="S105">
        <f t="shared" si="30"/>
        <v>0.58966277491426367</v>
      </c>
      <c r="T105">
        <f t="shared" si="30"/>
        <v>1.4103372250857364</v>
      </c>
      <c r="U105">
        <f t="shared" si="30"/>
        <v>1.8206744501714727</v>
      </c>
      <c r="V105">
        <v>-1.64</v>
      </c>
      <c r="W105" s="69">
        <f t="shared" si="38"/>
        <v>2.9311688311688311</v>
      </c>
      <c r="X105" s="69">
        <f t="shared" si="39"/>
        <v>-1.1724675324675324</v>
      </c>
      <c r="Y105">
        <f t="shared" si="40"/>
        <v>0.17932554982852733</v>
      </c>
      <c r="Z105">
        <f t="shared" si="41"/>
        <v>1.8206744501714727</v>
      </c>
    </row>
    <row r="106" spans="9:26">
      <c r="I106">
        <f t="shared" si="31"/>
        <v>197.721490063907</v>
      </c>
      <c r="J106">
        <f t="shared" si="32"/>
        <v>230</v>
      </c>
      <c r="K106">
        <f t="shared" si="33"/>
        <v>378</v>
      </c>
      <c r="L106">
        <f t="shared" si="34"/>
        <v>156.47269016040096</v>
      </c>
      <c r="M106">
        <f t="shared" si="35"/>
        <v>108.13895043686934</v>
      </c>
      <c r="N106" s="69">
        <f t="shared" si="36"/>
        <v>91.394094063596299</v>
      </c>
      <c r="O106">
        <v>69</v>
      </c>
      <c r="P106" s="19">
        <f t="shared" si="29"/>
        <v>0.90457495533823884</v>
      </c>
      <c r="Q106">
        <f t="shared" si="37"/>
        <v>-0.4068673162807947</v>
      </c>
      <c r="R106">
        <f t="shared" si="30"/>
        <v>0.1672568079142408</v>
      </c>
      <c r="S106">
        <f t="shared" si="30"/>
        <v>0.58362840395712046</v>
      </c>
      <c r="T106">
        <f t="shared" si="30"/>
        <v>1.4163715960428795</v>
      </c>
      <c r="U106">
        <f t="shared" si="30"/>
        <v>1.8327431920857591</v>
      </c>
      <c r="V106">
        <v>-1.62</v>
      </c>
      <c r="W106" s="69">
        <f t="shared" si="38"/>
        <v>2.9311688311688311</v>
      </c>
      <c r="X106" s="69">
        <f t="shared" si="39"/>
        <v>-1.1724675324675324</v>
      </c>
      <c r="Y106">
        <f t="shared" si="40"/>
        <v>0.1672568079142408</v>
      </c>
      <c r="Z106">
        <f t="shared" si="41"/>
        <v>1.8327431920857591</v>
      </c>
    </row>
    <row r="107" spans="9:26">
      <c r="I107">
        <f t="shared" si="31"/>
        <v>197.721490063907</v>
      </c>
      <c r="J107">
        <f t="shared" si="32"/>
        <v>230</v>
      </c>
      <c r="K107">
        <f t="shared" si="33"/>
        <v>378</v>
      </c>
      <c r="L107">
        <f t="shared" si="34"/>
        <v>156.47269016040096</v>
      </c>
      <c r="M107">
        <f t="shared" si="35"/>
        <v>108.13895043686934</v>
      </c>
      <c r="N107" s="69">
        <f t="shared" si="36"/>
        <v>91.394094063596299</v>
      </c>
      <c r="O107">
        <v>70</v>
      </c>
      <c r="P107">
        <f t="shared" si="29"/>
        <v>0.930984516101107</v>
      </c>
      <c r="Q107">
        <f t="shared" si="37"/>
        <v>-0.41874603019867551</v>
      </c>
      <c r="R107">
        <f t="shared" si="30"/>
        <v>0.15518806599995449</v>
      </c>
      <c r="S107">
        <f t="shared" si="30"/>
        <v>0.57759403299997725</v>
      </c>
      <c r="T107">
        <f t="shared" si="30"/>
        <v>1.4224059670000226</v>
      </c>
      <c r="U107">
        <f t="shared" si="30"/>
        <v>1.8448119340000455</v>
      </c>
      <c r="V107">
        <v>-1.6</v>
      </c>
      <c r="W107" s="69">
        <f t="shared" si="38"/>
        <v>2.9311688311688311</v>
      </c>
      <c r="X107" s="69">
        <f t="shared" si="39"/>
        <v>-1.1724675324675324</v>
      </c>
      <c r="Y107">
        <f t="shared" si="40"/>
        <v>0.15518806599995449</v>
      </c>
      <c r="Z107">
        <f t="shared" si="41"/>
        <v>1.8448119340000455</v>
      </c>
    </row>
    <row r="108" spans="9:26">
      <c r="I108">
        <f t="shared" si="31"/>
        <v>197.721490063907</v>
      </c>
      <c r="J108">
        <f t="shared" si="32"/>
        <v>230</v>
      </c>
      <c r="K108">
        <f t="shared" si="33"/>
        <v>378</v>
      </c>
      <c r="L108">
        <f t="shared" si="34"/>
        <v>156.47269016040096</v>
      </c>
      <c r="M108">
        <f t="shared" si="35"/>
        <v>108.13895043686934</v>
      </c>
      <c r="N108" s="69">
        <f t="shared" si="36"/>
        <v>91.394094063596299</v>
      </c>
      <c r="O108">
        <v>71</v>
      </c>
      <c r="P108">
        <f t="shared" si="29"/>
        <v>0.95777407054401664</v>
      </c>
      <c r="Q108">
        <f t="shared" si="37"/>
        <v>-0.43079566086357618</v>
      </c>
      <c r="R108">
        <f t="shared" si="30"/>
        <v>0.14311932408566796</v>
      </c>
      <c r="S108">
        <f t="shared" si="30"/>
        <v>0.57155966204283404</v>
      </c>
      <c r="T108">
        <f t="shared" si="30"/>
        <v>1.428440337957166</v>
      </c>
      <c r="U108">
        <f t="shared" si="30"/>
        <v>1.8568806759143319</v>
      </c>
      <c r="V108">
        <v>-1.58</v>
      </c>
      <c r="W108" s="69">
        <f t="shared" si="38"/>
        <v>2.9311688311688311</v>
      </c>
      <c r="X108" s="69">
        <f t="shared" si="39"/>
        <v>-1.1724675324675324</v>
      </c>
      <c r="Y108">
        <f t="shared" si="40"/>
        <v>0.14311932408566796</v>
      </c>
      <c r="Z108">
        <f t="shared" si="41"/>
        <v>1.8568806759143319</v>
      </c>
    </row>
    <row r="109" spans="9:26">
      <c r="I109">
        <f t="shared" si="31"/>
        <v>197.721490063907</v>
      </c>
      <c r="J109">
        <f t="shared" si="32"/>
        <v>230</v>
      </c>
      <c r="K109" s="19">
        <f t="shared" si="33"/>
        <v>378</v>
      </c>
      <c r="L109">
        <f t="shared" si="34"/>
        <v>156.47269016040096</v>
      </c>
      <c r="M109">
        <f t="shared" si="35"/>
        <v>108.13895043686934</v>
      </c>
      <c r="N109" s="69">
        <f t="shared" si="36"/>
        <v>91.394094063596299</v>
      </c>
      <c r="O109">
        <v>72</v>
      </c>
      <c r="P109">
        <f t="shared" si="29"/>
        <v>0.98494361866696711</v>
      </c>
      <c r="Q109">
        <f t="shared" si="37"/>
        <v>-0.4430162082754967</v>
      </c>
      <c r="R109">
        <f t="shared" si="30"/>
        <v>0.13105058217138166</v>
      </c>
      <c r="S109">
        <f t="shared" si="30"/>
        <v>0.56552529108569083</v>
      </c>
      <c r="T109">
        <f t="shared" si="30"/>
        <v>1.4344747089143093</v>
      </c>
      <c r="U109">
        <f t="shared" si="30"/>
        <v>1.8689494178286183</v>
      </c>
      <c r="V109">
        <v>-1.56</v>
      </c>
      <c r="W109" s="69">
        <f t="shared" si="38"/>
        <v>2.9311688311688311</v>
      </c>
      <c r="X109" s="69">
        <f t="shared" si="39"/>
        <v>-1.1724675324675324</v>
      </c>
      <c r="Y109">
        <f t="shared" si="40"/>
        <v>0.13105058217138166</v>
      </c>
      <c r="Z109">
        <f t="shared" si="41"/>
        <v>1.8689494178286183</v>
      </c>
    </row>
    <row r="110" spans="9:26">
      <c r="I110">
        <f t="shared" si="31"/>
        <v>197.721490063907</v>
      </c>
      <c r="J110">
        <f t="shared" si="32"/>
        <v>230</v>
      </c>
      <c r="K110">
        <f t="shared" si="33"/>
        <v>378</v>
      </c>
      <c r="L110">
        <f t="shared" si="34"/>
        <v>156.47269016040096</v>
      </c>
      <c r="M110">
        <f t="shared" si="35"/>
        <v>108.13895043686934</v>
      </c>
      <c r="N110" s="69">
        <f t="shared" si="36"/>
        <v>91.394094063596299</v>
      </c>
      <c r="O110">
        <v>73</v>
      </c>
      <c r="P110">
        <f t="shared" si="29"/>
        <v>1.012493160469959</v>
      </c>
      <c r="Q110">
        <f t="shared" si="37"/>
        <v>-0.45540767243443703</v>
      </c>
      <c r="R110">
        <f t="shared" si="30"/>
        <v>0.11898184025709535</v>
      </c>
      <c r="S110">
        <f t="shared" si="30"/>
        <v>0.55949092012854762</v>
      </c>
      <c r="T110">
        <f t="shared" si="30"/>
        <v>1.4405090798714524</v>
      </c>
      <c r="U110">
        <f t="shared" si="30"/>
        <v>1.8810181597429048</v>
      </c>
      <c r="V110">
        <v>-1.54</v>
      </c>
      <c r="W110" s="69">
        <f t="shared" si="38"/>
        <v>2.9311688311688311</v>
      </c>
      <c r="X110" s="69">
        <f t="shared" si="39"/>
        <v>-1.1724675324675324</v>
      </c>
      <c r="Y110">
        <f t="shared" si="40"/>
        <v>0.11898184025709535</v>
      </c>
      <c r="Z110">
        <f t="shared" si="41"/>
        <v>1.8810181597429048</v>
      </c>
    </row>
    <row r="111" spans="9:26">
      <c r="I111">
        <f t="shared" si="31"/>
        <v>197.721490063907</v>
      </c>
      <c r="J111">
        <f t="shared" si="32"/>
        <v>230</v>
      </c>
      <c r="K111">
        <f t="shared" si="33"/>
        <v>378</v>
      </c>
      <c r="L111">
        <f t="shared" si="34"/>
        <v>156.47269016040096</v>
      </c>
      <c r="M111">
        <f t="shared" si="35"/>
        <v>108.13895043686934</v>
      </c>
      <c r="N111" s="69">
        <f t="shared" si="36"/>
        <v>91.394094063596299</v>
      </c>
      <c r="O111">
        <v>74</v>
      </c>
      <c r="P111">
        <f t="shared" si="29"/>
        <v>1.0404226959529923</v>
      </c>
      <c r="Q111">
        <f t="shared" si="37"/>
        <v>-0.46797005334039732</v>
      </c>
      <c r="R111">
        <f t="shared" si="30"/>
        <v>0.10691309834280893</v>
      </c>
      <c r="S111">
        <f t="shared" si="30"/>
        <v>0.55345654917140452</v>
      </c>
      <c r="T111">
        <f t="shared" si="30"/>
        <v>1.4465434508285955</v>
      </c>
      <c r="U111">
        <f t="shared" si="30"/>
        <v>1.893086901657191</v>
      </c>
      <c r="V111">
        <v>-1.52</v>
      </c>
      <c r="W111" s="69">
        <f t="shared" si="38"/>
        <v>2.9311688311688311</v>
      </c>
      <c r="X111" s="69">
        <f t="shared" si="39"/>
        <v>-1.1724675324675324</v>
      </c>
      <c r="Y111">
        <f t="shared" si="40"/>
        <v>0.10691309834280893</v>
      </c>
      <c r="Z111">
        <f t="shared" si="41"/>
        <v>1.893086901657191</v>
      </c>
    </row>
    <row r="112" spans="9:26">
      <c r="I112">
        <f t="shared" si="31"/>
        <v>197.721490063907</v>
      </c>
      <c r="J112">
        <f t="shared" si="32"/>
        <v>230</v>
      </c>
      <c r="K112">
        <f t="shared" si="33"/>
        <v>378</v>
      </c>
      <c r="L112">
        <f t="shared" si="34"/>
        <v>156.47269016040096</v>
      </c>
      <c r="M112">
        <f t="shared" si="35"/>
        <v>108.13895043686934</v>
      </c>
      <c r="N112" s="69">
        <f t="shared" si="36"/>
        <v>91.394094063596299</v>
      </c>
      <c r="O112">
        <v>75</v>
      </c>
      <c r="P112">
        <f t="shared" si="29"/>
        <v>1.0687322251160669</v>
      </c>
      <c r="Q112">
        <f t="shared" si="37"/>
        <v>-0.48070335099337747</v>
      </c>
      <c r="R112">
        <f t="shared" si="30"/>
        <v>9.4844356428522625E-2</v>
      </c>
      <c r="S112">
        <f t="shared" si="30"/>
        <v>0.54742217821426131</v>
      </c>
      <c r="T112">
        <f t="shared" si="30"/>
        <v>1.4525778217857388</v>
      </c>
      <c r="U112">
        <f t="shared" si="30"/>
        <v>1.9051556435714774</v>
      </c>
      <c r="V112">
        <v>-1.5</v>
      </c>
      <c r="W112" s="69">
        <f t="shared" si="38"/>
        <v>2.9311688311688311</v>
      </c>
      <c r="X112" s="69">
        <f t="shared" si="39"/>
        <v>-1.1724675324675324</v>
      </c>
      <c r="Y112">
        <f t="shared" si="40"/>
        <v>9.4844356428522625E-2</v>
      </c>
      <c r="Z112">
        <f t="shared" si="41"/>
        <v>1.9051556435714774</v>
      </c>
    </row>
    <row r="113" spans="9:26">
      <c r="I113">
        <f t="shared" si="31"/>
        <v>197.721490063907</v>
      </c>
      <c r="J113">
        <f t="shared" si="32"/>
        <v>230</v>
      </c>
      <c r="K113">
        <f t="shared" si="33"/>
        <v>378</v>
      </c>
      <c r="L113">
        <f t="shared" si="34"/>
        <v>156.47269016040096</v>
      </c>
      <c r="M113">
        <f t="shared" si="35"/>
        <v>108.13895043686934</v>
      </c>
      <c r="N113" s="69">
        <f t="shared" si="36"/>
        <v>91.394094063596299</v>
      </c>
      <c r="O113">
        <v>76</v>
      </c>
      <c r="P113">
        <f t="shared" si="29"/>
        <v>1.0974217479591828</v>
      </c>
      <c r="Q113">
        <f t="shared" si="37"/>
        <v>-0.49360756539337752</v>
      </c>
      <c r="R113">
        <f t="shared" si="30"/>
        <v>8.2775614514236318E-2</v>
      </c>
      <c r="S113">
        <f t="shared" si="30"/>
        <v>0.5413878072571181</v>
      </c>
      <c r="T113">
        <f t="shared" si="30"/>
        <v>1.4586121927428819</v>
      </c>
      <c r="U113">
        <f t="shared" si="30"/>
        <v>1.9172243854857638</v>
      </c>
      <c r="V113">
        <v>-1.48</v>
      </c>
      <c r="W113" s="69">
        <f t="shared" si="38"/>
        <v>2.9311688311688311</v>
      </c>
      <c r="X113" s="69">
        <f t="shared" si="39"/>
        <v>-1.1724675324675324</v>
      </c>
      <c r="Y113">
        <f t="shared" si="40"/>
        <v>8.2775614514236318E-2</v>
      </c>
      <c r="Z113">
        <f t="shared" si="41"/>
        <v>1.9172243854857638</v>
      </c>
    </row>
    <row r="114" spans="9:26">
      <c r="I114">
        <f t="shared" si="31"/>
        <v>197.721490063907</v>
      </c>
      <c r="J114">
        <f t="shared" si="32"/>
        <v>230</v>
      </c>
      <c r="K114">
        <f t="shared" si="33"/>
        <v>378</v>
      </c>
      <c r="L114">
        <f t="shared" si="34"/>
        <v>156.47269016040096</v>
      </c>
      <c r="M114">
        <f t="shared" si="35"/>
        <v>108.13895043686934</v>
      </c>
      <c r="N114" s="69">
        <f t="shared" si="36"/>
        <v>91.394094063596299</v>
      </c>
      <c r="O114">
        <v>77</v>
      </c>
      <c r="P114">
        <f t="shared" si="29"/>
        <v>1.1264912644823395</v>
      </c>
      <c r="Q114">
        <f t="shared" si="37"/>
        <v>-0.50668269654039733</v>
      </c>
      <c r="R114">
        <f t="shared" si="30"/>
        <v>7.0706872599949899E-2</v>
      </c>
      <c r="S114">
        <f t="shared" si="30"/>
        <v>0.53535343629997501</v>
      </c>
      <c r="T114">
        <f t="shared" si="30"/>
        <v>1.464646563700025</v>
      </c>
      <c r="U114">
        <f t="shared" si="30"/>
        <v>1.92929312740005</v>
      </c>
      <c r="V114">
        <v>-1.46</v>
      </c>
      <c r="W114" s="69">
        <f t="shared" si="38"/>
        <v>2.9311688311688311</v>
      </c>
      <c r="X114" s="69">
        <f t="shared" si="39"/>
        <v>-1.1724675324675324</v>
      </c>
      <c r="Y114">
        <f t="shared" si="40"/>
        <v>7.0706872599949899E-2</v>
      </c>
      <c r="Z114">
        <f t="shared" si="41"/>
        <v>1.92929312740005</v>
      </c>
    </row>
    <row r="115" spans="9:26">
      <c r="I115">
        <f t="shared" si="31"/>
        <v>197.721490063907</v>
      </c>
      <c r="J115">
        <f t="shared" si="32"/>
        <v>230</v>
      </c>
      <c r="K115">
        <f t="shared" si="33"/>
        <v>378</v>
      </c>
      <c r="L115">
        <f t="shared" si="34"/>
        <v>156.47269016040096</v>
      </c>
      <c r="M115">
        <f t="shared" si="35"/>
        <v>108.13895043686934</v>
      </c>
      <c r="N115" s="69">
        <f t="shared" si="36"/>
        <v>91.394094063596299</v>
      </c>
      <c r="O115">
        <v>78</v>
      </c>
      <c r="P115">
        <f t="shared" si="29"/>
        <v>1.1559407746855379</v>
      </c>
      <c r="Q115">
        <f t="shared" si="37"/>
        <v>-0.51992874443443704</v>
      </c>
      <c r="R115">
        <f t="shared" si="30"/>
        <v>5.8638130685663592E-2</v>
      </c>
      <c r="S115">
        <f t="shared" si="30"/>
        <v>0.5293190653428318</v>
      </c>
      <c r="T115">
        <f t="shared" si="30"/>
        <v>1.4706809346571683</v>
      </c>
      <c r="U115">
        <f t="shared" si="30"/>
        <v>1.9413618693143364</v>
      </c>
      <c r="V115">
        <v>-1.44</v>
      </c>
      <c r="W115" s="69">
        <f t="shared" si="38"/>
        <v>2.9311688311688311</v>
      </c>
      <c r="X115" s="69">
        <f t="shared" si="39"/>
        <v>-1.1724675324675324</v>
      </c>
      <c r="Y115">
        <f t="shared" si="40"/>
        <v>5.8638130685663592E-2</v>
      </c>
      <c r="Z115">
        <f t="shared" si="41"/>
        <v>1.9413618693143364</v>
      </c>
    </row>
    <row r="116" spans="9:26">
      <c r="I116">
        <f t="shared" si="31"/>
        <v>197.721490063907</v>
      </c>
      <c r="J116">
        <f t="shared" si="32"/>
        <v>230</v>
      </c>
      <c r="K116">
        <f t="shared" si="33"/>
        <v>378</v>
      </c>
      <c r="L116">
        <f t="shared" si="34"/>
        <v>156.47269016040096</v>
      </c>
      <c r="M116">
        <f t="shared" si="35"/>
        <v>108.13895043686934</v>
      </c>
      <c r="N116" s="69">
        <f t="shared" si="36"/>
        <v>91.394094063596299</v>
      </c>
      <c r="O116">
        <v>79</v>
      </c>
      <c r="P116">
        <f t="shared" si="29"/>
        <v>1.1857702785687774</v>
      </c>
      <c r="Q116">
        <f t="shared" si="37"/>
        <v>-0.53334570907549672</v>
      </c>
      <c r="R116">
        <f t="shared" si="30"/>
        <v>4.6569388771377285E-2</v>
      </c>
      <c r="S116">
        <f t="shared" si="30"/>
        <v>0.52328469438568859</v>
      </c>
      <c r="T116">
        <f t="shared" si="30"/>
        <v>1.4767153056143114</v>
      </c>
      <c r="U116">
        <f t="shared" si="30"/>
        <v>1.9534306112286228</v>
      </c>
      <c r="V116">
        <v>-1.42</v>
      </c>
      <c r="W116" s="69">
        <f t="shared" si="38"/>
        <v>2.9311688311688311</v>
      </c>
      <c r="X116" s="69">
        <f t="shared" si="39"/>
        <v>-1.1724675324675324</v>
      </c>
      <c r="Y116">
        <f t="shared" si="40"/>
        <v>4.6569388771377285E-2</v>
      </c>
      <c r="Z116">
        <f t="shared" si="41"/>
        <v>1.9534306112286228</v>
      </c>
    </row>
    <row r="117" spans="9:26">
      <c r="I117">
        <f t="shared" si="31"/>
        <v>197.721490063907</v>
      </c>
      <c r="J117">
        <f t="shared" si="32"/>
        <v>230</v>
      </c>
      <c r="K117">
        <f t="shared" si="33"/>
        <v>378</v>
      </c>
      <c r="L117">
        <f t="shared" si="34"/>
        <v>156.47269016040096</v>
      </c>
      <c r="M117">
        <f t="shared" si="35"/>
        <v>108.13895043686934</v>
      </c>
      <c r="N117" s="69">
        <f t="shared" si="36"/>
        <v>91.394094063596299</v>
      </c>
      <c r="O117">
        <v>80</v>
      </c>
      <c r="P117">
        <f t="shared" si="29"/>
        <v>1.2159797761320583</v>
      </c>
      <c r="Q117">
        <f t="shared" si="37"/>
        <v>-0.54693359046357615</v>
      </c>
      <c r="R117">
        <f t="shared" si="30"/>
        <v>3.4500646857090755E-2</v>
      </c>
      <c r="S117">
        <f t="shared" si="30"/>
        <v>0.51725032342854538</v>
      </c>
      <c r="T117">
        <f t="shared" si="30"/>
        <v>1.4827496765714545</v>
      </c>
      <c r="U117">
        <f t="shared" si="30"/>
        <v>1.9654993531429092</v>
      </c>
      <c r="V117">
        <v>-1.4</v>
      </c>
      <c r="W117" s="69">
        <f t="shared" si="38"/>
        <v>2.9311688311688311</v>
      </c>
      <c r="X117" s="69">
        <f t="shared" si="39"/>
        <v>-1.1724675324675324</v>
      </c>
      <c r="Y117">
        <f t="shared" si="40"/>
        <v>3.4500646857090755E-2</v>
      </c>
      <c r="Z117">
        <f t="shared" si="41"/>
        <v>1.9654993531429092</v>
      </c>
    </row>
    <row r="118" spans="9:26">
      <c r="I118">
        <f t="shared" si="31"/>
        <v>197.721490063907</v>
      </c>
      <c r="J118">
        <f t="shared" si="32"/>
        <v>230</v>
      </c>
      <c r="K118">
        <f t="shared" si="33"/>
        <v>378</v>
      </c>
      <c r="L118">
        <f t="shared" si="34"/>
        <v>156.47269016040096</v>
      </c>
      <c r="M118">
        <f t="shared" si="35"/>
        <v>108.13895043686934</v>
      </c>
      <c r="N118" s="69">
        <f t="shared" si="36"/>
        <v>91.394094063596299</v>
      </c>
      <c r="O118">
        <v>81</v>
      </c>
      <c r="P118">
        <f t="shared" si="29"/>
        <v>1.2465692673753803</v>
      </c>
      <c r="Q118">
        <f t="shared" si="37"/>
        <v>-0.56069238859867554</v>
      </c>
      <c r="R118">
        <f t="shared" si="30"/>
        <v>2.2431904942804448E-2</v>
      </c>
      <c r="S118">
        <f t="shared" si="30"/>
        <v>0.51121595247140217</v>
      </c>
      <c r="T118">
        <f t="shared" si="30"/>
        <v>1.4887840475285978</v>
      </c>
      <c r="U118">
        <f t="shared" si="30"/>
        <v>1.9775680950571957</v>
      </c>
      <c r="V118">
        <v>-1.38</v>
      </c>
      <c r="W118" s="69">
        <f t="shared" si="38"/>
        <v>2.9311688311688311</v>
      </c>
      <c r="X118" s="69">
        <f t="shared" si="39"/>
        <v>-1.1724675324675324</v>
      </c>
      <c r="Y118">
        <f t="shared" si="40"/>
        <v>2.2431904942804448E-2</v>
      </c>
      <c r="Z118">
        <f t="shared" si="41"/>
        <v>1.9775680950571957</v>
      </c>
    </row>
    <row r="119" spans="9:26">
      <c r="I119">
        <f t="shared" si="31"/>
        <v>197.721490063907</v>
      </c>
      <c r="J119">
        <f t="shared" si="32"/>
        <v>230</v>
      </c>
      <c r="K119">
        <f t="shared" si="33"/>
        <v>378</v>
      </c>
      <c r="L119">
        <f t="shared" si="34"/>
        <v>156.47269016040096</v>
      </c>
      <c r="M119">
        <f t="shared" si="35"/>
        <v>108.13895043686934</v>
      </c>
      <c r="N119" s="69">
        <f t="shared" si="36"/>
        <v>91.394094063596299</v>
      </c>
      <c r="O119">
        <v>82</v>
      </c>
      <c r="P119">
        <f t="shared" si="29"/>
        <v>1.277538752298744</v>
      </c>
      <c r="Q119">
        <f t="shared" si="37"/>
        <v>-0.57462210348079479</v>
      </c>
      <c r="R119">
        <f t="shared" si="30"/>
        <v>1.0363163028518252E-2</v>
      </c>
      <c r="S119">
        <f t="shared" si="30"/>
        <v>0.50518158151425907</v>
      </c>
      <c r="T119">
        <f t="shared" si="30"/>
        <v>1.4948184184857409</v>
      </c>
      <c r="U119">
        <f t="shared" si="30"/>
        <v>1.9896368369714819</v>
      </c>
      <c r="V119">
        <v>-1.36</v>
      </c>
      <c r="W119" s="69">
        <f t="shared" si="38"/>
        <v>2.9311688311688311</v>
      </c>
      <c r="X119" s="69">
        <f t="shared" si="39"/>
        <v>-1.1724675324675324</v>
      </c>
      <c r="Y119">
        <f t="shared" si="40"/>
        <v>1.0363163028518252E-2</v>
      </c>
      <c r="Z119">
        <f t="shared" si="41"/>
        <v>1.9896368369714819</v>
      </c>
    </row>
    <row r="120" spans="9:26">
      <c r="I120">
        <f t="shared" si="31"/>
        <v>197.721490063907</v>
      </c>
      <c r="J120">
        <f t="shared" si="32"/>
        <v>230</v>
      </c>
      <c r="K120">
        <f t="shared" si="33"/>
        <v>378</v>
      </c>
      <c r="L120">
        <f t="shared" si="34"/>
        <v>156.47269016040096</v>
      </c>
      <c r="M120">
        <f t="shared" si="35"/>
        <v>108.13895043686934</v>
      </c>
      <c r="N120" s="69">
        <f t="shared" si="36"/>
        <v>91.394094063596299</v>
      </c>
      <c r="O120">
        <v>83</v>
      </c>
      <c r="P120">
        <f t="shared" si="29"/>
        <v>1.3088882309021483</v>
      </c>
      <c r="Q120">
        <f t="shared" si="37"/>
        <v>-0.58872273510993378</v>
      </c>
      <c r="R120">
        <f t="shared" si="30"/>
        <v>-1.7055788857682774E-3</v>
      </c>
      <c r="S120">
        <f t="shared" si="30"/>
        <v>0.49914721055711586</v>
      </c>
      <c r="T120">
        <f t="shared" si="30"/>
        <v>1.500852789442884</v>
      </c>
      <c r="U120">
        <f t="shared" si="30"/>
        <v>2.0017055788857681</v>
      </c>
      <c r="V120">
        <v>-1.34</v>
      </c>
      <c r="W120" s="69">
        <f t="shared" si="38"/>
        <v>2.9311688311688311</v>
      </c>
      <c r="X120" s="69">
        <f t="shared" si="39"/>
        <v>-1.1724675324675324</v>
      </c>
      <c r="Y120">
        <f t="shared" si="40"/>
        <v>-1.7055788857682774E-3</v>
      </c>
      <c r="Z120">
        <f t="shared" si="41"/>
        <v>2.0017055788857681</v>
      </c>
    </row>
    <row r="121" spans="9:26">
      <c r="I121">
        <f t="shared" si="31"/>
        <v>197.721490063907</v>
      </c>
      <c r="J121">
        <f t="shared" si="32"/>
        <v>230</v>
      </c>
      <c r="K121">
        <f t="shared" si="33"/>
        <v>378</v>
      </c>
      <c r="L121">
        <f t="shared" si="34"/>
        <v>156.47269016040096</v>
      </c>
      <c r="M121">
        <f t="shared" si="35"/>
        <v>108.13895043686934</v>
      </c>
      <c r="N121" s="69">
        <f t="shared" si="36"/>
        <v>91.394094063596299</v>
      </c>
      <c r="O121">
        <v>84</v>
      </c>
      <c r="P121">
        <f t="shared" si="29"/>
        <v>1.3406177031855944</v>
      </c>
      <c r="Q121">
        <f t="shared" si="37"/>
        <v>-0.60299428348609274</v>
      </c>
      <c r="R121">
        <f t="shared" si="30"/>
        <v>-1.3774320800054474E-2</v>
      </c>
      <c r="S121">
        <f t="shared" si="30"/>
        <v>0.49311283959997276</v>
      </c>
      <c r="T121">
        <f t="shared" si="30"/>
        <v>1.5068871604000273</v>
      </c>
      <c r="U121">
        <f t="shared" si="30"/>
        <v>2.0137743208000547</v>
      </c>
      <c r="V121">
        <v>-1.32</v>
      </c>
      <c r="W121" s="69">
        <f t="shared" si="38"/>
        <v>2.9311688311688311</v>
      </c>
      <c r="X121" s="69">
        <f t="shared" si="39"/>
        <v>-1.1724675324675324</v>
      </c>
      <c r="Y121">
        <f t="shared" si="40"/>
        <v>-1.3774320800054474E-2</v>
      </c>
      <c r="Z121">
        <f t="shared" si="41"/>
        <v>2.0137743208000547</v>
      </c>
    </row>
    <row r="122" spans="9:26">
      <c r="I122">
        <f t="shared" si="31"/>
        <v>197.721490063907</v>
      </c>
      <c r="J122">
        <f t="shared" si="32"/>
        <v>230</v>
      </c>
      <c r="K122">
        <f t="shared" si="33"/>
        <v>378</v>
      </c>
      <c r="L122">
        <f t="shared" si="34"/>
        <v>156.47269016040096</v>
      </c>
      <c r="M122">
        <f t="shared" si="35"/>
        <v>108.13895043686934</v>
      </c>
      <c r="N122" s="69">
        <f t="shared" si="36"/>
        <v>91.394094063596299</v>
      </c>
      <c r="O122">
        <v>85</v>
      </c>
      <c r="P122">
        <f t="shared" si="29"/>
        <v>1.3727271691490812</v>
      </c>
      <c r="Q122">
        <f t="shared" si="37"/>
        <v>-0.61743674860927145</v>
      </c>
      <c r="R122">
        <f t="shared" si="30"/>
        <v>-2.5843062714341114E-2</v>
      </c>
      <c r="S122">
        <f t="shared" si="30"/>
        <v>0.48707846864282944</v>
      </c>
      <c r="T122">
        <f t="shared" si="30"/>
        <v>1.5129215313571707</v>
      </c>
      <c r="U122">
        <f t="shared" si="30"/>
        <v>2.0258430627143413</v>
      </c>
      <c r="V122">
        <v>-1.3</v>
      </c>
      <c r="W122" s="69">
        <f t="shared" si="38"/>
        <v>2.9311688311688311</v>
      </c>
      <c r="X122" s="69">
        <f t="shared" si="39"/>
        <v>-1.1724675324675324</v>
      </c>
      <c r="Y122">
        <f t="shared" si="40"/>
        <v>-2.5843062714341114E-2</v>
      </c>
      <c r="Z122">
        <f t="shared" si="41"/>
        <v>2.0258430627143413</v>
      </c>
    </row>
    <row r="123" spans="9:26">
      <c r="I123">
        <f t="shared" si="31"/>
        <v>197.721490063907</v>
      </c>
      <c r="J123">
        <f t="shared" si="32"/>
        <v>230</v>
      </c>
      <c r="K123">
        <f t="shared" si="33"/>
        <v>378</v>
      </c>
      <c r="L123">
        <f t="shared" si="34"/>
        <v>156.47269016040096</v>
      </c>
      <c r="M123">
        <f t="shared" si="35"/>
        <v>108.13895043686934</v>
      </c>
      <c r="N123" s="69">
        <f t="shared" si="36"/>
        <v>91.394094063596299</v>
      </c>
      <c r="O123">
        <v>86</v>
      </c>
      <c r="P123">
        <f t="shared" si="29"/>
        <v>1.40521662879261</v>
      </c>
      <c r="Q123">
        <f t="shared" si="37"/>
        <v>-0.63205013047947023</v>
      </c>
      <c r="R123">
        <f t="shared" si="30"/>
        <v>-3.791180462862731E-2</v>
      </c>
      <c r="S123">
        <f t="shared" si="30"/>
        <v>0.48104409768568634</v>
      </c>
      <c r="T123">
        <f t="shared" si="30"/>
        <v>1.5189559023143135</v>
      </c>
      <c r="U123">
        <f t="shared" si="30"/>
        <v>2.0379118046286271</v>
      </c>
      <c r="V123">
        <v>-1.28</v>
      </c>
      <c r="W123" s="69">
        <f t="shared" si="38"/>
        <v>2.9311688311688311</v>
      </c>
      <c r="X123" s="69">
        <f t="shared" si="39"/>
        <v>-1.1724675324675324</v>
      </c>
      <c r="Y123">
        <f t="shared" si="40"/>
        <v>-3.791180462862731E-2</v>
      </c>
      <c r="Z123">
        <f t="shared" si="41"/>
        <v>2.0379118046286271</v>
      </c>
    </row>
    <row r="124" spans="9:26">
      <c r="I124">
        <f t="shared" si="31"/>
        <v>197.721490063907</v>
      </c>
      <c r="J124">
        <f t="shared" si="32"/>
        <v>230</v>
      </c>
      <c r="K124">
        <f t="shared" si="33"/>
        <v>378</v>
      </c>
      <c r="L124">
        <f t="shared" si="34"/>
        <v>156.47269016040096</v>
      </c>
      <c r="M124">
        <f t="shared" si="35"/>
        <v>108.13895043686934</v>
      </c>
      <c r="N124" s="69">
        <f t="shared" si="36"/>
        <v>91.394094063596299</v>
      </c>
      <c r="O124">
        <v>87</v>
      </c>
      <c r="P124">
        <f t="shared" si="29"/>
        <v>1.4380860821161798</v>
      </c>
      <c r="Q124">
        <f t="shared" si="37"/>
        <v>-0.64683442909668887</v>
      </c>
      <c r="R124">
        <f t="shared" si="30"/>
        <v>-4.9980546542913729E-2</v>
      </c>
      <c r="S124">
        <f t="shared" si="30"/>
        <v>0.47500972672854314</v>
      </c>
      <c r="T124">
        <f t="shared" si="30"/>
        <v>1.5249902732714569</v>
      </c>
      <c r="U124">
        <f t="shared" si="30"/>
        <v>2.0499805465429137</v>
      </c>
      <c r="V124">
        <v>-1.26</v>
      </c>
      <c r="W124" s="69">
        <f t="shared" si="38"/>
        <v>2.9311688311688311</v>
      </c>
      <c r="X124" s="69">
        <f t="shared" si="39"/>
        <v>-1.1724675324675324</v>
      </c>
      <c r="Y124">
        <f t="shared" si="40"/>
        <v>-4.9980546542913729E-2</v>
      </c>
      <c r="Z124">
        <f t="shared" si="41"/>
        <v>2.0499805465429137</v>
      </c>
    </row>
    <row r="125" spans="9:26">
      <c r="I125">
        <f t="shared" si="31"/>
        <v>197.721490063907</v>
      </c>
      <c r="J125">
        <f t="shared" si="32"/>
        <v>230</v>
      </c>
      <c r="K125">
        <f t="shared" si="33"/>
        <v>378</v>
      </c>
      <c r="L125">
        <f t="shared" si="34"/>
        <v>156.47269016040096</v>
      </c>
      <c r="M125">
        <f t="shared" si="35"/>
        <v>108.13895043686934</v>
      </c>
      <c r="N125" s="69">
        <f t="shared" si="36"/>
        <v>91.394094063596299</v>
      </c>
      <c r="O125">
        <v>88</v>
      </c>
      <c r="P125">
        <f t="shared" si="29"/>
        <v>1.4713355291197905</v>
      </c>
      <c r="Q125">
        <f t="shared" si="37"/>
        <v>-0.66178964446092725</v>
      </c>
      <c r="R125">
        <f t="shared" si="30"/>
        <v>-6.2049288457200147E-2</v>
      </c>
      <c r="S125">
        <f t="shared" si="30"/>
        <v>0.46897535577139993</v>
      </c>
      <c r="T125">
        <f t="shared" si="30"/>
        <v>1.5310246442286002</v>
      </c>
      <c r="U125">
        <f t="shared" si="30"/>
        <v>2.0620492884572004</v>
      </c>
      <c r="V125">
        <v>-1.24</v>
      </c>
      <c r="W125" s="69">
        <f t="shared" si="38"/>
        <v>2.9311688311688311</v>
      </c>
      <c r="X125" s="69">
        <f t="shared" si="39"/>
        <v>-1.1724675324675324</v>
      </c>
      <c r="Y125">
        <f t="shared" si="40"/>
        <v>-6.2049288457200147E-2</v>
      </c>
      <c r="Z125">
        <f t="shared" si="41"/>
        <v>2.0620492884572004</v>
      </c>
    </row>
    <row r="126" spans="9:26">
      <c r="I126">
        <f t="shared" si="31"/>
        <v>197.721490063907</v>
      </c>
      <c r="J126">
        <f t="shared" si="32"/>
        <v>230</v>
      </c>
      <c r="K126">
        <f t="shared" si="33"/>
        <v>378</v>
      </c>
      <c r="L126">
        <f t="shared" si="34"/>
        <v>156.47269016040096</v>
      </c>
      <c r="M126">
        <f t="shared" si="35"/>
        <v>108.13895043686934</v>
      </c>
      <c r="N126" s="69">
        <f t="shared" si="36"/>
        <v>91.394094063596299</v>
      </c>
      <c r="O126">
        <v>89</v>
      </c>
      <c r="P126">
        <f t="shared" si="29"/>
        <v>1.5049649698034429</v>
      </c>
      <c r="Q126">
        <f t="shared" si="37"/>
        <v>-0.67691577657218549</v>
      </c>
      <c r="R126">
        <f t="shared" si="30"/>
        <v>-7.4118030371486343E-2</v>
      </c>
      <c r="S126">
        <f t="shared" si="30"/>
        <v>0.46294098481425683</v>
      </c>
      <c r="T126">
        <f t="shared" si="30"/>
        <v>1.5370590151857431</v>
      </c>
      <c r="U126">
        <f t="shared" si="30"/>
        <v>2.0741180303714861</v>
      </c>
      <c r="V126">
        <v>-1.22</v>
      </c>
      <c r="W126" s="69">
        <f t="shared" si="38"/>
        <v>2.9311688311688311</v>
      </c>
      <c r="X126" s="69">
        <f t="shared" si="39"/>
        <v>-1.1724675324675324</v>
      </c>
      <c r="Y126">
        <f t="shared" si="40"/>
        <v>-7.4118030371486343E-2</v>
      </c>
      <c r="Z126">
        <f t="shared" si="41"/>
        <v>2.0741180303714861</v>
      </c>
    </row>
    <row r="127" spans="9:26">
      <c r="I127">
        <f t="shared" si="31"/>
        <v>197.721490063907</v>
      </c>
      <c r="J127">
        <f t="shared" si="32"/>
        <v>230</v>
      </c>
      <c r="K127">
        <f t="shared" si="33"/>
        <v>378</v>
      </c>
      <c r="L127">
        <f t="shared" si="34"/>
        <v>156.47269016040096</v>
      </c>
      <c r="M127">
        <f t="shared" si="35"/>
        <v>108.13895043686934</v>
      </c>
      <c r="N127" s="69">
        <f t="shared" si="36"/>
        <v>91.394094063596299</v>
      </c>
      <c r="O127">
        <v>90</v>
      </c>
      <c r="P127">
        <f t="shared" si="29"/>
        <v>1.538974404167136</v>
      </c>
      <c r="Q127">
        <f t="shared" si="37"/>
        <v>-0.69221282543046359</v>
      </c>
      <c r="R127">
        <f t="shared" si="30"/>
        <v>-8.6186772285772761E-2</v>
      </c>
      <c r="S127">
        <f t="shared" si="30"/>
        <v>0.45690661385711362</v>
      </c>
      <c r="T127">
        <f t="shared" si="30"/>
        <v>1.5430933861428864</v>
      </c>
      <c r="U127">
        <f t="shared" si="30"/>
        <v>2.0861867722857728</v>
      </c>
      <c r="V127">
        <v>-1.2</v>
      </c>
      <c r="W127" s="69">
        <f t="shared" si="38"/>
        <v>2.9311688311688311</v>
      </c>
      <c r="X127" s="69">
        <f t="shared" si="39"/>
        <v>-1.1724675324675324</v>
      </c>
      <c r="Y127">
        <f t="shared" si="40"/>
        <v>-8.6186772285772761E-2</v>
      </c>
      <c r="Z127">
        <f t="shared" si="41"/>
        <v>2.0861867722857728</v>
      </c>
    </row>
    <row r="128" spans="9:26">
      <c r="I128">
        <f t="shared" si="31"/>
        <v>197.721490063907</v>
      </c>
      <c r="J128">
        <f t="shared" si="32"/>
        <v>230</v>
      </c>
      <c r="K128">
        <f t="shared" si="33"/>
        <v>378</v>
      </c>
      <c r="L128">
        <f t="shared" si="34"/>
        <v>156.47269016040096</v>
      </c>
      <c r="M128">
        <f t="shared" si="35"/>
        <v>108.13895043686934</v>
      </c>
      <c r="N128" s="69">
        <f t="shared" si="36"/>
        <v>91.394094063596299</v>
      </c>
      <c r="O128">
        <v>91</v>
      </c>
      <c r="P128">
        <f t="shared" si="29"/>
        <v>1.5733638322108707</v>
      </c>
      <c r="Q128">
        <f t="shared" si="37"/>
        <v>-0.70768079103576165</v>
      </c>
      <c r="R128">
        <f t="shared" si="30"/>
        <v>-9.825551420005918E-2</v>
      </c>
      <c r="S128">
        <f t="shared" si="30"/>
        <v>0.45087224289997041</v>
      </c>
      <c r="T128">
        <f t="shared" si="30"/>
        <v>1.5491277571000297</v>
      </c>
      <c r="U128">
        <f t="shared" si="30"/>
        <v>2.0982555142000594</v>
      </c>
      <c r="V128">
        <v>-1.18</v>
      </c>
      <c r="W128" s="69">
        <f t="shared" si="38"/>
        <v>2.9311688311688311</v>
      </c>
      <c r="X128" s="69">
        <f t="shared" si="39"/>
        <v>-1.1724675324675324</v>
      </c>
      <c r="Y128">
        <f t="shared" si="40"/>
        <v>-9.825551420005918E-2</v>
      </c>
      <c r="Z128">
        <f t="shared" si="41"/>
        <v>2.0982555142000594</v>
      </c>
    </row>
    <row r="129" spans="9:26">
      <c r="I129">
        <f t="shared" si="31"/>
        <v>197.721490063907</v>
      </c>
      <c r="J129">
        <f t="shared" si="32"/>
        <v>230</v>
      </c>
      <c r="K129">
        <f t="shared" si="33"/>
        <v>378</v>
      </c>
      <c r="L129">
        <f t="shared" si="34"/>
        <v>156.47269016040096</v>
      </c>
      <c r="M129">
        <f t="shared" si="35"/>
        <v>108.13895043686934</v>
      </c>
      <c r="N129" s="69">
        <f t="shared" si="36"/>
        <v>91.394094063596299</v>
      </c>
      <c r="O129">
        <v>92</v>
      </c>
      <c r="P129">
        <f t="shared" si="29"/>
        <v>1.6081332539346473</v>
      </c>
      <c r="Q129">
        <f t="shared" si="37"/>
        <v>-0.72331967338807956</v>
      </c>
      <c r="R129">
        <f t="shared" si="30"/>
        <v>-0.11032425611434538</v>
      </c>
      <c r="S129">
        <f t="shared" si="30"/>
        <v>0.44483787194282731</v>
      </c>
      <c r="T129">
        <f t="shared" si="30"/>
        <v>1.5551621280571726</v>
      </c>
      <c r="U129">
        <f t="shared" si="30"/>
        <v>2.1103242561143452</v>
      </c>
      <c r="V129">
        <v>-1.1599999999999999</v>
      </c>
      <c r="W129" s="69">
        <f t="shared" si="38"/>
        <v>2.9311688311688311</v>
      </c>
      <c r="X129" s="69">
        <f t="shared" si="39"/>
        <v>-1.1724675324675324</v>
      </c>
      <c r="Y129">
        <f t="shared" si="40"/>
        <v>-0.11032425611434538</v>
      </c>
      <c r="Z129">
        <f t="shared" si="41"/>
        <v>2.1103242561143452</v>
      </c>
    </row>
    <row r="130" spans="9:26">
      <c r="I130">
        <f t="shared" si="31"/>
        <v>197.721490063907</v>
      </c>
      <c r="J130">
        <f t="shared" si="32"/>
        <v>230</v>
      </c>
      <c r="K130">
        <f t="shared" si="33"/>
        <v>378</v>
      </c>
      <c r="L130">
        <f t="shared" si="34"/>
        <v>156.47269016040096</v>
      </c>
      <c r="M130">
        <f t="shared" si="35"/>
        <v>108.13895043686934</v>
      </c>
      <c r="N130" s="69">
        <f t="shared" si="36"/>
        <v>91.394094063596299</v>
      </c>
      <c r="O130">
        <v>93</v>
      </c>
      <c r="P130">
        <f t="shared" si="29"/>
        <v>1.6432826693384646</v>
      </c>
      <c r="Q130">
        <f t="shared" si="37"/>
        <v>-0.73912947248741723</v>
      </c>
      <c r="R130">
        <f t="shared" si="30"/>
        <v>-0.12239299802863179</v>
      </c>
      <c r="S130">
        <f t="shared" si="30"/>
        <v>0.4388035009856841</v>
      </c>
      <c r="T130">
        <f t="shared" si="30"/>
        <v>1.5611964990143159</v>
      </c>
      <c r="U130">
        <f t="shared" si="30"/>
        <v>2.1223929980286318</v>
      </c>
      <c r="V130">
        <v>-1.1399999999999999</v>
      </c>
      <c r="W130" s="69">
        <f t="shared" si="38"/>
        <v>2.9311688311688311</v>
      </c>
      <c r="X130" s="69">
        <f t="shared" si="39"/>
        <v>-1.1724675324675324</v>
      </c>
      <c r="Y130">
        <f t="shared" si="40"/>
        <v>-0.12239299802863179</v>
      </c>
      <c r="Z130">
        <f t="shared" si="41"/>
        <v>2.1223929980286318</v>
      </c>
    </row>
    <row r="131" spans="9:26">
      <c r="I131">
        <f t="shared" si="31"/>
        <v>197.721490063907</v>
      </c>
      <c r="J131">
        <f t="shared" si="32"/>
        <v>230</v>
      </c>
      <c r="K131">
        <f t="shared" si="33"/>
        <v>378</v>
      </c>
      <c r="L131">
        <f t="shared" si="34"/>
        <v>156.47269016040096</v>
      </c>
      <c r="M131">
        <f t="shared" si="35"/>
        <v>108.13895043686934</v>
      </c>
      <c r="N131" s="69">
        <f t="shared" si="36"/>
        <v>91.394094063596299</v>
      </c>
      <c r="O131">
        <v>94</v>
      </c>
      <c r="P131">
        <f t="shared" si="29"/>
        <v>1.6788120784223231</v>
      </c>
      <c r="Q131">
        <f t="shared" si="37"/>
        <v>-0.75511018833377497</v>
      </c>
      <c r="R131">
        <f t="shared" si="30"/>
        <v>-0.13446173994291821</v>
      </c>
      <c r="S131">
        <f t="shared" si="30"/>
        <v>0.43276913002854089</v>
      </c>
      <c r="T131">
        <f t="shared" si="30"/>
        <v>1.5672308699714592</v>
      </c>
      <c r="U131">
        <f t="shared" si="30"/>
        <v>2.1344617399429184</v>
      </c>
      <c r="V131">
        <v>-1.1200000000000001</v>
      </c>
      <c r="W131" s="69">
        <f t="shared" si="38"/>
        <v>2.9311688311688311</v>
      </c>
      <c r="X131" s="69">
        <f t="shared" si="39"/>
        <v>-1.1724675324675324</v>
      </c>
      <c r="Y131">
        <f t="shared" si="40"/>
        <v>-0.13446173994291821</v>
      </c>
      <c r="Z131">
        <f t="shared" si="41"/>
        <v>2.1344617399429184</v>
      </c>
    </row>
    <row r="132" spans="9:26">
      <c r="I132">
        <f t="shared" si="31"/>
        <v>197.721490063907</v>
      </c>
      <c r="J132">
        <f t="shared" si="32"/>
        <v>230</v>
      </c>
      <c r="K132">
        <f t="shared" si="33"/>
        <v>378</v>
      </c>
      <c r="L132">
        <f t="shared" si="34"/>
        <v>156.47269016040096</v>
      </c>
      <c r="M132">
        <f t="shared" si="35"/>
        <v>108.13895043686934</v>
      </c>
      <c r="N132" s="69">
        <f t="shared" si="36"/>
        <v>91.394094063596299</v>
      </c>
      <c r="O132">
        <v>95</v>
      </c>
      <c r="P132">
        <f t="shared" si="29"/>
        <v>1.7147214811862228</v>
      </c>
      <c r="Q132">
        <f t="shared" si="37"/>
        <v>-0.77126182092715234</v>
      </c>
      <c r="R132">
        <f t="shared" si="30"/>
        <v>-0.14653048185720463</v>
      </c>
      <c r="S132">
        <f t="shared" si="30"/>
        <v>0.42673475907139768</v>
      </c>
      <c r="T132">
        <f t="shared" si="30"/>
        <v>1.5732652409286023</v>
      </c>
      <c r="U132">
        <f t="shared" si="30"/>
        <v>2.1465304818572046</v>
      </c>
      <c r="V132">
        <v>-1.1000000000000001</v>
      </c>
      <c r="W132" s="69">
        <f t="shared" si="38"/>
        <v>2.9311688311688311</v>
      </c>
      <c r="X132" s="69">
        <f t="shared" si="39"/>
        <v>-1.1724675324675324</v>
      </c>
      <c r="Y132">
        <f t="shared" si="40"/>
        <v>-0.14653048185720463</v>
      </c>
      <c r="Z132">
        <f t="shared" si="41"/>
        <v>2.1465304818572046</v>
      </c>
    </row>
    <row r="133" spans="9:26">
      <c r="I133">
        <f t="shared" si="31"/>
        <v>197.721490063907</v>
      </c>
      <c r="J133">
        <f t="shared" si="32"/>
        <v>230</v>
      </c>
      <c r="K133">
        <f t="shared" si="33"/>
        <v>378</v>
      </c>
      <c r="L133">
        <f t="shared" si="34"/>
        <v>156.47269016040096</v>
      </c>
      <c r="M133">
        <f t="shared" si="35"/>
        <v>108.13895043686934</v>
      </c>
      <c r="N133" s="69">
        <f t="shared" si="36"/>
        <v>91.394094063596299</v>
      </c>
      <c r="O133">
        <v>96</v>
      </c>
      <c r="P133" s="19">
        <f t="shared" si="29"/>
        <v>1.7510108776301641</v>
      </c>
      <c r="Q133">
        <f t="shared" si="37"/>
        <v>-0.78758437026754979</v>
      </c>
      <c r="R133">
        <f t="shared" si="30"/>
        <v>-0.15859922377149083</v>
      </c>
      <c r="S133">
        <f t="shared" si="30"/>
        <v>0.42070038811425459</v>
      </c>
      <c r="T133">
        <f t="shared" si="30"/>
        <v>1.5792996118857454</v>
      </c>
      <c r="U133">
        <f t="shared" si="30"/>
        <v>2.1585992237714908</v>
      </c>
      <c r="V133">
        <v>-1.08</v>
      </c>
      <c r="W133" s="236">
        <f t="shared" si="38"/>
        <v>2.9311688311688311</v>
      </c>
      <c r="X133" s="69">
        <f t="shared" si="39"/>
        <v>-1.1724675324675324</v>
      </c>
      <c r="Y133">
        <f t="shared" si="40"/>
        <v>-0.15859922377149083</v>
      </c>
      <c r="Z133">
        <f t="shared" si="41"/>
        <v>2.1585992237714908</v>
      </c>
    </row>
    <row r="134" spans="9:26">
      <c r="I134">
        <f t="shared" si="31"/>
        <v>197.721490063907</v>
      </c>
      <c r="J134">
        <f t="shared" si="32"/>
        <v>230</v>
      </c>
      <c r="K134">
        <f t="shared" si="33"/>
        <v>378</v>
      </c>
      <c r="L134">
        <f t="shared" si="34"/>
        <v>156.47269016040096</v>
      </c>
      <c r="M134">
        <f t="shared" si="35"/>
        <v>108.13895043686934</v>
      </c>
      <c r="N134" s="69">
        <f t="shared" si="36"/>
        <v>91.394094063596299</v>
      </c>
      <c r="O134">
        <v>97</v>
      </c>
      <c r="P134">
        <f t="shared" si="29"/>
        <v>1.7876802677541466</v>
      </c>
      <c r="Q134">
        <f t="shared" si="37"/>
        <v>-0.80407783635496699</v>
      </c>
      <c r="R134">
        <f t="shared" si="30"/>
        <v>-0.17066796568577725</v>
      </c>
      <c r="S134">
        <f t="shared" si="30"/>
        <v>0.41466601715711138</v>
      </c>
      <c r="T134">
        <f t="shared" si="30"/>
        <v>1.5853339828428887</v>
      </c>
      <c r="U134">
        <f t="shared" si="30"/>
        <v>2.1706679656857775</v>
      </c>
      <c r="V134">
        <v>-1.06</v>
      </c>
      <c r="W134" s="69">
        <f t="shared" si="38"/>
        <v>2.9311688311688311</v>
      </c>
      <c r="X134" s="69">
        <f t="shared" si="39"/>
        <v>-1.1724675324675324</v>
      </c>
      <c r="Y134">
        <f t="shared" si="40"/>
        <v>-0.17066796568577725</v>
      </c>
      <c r="Z134">
        <f t="shared" si="41"/>
        <v>2.1706679656857775</v>
      </c>
    </row>
    <row r="135" spans="9:26">
      <c r="I135">
        <f t="shared" si="31"/>
        <v>197.721490063907</v>
      </c>
      <c r="J135">
        <f t="shared" si="32"/>
        <v>230</v>
      </c>
      <c r="K135">
        <f t="shared" si="33"/>
        <v>378</v>
      </c>
      <c r="L135">
        <f t="shared" si="34"/>
        <v>156.47269016040096</v>
      </c>
      <c r="M135">
        <f t="shared" si="35"/>
        <v>108.13895043686934</v>
      </c>
      <c r="N135" s="69">
        <f t="shared" si="36"/>
        <v>91.394094063596299</v>
      </c>
      <c r="O135">
        <v>98</v>
      </c>
      <c r="P135">
        <f t="shared" si="29"/>
        <v>1.8247296515581701</v>
      </c>
      <c r="Q135" s="19">
        <f t="shared" si="37"/>
        <v>-0.82074221918940404</v>
      </c>
      <c r="R135">
        <f t="shared" si="30"/>
        <v>-0.18273670760006366</v>
      </c>
      <c r="S135">
        <f t="shared" si="30"/>
        <v>0.40863164619996817</v>
      </c>
      <c r="T135">
        <f t="shared" si="30"/>
        <v>1.5913683538000318</v>
      </c>
      <c r="U135">
        <f t="shared" si="30"/>
        <v>2.1827367076000637</v>
      </c>
      <c r="V135">
        <v>-1.04</v>
      </c>
      <c r="W135" s="69">
        <f t="shared" si="38"/>
        <v>2.9311688311688311</v>
      </c>
      <c r="X135" s="69">
        <f t="shared" si="39"/>
        <v>-1.1724675324675324</v>
      </c>
      <c r="Y135">
        <f t="shared" si="40"/>
        <v>-0.18273670760006366</v>
      </c>
      <c r="Z135">
        <f t="shared" si="41"/>
        <v>2.1827367076000637</v>
      </c>
    </row>
    <row r="136" spans="9:26">
      <c r="I136">
        <f t="shared" si="31"/>
        <v>197.721490063907</v>
      </c>
      <c r="J136">
        <f t="shared" si="32"/>
        <v>230</v>
      </c>
      <c r="K136">
        <f t="shared" si="33"/>
        <v>378</v>
      </c>
      <c r="L136">
        <f t="shared" si="34"/>
        <v>156.47269016040096</v>
      </c>
      <c r="M136">
        <f t="shared" si="35"/>
        <v>108.13895043686934</v>
      </c>
      <c r="N136" s="69">
        <f t="shared" si="36"/>
        <v>91.394094063596299</v>
      </c>
      <c r="O136">
        <v>99</v>
      </c>
      <c r="P136">
        <f t="shared" si="29"/>
        <v>1.862159029042235</v>
      </c>
      <c r="Q136">
        <f t="shared" si="37"/>
        <v>-0.83757751877086095</v>
      </c>
      <c r="R136">
        <f t="shared" si="30"/>
        <v>-0.19480544951435008</v>
      </c>
      <c r="S136">
        <f t="shared" si="30"/>
        <v>0.40259727524282496</v>
      </c>
      <c r="T136">
        <f t="shared" si="30"/>
        <v>1.5974027247571749</v>
      </c>
      <c r="U136">
        <f t="shared" si="30"/>
        <v>2.1948054495143499</v>
      </c>
      <c r="V136">
        <v>-1.02</v>
      </c>
      <c r="W136" s="69">
        <f t="shared" si="38"/>
        <v>2.9311688311688311</v>
      </c>
      <c r="X136" s="69">
        <f t="shared" si="39"/>
        <v>-1.1724675324675324</v>
      </c>
      <c r="Y136">
        <f t="shared" si="40"/>
        <v>-0.19480544951435008</v>
      </c>
      <c r="Z136">
        <f t="shared" si="41"/>
        <v>2.1948054495143499</v>
      </c>
    </row>
    <row r="137" spans="9:26">
      <c r="I137">
        <f t="shared" si="31"/>
        <v>197.721490063907</v>
      </c>
      <c r="J137">
        <f t="shared" si="32"/>
        <v>230</v>
      </c>
      <c r="K137">
        <f t="shared" si="33"/>
        <v>378</v>
      </c>
      <c r="L137">
        <f t="shared" si="34"/>
        <v>156.47269016040096</v>
      </c>
      <c r="M137">
        <f t="shared" si="35"/>
        <v>108.13895043686934</v>
      </c>
      <c r="N137" s="69">
        <f t="shared" si="36"/>
        <v>91.394094063596299</v>
      </c>
      <c r="O137">
        <v>100</v>
      </c>
      <c r="P137">
        <f t="shared" si="29"/>
        <v>1.8999684002063408</v>
      </c>
      <c r="Q137">
        <f t="shared" si="37"/>
        <v>-0.85458373509933772</v>
      </c>
      <c r="R137">
        <f t="shared" si="30"/>
        <v>-0.20687419142863628</v>
      </c>
      <c r="S137">
        <f t="shared" si="30"/>
        <v>0.39656290428568186</v>
      </c>
      <c r="T137">
        <f t="shared" si="30"/>
        <v>1.6034370957143183</v>
      </c>
      <c r="U137">
        <f t="shared" si="30"/>
        <v>2.2068741914286365</v>
      </c>
      <c r="V137">
        <v>-1</v>
      </c>
      <c r="W137" s="69">
        <f t="shared" si="38"/>
        <v>2.9311688311688311</v>
      </c>
      <c r="X137" s="69">
        <f t="shared" si="39"/>
        <v>-1.1724675324675324</v>
      </c>
      <c r="Y137">
        <f t="shared" si="40"/>
        <v>-0.20687419142863628</v>
      </c>
      <c r="Z137">
        <f t="shared" si="41"/>
        <v>2.2068741914286365</v>
      </c>
    </row>
    <row r="138" spans="9:26">
      <c r="I138">
        <f t="shared" si="31"/>
        <v>197.721490063907</v>
      </c>
      <c r="J138">
        <f t="shared" si="32"/>
        <v>230</v>
      </c>
      <c r="K138">
        <f t="shared" si="33"/>
        <v>378</v>
      </c>
      <c r="L138">
        <f t="shared" si="34"/>
        <v>156.47269016040096</v>
      </c>
      <c r="M138">
        <f t="shared" si="35"/>
        <v>108.13895043686934</v>
      </c>
      <c r="N138" s="69">
        <f t="shared" si="36"/>
        <v>91.394094063596299</v>
      </c>
      <c r="O138">
        <v>101</v>
      </c>
      <c r="P138">
        <f t="shared" si="29"/>
        <v>1.9381577650504889</v>
      </c>
      <c r="Q138">
        <f t="shared" si="37"/>
        <v>-0.87176086817483456</v>
      </c>
      <c r="R138">
        <f t="shared" si="30"/>
        <v>-0.2189429333429227</v>
      </c>
      <c r="S138">
        <f t="shared" si="30"/>
        <v>0.39052853332853865</v>
      </c>
      <c r="T138">
        <f t="shared" si="30"/>
        <v>1.6094714666714613</v>
      </c>
      <c r="U138">
        <f t="shared" si="30"/>
        <v>2.2189429333429227</v>
      </c>
      <c r="V138">
        <v>-0.98</v>
      </c>
      <c r="W138" s="69">
        <f t="shared" si="38"/>
        <v>2.9311688311688311</v>
      </c>
      <c r="X138" s="69">
        <f t="shared" si="39"/>
        <v>-1.1724675324675324</v>
      </c>
      <c r="Y138">
        <f t="shared" si="40"/>
        <v>-0.2189429333429227</v>
      </c>
      <c r="Z138">
        <f t="shared" si="41"/>
        <v>2.2189429333429227</v>
      </c>
    </row>
    <row r="139" spans="9:26">
      <c r="I139">
        <f t="shared" si="31"/>
        <v>197.721490063907</v>
      </c>
      <c r="J139">
        <f t="shared" si="32"/>
        <v>230</v>
      </c>
      <c r="K139">
        <f t="shared" si="33"/>
        <v>378</v>
      </c>
      <c r="L139">
        <f t="shared" si="34"/>
        <v>156.47269016040096</v>
      </c>
      <c r="M139" s="19">
        <f t="shared" si="35"/>
        <v>108.13895043686934</v>
      </c>
      <c r="N139" s="69">
        <f t="shared" si="36"/>
        <v>91.394094063596299</v>
      </c>
      <c r="O139">
        <v>102</v>
      </c>
      <c r="P139">
        <f t="shared" si="29"/>
        <v>1.9767271235746773</v>
      </c>
      <c r="Q139">
        <f t="shared" si="37"/>
        <v>-0.88910891799735103</v>
      </c>
      <c r="R139">
        <f t="shared" si="30"/>
        <v>-0.23101167525720911</v>
      </c>
      <c r="S139">
        <f t="shared" si="30"/>
        <v>0.38449416237139544</v>
      </c>
      <c r="T139">
        <f t="shared" si="30"/>
        <v>1.6155058376286044</v>
      </c>
      <c r="U139">
        <f t="shared" si="30"/>
        <v>2.2310116752572089</v>
      </c>
      <c r="V139">
        <v>-0.96</v>
      </c>
      <c r="W139" s="69">
        <f t="shared" si="38"/>
        <v>2.9311688311688311</v>
      </c>
      <c r="X139" s="69">
        <f t="shared" si="39"/>
        <v>-1.1724675324675324</v>
      </c>
      <c r="Y139">
        <f t="shared" si="40"/>
        <v>-0.23101167525720911</v>
      </c>
      <c r="Z139">
        <f t="shared" si="41"/>
        <v>2.2310116752572089</v>
      </c>
    </row>
    <row r="140" spans="9:26">
      <c r="I140">
        <f t="shared" si="31"/>
        <v>197.721490063907</v>
      </c>
      <c r="J140">
        <f t="shared" si="32"/>
        <v>230</v>
      </c>
      <c r="K140">
        <f t="shared" si="33"/>
        <v>378</v>
      </c>
      <c r="L140">
        <f t="shared" si="34"/>
        <v>156.47269016040096</v>
      </c>
      <c r="M140">
        <f t="shared" si="35"/>
        <v>108.13895043686934</v>
      </c>
      <c r="N140" s="69">
        <f t="shared" si="36"/>
        <v>91.394094063596299</v>
      </c>
      <c r="O140">
        <v>103</v>
      </c>
      <c r="P140">
        <f t="shared" si="29"/>
        <v>2.015676475778907</v>
      </c>
      <c r="Q140">
        <f t="shared" si="37"/>
        <v>-0.90662788456688759</v>
      </c>
      <c r="R140">
        <f t="shared" si="30"/>
        <v>-0.24308041717149553</v>
      </c>
      <c r="S140">
        <f t="shared" si="30"/>
        <v>0.37845979141425223</v>
      </c>
      <c r="T140">
        <f t="shared" si="30"/>
        <v>1.6215402085857478</v>
      </c>
      <c r="U140">
        <f t="shared" si="30"/>
        <v>2.2430804171714955</v>
      </c>
      <c r="V140">
        <v>-0.94</v>
      </c>
      <c r="W140" s="69">
        <f t="shared" si="38"/>
        <v>2.9311688311688311</v>
      </c>
      <c r="X140" s="69">
        <f t="shared" si="39"/>
        <v>-1.1724675324675324</v>
      </c>
      <c r="Y140">
        <f t="shared" si="40"/>
        <v>-0.24308041717149553</v>
      </c>
      <c r="Z140">
        <f t="shared" si="41"/>
        <v>2.2430804171714955</v>
      </c>
    </row>
    <row r="141" spans="9:26">
      <c r="I141">
        <f t="shared" si="31"/>
        <v>197.721490063907</v>
      </c>
      <c r="J141">
        <f t="shared" si="32"/>
        <v>230</v>
      </c>
      <c r="K141">
        <f t="shared" si="33"/>
        <v>378</v>
      </c>
      <c r="L141">
        <f t="shared" si="34"/>
        <v>156.47269016040096</v>
      </c>
      <c r="M141">
        <f t="shared" si="35"/>
        <v>108.13895043686934</v>
      </c>
      <c r="N141" s="69">
        <f t="shared" si="36"/>
        <v>91.394094063596299</v>
      </c>
      <c r="O141">
        <v>104</v>
      </c>
      <c r="P141">
        <f t="shared" si="29"/>
        <v>2.0550058216631784</v>
      </c>
      <c r="Q141">
        <f t="shared" si="37"/>
        <v>-0.92431776788344389</v>
      </c>
      <c r="R141">
        <f t="shared" si="30"/>
        <v>-0.25514915908578195</v>
      </c>
      <c r="S141">
        <f t="shared" si="30"/>
        <v>0.37242542045710902</v>
      </c>
      <c r="T141">
        <f t="shared" si="30"/>
        <v>1.6275745795428911</v>
      </c>
      <c r="U141">
        <f t="shared" si="30"/>
        <v>2.2551491590857822</v>
      </c>
      <c r="V141">
        <v>-0.92</v>
      </c>
      <c r="W141" s="69">
        <f t="shared" si="38"/>
        <v>2.9311688311688311</v>
      </c>
      <c r="X141" s="69">
        <f t="shared" si="39"/>
        <v>-1.1724675324675324</v>
      </c>
      <c r="Y141">
        <f t="shared" si="40"/>
        <v>-0.25514915908578195</v>
      </c>
      <c r="Z141">
        <f t="shared" si="41"/>
        <v>2.2551491590857822</v>
      </c>
    </row>
    <row r="142" spans="9:26">
      <c r="I142">
        <f t="shared" si="31"/>
        <v>197.721490063907</v>
      </c>
      <c r="J142">
        <f t="shared" si="32"/>
        <v>230</v>
      </c>
      <c r="K142">
        <f t="shared" si="33"/>
        <v>378</v>
      </c>
      <c r="L142">
        <f t="shared" si="34"/>
        <v>156.47269016040096</v>
      </c>
      <c r="M142">
        <f t="shared" si="35"/>
        <v>108.13895043686934</v>
      </c>
      <c r="N142" s="69">
        <f t="shared" si="36"/>
        <v>91.394094063596299</v>
      </c>
      <c r="O142">
        <v>105</v>
      </c>
      <c r="P142">
        <f t="shared" si="29"/>
        <v>2.0947151612274908</v>
      </c>
      <c r="Q142">
        <f t="shared" si="37"/>
        <v>-0.94217856794701993</v>
      </c>
      <c r="R142">
        <f t="shared" si="30"/>
        <v>-0.26721790100006837</v>
      </c>
      <c r="S142">
        <f t="shared" si="30"/>
        <v>0.36639104949996582</v>
      </c>
      <c r="T142">
        <f t="shared" si="30"/>
        <v>1.6336089505000342</v>
      </c>
      <c r="U142">
        <f t="shared" si="30"/>
        <v>2.2672179010000684</v>
      </c>
      <c r="V142">
        <v>-0.9</v>
      </c>
      <c r="W142" s="69">
        <f t="shared" si="38"/>
        <v>2.9311688311688311</v>
      </c>
      <c r="X142" s="69">
        <f t="shared" si="39"/>
        <v>-1.1724675324675324</v>
      </c>
      <c r="Y142">
        <f t="shared" si="40"/>
        <v>-0.26721790100006837</v>
      </c>
      <c r="Z142">
        <f t="shared" si="41"/>
        <v>2.2672179010000684</v>
      </c>
    </row>
    <row r="143" spans="9:26">
      <c r="I143">
        <f t="shared" si="31"/>
        <v>197.721490063907</v>
      </c>
      <c r="J143">
        <f t="shared" si="32"/>
        <v>230</v>
      </c>
      <c r="K143">
        <f t="shared" si="33"/>
        <v>378</v>
      </c>
      <c r="L143">
        <f t="shared" si="34"/>
        <v>156.47269016040096</v>
      </c>
      <c r="M143">
        <f t="shared" si="35"/>
        <v>108.13895043686934</v>
      </c>
      <c r="N143" s="69">
        <f t="shared" si="36"/>
        <v>91.394094063596299</v>
      </c>
      <c r="O143">
        <v>106</v>
      </c>
      <c r="P143">
        <f t="shared" si="29"/>
        <v>2.1348044944718452</v>
      </c>
      <c r="Q143">
        <f t="shared" si="37"/>
        <v>-0.96021028475761605</v>
      </c>
      <c r="R143">
        <f t="shared" si="30"/>
        <v>-0.27928664291435479</v>
      </c>
      <c r="S143">
        <f t="shared" si="30"/>
        <v>0.36035667854282261</v>
      </c>
      <c r="T143">
        <f t="shared" si="30"/>
        <v>1.6396433214571773</v>
      </c>
      <c r="U143">
        <f t="shared" si="30"/>
        <v>2.2792866429143546</v>
      </c>
      <c r="V143">
        <v>-0.88</v>
      </c>
      <c r="W143" s="69">
        <f t="shared" si="38"/>
        <v>2.9311688311688311</v>
      </c>
      <c r="X143" s="69">
        <f t="shared" si="39"/>
        <v>-1.1724675324675324</v>
      </c>
      <c r="Y143">
        <f t="shared" si="40"/>
        <v>-0.27928664291435479</v>
      </c>
      <c r="Z143">
        <f t="shared" si="41"/>
        <v>2.2792866429143546</v>
      </c>
    </row>
    <row r="144" spans="9:26">
      <c r="I144">
        <f t="shared" si="31"/>
        <v>197.721490063907</v>
      </c>
      <c r="J144">
        <f t="shared" si="32"/>
        <v>230</v>
      </c>
      <c r="K144">
        <f t="shared" si="33"/>
        <v>378</v>
      </c>
      <c r="L144">
        <f t="shared" si="34"/>
        <v>156.47269016040096</v>
      </c>
      <c r="M144">
        <f t="shared" si="35"/>
        <v>108.13895043686934</v>
      </c>
      <c r="N144" s="69">
        <f t="shared" si="36"/>
        <v>91.394094063596299</v>
      </c>
      <c r="O144">
        <v>107</v>
      </c>
      <c r="P144">
        <f t="shared" si="29"/>
        <v>2.1752738213962397</v>
      </c>
      <c r="Q144">
        <f t="shared" si="37"/>
        <v>-0.97841291831523181</v>
      </c>
      <c r="R144">
        <f t="shared" si="30"/>
        <v>-0.29135538482864098</v>
      </c>
      <c r="S144">
        <f t="shared" si="30"/>
        <v>0.35432230758567951</v>
      </c>
      <c r="T144">
        <f t="shared" si="30"/>
        <v>1.6456776924143206</v>
      </c>
      <c r="U144">
        <f t="shared" si="30"/>
        <v>2.2913553848286412</v>
      </c>
      <c r="V144">
        <v>-0.86</v>
      </c>
      <c r="W144" s="69">
        <f t="shared" si="38"/>
        <v>2.9311688311688311</v>
      </c>
      <c r="X144" s="69">
        <f t="shared" si="39"/>
        <v>-1.1724675324675324</v>
      </c>
      <c r="Y144">
        <f t="shared" si="40"/>
        <v>-0.29135538482864098</v>
      </c>
      <c r="Z144">
        <f t="shared" si="41"/>
        <v>2.2913553848286412</v>
      </c>
    </row>
    <row r="145" spans="9:26">
      <c r="I145">
        <f t="shared" si="31"/>
        <v>197.721490063907</v>
      </c>
      <c r="J145">
        <f t="shared" si="32"/>
        <v>230</v>
      </c>
      <c r="K145">
        <f t="shared" si="33"/>
        <v>378</v>
      </c>
      <c r="L145">
        <f t="shared" si="34"/>
        <v>156.47269016040096</v>
      </c>
      <c r="M145">
        <f t="shared" si="35"/>
        <v>108.13895043686934</v>
      </c>
      <c r="N145" s="69">
        <f t="shared" si="36"/>
        <v>91.394094063596299</v>
      </c>
      <c r="O145">
        <v>108</v>
      </c>
      <c r="P145">
        <f t="shared" si="29"/>
        <v>2.2161231420006762</v>
      </c>
      <c r="Q145">
        <f t="shared" si="37"/>
        <v>-0.99678646861986764</v>
      </c>
      <c r="R145">
        <f t="shared" si="30"/>
        <v>-0.3034241267429274</v>
      </c>
      <c r="S145">
        <f t="shared" si="30"/>
        <v>0.3482879366285363</v>
      </c>
      <c r="T145">
        <f t="shared" si="30"/>
        <v>1.6517120633714637</v>
      </c>
      <c r="U145">
        <f t="shared" si="30"/>
        <v>2.3034241267429274</v>
      </c>
      <c r="V145">
        <v>-0.84</v>
      </c>
      <c r="W145" s="69">
        <f t="shared" si="38"/>
        <v>2.9311688311688311</v>
      </c>
      <c r="X145" s="69">
        <f t="shared" si="39"/>
        <v>-1.1724675324675324</v>
      </c>
      <c r="Y145">
        <f t="shared" si="40"/>
        <v>-0.3034241267429274</v>
      </c>
      <c r="Z145">
        <f t="shared" si="41"/>
        <v>2.3034241267429274</v>
      </c>
    </row>
    <row r="146" spans="9:26">
      <c r="I146">
        <f t="shared" si="31"/>
        <v>197.721490063907</v>
      </c>
      <c r="J146">
        <f t="shared" si="32"/>
        <v>230</v>
      </c>
      <c r="K146">
        <f t="shared" si="33"/>
        <v>378</v>
      </c>
      <c r="L146">
        <f t="shared" si="34"/>
        <v>156.47269016040096</v>
      </c>
      <c r="M146">
        <f t="shared" si="35"/>
        <v>108.13895043686934</v>
      </c>
      <c r="N146" s="69">
        <f t="shared" si="36"/>
        <v>91.394094063596299</v>
      </c>
      <c r="O146">
        <v>109</v>
      </c>
      <c r="P146">
        <f t="shared" si="29"/>
        <v>2.2573524562851541</v>
      </c>
      <c r="Q146">
        <f t="shared" si="37"/>
        <v>-1.0153309356715232</v>
      </c>
      <c r="R146">
        <f t="shared" si="30"/>
        <v>-0.31549286865721382</v>
      </c>
      <c r="S146">
        <f t="shared" si="30"/>
        <v>0.34225356567139309</v>
      </c>
      <c r="T146">
        <f t="shared" si="30"/>
        <v>1.6577464343286068</v>
      </c>
      <c r="U146">
        <f t="shared" si="30"/>
        <v>2.3154928686572136</v>
      </c>
      <c r="V146">
        <v>-0.82</v>
      </c>
      <c r="W146" s="69">
        <f t="shared" si="38"/>
        <v>2.9311688311688311</v>
      </c>
      <c r="X146" s="69">
        <f t="shared" si="39"/>
        <v>-1.1724675324675324</v>
      </c>
      <c r="Y146">
        <f t="shared" si="40"/>
        <v>-0.31549286865721382</v>
      </c>
      <c r="Z146">
        <f t="shared" si="41"/>
        <v>2.3154928686572136</v>
      </c>
    </row>
    <row r="147" spans="9:26">
      <c r="I147">
        <f t="shared" si="31"/>
        <v>197.721490063907</v>
      </c>
      <c r="J147">
        <f t="shared" si="32"/>
        <v>230</v>
      </c>
      <c r="K147">
        <f t="shared" si="33"/>
        <v>378</v>
      </c>
      <c r="L147">
        <f t="shared" si="34"/>
        <v>156.47269016040096</v>
      </c>
      <c r="M147">
        <f t="shared" si="35"/>
        <v>108.13895043686934</v>
      </c>
      <c r="N147" s="69">
        <f t="shared" si="36"/>
        <v>91.394094063596299</v>
      </c>
      <c r="O147">
        <v>110</v>
      </c>
      <c r="P147">
        <f t="shared" si="29"/>
        <v>2.2989617642496727</v>
      </c>
      <c r="Q147" s="19">
        <f t="shared" si="37"/>
        <v>-1.0340463194701988</v>
      </c>
      <c r="R147">
        <f t="shared" si="30"/>
        <v>-0.32756161057150024</v>
      </c>
      <c r="S147">
        <f t="shared" si="30"/>
        <v>0.33621919471424988</v>
      </c>
      <c r="T147">
        <f t="shared" si="30"/>
        <v>1.6637808052857501</v>
      </c>
      <c r="U147">
        <f t="shared" si="30"/>
        <v>2.3275616105715002</v>
      </c>
      <c r="V147">
        <v>-0.8</v>
      </c>
      <c r="W147" s="69">
        <f t="shared" si="38"/>
        <v>2.9311688311688311</v>
      </c>
      <c r="X147" s="236">
        <f t="shared" si="39"/>
        <v>-1.1724675324675324</v>
      </c>
      <c r="Y147">
        <f t="shared" si="40"/>
        <v>-0.32756161057150024</v>
      </c>
      <c r="Z147">
        <f t="shared" si="41"/>
        <v>2.3275616105715002</v>
      </c>
    </row>
    <row r="148" spans="9:26">
      <c r="I148">
        <f t="shared" si="31"/>
        <v>197.721490063907</v>
      </c>
      <c r="J148">
        <f t="shared" si="32"/>
        <v>230</v>
      </c>
      <c r="K148">
        <f t="shared" si="33"/>
        <v>378</v>
      </c>
      <c r="L148">
        <f t="shared" si="34"/>
        <v>156.47269016040096</v>
      </c>
      <c r="M148">
        <f t="shared" si="35"/>
        <v>108.13895043686934</v>
      </c>
      <c r="N148" s="69">
        <f t="shared" si="36"/>
        <v>91.394094063596299</v>
      </c>
      <c r="O148">
        <v>111</v>
      </c>
      <c r="P148">
        <f t="shared" si="29"/>
        <v>2.3409510658942327</v>
      </c>
      <c r="Q148">
        <f t="shared" si="37"/>
        <v>-1.0529326200158942</v>
      </c>
      <c r="R148">
        <f t="shared" si="30"/>
        <v>-0.33963035248578644</v>
      </c>
      <c r="S148">
        <f t="shared" si="30"/>
        <v>0.33018482375710678</v>
      </c>
      <c r="T148">
        <f t="shared" si="30"/>
        <v>1.6698151762428932</v>
      </c>
      <c r="U148">
        <f t="shared" si="30"/>
        <v>2.3396303524857864</v>
      </c>
      <c r="V148">
        <v>-0.78</v>
      </c>
      <c r="W148" s="69">
        <f t="shared" si="38"/>
        <v>2.9311688311688311</v>
      </c>
      <c r="X148" s="69">
        <f t="shared" si="39"/>
        <v>-1.1724675324675324</v>
      </c>
      <c r="Y148">
        <f t="shared" si="40"/>
        <v>-0.33963035248578644</v>
      </c>
      <c r="Z148">
        <f t="shared" si="41"/>
        <v>2.3396303524857864</v>
      </c>
    </row>
    <row r="149" spans="9:26">
      <c r="I149">
        <f t="shared" si="31"/>
        <v>197.721490063907</v>
      </c>
      <c r="J149">
        <f t="shared" si="32"/>
        <v>230</v>
      </c>
      <c r="K149">
        <f t="shared" si="33"/>
        <v>378</v>
      </c>
      <c r="L149">
        <f t="shared" si="34"/>
        <v>156.47269016040096</v>
      </c>
      <c r="M149">
        <f t="shared" si="35"/>
        <v>108.13895043686934</v>
      </c>
      <c r="N149" s="69">
        <f t="shared" si="36"/>
        <v>91.394094063596299</v>
      </c>
      <c r="O149">
        <v>112</v>
      </c>
      <c r="P149">
        <f t="shared" si="29"/>
        <v>2.3833203612188343</v>
      </c>
      <c r="Q149">
        <f t="shared" si="37"/>
        <v>-1.0719898373086094</v>
      </c>
      <c r="R149">
        <f t="shared" si="30"/>
        <v>-0.35169909440007285</v>
      </c>
      <c r="S149">
        <f t="shared" si="30"/>
        <v>0.32415045279996357</v>
      </c>
      <c r="T149">
        <f t="shared" si="30"/>
        <v>1.6758495472000363</v>
      </c>
      <c r="U149">
        <f t="shared" si="30"/>
        <v>2.3516990944000726</v>
      </c>
      <c r="V149">
        <v>-0.76</v>
      </c>
      <c r="W149" s="69">
        <f t="shared" si="38"/>
        <v>2.9311688311688311</v>
      </c>
      <c r="X149" s="69">
        <f t="shared" si="39"/>
        <v>-1.1724675324675324</v>
      </c>
      <c r="Y149">
        <f t="shared" si="40"/>
        <v>-0.35169909440007285</v>
      </c>
      <c r="Z149">
        <f t="shared" si="41"/>
        <v>2.3516990944000726</v>
      </c>
    </row>
    <row r="150" spans="9:26">
      <c r="I150">
        <f t="shared" si="31"/>
        <v>197.721490063907</v>
      </c>
      <c r="J150">
        <f t="shared" si="32"/>
        <v>230</v>
      </c>
      <c r="K150">
        <f t="shared" si="33"/>
        <v>378</v>
      </c>
      <c r="L150">
        <f t="shared" si="34"/>
        <v>156.47269016040096</v>
      </c>
      <c r="M150">
        <f t="shared" si="35"/>
        <v>108.13895043686934</v>
      </c>
      <c r="N150" s="69">
        <f t="shared" si="36"/>
        <v>91.394094063596299</v>
      </c>
      <c r="O150">
        <v>113</v>
      </c>
      <c r="P150">
        <f t="shared" si="29"/>
        <v>2.4260696502234769</v>
      </c>
      <c r="Q150">
        <f t="shared" si="37"/>
        <v>-1.0912179713483443</v>
      </c>
      <c r="R150">
        <f t="shared" si="30"/>
        <v>-0.36376783631435927</v>
      </c>
      <c r="S150">
        <f t="shared" si="30"/>
        <v>0.31811608184282036</v>
      </c>
      <c r="T150">
        <f t="shared" si="30"/>
        <v>1.6818839181571796</v>
      </c>
      <c r="U150">
        <f t="shared" si="30"/>
        <v>2.3637678363143593</v>
      </c>
      <c r="V150">
        <v>-0.74</v>
      </c>
      <c r="W150" s="69">
        <f t="shared" si="38"/>
        <v>2.9311688311688311</v>
      </c>
      <c r="X150" s="69">
        <f t="shared" si="39"/>
        <v>-1.1724675324675324</v>
      </c>
      <c r="Y150">
        <f t="shared" si="40"/>
        <v>-0.36376783631435927</v>
      </c>
      <c r="Z150">
        <f t="shared" si="41"/>
        <v>2.3637678363143593</v>
      </c>
    </row>
    <row r="151" spans="9:26">
      <c r="I151">
        <f t="shared" si="31"/>
        <v>197.721490063907</v>
      </c>
      <c r="J151">
        <f t="shared" si="32"/>
        <v>230</v>
      </c>
      <c r="K151">
        <f t="shared" si="33"/>
        <v>378</v>
      </c>
      <c r="L151">
        <f t="shared" si="34"/>
        <v>156.47269016040096</v>
      </c>
      <c r="M151">
        <f t="shared" si="35"/>
        <v>108.13895043686934</v>
      </c>
      <c r="N151" s="69">
        <f t="shared" si="36"/>
        <v>91.394094063596299</v>
      </c>
      <c r="O151">
        <v>114</v>
      </c>
      <c r="P151">
        <f t="shared" si="29"/>
        <v>2.4691989329081609</v>
      </c>
      <c r="Q151">
        <f t="shared" si="37"/>
        <v>-1.1106170221350993</v>
      </c>
      <c r="R151">
        <f t="shared" si="30"/>
        <v>-0.37583657822864569</v>
      </c>
      <c r="S151">
        <f t="shared" si="30"/>
        <v>0.31208171088567715</v>
      </c>
      <c r="T151">
        <f t="shared" si="30"/>
        <v>1.687918289114323</v>
      </c>
      <c r="U151">
        <f t="shared" si="30"/>
        <v>2.3758365782286459</v>
      </c>
      <c r="V151">
        <v>-0.72</v>
      </c>
      <c r="W151" s="69">
        <f t="shared" si="38"/>
        <v>2.9311688311688311</v>
      </c>
      <c r="X151" s="69">
        <f t="shared" si="39"/>
        <v>-1.1724675324675324</v>
      </c>
      <c r="Y151">
        <f t="shared" si="40"/>
        <v>-0.37583657822864569</v>
      </c>
      <c r="Z151">
        <f t="shared" si="41"/>
        <v>2.3758365782286459</v>
      </c>
    </row>
    <row r="152" spans="9:26">
      <c r="I152">
        <f t="shared" si="31"/>
        <v>197.721490063907</v>
      </c>
      <c r="J152">
        <f t="shared" si="32"/>
        <v>230</v>
      </c>
      <c r="K152">
        <f t="shared" si="33"/>
        <v>378</v>
      </c>
      <c r="L152">
        <f t="shared" si="34"/>
        <v>156.47269016040096</v>
      </c>
      <c r="M152">
        <f t="shared" si="35"/>
        <v>108.13895043686934</v>
      </c>
      <c r="N152" s="69">
        <f t="shared" si="36"/>
        <v>91.394094063596299</v>
      </c>
      <c r="O152">
        <v>115</v>
      </c>
      <c r="P152">
        <f t="shared" si="29"/>
        <v>2.5127082092728856</v>
      </c>
      <c r="Q152">
        <f t="shared" si="37"/>
        <v>-1.1301869896688743</v>
      </c>
      <c r="R152">
        <f t="shared" si="30"/>
        <v>-0.38790532014293189</v>
      </c>
      <c r="S152">
        <f t="shared" si="30"/>
        <v>0.30604733992853406</v>
      </c>
      <c r="T152">
        <f t="shared" si="30"/>
        <v>1.6939526600714658</v>
      </c>
      <c r="U152">
        <f t="shared" si="30"/>
        <v>2.3879053201429317</v>
      </c>
      <c r="V152">
        <v>-0.7</v>
      </c>
      <c r="W152" s="69">
        <f t="shared" si="38"/>
        <v>2.9311688311688311</v>
      </c>
      <c r="X152" s="69">
        <f t="shared" si="39"/>
        <v>-1.1724675324675324</v>
      </c>
      <c r="Y152">
        <f t="shared" si="40"/>
        <v>-0.38790532014293189</v>
      </c>
      <c r="Z152">
        <f t="shared" si="41"/>
        <v>2.3879053201429317</v>
      </c>
    </row>
    <row r="153" spans="9:26">
      <c r="I153">
        <f t="shared" si="31"/>
        <v>197.721490063907</v>
      </c>
      <c r="J153">
        <f t="shared" si="32"/>
        <v>230</v>
      </c>
      <c r="K153">
        <f t="shared" si="33"/>
        <v>378</v>
      </c>
      <c r="L153">
        <f t="shared" si="34"/>
        <v>156.47269016040096</v>
      </c>
      <c r="M153">
        <f t="shared" si="35"/>
        <v>108.13895043686934</v>
      </c>
      <c r="N153" s="69">
        <f t="shared" si="36"/>
        <v>91.394094063596299</v>
      </c>
      <c r="O153">
        <v>116</v>
      </c>
      <c r="P153">
        <f t="shared" si="29"/>
        <v>2.5565974793176527</v>
      </c>
      <c r="Q153">
        <f t="shared" si="37"/>
        <v>-1.149927873949669</v>
      </c>
      <c r="R153">
        <f t="shared" si="30"/>
        <v>-0.3999740620572183</v>
      </c>
      <c r="S153">
        <f t="shared" si="30"/>
        <v>0.30001296897139085</v>
      </c>
      <c r="T153">
        <f t="shared" si="30"/>
        <v>1.6999870310286092</v>
      </c>
      <c r="U153">
        <f t="shared" si="30"/>
        <v>2.3999740620572183</v>
      </c>
      <c r="V153">
        <v>-0.68</v>
      </c>
      <c r="W153" s="69">
        <f t="shared" si="38"/>
        <v>2.9311688311688311</v>
      </c>
      <c r="X153" s="69">
        <f t="shared" si="39"/>
        <v>-1.1724675324675324</v>
      </c>
      <c r="Y153">
        <f t="shared" si="40"/>
        <v>-0.3999740620572183</v>
      </c>
      <c r="Z153">
        <f t="shared" si="41"/>
        <v>2.3999740620572183</v>
      </c>
    </row>
    <row r="154" spans="9:26">
      <c r="I154">
        <f t="shared" si="31"/>
        <v>197.721490063907</v>
      </c>
      <c r="J154">
        <f t="shared" si="32"/>
        <v>230</v>
      </c>
      <c r="K154">
        <f t="shared" si="33"/>
        <v>378</v>
      </c>
      <c r="L154">
        <f t="shared" si="34"/>
        <v>156.47269016040096</v>
      </c>
      <c r="M154">
        <f t="shared" si="35"/>
        <v>108.13895043686934</v>
      </c>
      <c r="N154" s="69">
        <f t="shared" si="36"/>
        <v>91.394094063596299</v>
      </c>
      <c r="O154">
        <v>117</v>
      </c>
      <c r="P154">
        <f t="shared" si="29"/>
        <v>2.6008667430424608</v>
      </c>
      <c r="Q154">
        <f t="shared" si="37"/>
        <v>-1.1698396749774833</v>
      </c>
      <c r="R154">
        <f t="shared" si="30"/>
        <v>-0.41204280397150472</v>
      </c>
      <c r="S154">
        <f t="shared" si="30"/>
        <v>0.29397859801424764</v>
      </c>
      <c r="T154">
        <f t="shared" si="30"/>
        <v>1.7060214019857525</v>
      </c>
      <c r="U154">
        <f t="shared" si="30"/>
        <v>2.4120428039715049</v>
      </c>
      <c r="V154">
        <v>-0.66</v>
      </c>
      <c r="W154" s="69">
        <f t="shared" si="38"/>
        <v>2.9311688311688311</v>
      </c>
      <c r="X154" s="69">
        <f t="shared" si="39"/>
        <v>-1.1724675324675324</v>
      </c>
      <c r="Y154">
        <f t="shared" si="40"/>
        <v>-0.41204280397150472</v>
      </c>
      <c r="Z154">
        <f t="shared" si="41"/>
        <v>2.4120428039715049</v>
      </c>
    </row>
    <row r="155" spans="9:26">
      <c r="I155">
        <f t="shared" si="31"/>
        <v>197.721490063907</v>
      </c>
      <c r="J155">
        <f t="shared" si="32"/>
        <v>230</v>
      </c>
      <c r="K155">
        <f t="shared" si="33"/>
        <v>378</v>
      </c>
      <c r="L155">
        <f t="shared" si="34"/>
        <v>156.47269016040096</v>
      </c>
      <c r="M155">
        <f t="shared" si="35"/>
        <v>108.13895043686934</v>
      </c>
      <c r="N155" s="69">
        <f t="shared" si="36"/>
        <v>91.394094063596299</v>
      </c>
      <c r="O155">
        <v>118</v>
      </c>
      <c r="P155">
        <f t="shared" si="29"/>
        <v>2.6455160004473095</v>
      </c>
      <c r="Q155">
        <f t="shared" si="37"/>
        <v>-1.1899223927523179</v>
      </c>
      <c r="R155">
        <f t="shared" si="30"/>
        <v>-0.42411154588579092</v>
      </c>
      <c r="S155">
        <f t="shared" si="30"/>
        <v>0.28794422705710454</v>
      </c>
      <c r="T155">
        <f t="shared" si="30"/>
        <v>1.7120557729428953</v>
      </c>
      <c r="U155">
        <f t="shared" si="30"/>
        <v>2.4241115458857907</v>
      </c>
      <c r="V155">
        <v>-0.64</v>
      </c>
      <c r="W155" s="69">
        <f t="shared" si="38"/>
        <v>2.9311688311688311</v>
      </c>
      <c r="X155" s="69">
        <f t="shared" si="39"/>
        <v>-1.1724675324675324</v>
      </c>
      <c r="Y155">
        <f t="shared" si="40"/>
        <v>-0.42411154588579092</v>
      </c>
      <c r="Z155">
        <f t="shared" si="41"/>
        <v>2.4241115458857907</v>
      </c>
    </row>
    <row r="156" spans="9:26">
      <c r="I156">
        <f t="shared" si="31"/>
        <v>197.721490063907</v>
      </c>
      <c r="J156">
        <f t="shared" si="32"/>
        <v>230</v>
      </c>
      <c r="K156">
        <f t="shared" si="33"/>
        <v>378</v>
      </c>
      <c r="L156">
        <f t="shared" si="34"/>
        <v>156.47269016040096</v>
      </c>
      <c r="M156">
        <f t="shared" si="35"/>
        <v>108.13895043686934</v>
      </c>
      <c r="N156" s="69">
        <f t="shared" si="36"/>
        <v>91.394094063596299</v>
      </c>
      <c r="O156">
        <v>119</v>
      </c>
      <c r="P156">
        <f t="shared" si="29"/>
        <v>2.6905452515321997</v>
      </c>
      <c r="Q156">
        <f t="shared" si="37"/>
        <v>-1.2101760272741722</v>
      </c>
      <c r="R156">
        <f t="shared" si="30"/>
        <v>-0.43618028780007734</v>
      </c>
      <c r="S156">
        <f t="shared" si="30"/>
        <v>0.28190985609996133</v>
      </c>
      <c r="T156">
        <f t="shared" si="30"/>
        <v>1.7180901439000387</v>
      </c>
      <c r="U156">
        <f t="shared" si="30"/>
        <v>2.4361802878000773</v>
      </c>
      <c r="V156">
        <v>-0.62</v>
      </c>
      <c r="W156" s="69">
        <f t="shared" si="38"/>
        <v>2.9311688311688311</v>
      </c>
      <c r="X156" s="69">
        <f t="shared" si="39"/>
        <v>-1.1724675324675324</v>
      </c>
      <c r="Y156">
        <f t="shared" si="40"/>
        <v>-0.43618028780007734</v>
      </c>
      <c r="Z156">
        <f t="shared" si="41"/>
        <v>2.4361802878000773</v>
      </c>
    </row>
    <row r="157" spans="9:26">
      <c r="I157">
        <f t="shared" si="31"/>
        <v>197.721490063907</v>
      </c>
      <c r="J157">
        <f t="shared" si="32"/>
        <v>230</v>
      </c>
      <c r="K157">
        <f t="shared" si="33"/>
        <v>378</v>
      </c>
      <c r="L157">
        <f t="shared" si="34"/>
        <v>156.47269016040096</v>
      </c>
      <c r="M157">
        <f t="shared" si="35"/>
        <v>108.13895043686934</v>
      </c>
      <c r="N157" s="69">
        <f t="shared" si="36"/>
        <v>91.394094063596299</v>
      </c>
      <c r="O157">
        <v>120</v>
      </c>
      <c r="P157">
        <f t="shared" si="29"/>
        <v>2.7359544962971309</v>
      </c>
      <c r="Q157">
        <f t="shared" si="37"/>
        <v>-1.2306005785430463</v>
      </c>
      <c r="R157">
        <f t="shared" si="30"/>
        <v>-0.44824902971436398</v>
      </c>
      <c r="S157">
        <f t="shared" si="30"/>
        <v>0.27587548514281801</v>
      </c>
      <c r="T157">
        <f t="shared" si="30"/>
        <v>1.724124514857182</v>
      </c>
      <c r="U157">
        <f t="shared" si="30"/>
        <v>2.448249029714364</v>
      </c>
      <c r="V157">
        <v>-0.6</v>
      </c>
      <c r="W157" s="69">
        <f t="shared" si="38"/>
        <v>2.9311688311688311</v>
      </c>
      <c r="X157" s="69">
        <f t="shared" si="39"/>
        <v>-1.1724675324675324</v>
      </c>
      <c r="Y157">
        <f t="shared" si="40"/>
        <v>-0.44824902971436398</v>
      </c>
      <c r="Z157">
        <f t="shared" si="41"/>
        <v>2.448249029714364</v>
      </c>
    </row>
    <row r="158" spans="9:26">
      <c r="I158">
        <f t="shared" si="31"/>
        <v>197.721490063907</v>
      </c>
      <c r="J158">
        <f t="shared" si="32"/>
        <v>230</v>
      </c>
      <c r="K158">
        <f t="shared" si="33"/>
        <v>378</v>
      </c>
      <c r="L158">
        <f t="shared" si="34"/>
        <v>156.47269016040096</v>
      </c>
      <c r="M158">
        <f t="shared" si="35"/>
        <v>108.13895043686934</v>
      </c>
      <c r="N158" s="69">
        <f t="shared" si="36"/>
        <v>91.394094063596299</v>
      </c>
      <c r="O158">
        <v>121</v>
      </c>
      <c r="P158">
        <f t="shared" si="29"/>
        <v>2.7817437347421041</v>
      </c>
      <c r="Q158">
        <f t="shared" si="37"/>
        <v>-1.2511960465589405</v>
      </c>
      <c r="R158">
        <f t="shared" si="30"/>
        <v>-0.46031777162865017</v>
      </c>
      <c r="S158">
        <f t="shared" si="30"/>
        <v>0.26984111418567491</v>
      </c>
      <c r="T158">
        <f t="shared" si="30"/>
        <v>1.7301588858143251</v>
      </c>
      <c r="U158">
        <f t="shared" si="30"/>
        <v>2.4603177716286502</v>
      </c>
      <c r="V158">
        <v>-0.57999999999999996</v>
      </c>
      <c r="W158" s="69">
        <f t="shared" si="38"/>
        <v>2.9311688311688311</v>
      </c>
      <c r="X158" s="69">
        <f t="shared" si="39"/>
        <v>-1.1724675324675324</v>
      </c>
      <c r="Y158">
        <f t="shared" si="40"/>
        <v>-0.46031777162865017</v>
      </c>
      <c r="Z158">
        <f t="shared" si="41"/>
        <v>2.4603177716286502</v>
      </c>
    </row>
    <row r="159" spans="9:26">
      <c r="I159">
        <f t="shared" si="31"/>
        <v>197.721490063907</v>
      </c>
      <c r="J159">
        <f t="shared" si="32"/>
        <v>230</v>
      </c>
      <c r="K159">
        <f t="shared" si="33"/>
        <v>378</v>
      </c>
      <c r="L159">
        <f t="shared" si="34"/>
        <v>156.47269016040096</v>
      </c>
      <c r="M159">
        <f t="shared" si="35"/>
        <v>108.13895043686934</v>
      </c>
      <c r="N159" s="69">
        <f t="shared" si="36"/>
        <v>91.394094063596299</v>
      </c>
      <c r="O159">
        <v>122</v>
      </c>
      <c r="P159">
        <f t="shared" si="29"/>
        <v>2.8279129668671183</v>
      </c>
      <c r="Q159">
        <f t="shared" si="37"/>
        <v>-1.2719624313218545</v>
      </c>
      <c r="R159">
        <f t="shared" si="30"/>
        <v>-0.47238651354293659</v>
      </c>
      <c r="S159">
        <f t="shared" si="30"/>
        <v>0.2638067432285317</v>
      </c>
      <c r="T159">
        <f t="shared" si="30"/>
        <v>1.7361932567714682</v>
      </c>
      <c r="U159">
        <f t="shared" si="30"/>
        <v>2.4723865135429364</v>
      </c>
      <c r="V159">
        <v>-0.56000000000000005</v>
      </c>
      <c r="W159" s="69">
        <f t="shared" si="38"/>
        <v>2.9311688311688311</v>
      </c>
      <c r="X159" s="69">
        <f t="shared" si="39"/>
        <v>-1.1724675324675324</v>
      </c>
      <c r="Y159">
        <f t="shared" si="40"/>
        <v>-0.47238651354293659</v>
      </c>
      <c r="Z159">
        <f t="shared" si="41"/>
        <v>2.4723865135429364</v>
      </c>
    </row>
    <row r="160" spans="9:26">
      <c r="I160">
        <f t="shared" si="31"/>
        <v>197.721490063907</v>
      </c>
      <c r="J160">
        <f t="shared" si="32"/>
        <v>230</v>
      </c>
      <c r="K160">
        <f t="shared" si="33"/>
        <v>378</v>
      </c>
      <c r="L160">
        <f t="shared" si="34"/>
        <v>156.47269016040096</v>
      </c>
      <c r="M160">
        <f t="shared" si="35"/>
        <v>108.13895043686934</v>
      </c>
      <c r="N160" s="69">
        <f t="shared" si="36"/>
        <v>91.394094063596299</v>
      </c>
      <c r="O160">
        <v>123</v>
      </c>
      <c r="P160">
        <f t="shared" si="29"/>
        <v>2.8744621926721732</v>
      </c>
      <c r="Q160">
        <f t="shared" si="37"/>
        <v>-1.2928997328317882</v>
      </c>
      <c r="R160">
        <f t="shared" si="30"/>
        <v>-0.48445525545722279</v>
      </c>
      <c r="S160">
        <f t="shared" si="30"/>
        <v>0.25777237227138861</v>
      </c>
      <c r="T160">
        <f t="shared" si="30"/>
        <v>1.7422276277286115</v>
      </c>
      <c r="U160">
        <f t="shared" si="30"/>
        <v>2.484455255457223</v>
      </c>
      <c r="V160">
        <v>-0.54</v>
      </c>
      <c r="W160" s="69">
        <f t="shared" si="38"/>
        <v>2.9311688311688311</v>
      </c>
      <c r="X160" s="69">
        <f t="shared" si="39"/>
        <v>-1.1724675324675324</v>
      </c>
      <c r="Y160">
        <f t="shared" si="40"/>
        <v>-0.48445525545722279</v>
      </c>
      <c r="Z160">
        <f t="shared" si="41"/>
        <v>2.484455255457223</v>
      </c>
    </row>
    <row r="161" spans="9:26">
      <c r="I161">
        <f t="shared" si="31"/>
        <v>197.721490063907</v>
      </c>
      <c r="J161">
        <f t="shared" si="32"/>
        <v>230</v>
      </c>
      <c r="K161">
        <f t="shared" si="33"/>
        <v>378</v>
      </c>
      <c r="L161">
        <f t="shared" si="34"/>
        <v>156.47269016040096</v>
      </c>
      <c r="M161">
        <f t="shared" si="35"/>
        <v>108.13895043686934</v>
      </c>
      <c r="N161" s="69">
        <f t="shared" si="36"/>
        <v>91.394094063596299</v>
      </c>
      <c r="O161">
        <v>124</v>
      </c>
      <c r="P161">
        <f t="shared" si="29"/>
        <v>2.9213914121572699</v>
      </c>
      <c r="Q161">
        <f t="shared" si="37"/>
        <v>-1.3140079510887419</v>
      </c>
      <c r="R161">
        <f t="shared" si="30"/>
        <v>-0.49652399737150898</v>
      </c>
      <c r="S161">
        <f t="shared" si="30"/>
        <v>0.25173800131424551</v>
      </c>
      <c r="T161">
        <f t="shared" si="30"/>
        <v>1.7482619986857544</v>
      </c>
      <c r="U161">
        <f t="shared" si="30"/>
        <v>2.4965239973715088</v>
      </c>
      <c r="V161">
        <v>-0.52</v>
      </c>
      <c r="W161" s="69">
        <f t="shared" si="38"/>
        <v>2.9311688311688311</v>
      </c>
      <c r="X161" s="69">
        <f t="shared" si="39"/>
        <v>-1.1724675324675324</v>
      </c>
      <c r="Y161">
        <f t="shared" si="40"/>
        <v>-0.49652399737150898</v>
      </c>
      <c r="Z161">
        <f t="shared" si="41"/>
        <v>2.4965239973715088</v>
      </c>
    </row>
    <row r="162" spans="9:26">
      <c r="I162">
        <f t="shared" si="31"/>
        <v>197.721490063907</v>
      </c>
      <c r="J162">
        <f t="shared" si="32"/>
        <v>230</v>
      </c>
      <c r="K162">
        <f t="shared" si="33"/>
        <v>378</v>
      </c>
      <c r="L162">
        <f t="shared" si="34"/>
        <v>156.47269016040096</v>
      </c>
      <c r="M162">
        <f t="shared" si="35"/>
        <v>108.13895043686934</v>
      </c>
      <c r="N162" s="69">
        <f t="shared" si="36"/>
        <v>91.394094063596299</v>
      </c>
      <c r="O162">
        <v>125</v>
      </c>
      <c r="P162">
        <f t="shared" si="29"/>
        <v>2.9687006253224082</v>
      </c>
      <c r="Q162">
        <f t="shared" si="37"/>
        <v>-1.3352870860927151</v>
      </c>
      <c r="R162">
        <f t="shared" si="30"/>
        <v>-0.5085927392857954</v>
      </c>
      <c r="S162">
        <f t="shared" si="30"/>
        <v>0.2457036303571023</v>
      </c>
      <c r="T162">
        <f t="shared" si="30"/>
        <v>1.7542963696428977</v>
      </c>
      <c r="U162">
        <f t="shared" si="30"/>
        <v>2.5085927392857954</v>
      </c>
      <c r="V162">
        <v>-0.5</v>
      </c>
      <c r="W162" s="69">
        <f t="shared" si="38"/>
        <v>2.9311688311688311</v>
      </c>
      <c r="X162" s="69">
        <f t="shared" si="39"/>
        <v>-1.1724675324675324</v>
      </c>
      <c r="Y162">
        <f t="shared" si="40"/>
        <v>-0.5085927392857954</v>
      </c>
      <c r="Z162">
        <f t="shared" si="41"/>
        <v>2.5085927392857954</v>
      </c>
    </row>
    <row r="163" spans="9:26">
      <c r="I163">
        <f t="shared" si="31"/>
        <v>197.721490063907</v>
      </c>
      <c r="J163">
        <f t="shared" si="32"/>
        <v>230</v>
      </c>
      <c r="K163">
        <f t="shared" si="33"/>
        <v>378</v>
      </c>
      <c r="L163">
        <f t="shared" si="34"/>
        <v>156.47269016040096</v>
      </c>
      <c r="M163">
        <f t="shared" si="35"/>
        <v>108.13895043686934</v>
      </c>
      <c r="N163" s="69">
        <f t="shared" si="36"/>
        <v>91.394094063596299</v>
      </c>
      <c r="O163">
        <v>126</v>
      </c>
      <c r="P163">
        <f t="shared" si="29"/>
        <v>3.016389832167587</v>
      </c>
      <c r="Q163">
        <f t="shared" si="37"/>
        <v>-1.3567371378437085</v>
      </c>
      <c r="R163">
        <f t="shared" si="30"/>
        <v>-0.52066148120008204</v>
      </c>
      <c r="S163">
        <f t="shared" si="30"/>
        <v>0.23966925939995898</v>
      </c>
      <c r="T163">
        <f t="shared" si="30"/>
        <v>1.760330740600041</v>
      </c>
      <c r="U163">
        <f t="shared" si="30"/>
        <v>2.520661481200082</v>
      </c>
      <c r="V163">
        <v>-0.48</v>
      </c>
      <c r="W163" s="69">
        <f t="shared" si="38"/>
        <v>2.9311688311688311</v>
      </c>
      <c r="X163" s="69">
        <f t="shared" si="39"/>
        <v>-1.1724675324675324</v>
      </c>
      <c r="Y163">
        <f t="shared" si="40"/>
        <v>-0.52066148120008204</v>
      </c>
      <c r="Z163">
        <f t="shared" si="41"/>
        <v>2.520661481200082</v>
      </c>
    </row>
    <row r="164" spans="9:26">
      <c r="I164">
        <f t="shared" si="31"/>
        <v>197.721490063907</v>
      </c>
      <c r="J164">
        <f t="shared" si="32"/>
        <v>230</v>
      </c>
      <c r="K164">
        <f t="shared" si="33"/>
        <v>378</v>
      </c>
      <c r="L164">
        <f t="shared" si="34"/>
        <v>156.47269016040096</v>
      </c>
      <c r="M164">
        <f t="shared" si="35"/>
        <v>108.13895043686934</v>
      </c>
      <c r="N164" s="69">
        <f t="shared" si="36"/>
        <v>91.394094063596299</v>
      </c>
      <c r="O164">
        <v>127</v>
      </c>
      <c r="P164">
        <f t="shared" si="29"/>
        <v>3.0644590326928078</v>
      </c>
      <c r="Q164">
        <f t="shared" si="37"/>
        <v>-1.3783581063417218</v>
      </c>
      <c r="R164">
        <f t="shared" si="30"/>
        <v>-0.53273022311436824</v>
      </c>
      <c r="S164">
        <f t="shared" si="30"/>
        <v>0.23363488844281588</v>
      </c>
      <c r="T164">
        <f t="shared" si="30"/>
        <v>1.7663651115571841</v>
      </c>
      <c r="U164">
        <f t="shared" ref="U164:U227" si="42">1+(($D$37*G$33*$O164*$D$17)/(498*($D$6/$D$4)))</f>
        <v>2.5327302231143682</v>
      </c>
      <c r="V164">
        <v>-0.46</v>
      </c>
      <c r="W164" s="69">
        <f t="shared" si="38"/>
        <v>2.9311688311688311</v>
      </c>
      <c r="X164" s="69">
        <f t="shared" si="39"/>
        <v>-1.1724675324675324</v>
      </c>
      <c r="Y164">
        <f t="shared" si="40"/>
        <v>-0.53273022311436824</v>
      </c>
      <c r="Z164">
        <f t="shared" si="41"/>
        <v>2.5327302231143682</v>
      </c>
    </row>
    <row r="165" spans="9:26">
      <c r="I165">
        <f t="shared" si="31"/>
        <v>197.721490063907</v>
      </c>
      <c r="J165">
        <f t="shared" si="32"/>
        <v>230</v>
      </c>
      <c r="K165">
        <f t="shared" si="33"/>
        <v>378</v>
      </c>
      <c r="L165">
        <f t="shared" si="34"/>
        <v>156.47269016040096</v>
      </c>
      <c r="M165">
        <f t="shared" si="35"/>
        <v>108.13895043686934</v>
      </c>
      <c r="N165" s="69">
        <f t="shared" si="36"/>
        <v>91.394094063596299</v>
      </c>
      <c r="O165">
        <v>128</v>
      </c>
      <c r="P165">
        <f t="shared" ref="P165:P228" si="43">0.003388*(O165^2*$D$4*$D$12)/$D$6</f>
        <v>3.1129082268980697</v>
      </c>
      <c r="Q165">
        <f t="shared" si="37"/>
        <v>-1.400149991586755</v>
      </c>
      <c r="R165">
        <f t="shared" ref="R165:U228" si="44">1+(($D$37*D$33*$O165*$D$17)/(498*($D$6/$D$4)))</f>
        <v>-0.54479896502865466</v>
      </c>
      <c r="S165">
        <f t="shared" si="44"/>
        <v>0.22760051748567267</v>
      </c>
      <c r="T165">
        <f t="shared" si="44"/>
        <v>1.7723994825143272</v>
      </c>
      <c r="U165">
        <f t="shared" si="42"/>
        <v>2.5447989650286544</v>
      </c>
      <c r="V165">
        <v>-0.44</v>
      </c>
      <c r="W165" s="69">
        <f t="shared" si="38"/>
        <v>2.9311688311688311</v>
      </c>
      <c r="X165" s="69">
        <f t="shared" si="39"/>
        <v>-1.1724675324675324</v>
      </c>
      <c r="Y165">
        <f t="shared" si="40"/>
        <v>-0.54479896502865466</v>
      </c>
      <c r="Z165">
        <f t="shared" si="41"/>
        <v>2.5447989650286544</v>
      </c>
    </row>
    <row r="166" spans="9:26">
      <c r="I166">
        <f t="shared" ref="I166:I229" si="45">$D$31</f>
        <v>197.721490063907</v>
      </c>
      <c r="J166">
        <f t="shared" ref="J166:J229" si="46">$D$29</f>
        <v>230</v>
      </c>
      <c r="K166">
        <f t="shared" ref="K166:K229" si="47">$D$30</f>
        <v>378</v>
      </c>
      <c r="L166">
        <f t="shared" ref="L166:L229" si="48">$D$24</f>
        <v>156.47269016040096</v>
      </c>
      <c r="M166">
        <f t="shared" ref="M166:M229" si="49">$D$15</f>
        <v>108.13895043686934</v>
      </c>
      <c r="N166" s="69">
        <f t="shared" ref="N166:N229" si="50">$D$14</f>
        <v>91.394094063596299</v>
      </c>
      <c r="O166">
        <v>129</v>
      </c>
      <c r="P166">
        <f t="shared" si="43"/>
        <v>3.1617374147833721</v>
      </c>
      <c r="Q166">
        <f t="shared" ref="Q166:Q229" si="51">-0.003388*(O166^2*$D$4*ABS($D$13)/$D$6)</f>
        <v>-1.422112793578808</v>
      </c>
      <c r="R166">
        <f t="shared" si="44"/>
        <v>-0.55686770694294085</v>
      </c>
      <c r="S166">
        <f t="shared" si="44"/>
        <v>0.22156614652852957</v>
      </c>
      <c r="T166">
        <f t="shared" si="44"/>
        <v>1.7784338534714705</v>
      </c>
      <c r="U166">
        <f t="shared" si="42"/>
        <v>2.5568677069429411</v>
      </c>
      <c r="V166">
        <v>-0.42</v>
      </c>
      <c r="W166" s="69">
        <f t="shared" ref="W166:W229" si="52">$D$20</f>
        <v>2.9311688311688311</v>
      </c>
      <c r="X166" s="69">
        <f t="shared" ref="X166:X229" si="53">$D$21</f>
        <v>-1.1724675324675324</v>
      </c>
      <c r="Y166">
        <f t="shared" ref="Y166:Y229" si="54">1+(($D$37*D$33*$O166*$D$17)/(498*($D$6/$D$4)))</f>
        <v>-0.55686770694294085</v>
      </c>
      <c r="Z166">
        <f t="shared" ref="Z166:Z229" si="55">1+(($D$37*G$33*$O166*$D$17)/(498*($D$6/$D$4)))</f>
        <v>2.5568677069429411</v>
      </c>
    </row>
    <row r="167" spans="9:26">
      <c r="I167">
        <f t="shared" si="45"/>
        <v>197.721490063907</v>
      </c>
      <c r="J167">
        <f t="shared" si="46"/>
        <v>230</v>
      </c>
      <c r="K167">
        <f t="shared" si="47"/>
        <v>378</v>
      </c>
      <c r="L167">
        <f t="shared" si="48"/>
        <v>156.47269016040096</v>
      </c>
      <c r="M167">
        <f t="shared" si="49"/>
        <v>108.13895043686934</v>
      </c>
      <c r="N167" s="69">
        <f t="shared" si="50"/>
        <v>91.394094063596299</v>
      </c>
      <c r="O167">
        <v>130</v>
      </c>
      <c r="P167">
        <f t="shared" si="43"/>
        <v>3.2109465963487165</v>
      </c>
      <c r="Q167">
        <f t="shared" si="51"/>
        <v>-1.4442465123178807</v>
      </c>
      <c r="R167">
        <f t="shared" si="44"/>
        <v>-0.56893644885722727</v>
      </c>
      <c r="S167">
        <f t="shared" si="44"/>
        <v>0.21553177557138636</v>
      </c>
      <c r="T167">
        <f t="shared" si="44"/>
        <v>1.7844682244286136</v>
      </c>
      <c r="U167">
        <f t="shared" si="42"/>
        <v>2.5689364488572273</v>
      </c>
      <c r="V167">
        <v>-0.4</v>
      </c>
      <c r="W167" s="69">
        <f t="shared" si="52"/>
        <v>2.9311688311688311</v>
      </c>
      <c r="X167" s="69">
        <f t="shared" si="53"/>
        <v>-1.1724675324675324</v>
      </c>
      <c r="Y167">
        <f t="shared" si="54"/>
        <v>-0.56893644885722727</v>
      </c>
      <c r="Z167">
        <f t="shared" si="55"/>
        <v>2.5689364488572273</v>
      </c>
    </row>
    <row r="168" spans="9:26">
      <c r="I168">
        <f t="shared" si="45"/>
        <v>197.721490063907</v>
      </c>
      <c r="J168">
        <f t="shared" si="46"/>
        <v>230</v>
      </c>
      <c r="K168">
        <f t="shared" si="47"/>
        <v>378</v>
      </c>
      <c r="L168">
        <f t="shared" si="48"/>
        <v>156.47269016040096</v>
      </c>
      <c r="M168">
        <f t="shared" si="49"/>
        <v>108.13895043686934</v>
      </c>
      <c r="N168" s="69">
        <f t="shared" si="50"/>
        <v>91.394094063596299</v>
      </c>
      <c r="O168">
        <v>131</v>
      </c>
      <c r="P168">
        <f t="shared" si="43"/>
        <v>3.2605357715941023</v>
      </c>
      <c r="Q168">
        <f t="shared" si="51"/>
        <v>-1.4665511478039734</v>
      </c>
      <c r="R168">
        <f t="shared" si="44"/>
        <v>-0.58100519077151391</v>
      </c>
      <c r="S168">
        <f t="shared" si="44"/>
        <v>0.20949740461424304</v>
      </c>
      <c r="T168">
        <f t="shared" si="44"/>
        <v>1.790502595385757</v>
      </c>
      <c r="U168">
        <f t="shared" si="42"/>
        <v>2.5810051907715139</v>
      </c>
      <c r="V168">
        <v>-0.38</v>
      </c>
      <c r="W168" s="69">
        <f t="shared" si="52"/>
        <v>2.9311688311688311</v>
      </c>
      <c r="X168" s="69">
        <f t="shared" si="53"/>
        <v>-1.1724675324675324</v>
      </c>
      <c r="Y168">
        <f t="shared" si="54"/>
        <v>-0.58100519077151391</v>
      </c>
      <c r="Z168">
        <f t="shared" si="55"/>
        <v>2.5810051907715139</v>
      </c>
    </row>
    <row r="169" spans="9:26">
      <c r="I169">
        <f t="shared" si="45"/>
        <v>197.721490063907</v>
      </c>
      <c r="J169">
        <f t="shared" si="46"/>
        <v>230</v>
      </c>
      <c r="K169">
        <f t="shared" si="47"/>
        <v>378</v>
      </c>
      <c r="L169">
        <f t="shared" si="48"/>
        <v>156.47269016040096</v>
      </c>
      <c r="M169">
        <f t="shared" si="49"/>
        <v>108.13895043686934</v>
      </c>
      <c r="N169" s="69">
        <f t="shared" si="50"/>
        <v>91.394094063596299</v>
      </c>
      <c r="O169">
        <v>132</v>
      </c>
      <c r="P169">
        <f t="shared" si="43"/>
        <v>3.3105049405195288</v>
      </c>
      <c r="Q169">
        <f t="shared" si="51"/>
        <v>-1.4890267000370863</v>
      </c>
      <c r="R169">
        <f t="shared" si="44"/>
        <v>-0.59307393268580011</v>
      </c>
      <c r="S169">
        <f t="shared" si="44"/>
        <v>0.20346303365709995</v>
      </c>
      <c r="T169">
        <f t="shared" si="44"/>
        <v>1.7965369663429001</v>
      </c>
      <c r="U169">
        <f t="shared" si="42"/>
        <v>2.5930739326858001</v>
      </c>
      <c r="V169">
        <v>-0.36</v>
      </c>
      <c r="W169" s="69">
        <f t="shared" si="52"/>
        <v>2.9311688311688311</v>
      </c>
      <c r="X169" s="69">
        <f t="shared" si="53"/>
        <v>-1.1724675324675324</v>
      </c>
      <c r="Y169">
        <f t="shared" si="54"/>
        <v>-0.59307393268580011</v>
      </c>
      <c r="Z169">
        <f t="shared" si="55"/>
        <v>2.5930739326858001</v>
      </c>
    </row>
    <row r="170" spans="9:26">
      <c r="I170">
        <f t="shared" si="45"/>
        <v>197.721490063907</v>
      </c>
      <c r="J170">
        <f t="shared" si="46"/>
        <v>230</v>
      </c>
      <c r="K170">
        <f t="shared" si="47"/>
        <v>378</v>
      </c>
      <c r="L170">
        <f t="shared" si="48"/>
        <v>156.47269016040096</v>
      </c>
      <c r="M170">
        <f t="shared" si="49"/>
        <v>108.13895043686934</v>
      </c>
      <c r="N170" s="69">
        <f t="shared" si="50"/>
        <v>91.394094063596299</v>
      </c>
      <c r="O170">
        <v>133</v>
      </c>
      <c r="P170">
        <f t="shared" si="43"/>
        <v>3.3608541031249968</v>
      </c>
      <c r="Q170">
        <f t="shared" si="51"/>
        <v>-1.5116731690172185</v>
      </c>
      <c r="R170">
        <f t="shared" si="44"/>
        <v>-0.60514267460008653</v>
      </c>
      <c r="S170">
        <f t="shared" si="44"/>
        <v>0.19742866269995674</v>
      </c>
      <c r="T170">
        <f t="shared" si="44"/>
        <v>1.8025713373000434</v>
      </c>
      <c r="U170">
        <f t="shared" si="42"/>
        <v>2.6051426746000867</v>
      </c>
      <c r="V170">
        <v>-0.34</v>
      </c>
      <c r="W170" s="69">
        <f t="shared" si="52"/>
        <v>2.9311688311688311</v>
      </c>
      <c r="X170" s="69">
        <f t="shared" si="53"/>
        <v>-1.1724675324675324</v>
      </c>
      <c r="Y170">
        <f t="shared" si="54"/>
        <v>-0.60514267460008653</v>
      </c>
      <c r="Z170">
        <f t="shared" si="55"/>
        <v>2.6051426746000867</v>
      </c>
    </row>
    <row r="171" spans="9:26">
      <c r="I171">
        <f t="shared" si="45"/>
        <v>197.721490063907</v>
      </c>
      <c r="J171">
        <f t="shared" si="46"/>
        <v>230</v>
      </c>
      <c r="K171">
        <f t="shared" si="47"/>
        <v>378</v>
      </c>
      <c r="L171">
        <f t="shared" si="48"/>
        <v>156.47269016040096</v>
      </c>
      <c r="M171">
        <f t="shared" si="49"/>
        <v>108.13895043686934</v>
      </c>
      <c r="N171" s="69">
        <f t="shared" si="50"/>
        <v>91.394094063596299</v>
      </c>
      <c r="O171">
        <v>134</v>
      </c>
      <c r="P171">
        <f t="shared" si="43"/>
        <v>3.4115832594105058</v>
      </c>
      <c r="Q171">
        <f t="shared" si="51"/>
        <v>-1.5344905547443708</v>
      </c>
      <c r="R171">
        <f t="shared" si="44"/>
        <v>-0.61721141651437272</v>
      </c>
      <c r="S171">
        <f t="shared" si="44"/>
        <v>0.19139429174281364</v>
      </c>
      <c r="T171">
        <f t="shared" si="44"/>
        <v>1.8086057082571863</v>
      </c>
      <c r="U171">
        <f t="shared" si="42"/>
        <v>2.6172114165143725</v>
      </c>
      <c r="V171">
        <v>-0.32</v>
      </c>
      <c r="W171" s="69">
        <f t="shared" si="52"/>
        <v>2.9311688311688311</v>
      </c>
      <c r="X171" s="69">
        <f t="shared" si="53"/>
        <v>-1.1724675324675324</v>
      </c>
      <c r="Y171">
        <f t="shared" si="54"/>
        <v>-0.61721141651437272</v>
      </c>
      <c r="Z171">
        <f t="shared" si="55"/>
        <v>2.6172114165143725</v>
      </c>
    </row>
    <row r="172" spans="9:26">
      <c r="I172">
        <f t="shared" si="45"/>
        <v>197.721490063907</v>
      </c>
      <c r="J172">
        <f t="shared" si="46"/>
        <v>230</v>
      </c>
      <c r="K172">
        <f t="shared" si="47"/>
        <v>378</v>
      </c>
      <c r="L172">
        <f t="shared" si="48"/>
        <v>156.47269016040096</v>
      </c>
      <c r="M172">
        <f t="shared" si="49"/>
        <v>108.13895043686934</v>
      </c>
      <c r="N172" s="69">
        <f t="shared" si="50"/>
        <v>91.394094063596299</v>
      </c>
      <c r="O172">
        <v>135</v>
      </c>
      <c r="P172">
        <f t="shared" si="43"/>
        <v>3.4626924093760567</v>
      </c>
      <c r="Q172">
        <f t="shared" si="51"/>
        <v>-1.5574788572185432</v>
      </c>
      <c r="R172">
        <f t="shared" si="44"/>
        <v>-0.62928015842865914</v>
      </c>
      <c r="S172">
        <f t="shared" si="44"/>
        <v>0.18535992078567043</v>
      </c>
      <c r="T172">
        <f t="shared" si="44"/>
        <v>1.8146400792143296</v>
      </c>
      <c r="U172">
        <f t="shared" si="42"/>
        <v>2.6292801584286591</v>
      </c>
      <c r="V172">
        <v>-0.3</v>
      </c>
      <c r="W172" s="69">
        <f t="shared" si="52"/>
        <v>2.9311688311688311</v>
      </c>
      <c r="X172" s="69">
        <f t="shared" si="53"/>
        <v>-1.1724675324675324</v>
      </c>
      <c r="Y172">
        <f t="shared" si="54"/>
        <v>-0.62928015842865914</v>
      </c>
      <c r="Z172">
        <f t="shared" si="55"/>
        <v>2.6292801584286591</v>
      </c>
    </row>
    <row r="173" spans="9:26">
      <c r="I173">
        <f t="shared" si="45"/>
        <v>197.721490063907</v>
      </c>
      <c r="J173">
        <f t="shared" si="46"/>
        <v>230</v>
      </c>
      <c r="K173">
        <f t="shared" si="47"/>
        <v>378</v>
      </c>
      <c r="L173">
        <f t="shared" si="48"/>
        <v>156.47269016040096</v>
      </c>
      <c r="M173">
        <f t="shared" si="49"/>
        <v>108.13895043686934</v>
      </c>
      <c r="N173" s="69">
        <f t="shared" si="50"/>
        <v>91.394094063596299</v>
      </c>
      <c r="O173">
        <v>136</v>
      </c>
      <c r="P173">
        <f t="shared" si="43"/>
        <v>3.5141815530216487</v>
      </c>
      <c r="Q173">
        <f t="shared" si="51"/>
        <v>-1.580638076439735</v>
      </c>
      <c r="R173">
        <f t="shared" si="44"/>
        <v>-0.64134890034294534</v>
      </c>
      <c r="S173">
        <f t="shared" si="44"/>
        <v>0.17932554982852733</v>
      </c>
      <c r="T173">
        <f t="shared" si="44"/>
        <v>1.8206744501714727</v>
      </c>
      <c r="U173">
        <f t="shared" si="42"/>
        <v>2.6413489003429453</v>
      </c>
      <c r="V173">
        <v>-0.28000000000000003</v>
      </c>
      <c r="W173" s="69">
        <f t="shared" si="52"/>
        <v>2.9311688311688311</v>
      </c>
      <c r="X173" s="69">
        <f t="shared" si="53"/>
        <v>-1.1724675324675324</v>
      </c>
      <c r="Y173">
        <f t="shared" si="54"/>
        <v>-0.64134890034294534</v>
      </c>
      <c r="Z173">
        <f t="shared" si="55"/>
        <v>2.6413489003429453</v>
      </c>
    </row>
    <row r="174" spans="9:26">
      <c r="I174">
        <f t="shared" si="45"/>
        <v>197.721490063907</v>
      </c>
      <c r="J174">
        <f t="shared" si="46"/>
        <v>230</v>
      </c>
      <c r="K174">
        <f t="shared" si="47"/>
        <v>378</v>
      </c>
      <c r="L174">
        <f t="shared" si="48"/>
        <v>156.47269016040096</v>
      </c>
      <c r="M174">
        <f t="shared" si="49"/>
        <v>108.13895043686934</v>
      </c>
      <c r="N174" s="69">
        <f t="shared" si="50"/>
        <v>91.394094063596299</v>
      </c>
      <c r="O174">
        <v>137</v>
      </c>
      <c r="P174">
        <f t="shared" si="43"/>
        <v>3.5660506903472817</v>
      </c>
      <c r="Q174">
        <f t="shared" si="51"/>
        <v>-1.6039682124079471</v>
      </c>
      <c r="R174">
        <f t="shared" si="44"/>
        <v>-0.65341764225723198</v>
      </c>
      <c r="S174">
        <f t="shared" si="44"/>
        <v>0.17329117887138401</v>
      </c>
      <c r="T174">
        <f t="shared" si="44"/>
        <v>1.826708821128616</v>
      </c>
      <c r="U174">
        <f t="shared" si="42"/>
        <v>2.653417642257232</v>
      </c>
      <c r="V174">
        <v>-0.26</v>
      </c>
      <c r="W174" s="69">
        <f t="shared" si="52"/>
        <v>2.9311688311688311</v>
      </c>
      <c r="X174" s="69">
        <f t="shared" si="53"/>
        <v>-1.1724675324675324</v>
      </c>
      <c r="Y174">
        <f t="shared" si="54"/>
        <v>-0.65341764225723198</v>
      </c>
      <c r="Z174">
        <f t="shared" si="55"/>
        <v>2.653417642257232</v>
      </c>
    </row>
    <row r="175" spans="9:26">
      <c r="I175">
        <f t="shared" si="45"/>
        <v>197.721490063907</v>
      </c>
      <c r="J175">
        <f t="shared" si="46"/>
        <v>230</v>
      </c>
      <c r="K175">
        <f t="shared" si="47"/>
        <v>378</v>
      </c>
      <c r="L175">
        <f t="shared" si="48"/>
        <v>156.47269016040096</v>
      </c>
      <c r="M175">
        <f t="shared" si="49"/>
        <v>108.13895043686934</v>
      </c>
      <c r="N175" s="69">
        <f t="shared" si="50"/>
        <v>91.394094063596299</v>
      </c>
      <c r="O175">
        <v>138</v>
      </c>
      <c r="P175">
        <f t="shared" si="43"/>
        <v>3.6182998213529554</v>
      </c>
      <c r="Q175">
        <f t="shared" si="51"/>
        <v>-1.6274692651231788</v>
      </c>
      <c r="R175">
        <f t="shared" si="44"/>
        <v>-0.6654863841715184</v>
      </c>
      <c r="S175">
        <f t="shared" si="44"/>
        <v>0.1672568079142408</v>
      </c>
      <c r="T175">
        <f t="shared" si="44"/>
        <v>1.8327431920857591</v>
      </c>
      <c r="U175">
        <f t="shared" si="42"/>
        <v>2.6654863841715182</v>
      </c>
      <c r="V175">
        <v>-0.24</v>
      </c>
      <c r="W175" s="69">
        <f t="shared" si="52"/>
        <v>2.9311688311688311</v>
      </c>
      <c r="X175" s="69">
        <f t="shared" si="53"/>
        <v>-1.1724675324675324</v>
      </c>
      <c r="Y175">
        <f t="shared" si="54"/>
        <v>-0.6654863841715184</v>
      </c>
      <c r="Z175">
        <f t="shared" si="55"/>
        <v>2.6654863841715182</v>
      </c>
    </row>
    <row r="176" spans="9:26">
      <c r="I176">
        <f t="shared" si="45"/>
        <v>197.721490063907</v>
      </c>
      <c r="J176">
        <f t="shared" si="46"/>
        <v>230</v>
      </c>
      <c r="K176">
        <f t="shared" si="47"/>
        <v>378</v>
      </c>
      <c r="L176">
        <f t="shared" si="48"/>
        <v>156.47269016040096</v>
      </c>
      <c r="M176">
        <f t="shared" si="49"/>
        <v>108.13895043686934</v>
      </c>
      <c r="N176" s="69">
        <f t="shared" si="50"/>
        <v>91.394094063596299</v>
      </c>
      <c r="O176">
        <v>139</v>
      </c>
      <c r="P176">
        <f t="shared" si="43"/>
        <v>3.6709289460386718</v>
      </c>
      <c r="Q176">
        <f t="shared" si="51"/>
        <v>-1.6511412345854304</v>
      </c>
      <c r="R176">
        <f t="shared" si="44"/>
        <v>-0.67755512608580482</v>
      </c>
      <c r="S176">
        <f t="shared" si="44"/>
        <v>0.16122243695709759</v>
      </c>
      <c r="T176">
        <f t="shared" si="44"/>
        <v>1.8387775630429024</v>
      </c>
      <c r="U176">
        <f t="shared" si="42"/>
        <v>2.6775551260858048</v>
      </c>
      <c r="V176">
        <v>-0.22</v>
      </c>
      <c r="W176" s="69">
        <f t="shared" si="52"/>
        <v>2.9311688311688311</v>
      </c>
      <c r="X176" s="69">
        <f t="shared" si="53"/>
        <v>-1.1724675324675324</v>
      </c>
      <c r="Y176">
        <f t="shared" si="54"/>
        <v>-0.67755512608580482</v>
      </c>
      <c r="Z176">
        <f t="shared" si="55"/>
        <v>2.6775551260858048</v>
      </c>
    </row>
    <row r="177" spans="9:26">
      <c r="I177">
        <f t="shared" si="45"/>
        <v>197.721490063907</v>
      </c>
      <c r="J177">
        <f t="shared" si="46"/>
        <v>230</v>
      </c>
      <c r="K177">
        <f t="shared" si="47"/>
        <v>378</v>
      </c>
      <c r="L177">
        <f t="shared" si="48"/>
        <v>156.47269016040096</v>
      </c>
      <c r="M177">
        <f t="shared" si="49"/>
        <v>108.13895043686934</v>
      </c>
      <c r="N177" s="69">
        <f t="shared" si="50"/>
        <v>91.394094063596299</v>
      </c>
      <c r="O177">
        <v>140</v>
      </c>
      <c r="P177">
        <f t="shared" si="43"/>
        <v>3.723938064404428</v>
      </c>
      <c r="Q177">
        <f t="shared" si="51"/>
        <v>-1.674984120794702</v>
      </c>
      <c r="R177">
        <f t="shared" si="44"/>
        <v>-0.68962386800009101</v>
      </c>
      <c r="S177">
        <f t="shared" si="44"/>
        <v>0.15518806599995449</v>
      </c>
      <c r="T177">
        <f t="shared" si="44"/>
        <v>1.8448119340000455</v>
      </c>
      <c r="U177">
        <f t="shared" si="42"/>
        <v>2.689623868000091</v>
      </c>
      <c r="V177">
        <v>-0.2</v>
      </c>
      <c r="W177" s="69">
        <f t="shared" si="52"/>
        <v>2.9311688311688311</v>
      </c>
      <c r="X177" s="69">
        <f t="shared" si="53"/>
        <v>-1.1724675324675324</v>
      </c>
      <c r="Y177">
        <f t="shared" si="54"/>
        <v>-0.68962386800009101</v>
      </c>
      <c r="Z177">
        <f t="shared" si="55"/>
        <v>2.689623868000091</v>
      </c>
    </row>
    <row r="178" spans="9:26">
      <c r="I178">
        <f t="shared" si="45"/>
        <v>197.721490063907</v>
      </c>
      <c r="J178">
        <f t="shared" si="46"/>
        <v>230</v>
      </c>
      <c r="K178">
        <f t="shared" si="47"/>
        <v>378</v>
      </c>
      <c r="L178">
        <f t="shared" si="48"/>
        <v>156.47269016040096</v>
      </c>
      <c r="M178">
        <f t="shared" si="49"/>
        <v>108.13895043686934</v>
      </c>
      <c r="N178" s="69">
        <f t="shared" si="50"/>
        <v>91.394094063596299</v>
      </c>
      <c r="O178">
        <v>141</v>
      </c>
      <c r="P178">
        <f t="shared" si="43"/>
        <v>3.7773271764502265</v>
      </c>
      <c r="Q178">
        <f t="shared" si="51"/>
        <v>-1.6989979237509933</v>
      </c>
      <c r="R178">
        <f t="shared" si="44"/>
        <v>-0.70169260991437743</v>
      </c>
      <c r="S178">
        <f t="shared" si="44"/>
        <v>0.14915369504281129</v>
      </c>
      <c r="T178">
        <f t="shared" si="44"/>
        <v>1.8508463049571886</v>
      </c>
      <c r="U178">
        <f t="shared" si="42"/>
        <v>2.7016926099143772</v>
      </c>
      <c r="V178">
        <v>-0.18</v>
      </c>
      <c r="W178" s="69">
        <f t="shared" si="52"/>
        <v>2.9311688311688311</v>
      </c>
      <c r="X178" s="69">
        <f t="shared" si="53"/>
        <v>-1.1724675324675324</v>
      </c>
      <c r="Y178">
        <f t="shared" si="54"/>
        <v>-0.70169260991437743</v>
      </c>
      <c r="Z178">
        <f t="shared" si="55"/>
        <v>2.7016926099143772</v>
      </c>
    </row>
    <row r="179" spans="9:26">
      <c r="I179">
        <f t="shared" si="45"/>
        <v>197.721490063907</v>
      </c>
      <c r="J179">
        <f t="shared" si="46"/>
        <v>230</v>
      </c>
      <c r="K179">
        <f t="shared" si="47"/>
        <v>378</v>
      </c>
      <c r="L179">
        <f t="shared" si="48"/>
        <v>156.47269016040096</v>
      </c>
      <c r="M179">
        <f t="shared" si="49"/>
        <v>108.13895043686934</v>
      </c>
      <c r="N179" s="69">
        <f t="shared" si="50"/>
        <v>91.394094063596299</v>
      </c>
      <c r="O179">
        <v>142</v>
      </c>
      <c r="P179">
        <f t="shared" si="43"/>
        <v>3.8310962821760666</v>
      </c>
      <c r="Q179">
        <f t="shared" si="51"/>
        <v>-1.7231826434543047</v>
      </c>
      <c r="R179">
        <f t="shared" si="44"/>
        <v>-0.71376135182866407</v>
      </c>
      <c r="S179">
        <f t="shared" si="44"/>
        <v>0.14311932408566796</v>
      </c>
      <c r="T179">
        <f t="shared" si="44"/>
        <v>1.8568806759143319</v>
      </c>
      <c r="U179">
        <f t="shared" si="42"/>
        <v>2.7137613518286638</v>
      </c>
      <c r="V179">
        <v>-0.16</v>
      </c>
      <c r="W179" s="69">
        <f t="shared" si="52"/>
        <v>2.9311688311688311</v>
      </c>
      <c r="X179" s="69">
        <f t="shared" si="53"/>
        <v>-1.1724675324675324</v>
      </c>
      <c r="Y179">
        <f t="shared" si="54"/>
        <v>-0.71376135182866407</v>
      </c>
      <c r="Z179">
        <f t="shared" si="55"/>
        <v>2.7137613518286638</v>
      </c>
    </row>
    <row r="180" spans="9:26">
      <c r="I180">
        <f t="shared" si="45"/>
        <v>197.721490063907</v>
      </c>
      <c r="J180">
        <f t="shared" si="46"/>
        <v>230</v>
      </c>
      <c r="K180">
        <f t="shared" si="47"/>
        <v>378</v>
      </c>
      <c r="L180">
        <f t="shared" si="48"/>
        <v>156.47269016040096</v>
      </c>
      <c r="M180">
        <f t="shared" si="49"/>
        <v>108.13895043686934</v>
      </c>
      <c r="N180" s="69">
        <f t="shared" si="50"/>
        <v>91.394094063596299</v>
      </c>
      <c r="O180">
        <v>143</v>
      </c>
      <c r="P180">
        <f t="shared" si="43"/>
        <v>3.8852453815819472</v>
      </c>
      <c r="Q180">
        <f t="shared" si="51"/>
        <v>-1.7475382799046357</v>
      </c>
      <c r="R180">
        <f t="shared" si="44"/>
        <v>-0.72583009374295027</v>
      </c>
      <c r="S180">
        <f t="shared" si="44"/>
        <v>0.13708495312852487</v>
      </c>
      <c r="T180">
        <f t="shared" si="44"/>
        <v>1.8629150468714752</v>
      </c>
      <c r="U180">
        <f t="shared" si="42"/>
        <v>2.7258300937429505</v>
      </c>
      <c r="V180">
        <v>-0.14000000000000001</v>
      </c>
      <c r="W180" s="69">
        <f t="shared" si="52"/>
        <v>2.9311688311688311</v>
      </c>
      <c r="X180" s="69">
        <f t="shared" si="53"/>
        <v>-1.1724675324675324</v>
      </c>
      <c r="Y180">
        <f t="shared" si="54"/>
        <v>-0.72583009374295027</v>
      </c>
      <c r="Z180">
        <f t="shared" si="55"/>
        <v>2.7258300937429505</v>
      </c>
    </row>
    <row r="181" spans="9:26">
      <c r="I181">
        <f t="shared" si="45"/>
        <v>197.721490063907</v>
      </c>
      <c r="J181">
        <f t="shared" si="46"/>
        <v>230</v>
      </c>
      <c r="K181">
        <f t="shared" si="47"/>
        <v>378</v>
      </c>
      <c r="L181">
        <f t="shared" si="48"/>
        <v>156.47269016040096</v>
      </c>
      <c r="M181">
        <f t="shared" si="49"/>
        <v>108.13895043686934</v>
      </c>
      <c r="N181" s="69">
        <f t="shared" si="50"/>
        <v>91.394094063596299</v>
      </c>
      <c r="O181">
        <v>144</v>
      </c>
      <c r="P181">
        <f t="shared" si="43"/>
        <v>3.9397744746678685</v>
      </c>
      <c r="Q181">
        <f t="shared" si="51"/>
        <v>-1.7720648331019868</v>
      </c>
      <c r="R181">
        <f t="shared" si="44"/>
        <v>-0.73789883565723668</v>
      </c>
      <c r="S181">
        <f t="shared" si="44"/>
        <v>0.13105058217138166</v>
      </c>
      <c r="T181">
        <f t="shared" si="44"/>
        <v>1.8689494178286183</v>
      </c>
      <c r="U181">
        <f t="shared" si="42"/>
        <v>2.7378988356572367</v>
      </c>
      <c r="V181">
        <v>-0.12</v>
      </c>
      <c r="W181" s="69">
        <f t="shared" si="52"/>
        <v>2.9311688311688311</v>
      </c>
      <c r="X181" s="69">
        <f t="shared" si="53"/>
        <v>-1.1724675324675324</v>
      </c>
      <c r="Y181">
        <f t="shared" si="54"/>
        <v>-0.73789883565723668</v>
      </c>
      <c r="Z181">
        <f t="shared" si="55"/>
        <v>2.7378988356572367</v>
      </c>
    </row>
    <row r="182" spans="9:26">
      <c r="I182">
        <f t="shared" si="45"/>
        <v>197.721490063907</v>
      </c>
      <c r="J182">
        <f t="shared" si="46"/>
        <v>230</v>
      </c>
      <c r="K182">
        <f t="shared" si="47"/>
        <v>378</v>
      </c>
      <c r="L182">
        <f t="shared" si="48"/>
        <v>156.47269016040096</v>
      </c>
      <c r="M182">
        <f t="shared" si="49"/>
        <v>108.13895043686934</v>
      </c>
      <c r="N182" s="69">
        <f t="shared" si="50"/>
        <v>91.394094063596299</v>
      </c>
      <c r="O182">
        <v>145</v>
      </c>
      <c r="P182">
        <f t="shared" si="43"/>
        <v>3.9946835614338321</v>
      </c>
      <c r="Q182">
        <f t="shared" si="51"/>
        <v>-1.7967623030463575</v>
      </c>
      <c r="R182">
        <f t="shared" si="44"/>
        <v>-0.74996757757152288</v>
      </c>
      <c r="S182">
        <f t="shared" si="44"/>
        <v>0.12501621121423856</v>
      </c>
      <c r="T182">
        <f t="shared" si="44"/>
        <v>1.8749837887857614</v>
      </c>
      <c r="U182">
        <f t="shared" si="42"/>
        <v>2.7499675775715229</v>
      </c>
      <c r="V182">
        <v>-0.1</v>
      </c>
      <c r="W182" s="69">
        <f t="shared" si="52"/>
        <v>2.9311688311688311</v>
      </c>
      <c r="X182" s="69">
        <f t="shared" si="53"/>
        <v>-1.1724675324675324</v>
      </c>
      <c r="Y182">
        <f t="shared" si="54"/>
        <v>-0.74996757757152288</v>
      </c>
      <c r="Z182">
        <f t="shared" si="55"/>
        <v>2.7499675775715229</v>
      </c>
    </row>
    <row r="183" spans="9:26">
      <c r="I183">
        <f t="shared" si="45"/>
        <v>197.721490063907</v>
      </c>
      <c r="J183">
        <f t="shared" si="46"/>
        <v>230</v>
      </c>
      <c r="K183">
        <f t="shared" si="47"/>
        <v>378</v>
      </c>
      <c r="L183">
        <f t="shared" si="48"/>
        <v>156.47269016040096</v>
      </c>
      <c r="M183">
        <f t="shared" si="49"/>
        <v>108.13895043686934</v>
      </c>
      <c r="N183" s="69">
        <f t="shared" si="50"/>
        <v>91.394094063596299</v>
      </c>
      <c r="O183">
        <v>146</v>
      </c>
      <c r="P183">
        <f t="shared" si="43"/>
        <v>4.0499726418798359</v>
      </c>
      <c r="Q183">
        <f t="shared" si="51"/>
        <v>-1.8216306897377481</v>
      </c>
      <c r="R183">
        <f t="shared" si="44"/>
        <v>-0.7620363194858093</v>
      </c>
      <c r="S183">
        <f t="shared" si="44"/>
        <v>0.11898184025709535</v>
      </c>
      <c r="T183">
        <f t="shared" si="44"/>
        <v>1.8810181597429048</v>
      </c>
      <c r="U183">
        <f t="shared" si="42"/>
        <v>2.7620363194858095</v>
      </c>
      <c r="V183">
        <v>-8.0000000000000099E-2</v>
      </c>
      <c r="W183" s="69">
        <f t="shared" si="52"/>
        <v>2.9311688311688311</v>
      </c>
      <c r="X183" s="69">
        <f t="shared" si="53"/>
        <v>-1.1724675324675324</v>
      </c>
      <c r="Y183">
        <f t="shared" si="54"/>
        <v>-0.7620363194858093</v>
      </c>
      <c r="Z183">
        <f t="shared" si="55"/>
        <v>2.7620363194858095</v>
      </c>
    </row>
    <row r="184" spans="9:26">
      <c r="I184">
        <f t="shared" si="45"/>
        <v>197.721490063907</v>
      </c>
      <c r="J184">
        <f t="shared" si="46"/>
        <v>230</v>
      </c>
      <c r="K184">
        <f t="shared" si="47"/>
        <v>378</v>
      </c>
      <c r="L184">
        <f t="shared" si="48"/>
        <v>156.47269016040096</v>
      </c>
      <c r="M184">
        <f t="shared" si="49"/>
        <v>108.13895043686934</v>
      </c>
      <c r="N184" s="69">
        <f t="shared" si="50"/>
        <v>91.394094063596299</v>
      </c>
      <c r="O184">
        <v>147</v>
      </c>
      <c r="P184">
        <f t="shared" si="43"/>
        <v>4.1056417160058825</v>
      </c>
      <c r="Q184">
        <f t="shared" si="51"/>
        <v>-1.8466699931761588</v>
      </c>
      <c r="R184">
        <f t="shared" si="44"/>
        <v>-0.7741050614000955</v>
      </c>
      <c r="S184">
        <f t="shared" si="44"/>
        <v>0.11294746929995225</v>
      </c>
      <c r="T184">
        <f t="shared" si="44"/>
        <v>1.8870525307000476</v>
      </c>
      <c r="U184">
        <f t="shared" si="42"/>
        <v>2.7741050614000953</v>
      </c>
      <c r="V184">
        <v>-6.0000000000000102E-2</v>
      </c>
      <c r="W184" s="69">
        <f t="shared" si="52"/>
        <v>2.9311688311688311</v>
      </c>
      <c r="X184" s="69">
        <f t="shared" si="53"/>
        <v>-1.1724675324675324</v>
      </c>
      <c r="Y184">
        <f t="shared" si="54"/>
        <v>-0.7741050614000955</v>
      </c>
      <c r="Z184">
        <f t="shared" si="55"/>
        <v>2.7741050614000953</v>
      </c>
    </row>
    <row r="185" spans="9:26">
      <c r="I185">
        <f t="shared" si="45"/>
        <v>197.721490063907</v>
      </c>
      <c r="J185">
        <f t="shared" si="46"/>
        <v>230</v>
      </c>
      <c r="K185">
        <f t="shared" si="47"/>
        <v>378</v>
      </c>
      <c r="L185">
        <f t="shared" si="48"/>
        <v>156.47269016040096</v>
      </c>
      <c r="M185">
        <f t="shared" si="49"/>
        <v>108.13895043686934</v>
      </c>
      <c r="N185" s="69">
        <f t="shared" si="50"/>
        <v>91.394094063596299</v>
      </c>
      <c r="O185">
        <v>148</v>
      </c>
      <c r="P185">
        <f t="shared" si="43"/>
        <v>4.1616907838119692</v>
      </c>
      <c r="Q185">
        <f t="shared" si="51"/>
        <v>-1.8718802133615893</v>
      </c>
      <c r="R185">
        <f t="shared" si="44"/>
        <v>-0.78617380331438214</v>
      </c>
      <c r="S185">
        <f t="shared" si="44"/>
        <v>0.10691309834280893</v>
      </c>
      <c r="T185">
        <f t="shared" si="44"/>
        <v>1.893086901657191</v>
      </c>
      <c r="U185">
        <f t="shared" si="42"/>
        <v>2.7861738033143819</v>
      </c>
      <c r="V185">
        <v>-0.04</v>
      </c>
      <c r="W185" s="69">
        <f t="shared" si="52"/>
        <v>2.9311688311688311</v>
      </c>
      <c r="X185" s="69">
        <f t="shared" si="53"/>
        <v>-1.1724675324675324</v>
      </c>
      <c r="Y185">
        <f t="shared" si="54"/>
        <v>-0.78617380331438214</v>
      </c>
      <c r="Z185">
        <f t="shared" si="55"/>
        <v>2.7861738033143819</v>
      </c>
    </row>
    <row r="186" spans="9:26">
      <c r="I186">
        <f t="shared" si="45"/>
        <v>197.721490063907</v>
      </c>
      <c r="J186">
        <f t="shared" si="46"/>
        <v>230</v>
      </c>
      <c r="K186">
        <f t="shared" si="47"/>
        <v>378</v>
      </c>
      <c r="L186">
        <f t="shared" si="48"/>
        <v>156.47269016040096</v>
      </c>
      <c r="M186">
        <f t="shared" si="49"/>
        <v>108.13895043686934</v>
      </c>
      <c r="N186" s="69">
        <f t="shared" si="50"/>
        <v>91.394094063596299</v>
      </c>
      <c r="O186">
        <v>149</v>
      </c>
      <c r="P186">
        <f t="shared" si="43"/>
        <v>4.218119845298097</v>
      </c>
      <c r="Q186">
        <f t="shared" si="51"/>
        <v>-1.8972613502940399</v>
      </c>
      <c r="R186">
        <f t="shared" si="44"/>
        <v>-0.79824254522866855</v>
      </c>
      <c r="S186">
        <f t="shared" si="44"/>
        <v>0.10087872738566572</v>
      </c>
      <c r="T186">
        <f t="shared" si="44"/>
        <v>1.8991212726143343</v>
      </c>
      <c r="U186">
        <f t="shared" si="42"/>
        <v>2.7982425452286686</v>
      </c>
      <c r="V186">
        <v>-0.02</v>
      </c>
      <c r="W186" s="69">
        <f t="shared" si="52"/>
        <v>2.9311688311688311</v>
      </c>
      <c r="X186" s="69">
        <f t="shared" si="53"/>
        <v>-1.1724675324675324</v>
      </c>
      <c r="Y186">
        <f t="shared" si="54"/>
        <v>-0.79824254522866855</v>
      </c>
      <c r="Z186">
        <f t="shared" si="55"/>
        <v>2.7982425452286686</v>
      </c>
    </row>
    <row r="187" spans="9:26">
      <c r="I187">
        <f t="shared" si="45"/>
        <v>197.721490063907</v>
      </c>
      <c r="J187">
        <f t="shared" si="46"/>
        <v>230</v>
      </c>
      <c r="K187">
        <f t="shared" si="47"/>
        <v>378</v>
      </c>
      <c r="L187">
        <f t="shared" si="48"/>
        <v>156.47269016040096</v>
      </c>
      <c r="M187" s="19">
        <f t="shared" si="49"/>
        <v>108.13895043686934</v>
      </c>
      <c r="N187" s="236">
        <f t="shared" si="50"/>
        <v>91.394094063596299</v>
      </c>
      <c r="O187">
        <v>150</v>
      </c>
      <c r="P187">
        <f t="shared" si="43"/>
        <v>4.2749289004642677</v>
      </c>
      <c r="Q187">
        <f t="shared" si="51"/>
        <v>-1.9228134039735099</v>
      </c>
      <c r="R187">
        <f t="shared" si="44"/>
        <v>-0.81031128714295475</v>
      </c>
      <c r="S187">
        <f t="shared" si="44"/>
        <v>9.4844356428522625E-2</v>
      </c>
      <c r="T187">
        <f t="shared" si="44"/>
        <v>1.9051556435714774</v>
      </c>
      <c r="U187" s="19">
        <f t="shared" si="42"/>
        <v>2.8103112871429548</v>
      </c>
      <c r="V187">
        <v>0</v>
      </c>
      <c r="W187" s="236">
        <f t="shared" si="52"/>
        <v>2.9311688311688311</v>
      </c>
      <c r="X187" s="69">
        <f t="shared" si="53"/>
        <v>-1.1724675324675324</v>
      </c>
      <c r="Y187">
        <f t="shared" si="54"/>
        <v>-0.81031128714295475</v>
      </c>
      <c r="Z187">
        <f t="shared" si="55"/>
        <v>2.8103112871429548</v>
      </c>
    </row>
    <row r="188" spans="9:26">
      <c r="I188">
        <f t="shared" si="45"/>
        <v>197.721490063907</v>
      </c>
      <c r="J188">
        <f t="shared" si="46"/>
        <v>230</v>
      </c>
      <c r="K188">
        <f t="shared" si="47"/>
        <v>378</v>
      </c>
      <c r="L188">
        <f t="shared" si="48"/>
        <v>156.47269016040096</v>
      </c>
      <c r="M188">
        <f t="shared" si="49"/>
        <v>108.13895043686934</v>
      </c>
      <c r="N188" s="69">
        <f t="shared" si="50"/>
        <v>91.394094063596299</v>
      </c>
      <c r="O188">
        <v>151</v>
      </c>
      <c r="P188">
        <f t="shared" si="43"/>
        <v>4.3321179493104784</v>
      </c>
      <c r="Q188">
        <f t="shared" si="51"/>
        <v>-1.9485363743999997</v>
      </c>
      <c r="R188">
        <f t="shared" si="44"/>
        <v>-0.82238002905724095</v>
      </c>
      <c r="S188">
        <f t="shared" si="44"/>
        <v>8.8809985471379527E-2</v>
      </c>
      <c r="T188">
        <f t="shared" si="44"/>
        <v>1.9111900145286205</v>
      </c>
      <c r="U188">
        <f t="shared" si="42"/>
        <v>2.8223800290572409</v>
      </c>
      <c r="V188">
        <v>0.02</v>
      </c>
      <c r="W188" s="69">
        <f t="shared" si="52"/>
        <v>2.9311688311688311</v>
      </c>
      <c r="X188" s="69">
        <f t="shared" si="53"/>
        <v>-1.1724675324675324</v>
      </c>
      <c r="Y188">
        <f t="shared" si="54"/>
        <v>-0.82238002905724095</v>
      </c>
      <c r="Z188">
        <f t="shared" si="55"/>
        <v>2.8223800290572409</v>
      </c>
    </row>
    <row r="189" spans="9:26">
      <c r="I189">
        <f t="shared" si="45"/>
        <v>197.721490063907</v>
      </c>
      <c r="J189">
        <f t="shared" si="46"/>
        <v>230</v>
      </c>
      <c r="K189">
        <f t="shared" si="47"/>
        <v>378</v>
      </c>
      <c r="L189">
        <f t="shared" si="48"/>
        <v>156.47269016040096</v>
      </c>
      <c r="M189">
        <f t="shared" si="49"/>
        <v>108.13895043686934</v>
      </c>
      <c r="N189" s="69">
        <f t="shared" si="50"/>
        <v>91.394094063596299</v>
      </c>
      <c r="O189">
        <v>152</v>
      </c>
      <c r="P189">
        <f t="shared" si="43"/>
        <v>4.3896869918367312</v>
      </c>
      <c r="Q189">
        <f t="shared" si="51"/>
        <v>-1.9744302615735101</v>
      </c>
      <c r="R189">
        <f t="shared" si="44"/>
        <v>-0.83444877097152736</v>
      </c>
      <c r="S189">
        <f t="shared" si="44"/>
        <v>8.2775614514236318E-2</v>
      </c>
      <c r="T189">
        <f t="shared" si="44"/>
        <v>1.9172243854857638</v>
      </c>
      <c r="U189">
        <f t="shared" si="42"/>
        <v>2.8344487709715276</v>
      </c>
      <c r="V189">
        <v>0.04</v>
      </c>
      <c r="W189" s="69">
        <f t="shared" si="52"/>
        <v>2.9311688311688311</v>
      </c>
      <c r="X189" s="69">
        <f t="shared" si="53"/>
        <v>-1.1724675324675324</v>
      </c>
      <c r="Y189">
        <f t="shared" si="54"/>
        <v>-0.83444877097152736</v>
      </c>
      <c r="Z189">
        <f t="shared" si="55"/>
        <v>2.8344487709715276</v>
      </c>
    </row>
    <row r="190" spans="9:26">
      <c r="I190">
        <f t="shared" si="45"/>
        <v>197.721490063907</v>
      </c>
      <c r="J190">
        <f t="shared" si="46"/>
        <v>230</v>
      </c>
      <c r="K190">
        <f t="shared" si="47"/>
        <v>378</v>
      </c>
      <c r="L190">
        <f t="shared" si="48"/>
        <v>156.47269016040096</v>
      </c>
      <c r="M190">
        <f t="shared" si="49"/>
        <v>108.13895043686934</v>
      </c>
      <c r="N190" s="69">
        <f t="shared" si="50"/>
        <v>91.394094063596299</v>
      </c>
      <c r="O190">
        <v>153</v>
      </c>
      <c r="P190">
        <f t="shared" si="43"/>
        <v>4.447636028043024</v>
      </c>
      <c r="Q190">
        <f t="shared" si="51"/>
        <v>-2.0004950654940399</v>
      </c>
      <c r="R190">
        <f t="shared" si="44"/>
        <v>-0.84651751288581356</v>
      </c>
      <c r="S190">
        <f t="shared" si="44"/>
        <v>7.6741243557093219E-2</v>
      </c>
      <c r="T190">
        <f t="shared" si="44"/>
        <v>1.9232587564429067</v>
      </c>
      <c r="U190">
        <f t="shared" si="42"/>
        <v>2.8465175128858133</v>
      </c>
      <c r="V190">
        <v>6.0000000000000102E-2</v>
      </c>
      <c r="W190" s="69">
        <f t="shared" si="52"/>
        <v>2.9311688311688311</v>
      </c>
      <c r="X190" s="69">
        <f t="shared" si="53"/>
        <v>-1.1724675324675324</v>
      </c>
      <c r="Y190">
        <f t="shared" si="54"/>
        <v>-0.84651751288581356</v>
      </c>
      <c r="Z190">
        <f t="shared" si="55"/>
        <v>2.8465175128858133</v>
      </c>
    </row>
    <row r="191" spans="9:26">
      <c r="I191">
        <f t="shared" si="45"/>
        <v>197.721490063907</v>
      </c>
      <c r="J191">
        <f t="shared" si="46"/>
        <v>230</v>
      </c>
      <c r="K191">
        <f t="shared" si="47"/>
        <v>378</v>
      </c>
      <c r="L191">
        <f t="shared" si="48"/>
        <v>156.47269016040096</v>
      </c>
      <c r="M191">
        <f t="shared" si="49"/>
        <v>108.13895043686934</v>
      </c>
      <c r="N191" s="69">
        <f t="shared" si="50"/>
        <v>91.394094063596299</v>
      </c>
      <c r="O191">
        <v>154</v>
      </c>
      <c r="P191">
        <f t="shared" si="43"/>
        <v>4.505965057929358</v>
      </c>
      <c r="Q191">
        <f t="shared" si="51"/>
        <v>-2.0267307861615893</v>
      </c>
      <c r="R191">
        <f t="shared" si="44"/>
        <v>-0.8585862548001002</v>
      </c>
      <c r="S191">
        <f t="shared" si="44"/>
        <v>7.0706872599949899E-2</v>
      </c>
      <c r="T191">
        <f t="shared" si="44"/>
        <v>1.92929312740005</v>
      </c>
      <c r="U191">
        <f t="shared" si="42"/>
        <v>2.8585862548001</v>
      </c>
      <c r="V191">
        <v>8.0000000000000099E-2</v>
      </c>
      <c r="W191" s="69">
        <f t="shared" si="52"/>
        <v>2.9311688311688311</v>
      </c>
      <c r="X191" s="69">
        <f t="shared" si="53"/>
        <v>-1.1724675324675324</v>
      </c>
      <c r="Y191">
        <f t="shared" si="54"/>
        <v>-0.8585862548001002</v>
      </c>
      <c r="Z191">
        <f t="shared" si="55"/>
        <v>2.8585862548001</v>
      </c>
    </row>
    <row r="192" spans="9:26">
      <c r="I192">
        <f t="shared" si="45"/>
        <v>197.721490063907</v>
      </c>
      <c r="J192">
        <f t="shared" si="46"/>
        <v>230</v>
      </c>
      <c r="K192">
        <f t="shared" si="47"/>
        <v>378</v>
      </c>
      <c r="L192">
        <f t="shared" si="48"/>
        <v>156.47269016040096</v>
      </c>
      <c r="M192">
        <f t="shared" si="49"/>
        <v>108.13895043686934</v>
      </c>
      <c r="N192" s="69">
        <f t="shared" si="50"/>
        <v>91.394094063596299</v>
      </c>
      <c r="O192">
        <v>155</v>
      </c>
      <c r="P192">
        <f t="shared" si="43"/>
        <v>4.5646740814957338</v>
      </c>
      <c r="Q192">
        <f t="shared" si="51"/>
        <v>-2.053137423576159</v>
      </c>
      <c r="R192">
        <f t="shared" si="44"/>
        <v>-0.87065499671438662</v>
      </c>
      <c r="S192">
        <f t="shared" si="44"/>
        <v>6.467250164280669E-2</v>
      </c>
      <c r="T192">
        <f t="shared" si="44"/>
        <v>1.9353274983571933</v>
      </c>
      <c r="U192">
        <f t="shared" si="42"/>
        <v>2.8706549967143866</v>
      </c>
      <c r="V192">
        <v>0.1</v>
      </c>
      <c r="W192" s="69">
        <f t="shared" si="52"/>
        <v>2.9311688311688311</v>
      </c>
      <c r="X192" s="69">
        <f t="shared" si="53"/>
        <v>-1.1724675324675324</v>
      </c>
      <c r="Y192">
        <f t="shared" si="54"/>
        <v>-0.87065499671438662</v>
      </c>
      <c r="Z192">
        <f t="shared" si="55"/>
        <v>2.8706549967143866</v>
      </c>
    </row>
    <row r="193" spans="9:26">
      <c r="I193">
        <f t="shared" si="45"/>
        <v>197.721490063907</v>
      </c>
      <c r="J193">
        <f t="shared" si="46"/>
        <v>230</v>
      </c>
      <c r="K193">
        <f t="shared" si="47"/>
        <v>378</v>
      </c>
      <c r="L193">
        <f t="shared" si="48"/>
        <v>156.47269016040096</v>
      </c>
      <c r="M193">
        <f t="shared" si="49"/>
        <v>108.13895043686934</v>
      </c>
      <c r="N193" s="69">
        <f t="shared" si="50"/>
        <v>91.394094063596299</v>
      </c>
      <c r="O193">
        <v>156</v>
      </c>
      <c r="P193">
        <f t="shared" si="43"/>
        <v>4.6237630987421516</v>
      </c>
      <c r="Q193">
        <f t="shared" si="51"/>
        <v>-2.0797149777377482</v>
      </c>
      <c r="R193">
        <f t="shared" si="44"/>
        <v>-0.88272373862867282</v>
      </c>
      <c r="S193">
        <f t="shared" si="44"/>
        <v>5.8638130685663592E-2</v>
      </c>
      <c r="T193">
        <f t="shared" si="44"/>
        <v>1.9413618693143364</v>
      </c>
      <c r="U193">
        <f t="shared" si="42"/>
        <v>2.8827237386286728</v>
      </c>
      <c r="V193">
        <v>0.12</v>
      </c>
      <c r="W193" s="69">
        <f t="shared" si="52"/>
        <v>2.9311688311688311</v>
      </c>
      <c r="X193" s="69">
        <f t="shared" si="53"/>
        <v>-1.1724675324675324</v>
      </c>
      <c r="Y193">
        <f t="shared" si="54"/>
        <v>-0.88272373862867282</v>
      </c>
      <c r="Z193">
        <f t="shared" si="55"/>
        <v>2.8827237386286728</v>
      </c>
    </row>
    <row r="194" spans="9:26">
      <c r="I194">
        <f t="shared" si="45"/>
        <v>197.721490063907</v>
      </c>
      <c r="J194">
        <f t="shared" si="46"/>
        <v>230</v>
      </c>
      <c r="K194">
        <f t="shared" si="47"/>
        <v>378</v>
      </c>
      <c r="L194">
        <f t="shared" si="48"/>
        <v>156.47269016040096</v>
      </c>
      <c r="M194">
        <f t="shared" si="49"/>
        <v>108.13895043686934</v>
      </c>
      <c r="N194" s="69">
        <f t="shared" si="50"/>
        <v>91.394094063596299</v>
      </c>
      <c r="O194">
        <v>157</v>
      </c>
      <c r="P194">
        <f t="shared" si="43"/>
        <v>4.6832321096686096</v>
      </c>
      <c r="Q194">
        <f t="shared" si="51"/>
        <v>-2.1064634486463576</v>
      </c>
      <c r="R194">
        <f t="shared" si="44"/>
        <v>-0.89479248054295923</v>
      </c>
      <c r="S194">
        <f t="shared" si="44"/>
        <v>5.2603759728520383E-2</v>
      </c>
      <c r="T194">
        <f t="shared" si="44"/>
        <v>1.9473962402714795</v>
      </c>
      <c r="U194">
        <f t="shared" si="42"/>
        <v>2.894792480542959</v>
      </c>
      <c r="V194">
        <v>0.14000000000000001</v>
      </c>
      <c r="W194" s="69">
        <f t="shared" si="52"/>
        <v>2.9311688311688311</v>
      </c>
      <c r="X194" s="69">
        <f t="shared" si="53"/>
        <v>-1.1724675324675324</v>
      </c>
      <c r="Y194">
        <f t="shared" si="54"/>
        <v>-0.89479248054295923</v>
      </c>
      <c r="Z194">
        <f t="shared" si="55"/>
        <v>2.894792480542959</v>
      </c>
    </row>
    <row r="195" spans="9:26">
      <c r="I195">
        <f t="shared" si="45"/>
        <v>197.721490063907</v>
      </c>
      <c r="J195">
        <f t="shared" si="46"/>
        <v>230</v>
      </c>
      <c r="K195">
        <f t="shared" si="47"/>
        <v>378</v>
      </c>
      <c r="L195">
        <f t="shared" si="48"/>
        <v>156.47269016040096</v>
      </c>
      <c r="M195">
        <f t="shared" si="49"/>
        <v>108.13895043686934</v>
      </c>
      <c r="N195" s="69">
        <f t="shared" si="50"/>
        <v>91.394094063596299</v>
      </c>
      <c r="O195">
        <v>158</v>
      </c>
      <c r="P195">
        <f t="shared" si="43"/>
        <v>4.7430811142751095</v>
      </c>
      <c r="Q195">
        <f t="shared" si="51"/>
        <v>-2.1333828363019869</v>
      </c>
      <c r="R195">
        <f t="shared" si="44"/>
        <v>-0.90686122245724543</v>
      </c>
      <c r="S195">
        <f t="shared" si="44"/>
        <v>4.6569388771377285E-2</v>
      </c>
      <c r="T195">
        <f t="shared" si="44"/>
        <v>1.9534306112286228</v>
      </c>
      <c r="U195">
        <f t="shared" si="42"/>
        <v>2.9068612224572457</v>
      </c>
      <c r="V195">
        <v>0.16</v>
      </c>
      <c r="W195" s="69">
        <f t="shared" si="52"/>
        <v>2.9311688311688311</v>
      </c>
      <c r="X195" s="69">
        <f t="shared" si="53"/>
        <v>-1.1724675324675324</v>
      </c>
      <c r="Y195">
        <f t="shared" si="54"/>
        <v>-0.90686122245724543</v>
      </c>
      <c r="Z195">
        <f t="shared" si="55"/>
        <v>2.9068612224572457</v>
      </c>
    </row>
    <row r="196" spans="9:26">
      <c r="I196">
        <f t="shared" si="45"/>
        <v>197.721490063907</v>
      </c>
      <c r="J196">
        <f t="shared" si="46"/>
        <v>230</v>
      </c>
      <c r="K196">
        <f t="shared" si="47"/>
        <v>378</v>
      </c>
      <c r="L196">
        <f t="shared" si="48"/>
        <v>156.47269016040096</v>
      </c>
      <c r="M196">
        <f t="shared" si="49"/>
        <v>108.13895043686934</v>
      </c>
      <c r="N196" s="69">
        <f t="shared" si="50"/>
        <v>91.394094063596299</v>
      </c>
      <c r="O196">
        <v>159</v>
      </c>
      <c r="P196">
        <f t="shared" si="43"/>
        <v>4.8033101125616513</v>
      </c>
      <c r="Q196">
        <f t="shared" si="51"/>
        <v>-2.160473140704636</v>
      </c>
      <c r="R196">
        <f t="shared" si="44"/>
        <v>-0.91892996437153207</v>
      </c>
      <c r="S196">
        <f t="shared" si="44"/>
        <v>4.0535017814233965E-2</v>
      </c>
      <c r="T196">
        <f t="shared" si="44"/>
        <v>1.9594649821857661</v>
      </c>
      <c r="U196">
        <f t="shared" si="42"/>
        <v>2.9189299643715323</v>
      </c>
      <c r="V196">
        <v>0.18</v>
      </c>
      <c r="W196" s="69">
        <f t="shared" si="52"/>
        <v>2.9311688311688311</v>
      </c>
      <c r="X196" s="69">
        <f t="shared" si="53"/>
        <v>-1.1724675324675324</v>
      </c>
      <c r="Y196">
        <f t="shared" si="54"/>
        <v>-0.91892996437153207</v>
      </c>
      <c r="Z196">
        <f t="shared" si="55"/>
        <v>2.9189299643715323</v>
      </c>
    </row>
    <row r="197" spans="9:26">
      <c r="I197">
        <f t="shared" si="45"/>
        <v>197.721490063907</v>
      </c>
      <c r="J197">
        <f t="shared" si="46"/>
        <v>230</v>
      </c>
      <c r="K197">
        <f t="shared" si="47"/>
        <v>378</v>
      </c>
      <c r="L197">
        <f t="shared" si="48"/>
        <v>156.47269016040096</v>
      </c>
      <c r="M197">
        <f t="shared" si="49"/>
        <v>108.13895043686934</v>
      </c>
      <c r="N197" s="69">
        <f t="shared" si="50"/>
        <v>91.394094063596299</v>
      </c>
      <c r="O197">
        <v>160</v>
      </c>
      <c r="P197">
        <f t="shared" si="43"/>
        <v>4.8639191045282333</v>
      </c>
      <c r="Q197">
        <f t="shared" si="51"/>
        <v>-2.1877343618543046</v>
      </c>
      <c r="R197">
        <f t="shared" si="44"/>
        <v>-0.93099870628581849</v>
      </c>
      <c r="S197">
        <f t="shared" si="44"/>
        <v>3.4500646857090755E-2</v>
      </c>
      <c r="T197">
        <f t="shared" si="44"/>
        <v>1.9654993531429092</v>
      </c>
      <c r="U197">
        <f t="shared" si="42"/>
        <v>2.9309987062858185</v>
      </c>
      <c r="V197">
        <v>0.2</v>
      </c>
      <c r="W197" s="69">
        <f t="shared" si="52"/>
        <v>2.9311688311688311</v>
      </c>
      <c r="X197" s="69">
        <f t="shared" si="53"/>
        <v>-1.1724675324675324</v>
      </c>
      <c r="Y197">
        <f t="shared" si="54"/>
        <v>-0.93099870628581849</v>
      </c>
      <c r="Z197">
        <f t="shared" si="55"/>
        <v>2.9309987062858185</v>
      </c>
    </row>
    <row r="198" spans="9:26">
      <c r="I198">
        <f t="shared" si="45"/>
        <v>197.721490063907</v>
      </c>
      <c r="J198">
        <f t="shared" si="46"/>
        <v>230</v>
      </c>
      <c r="K198">
        <f t="shared" si="47"/>
        <v>378</v>
      </c>
      <c r="L198">
        <f t="shared" si="48"/>
        <v>156.47269016040096</v>
      </c>
      <c r="M198">
        <f t="shared" si="49"/>
        <v>108.13895043686934</v>
      </c>
      <c r="N198" s="69">
        <f t="shared" si="50"/>
        <v>91.394094063596299</v>
      </c>
      <c r="O198">
        <v>161</v>
      </c>
      <c r="P198">
        <f t="shared" si="43"/>
        <v>4.9249080901748572</v>
      </c>
      <c r="Q198">
        <f t="shared" si="51"/>
        <v>-2.2151664997509934</v>
      </c>
      <c r="R198">
        <f t="shared" si="44"/>
        <v>-0.94306744820010469</v>
      </c>
      <c r="S198">
        <f t="shared" si="44"/>
        <v>2.8466275899947657E-2</v>
      </c>
      <c r="T198">
        <f t="shared" si="44"/>
        <v>1.9715337241000523</v>
      </c>
      <c r="U198">
        <f t="shared" si="42"/>
        <v>2.9430674482001047</v>
      </c>
      <c r="V198">
        <v>0.22</v>
      </c>
      <c r="W198" s="69">
        <f t="shared" si="52"/>
        <v>2.9311688311688311</v>
      </c>
      <c r="X198" s="69">
        <f t="shared" si="53"/>
        <v>-1.1724675324675324</v>
      </c>
      <c r="Y198">
        <f t="shared" si="54"/>
        <v>-0.94306744820010469</v>
      </c>
      <c r="Z198">
        <f t="shared" si="55"/>
        <v>2.9430674482001047</v>
      </c>
    </row>
    <row r="199" spans="9:26">
      <c r="I199">
        <f t="shared" si="45"/>
        <v>197.721490063907</v>
      </c>
      <c r="J199">
        <f t="shared" si="46"/>
        <v>230</v>
      </c>
      <c r="K199">
        <f t="shared" si="47"/>
        <v>378</v>
      </c>
      <c r="L199">
        <f t="shared" si="48"/>
        <v>156.47269016040096</v>
      </c>
      <c r="M199">
        <f t="shared" si="49"/>
        <v>108.13895043686934</v>
      </c>
      <c r="N199" s="69">
        <f t="shared" si="50"/>
        <v>91.394094063596299</v>
      </c>
      <c r="O199">
        <v>162</v>
      </c>
      <c r="P199">
        <f t="shared" si="43"/>
        <v>4.9862770695015213</v>
      </c>
      <c r="Q199">
        <f t="shared" si="51"/>
        <v>-2.2427695543947022</v>
      </c>
      <c r="R199">
        <f t="shared" si="44"/>
        <v>-0.9551361901143911</v>
      </c>
      <c r="S199">
        <f t="shared" si="44"/>
        <v>2.2431904942804448E-2</v>
      </c>
      <c r="T199">
        <f t="shared" si="44"/>
        <v>1.9775680950571957</v>
      </c>
      <c r="U199">
        <f t="shared" si="42"/>
        <v>2.9551361901143913</v>
      </c>
      <c r="V199">
        <v>0.24</v>
      </c>
      <c r="W199" s="69">
        <f t="shared" si="52"/>
        <v>2.9311688311688311</v>
      </c>
      <c r="X199" s="69">
        <f t="shared" si="53"/>
        <v>-1.1724675324675324</v>
      </c>
      <c r="Y199">
        <f t="shared" si="54"/>
        <v>-0.9551361901143911</v>
      </c>
      <c r="Z199">
        <f t="shared" si="55"/>
        <v>2.9551361901143913</v>
      </c>
    </row>
    <row r="200" spans="9:26">
      <c r="I200">
        <f t="shared" si="45"/>
        <v>197.721490063907</v>
      </c>
      <c r="J200">
        <f t="shared" si="46"/>
        <v>230</v>
      </c>
      <c r="K200">
        <f t="shared" si="47"/>
        <v>378</v>
      </c>
      <c r="L200">
        <f t="shared" si="48"/>
        <v>156.47269016040096</v>
      </c>
      <c r="M200">
        <f t="shared" si="49"/>
        <v>108.13895043686934</v>
      </c>
      <c r="N200" s="69">
        <f t="shared" si="50"/>
        <v>91.394094063596299</v>
      </c>
      <c r="O200">
        <v>163</v>
      </c>
      <c r="P200">
        <f t="shared" si="43"/>
        <v>5.0480260425082273</v>
      </c>
      <c r="Q200">
        <f t="shared" si="51"/>
        <v>-2.2705435257854307</v>
      </c>
      <c r="R200">
        <f t="shared" si="44"/>
        <v>-0.9672049320286773</v>
      </c>
      <c r="S200">
        <f t="shared" si="44"/>
        <v>1.639753398566135E-2</v>
      </c>
      <c r="T200">
        <f t="shared" si="44"/>
        <v>1.9836024660143385</v>
      </c>
      <c r="U200">
        <f t="shared" si="42"/>
        <v>2.9672049320286771</v>
      </c>
      <c r="V200">
        <v>0.26</v>
      </c>
      <c r="W200" s="69">
        <f t="shared" si="52"/>
        <v>2.9311688311688311</v>
      </c>
      <c r="X200" s="69">
        <f t="shared" si="53"/>
        <v>-1.1724675324675324</v>
      </c>
      <c r="Y200">
        <f t="shared" si="54"/>
        <v>-0.9672049320286773</v>
      </c>
      <c r="Z200">
        <f t="shared" si="55"/>
        <v>2.9672049320286771</v>
      </c>
    </row>
    <row r="201" spans="9:26">
      <c r="I201">
        <f t="shared" si="45"/>
        <v>197.721490063907</v>
      </c>
      <c r="J201">
        <f t="shared" si="46"/>
        <v>230</v>
      </c>
      <c r="K201">
        <f t="shared" si="47"/>
        <v>378</v>
      </c>
      <c r="L201">
        <f t="shared" si="48"/>
        <v>156.47269016040096</v>
      </c>
      <c r="M201">
        <f t="shared" si="49"/>
        <v>108.13895043686934</v>
      </c>
      <c r="N201" s="69">
        <f t="shared" si="50"/>
        <v>91.394094063596299</v>
      </c>
      <c r="O201">
        <v>164</v>
      </c>
      <c r="P201">
        <f t="shared" si="43"/>
        <v>5.1101550091949761</v>
      </c>
      <c r="Q201">
        <f t="shared" si="51"/>
        <v>-2.2984884139231792</v>
      </c>
      <c r="R201" s="19">
        <f t="shared" si="44"/>
        <v>-0.9792736739429635</v>
      </c>
      <c r="S201">
        <f t="shared" si="44"/>
        <v>1.0363163028518252E-2</v>
      </c>
      <c r="T201">
        <f t="shared" si="44"/>
        <v>1.9896368369714819</v>
      </c>
      <c r="U201">
        <f t="shared" si="42"/>
        <v>2.9792736739429637</v>
      </c>
      <c r="V201">
        <v>0.28000000000000003</v>
      </c>
      <c r="W201" s="69">
        <f t="shared" si="52"/>
        <v>2.9311688311688311</v>
      </c>
      <c r="X201" s="236">
        <f t="shared" si="53"/>
        <v>-1.1724675324675324</v>
      </c>
      <c r="Y201">
        <f t="shared" si="54"/>
        <v>-0.9792736739429635</v>
      </c>
      <c r="Z201">
        <f t="shared" si="55"/>
        <v>2.9792736739429637</v>
      </c>
    </row>
    <row r="202" spans="9:26">
      <c r="I202">
        <f t="shared" si="45"/>
        <v>197.721490063907</v>
      </c>
      <c r="J202">
        <f t="shared" si="46"/>
        <v>230</v>
      </c>
      <c r="K202">
        <f t="shared" si="47"/>
        <v>378</v>
      </c>
      <c r="L202">
        <f t="shared" si="48"/>
        <v>156.47269016040096</v>
      </c>
      <c r="M202">
        <f t="shared" si="49"/>
        <v>108.13895043686934</v>
      </c>
      <c r="N202" s="69">
        <f t="shared" si="50"/>
        <v>91.394094063596299</v>
      </c>
      <c r="O202">
        <v>165</v>
      </c>
      <c r="P202">
        <f t="shared" si="43"/>
        <v>5.1726639695617633</v>
      </c>
      <c r="Q202">
        <f t="shared" si="51"/>
        <v>-2.326604218807947</v>
      </c>
      <c r="R202">
        <f t="shared" si="44"/>
        <v>-0.99134241585725036</v>
      </c>
      <c r="S202">
        <f t="shared" si="44"/>
        <v>4.3287920713748207E-3</v>
      </c>
      <c r="T202">
        <f t="shared" si="44"/>
        <v>1.9956712079286252</v>
      </c>
      <c r="U202">
        <f t="shared" si="42"/>
        <v>2.9913424158572504</v>
      </c>
      <c r="V202">
        <v>0.3</v>
      </c>
      <c r="W202" s="69">
        <f t="shared" si="52"/>
        <v>2.9311688311688311</v>
      </c>
      <c r="X202" s="69">
        <f t="shared" si="53"/>
        <v>-1.1724675324675324</v>
      </c>
      <c r="Y202">
        <f t="shared" si="54"/>
        <v>-0.99134241585725036</v>
      </c>
      <c r="Z202">
        <f t="shared" si="55"/>
        <v>2.9913424158572504</v>
      </c>
    </row>
    <row r="203" spans="9:26">
      <c r="I203">
        <f t="shared" si="45"/>
        <v>197.721490063907</v>
      </c>
      <c r="J203">
        <f t="shared" si="46"/>
        <v>230</v>
      </c>
      <c r="K203">
        <f t="shared" si="47"/>
        <v>378</v>
      </c>
      <c r="L203">
        <f t="shared" si="48"/>
        <v>156.47269016040096</v>
      </c>
      <c r="M203">
        <f t="shared" si="49"/>
        <v>108.13895043686934</v>
      </c>
      <c r="N203" s="69">
        <f t="shared" si="50"/>
        <v>91.394094063596299</v>
      </c>
      <c r="O203">
        <v>166</v>
      </c>
      <c r="P203">
        <f t="shared" si="43"/>
        <v>5.2355529236085934</v>
      </c>
      <c r="Q203">
        <f t="shared" si="51"/>
        <v>-2.3548909404397351</v>
      </c>
      <c r="R203">
        <f t="shared" si="44"/>
        <v>-1.0034111577715366</v>
      </c>
      <c r="S203">
        <f t="shared" si="44"/>
        <v>-1.7055788857682774E-3</v>
      </c>
      <c r="T203">
        <f t="shared" si="44"/>
        <v>2.0017055788857681</v>
      </c>
      <c r="U203">
        <f t="shared" si="42"/>
        <v>3.0034111577715366</v>
      </c>
      <c r="V203">
        <v>0.32</v>
      </c>
      <c r="W203" s="69">
        <f t="shared" si="52"/>
        <v>2.9311688311688311</v>
      </c>
      <c r="X203" s="69">
        <f t="shared" si="53"/>
        <v>-1.1724675324675324</v>
      </c>
      <c r="Y203">
        <f t="shared" si="54"/>
        <v>-1.0034111577715366</v>
      </c>
      <c r="Z203">
        <f t="shared" si="55"/>
        <v>3.0034111577715366</v>
      </c>
    </row>
    <row r="204" spans="9:26">
      <c r="I204">
        <f t="shared" si="45"/>
        <v>197.721490063907</v>
      </c>
      <c r="J204">
        <f t="shared" si="46"/>
        <v>230</v>
      </c>
      <c r="K204">
        <f t="shared" si="47"/>
        <v>378</v>
      </c>
      <c r="L204">
        <f t="shared" si="48"/>
        <v>156.47269016040096</v>
      </c>
      <c r="M204">
        <f t="shared" si="49"/>
        <v>108.13895043686934</v>
      </c>
      <c r="N204" s="69">
        <f t="shared" si="50"/>
        <v>91.394094063596299</v>
      </c>
      <c r="O204">
        <v>167</v>
      </c>
      <c r="P204">
        <f t="shared" si="43"/>
        <v>5.2988218713354645</v>
      </c>
      <c r="Q204">
        <f t="shared" si="51"/>
        <v>-2.3833485788185431</v>
      </c>
      <c r="R204">
        <f t="shared" si="44"/>
        <v>-1.0154798996858228</v>
      </c>
      <c r="S204">
        <f t="shared" si="44"/>
        <v>-7.7399498429113756E-3</v>
      </c>
      <c r="T204">
        <f t="shared" si="44"/>
        <v>2.0077399498429114</v>
      </c>
      <c r="U204">
        <f t="shared" si="42"/>
        <v>3.0154798996858228</v>
      </c>
      <c r="V204">
        <v>0.34</v>
      </c>
      <c r="W204" s="69">
        <f t="shared" si="52"/>
        <v>2.9311688311688311</v>
      </c>
      <c r="X204" s="69">
        <f t="shared" si="53"/>
        <v>-1.1724675324675324</v>
      </c>
      <c r="Y204">
        <f t="shared" si="54"/>
        <v>-1.0154798996858228</v>
      </c>
      <c r="Z204">
        <f t="shared" si="55"/>
        <v>3.0154798996858228</v>
      </c>
    </row>
    <row r="205" spans="9:26">
      <c r="I205">
        <f t="shared" si="45"/>
        <v>197.721490063907</v>
      </c>
      <c r="J205">
        <f t="shared" si="46"/>
        <v>230</v>
      </c>
      <c r="K205">
        <f t="shared" si="47"/>
        <v>378</v>
      </c>
      <c r="L205">
        <f t="shared" si="48"/>
        <v>156.47269016040096</v>
      </c>
      <c r="M205">
        <f t="shared" si="49"/>
        <v>108.13895043686934</v>
      </c>
      <c r="N205" s="69">
        <f t="shared" si="50"/>
        <v>91.394094063596299</v>
      </c>
      <c r="O205">
        <v>168</v>
      </c>
      <c r="P205">
        <f t="shared" si="43"/>
        <v>5.3624708127423775</v>
      </c>
      <c r="Q205">
        <f t="shared" si="51"/>
        <v>-2.411977133944371</v>
      </c>
      <c r="R205">
        <f t="shared" si="44"/>
        <v>-1.0275486416001089</v>
      </c>
      <c r="S205">
        <f t="shared" si="44"/>
        <v>-1.3774320800054474E-2</v>
      </c>
      <c r="T205">
        <f t="shared" si="44"/>
        <v>2.0137743208000547</v>
      </c>
      <c r="U205">
        <f t="shared" si="42"/>
        <v>3.0275486416001089</v>
      </c>
      <c r="V205">
        <v>0.36</v>
      </c>
      <c r="W205" s="69">
        <f t="shared" si="52"/>
        <v>2.9311688311688311</v>
      </c>
      <c r="X205" s="69">
        <f t="shared" si="53"/>
        <v>-1.1724675324675324</v>
      </c>
      <c r="Y205">
        <f t="shared" si="54"/>
        <v>-1.0275486416001089</v>
      </c>
      <c r="Z205">
        <f t="shared" si="55"/>
        <v>3.0275486416001089</v>
      </c>
    </row>
    <row r="206" spans="9:26">
      <c r="I206">
        <f t="shared" si="45"/>
        <v>197.721490063907</v>
      </c>
      <c r="J206">
        <f t="shared" si="46"/>
        <v>230</v>
      </c>
      <c r="K206">
        <f t="shared" si="47"/>
        <v>378</v>
      </c>
      <c r="L206">
        <f t="shared" si="48"/>
        <v>156.47269016040096</v>
      </c>
      <c r="M206">
        <f t="shared" si="49"/>
        <v>108.13895043686934</v>
      </c>
      <c r="N206" s="69">
        <f t="shared" si="50"/>
        <v>91.394094063596299</v>
      </c>
      <c r="O206">
        <v>169</v>
      </c>
      <c r="P206">
        <f t="shared" si="43"/>
        <v>5.4264997478293315</v>
      </c>
      <c r="Q206">
        <f t="shared" si="51"/>
        <v>-2.4407766058172187</v>
      </c>
      <c r="R206">
        <f t="shared" si="44"/>
        <v>-1.0396173835143956</v>
      </c>
      <c r="S206">
        <f t="shared" si="44"/>
        <v>-1.9808691757197794E-2</v>
      </c>
      <c r="T206">
        <f t="shared" si="44"/>
        <v>2.0198086917571976</v>
      </c>
      <c r="U206">
        <f t="shared" si="42"/>
        <v>3.0396173835143956</v>
      </c>
      <c r="V206">
        <v>0.38</v>
      </c>
      <c r="W206" s="69">
        <f t="shared" si="52"/>
        <v>2.9311688311688311</v>
      </c>
      <c r="X206" s="69">
        <f t="shared" si="53"/>
        <v>-1.1724675324675324</v>
      </c>
      <c r="Y206">
        <f t="shared" si="54"/>
        <v>-1.0396173835143956</v>
      </c>
      <c r="Z206">
        <f t="shared" si="55"/>
        <v>3.0396173835143956</v>
      </c>
    </row>
    <row r="207" spans="9:26">
      <c r="I207">
        <f t="shared" si="45"/>
        <v>197.721490063907</v>
      </c>
      <c r="J207">
        <f t="shared" si="46"/>
        <v>230</v>
      </c>
      <c r="K207">
        <f t="shared" si="47"/>
        <v>378</v>
      </c>
      <c r="L207">
        <f t="shared" si="48"/>
        <v>156.47269016040096</v>
      </c>
      <c r="M207">
        <f t="shared" si="49"/>
        <v>108.13895043686934</v>
      </c>
      <c r="N207" s="69">
        <f t="shared" si="50"/>
        <v>91.394094063596299</v>
      </c>
      <c r="O207">
        <v>170</v>
      </c>
      <c r="P207">
        <f t="shared" si="43"/>
        <v>5.4909086765963249</v>
      </c>
      <c r="Q207">
        <f t="shared" si="51"/>
        <v>-2.4697469944370858</v>
      </c>
      <c r="R207">
        <f t="shared" si="44"/>
        <v>-1.0516861254286822</v>
      </c>
      <c r="S207">
        <f t="shared" si="44"/>
        <v>-2.5843062714341114E-2</v>
      </c>
      <c r="T207">
        <f t="shared" si="44"/>
        <v>2.0258430627143413</v>
      </c>
      <c r="U207">
        <f t="shared" si="42"/>
        <v>3.0516861254286822</v>
      </c>
      <c r="V207">
        <v>0.4</v>
      </c>
      <c r="W207" s="69">
        <f t="shared" si="52"/>
        <v>2.9311688311688311</v>
      </c>
      <c r="X207" s="69">
        <f t="shared" si="53"/>
        <v>-1.1724675324675324</v>
      </c>
      <c r="Y207">
        <f t="shared" si="54"/>
        <v>-1.0516861254286822</v>
      </c>
      <c r="Z207">
        <f t="shared" si="55"/>
        <v>3.0516861254286822</v>
      </c>
    </row>
    <row r="208" spans="9:26">
      <c r="I208">
        <f t="shared" si="45"/>
        <v>197.721490063907</v>
      </c>
      <c r="J208">
        <f t="shared" si="46"/>
        <v>230</v>
      </c>
      <c r="K208">
        <f t="shared" si="47"/>
        <v>378</v>
      </c>
      <c r="L208">
        <f t="shared" si="48"/>
        <v>156.47269016040096</v>
      </c>
      <c r="M208">
        <f t="shared" si="49"/>
        <v>108.13895043686934</v>
      </c>
      <c r="N208" s="69">
        <f t="shared" si="50"/>
        <v>91.394094063596299</v>
      </c>
      <c r="O208">
        <v>171</v>
      </c>
      <c r="P208">
        <f t="shared" si="43"/>
        <v>5.5556975990433619</v>
      </c>
      <c r="Q208">
        <f t="shared" si="51"/>
        <v>-2.4988882998039736</v>
      </c>
      <c r="R208">
        <f t="shared" si="44"/>
        <v>-1.0637548673429684</v>
      </c>
      <c r="S208">
        <f t="shared" si="44"/>
        <v>-3.1877433671484212E-2</v>
      </c>
      <c r="T208">
        <f t="shared" si="44"/>
        <v>2.0318774336714842</v>
      </c>
      <c r="U208">
        <f t="shared" si="42"/>
        <v>3.0637548673429684</v>
      </c>
      <c r="V208">
        <v>0.42</v>
      </c>
      <c r="W208" s="69">
        <f t="shared" si="52"/>
        <v>2.9311688311688311</v>
      </c>
      <c r="X208" s="69">
        <f t="shared" si="53"/>
        <v>-1.1724675324675324</v>
      </c>
      <c r="Y208">
        <f t="shared" si="54"/>
        <v>-1.0637548673429684</v>
      </c>
      <c r="Z208">
        <f t="shared" si="55"/>
        <v>3.0637548673429684</v>
      </c>
    </row>
    <row r="209" spans="9:26">
      <c r="I209">
        <f t="shared" si="45"/>
        <v>197.721490063907</v>
      </c>
      <c r="J209">
        <f t="shared" si="46"/>
        <v>230</v>
      </c>
      <c r="K209">
        <f t="shared" si="47"/>
        <v>378</v>
      </c>
      <c r="L209">
        <f t="shared" si="48"/>
        <v>156.47269016040096</v>
      </c>
      <c r="M209">
        <f t="shared" si="49"/>
        <v>108.13895043686934</v>
      </c>
      <c r="N209" s="69">
        <f t="shared" si="50"/>
        <v>91.394094063596299</v>
      </c>
      <c r="O209">
        <v>172</v>
      </c>
      <c r="P209">
        <f t="shared" si="43"/>
        <v>5.62086651517044</v>
      </c>
      <c r="Q209">
        <f t="shared" si="51"/>
        <v>-2.5282005219178809</v>
      </c>
      <c r="R209">
        <f t="shared" si="44"/>
        <v>-1.0758236092572546</v>
      </c>
      <c r="S209">
        <f t="shared" si="44"/>
        <v>-3.791180462862731E-2</v>
      </c>
      <c r="T209">
        <f t="shared" si="44"/>
        <v>2.0379118046286271</v>
      </c>
      <c r="U209">
        <f t="shared" si="42"/>
        <v>3.0758236092572546</v>
      </c>
      <c r="V209">
        <v>0.44</v>
      </c>
      <c r="W209" s="69">
        <f t="shared" si="52"/>
        <v>2.9311688311688311</v>
      </c>
      <c r="X209" s="69">
        <f t="shared" si="53"/>
        <v>-1.1724675324675324</v>
      </c>
      <c r="Y209">
        <f t="shared" si="54"/>
        <v>-1.0758236092572546</v>
      </c>
      <c r="Z209">
        <f t="shared" si="55"/>
        <v>3.0758236092572546</v>
      </c>
    </row>
    <row r="210" spans="9:26">
      <c r="I210">
        <f t="shared" si="45"/>
        <v>197.721490063907</v>
      </c>
      <c r="J210">
        <f t="shared" si="46"/>
        <v>230</v>
      </c>
      <c r="K210">
        <f t="shared" si="47"/>
        <v>378</v>
      </c>
      <c r="L210">
        <f t="shared" si="48"/>
        <v>156.47269016040096</v>
      </c>
      <c r="M210">
        <f t="shared" si="49"/>
        <v>108.13895043686934</v>
      </c>
      <c r="N210" s="69">
        <f t="shared" si="50"/>
        <v>91.394094063596299</v>
      </c>
      <c r="O210">
        <v>173</v>
      </c>
      <c r="P210">
        <f t="shared" si="43"/>
        <v>5.6864154249775583</v>
      </c>
      <c r="Q210">
        <f t="shared" si="51"/>
        <v>-2.557683660778808</v>
      </c>
      <c r="R210">
        <f t="shared" si="44"/>
        <v>-1.0878923511715408</v>
      </c>
      <c r="S210">
        <f t="shared" si="44"/>
        <v>-4.3946175585770408E-2</v>
      </c>
      <c r="T210">
        <f t="shared" si="44"/>
        <v>2.0439461755857704</v>
      </c>
      <c r="U210">
        <f t="shared" si="42"/>
        <v>3.0878923511715408</v>
      </c>
      <c r="V210">
        <v>0.46</v>
      </c>
      <c r="W210" s="69">
        <f t="shared" si="52"/>
        <v>2.9311688311688311</v>
      </c>
      <c r="X210" s="69">
        <f t="shared" si="53"/>
        <v>-1.1724675324675324</v>
      </c>
      <c r="Y210">
        <f t="shared" si="54"/>
        <v>-1.0878923511715408</v>
      </c>
      <c r="Z210">
        <f t="shared" si="55"/>
        <v>3.0878923511715408</v>
      </c>
    </row>
    <row r="211" spans="9:26">
      <c r="I211">
        <f t="shared" si="45"/>
        <v>197.721490063907</v>
      </c>
      <c r="J211">
        <f t="shared" si="46"/>
        <v>230</v>
      </c>
      <c r="K211">
        <f t="shared" si="47"/>
        <v>378</v>
      </c>
      <c r="L211">
        <f t="shared" si="48"/>
        <v>156.47269016040096</v>
      </c>
      <c r="M211">
        <f t="shared" si="49"/>
        <v>108.13895043686934</v>
      </c>
      <c r="N211" s="69">
        <f t="shared" si="50"/>
        <v>91.394094063596299</v>
      </c>
      <c r="O211">
        <v>174</v>
      </c>
      <c r="P211">
        <f t="shared" si="43"/>
        <v>5.7523443284647193</v>
      </c>
      <c r="Q211">
        <f t="shared" si="51"/>
        <v>-2.5873377163867555</v>
      </c>
      <c r="R211">
        <f t="shared" si="44"/>
        <v>-1.0999610930858275</v>
      </c>
      <c r="S211">
        <f t="shared" si="44"/>
        <v>-4.9980546542913729E-2</v>
      </c>
      <c r="T211">
        <f t="shared" si="44"/>
        <v>2.0499805465429137</v>
      </c>
      <c r="U211">
        <f t="shared" si="42"/>
        <v>3.0999610930858275</v>
      </c>
      <c r="V211">
        <v>0.48</v>
      </c>
      <c r="W211" s="69">
        <f t="shared" si="52"/>
        <v>2.9311688311688311</v>
      </c>
      <c r="X211" s="69">
        <f t="shared" si="53"/>
        <v>-1.1724675324675324</v>
      </c>
      <c r="Y211">
        <f t="shared" si="54"/>
        <v>-1.0999610930858275</v>
      </c>
      <c r="Z211">
        <f t="shared" si="55"/>
        <v>3.0999610930858275</v>
      </c>
    </row>
    <row r="212" spans="9:26">
      <c r="I212">
        <f t="shared" si="45"/>
        <v>197.721490063907</v>
      </c>
      <c r="J212">
        <f t="shared" si="46"/>
        <v>230</v>
      </c>
      <c r="K212">
        <f t="shared" si="47"/>
        <v>378</v>
      </c>
      <c r="L212">
        <f t="shared" si="48"/>
        <v>156.47269016040096</v>
      </c>
      <c r="M212">
        <f t="shared" si="49"/>
        <v>108.13895043686934</v>
      </c>
      <c r="N212" s="69">
        <f t="shared" si="50"/>
        <v>91.394094063596299</v>
      </c>
      <c r="O212">
        <v>175</v>
      </c>
      <c r="P212">
        <f t="shared" si="43"/>
        <v>5.8186532256319197</v>
      </c>
      <c r="Q212">
        <f t="shared" si="51"/>
        <v>-2.6171626887417219</v>
      </c>
      <c r="R212">
        <f t="shared" si="44"/>
        <v>-1.1120298350001137</v>
      </c>
      <c r="S212">
        <f t="shared" si="44"/>
        <v>-5.6014917500056827E-2</v>
      </c>
      <c r="T212">
        <f t="shared" si="44"/>
        <v>2.0560149175000566</v>
      </c>
      <c r="U212">
        <f t="shared" si="42"/>
        <v>3.1120298350001137</v>
      </c>
      <c r="V212">
        <v>0.5</v>
      </c>
      <c r="W212" s="69">
        <f t="shared" si="52"/>
        <v>2.9311688311688311</v>
      </c>
      <c r="X212" s="69">
        <f t="shared" si="53"/>
        <v>-1.1724675324675324</v>
      </c>
      <c r="Y212">
        <f t="shared" si="54"/>
        <v>-1.1120298350001137</v>
      </c>
      <c r="Z212">
        <f t="shared" si="55"/>
        <v>3.1120298350001137</v>
      </c>
    </row>
    <row r="213" spans="9:26">
      <c r="I213">
        <f t="shared" si="45"/>
        <v>197.721490063907</v>
      </c>
      <c r="J213">
        <f t="shared" si="46"/>
        <v>230</v>
      </c>
      <c r="K213">
        <f t="shared" si="47"/>
        <v>378</v>
      </c>
      <c r="L213">
        <f t="shared" si="48"/>
        <v>156.47269016040096</v>
      </c>
      <c r="M213">
        <f t="shared" si="49"/>
        <v>108.13895043686934</v>
      </c>
      <c r="N213" s="69">
        <f t="shared" si="50"/>
        <v>91.394094063596299</v>
      </c>
      <c r="O213">
        <v>176</v>
      </c>
      <c r="P213">
        <f t="shared" si="43"/>
        <v>5.8853421164791619</v>
      </c>
      <c r="Q213">
        <f t="shared" si="51"/>
        <v>-2.647158577843709</v>
      </c>
      <c r="R213">
        <f t="shared" si="44"/>
        <v>-1.1240985769144003</v>
      </c>
      <c r="S213">
        <f t="shared" si="44"/>
        <v>-6.2049288457200147E-2</v>
      </c>
      <c r="T213">
        <f t="shared" si="44"/>
        <v>2.0620492884572004</v>
      </c>
      <c r="U213">
        <f t="shared" si="42"/>
        <v>3.1240985769144003</v>
      </c>
      <c r="V213">
        <v>0.52</v>
      </c>
      <c r="W213" s="69">
        <f t="shared" si="52"/>
        <v>2.9311688311688311</v>
      </c>
      <c r="X213" s="69">
        <f t="shared" si="53"/>
        <v>-1.1724675324675324</v>
      </c>
      <c r="Y213">
        <f t="shared" si="54"/>
        <v>-1.1240985769144003</v>
      </c>
      <c r="Z213">
        <f t="shared" si="55"/>
        <v>3.1240985769144003</v>
      </c>
    </row>
    <row r="214" spans="9:26">
      <c r="I214">
        <f t="shared" si="45"/>
        <v>197.721490063907</v>
      </c>
      <c r="J214">
        <f t="shared" si="46"/>
        <v>230</v>
      </c>
      <c r="K214">
        <f t="shared" si="47"/>
        <v>378</v>
      </c>
      <c r="L214">
        <f t="shared" si="48"/>
        <v>156.47269016040096</v>
      </c>
      <c r="M214">
        <f t="shared" si="49"/>
        <v>108.13895043686934</v>
      </c>
      <c r="N214" s="69">
        <f t="shared" si="50"/>
        <v>91.394094063596299</v>
      </c>
      <c r="O214">
        <v>177</v>
      </c>
      <c r="P214">
        <f t="shared" si="43"/>
        <v>5.9524110010064462</v>
      </c>
      <c r="Q214">
        <f t="shared" si="51"/>
        <v>-2.6773253836927151</v>
      </c>
      <c r="R214">
        <f t="shared" si="44"/>
        <v>-1.1361673188286865</v>
      </c>
      <c r="S214">
        <f t="shared" si="44"/>
        <v>-6.8083659414343245E-2</v>
      </c>
      <c r="T214">
        <f t="shared" si="44"/>
        <v>2.0680836594143432</v>
      </c>
      <c r="U214">
        <f t="shared" si="42"/>
        <v>3.1361673188286865</v>
      </c>
      <c r="V214">
        <v>0.54</v>
      </c>
      <c r="W214" s="69">
        <f t="shared" si="52"/>
        <v>2.9311688311688311</v>
      </c>
      <c r="X214" s="69">
        <f t="shared" si="53"/>
        <v>-1.1724675324675324</v>
      </c>
      <c r="Y214">
        <f t="shared" si="54"/>
        <v>-1.1361673188286865</v>
      </c>
      <c r="Z214">
        <f t="shared" si="55"/>
        <v>3.1361673188286865</v>
      </c>
    </row>
    <row r="215" spans="9:26">
      <c r="I215">
        <f t="shared" si="45"/>
        <v>197.721490063907</v>
      </c>
      <c r="J215">
        <f t="shared" si="46"/>
        <v>230</v>
      </c>
      <c r="K215">
        <f t="shared" si="47"/>
        <v>378</v>
      </c>
      <c r="L215">
        <f t="shared" si="48"/>
        <v>156.47269016040096</v>
      </c>
      <c r="M215">
        <f t="shared" si="49"/>
        <v>108.13895043686934</v>
      </c>
      <c r="N215" s="69">
        <f t="shared" si="50"/>
        <v>91.394094063596299</v>
      </c>
      <c r="O215">
        <v>178</v>
      </c>
      <c r="P215">
        <f t="shared" si="43"/>
        <v>6.0198598792137714</v>
      </c>
      <c r="Q215">
        <f t="shared" si="51"/>
        <v>-2.707663106288742</v>
      </c>
      <c r="R215">
        <f t="shared" si="44"/>
        <v>-1.1482360607429727</v>
      </c>
      <c r="S215">
        <f t="shared" si="44"/>
        <v>-7.4118030371486343E-2</v>
      </c>
      <c r="T215">
        <f t="shared" si="44"/>
        <v>2.0741180303714861</v>
      </c>
      <c r="U215">
        <f t="shared" si="42"/>
        <v>3.1482360607429727</v>
      </c>
      <c r="V215">
        <v>0.56000000000000005</v>
      </c>
      <c r="W215" s="69">
        <f t="shared" si="52"/>
        <v>2.9311688311688311</v>
      </c>
      <c r="X215" s="69">
        <f t="shared" si="53"/>
        <v>-1.1724675324675324</v>
      </c>
      <c r="Y215">
        <f t="shared" si="54"/>
        <v>-1.1482360607429727</v>
      </c>
      <c r="Z215">
        <f t="shared" si="55"/>
        <v>3.1482360607429727</v>
      </c>
    </row>
    <row r="216" spans="9:26">
      <c r="I216">
        <f t="shared" si="45"/>
        <v>197.721490063907</v>
      </c>
      <c r="J216">
        <f t="shared" si="46"/>
        <v>230</v>
      </c>
      <c r="K216">
        <f t="shared" si="47"/>
        <v>378</v>
      </c>
      <c r="L216">
        <f t="shared" si="48"/>
        <v>156.47269016040096</v>
      </c>
      <c r="M216">
        <f t="shared" si="49"/>
        <v>108.13895043686934</v>
      </c>
      <c r="N216" s="69">
        <f t="shared" si="50"/>
        <v>91.394094063596299</v>
      </c>
      <c r="O216">
        <v>179</v>
      </c>
      <c r="P216">
        <f t="shared" si="43"/>
        <v>6.0876887511011386</v>
      </c>
      <c r="Q216">
        <f t="shared" si="51"/>
        <v>-2.7381717456317882</v>
      </c>
      <c r="R216">
        <f t="shared" si="44"/>
        <v>-1.1603048026572593</v>
      </c>
      <c r="S216">
        <f t="shared" si="44"/>
        <v>-8.0152401328629663E-2</v>
      </c>
      <c r="T216">
        <f t="shared" si="44"/>
        <v>2.0801524013286299</v>
      </c>
      <c r="U216">
        <f t="shared" si="42"/>
        <v>3.1603048026572593</v>
      </c>
      <c r="V216">
        <v>0.57999999999999996</v>
      </c>
      <c r="W216" s="69">
        <f t="shared" si="52"/>
        <v>2.9311688311688311</v>
      </c>
      <c r="X216" s="69">
        <f t="shared" si="53"/>
        <v>-1.1724675324675324</v>
      </c>
      <c r="Y216">
        <f t="shared" si="54"/>
        <v>-1.1603048026572593</v>
      </c>
      <c r="Z216">
        <f t="shared" si="55"/>
        <v>3.1603048026572593</v>
      </c>
    </row>
    <row r="217" spans="9:26">
      <c r="I217">
        <f t="shared" si="45"/>
        <v>197.721490063907</v>
      </c>
      <c r="J217">
        <f t="shared" si="46"/>
        <v>230</v>
      </c>
      <c r="K217">
        <f t="shared" si="47"/>
        <v>378</v>
      </c>
      <c r="L217">
        <f t="shared" si="48"/>
        <v>156.47269016040096</v>
      </c>
      <c r="M217">
        <f t="shared" si="49"/>
        <v>108.13895043686934</v>
      </c>
      <c r="N217" s="69">
        <f t="shared" si="50"/>
        <v>91.394094063596299</v>
      </c>
      <c r="O217">
        <v>180</v>
      </c>
      <c r="P217">
        <f t="shared" si="43"/>
        <v>6.1558976166685442</v>
      </c>
      <c r="Q217">
        <f t="shared" si="51"/>
        <v>-2.7688513017218543</v>
      </c>
      <c r="R217">
        <f t="shared" si="44"/>
        <v>-1.1723735445715455</v>
      </c>
      <c r="S217">
        <f t="shared" si="44"/>
        <v>-8.6186772285772761E-2</v>
      </c>
      <c r="T217">
        <f t="shared" si="44"/>
        <v>2.0861867722857728</v>
      </c>
      <c r="U217">
        <f t="shared" si="42"/>
        <v>3.1723735445715455</v>
      </c>
      <c r="V217">
        <v>0.6</v>
      </c>
      <c r="W217" s="69">
        <f t="shared" si="52"/>
        <v>2.9311688311688311</v>
      </c>
      <c r="X217" s="69">
        <f t="shared" si="53"/>
        <v>-1.1724675324675324</v>
      </c>
      <c r="Y217">
        <f t="shared" si="54"/>
        <v>-1.1723735445715455</v>
      </c>
      <c r="Z217">
        <f t="shared" si="55"/>
        <v>3.1723735445715455</v>
      </c>
    </row>
    <row r="218" spans="9:26">
      <c r="I218">
        <f t="shared" si="45"/>
        <v>197.721490063907</v>
      </c>
      <c r="J218">
        <f t="shared" si="46"/>
        <v>230</v>
      </c>
      <c r="K218">
        <f t="shared" si="47"/>
        <v>378</v>
      </c>
      <c r="L218">
        <f t="shared" si="48"/>
        <v>156.47269016040096</v>
      </c>
      <c r="M218">
        <f t="shared" si="49"/>
        <v>108.13895043686934</v>
      </c>
      <c r="N218" s="69">
        <f t="shared" si="50"/>
        <v>91.394094063596299</v>
      </c>
      <c r="O218">
        <v>181</v>
      </c>
      <c r="P218">
        <f t="shared" si="43"/>
        <v>6.2244864759159944</v>
      </c>
      <c r="Q218">
        <f t="shared" si="51"/>
        <v>-2.7997017745589408</v>
      </c>
      <c r="R218">
        <f t="shared" si="44"/>
        <v>-1.1844422864858322</v>
      </c>
      <c r="S218">
        <f t="shared" si="44"/>
        <v>-9.2221143242916082E-2</v>
      </c>
      <c r="T218">
        <f t="shared" si="44"/>
        <v>2.0922211432429161</v>
      </c>
      <c r="U218">
        <f t="shared" si="42"/>
        <v>3.1844422864858322</v>
      </c>
      <c r="V218">
        <v>0.62</v>
      </c>
      <c r="W218" s="69">
        <f t="shared" si="52"/>
        <v>2.9311688311688311</v>
      </c>
      <c r="X218" s="69">
        <f t="shared" si="53"/>
        <v>-1.1724675324675324</v>
      </c>
      <c r="Y218">
        <f t="shared" si="54"/>
        <v>-1.1844422864858322</v>
      </c>
      <c r="Z218">
        <f t="shared" si="55"/>
        <v>3.1844422864858322</v>
      </c>
    </row>
    <row r="219" spans="9:26">
      <c r="I219">
        <f t="shared" si="45"/>
        <v>197.721490063907</v>
      </c>
      <c r="J219">
        <f t="shared" si="46"/>
        <v>230</v>
      </c>
      <c r="K219">
        <f t="shared" si="47"/>
        <v>378</v>
      </c>
      <c r="L219">
        <f t="shared" si="48"/>
        <v>156.47269016040096</v>
      </c>
      <c r="M219">
        <f t="shared" si="49"/>
        <v>108.13895043686934</v>
      </c>
      <c r="N219" s="69">
        <f t="shared" si="50"/>
        <v>91.394094063596299</v>
      </c>
      <c r="O219">
        <v>182</v>
      </c>
      <c r="P219">
        <f t="shared" si="43"/>
        <v>6.2934553288434829</v>
      </c>
      <c r="Q219">
        <f t="shared" si="51"/>
        <v>-2.8307231641430466</v>
      </c>
      <c r="R219">
        <f t="shared" si="44"/>
        <v>-1.1965110284001184</v>
      </c>
      <c r="S219">
        <f t="shared" si="44"/>
        <v>-9.825551420005918E-2</v>
      </c>
      <c r="T219">
        <f t="shared" si="44"/>
        <v>2.0982555142000594</v>
      </c>
      <c r="U219">
        <f t="shared" si="42"/>
        <v>3.1965110284001184</v>
      </c>
      <c r="V219">
        <v>0.64</v>
      </c>
      <c r="W219" s="69">
        <f t="shared" si="52"/>
        <v>2.9311688311688311</v>
      </c>
      <c r="X219" s="69">
        <f t="shared" si="53"/>
        <v>-1.1724675324675324</v>
      </c>
      <c r="Y219">
        <f t="shared" si="54"/>
        <v>-1.1965110284001184</v>
      </c>
      <c r="Z219">
        <f t="shared" si="55"/>
        <v>3.1965110284001184</v>
      </c>
    </row>
    <row r="220" spans="9:26">
      <c r="I220">
        <f t="shared" si="45"/>
        <v>197.721490063907</v>
      </c>
      <c r="J220">
        <f t="shared" si="46"/>
        <v>230</v>
      </c>
      <c r="K220">
        <f t="shared" si="47"/>
        <v>378</v>
      </c>
      <c r="L220">
        <f t="shared" si="48"/>
        <v>156.47269016040096</v>
      </c>
      <c r="M220">
        <f t="shared" si="49"/>
        <v>108.13895043686934</v>
      </c>
      <c r="N220" s="69">
        <f t="shared" si="50"/>
        <v>91.394094063596299</v>
      </c>
      <c r="O220">
        <v>183</v>
      </c>
      <c r="P220">
        <f t="shared" si="43"/>
        <v>6.3628041754510161</v>
      </c>
      <c r="Q220">
        <f t="shared" si="51"/>
        <v>-2.8619154704741723</v>
      </c>
      <c r="R220">
        <f t="shared" si="44"/>
        <v>-1.2085797703144046</v>
      </c>
      <c r="S220">
        <f t="shared" si="44"/>
        <v>-0.10428988515720228</v>
      </c>
      <c r="T220">
        <f t="shared" si="44"/>
        <v>2.1042898851572023</v>
      </c>
      <c r="U220">
        <f t="shared" si="42"/>
        <v>3.2085797703144046</v>
      </c>
      <c r="V220">
        <v>0.66</v>
      </c>
      <c r="W220" s="69">
        <f t="shared" si="52"/>
        <v>2.9311688311688311</v>
      </c>
      <c r="X220" s="69">
        <f t="shared" si="53"/>
        <v>-1.1724675324675324</v>
      </c>
      <c r="Y220">
        <f t="shared" si="54"/>
        <v>-1.2085797703144046</v>
      </c>
      <c r="Z220">
        <f t="shared" si="55"/>
        <v>3.2085797703144046</v>
      </c>
    </row>
    <row r="221" spans="9:26">
      <c r="I221">
        <f t="shared" si="45"/>
        <v>197.721490063907</v>
      </c>
      <c r="J221">
        <f t="shared" si="46"/>
        <v>230</v>
      </c>
      <c r="K221">
        <f t="shared" si="47"/>
        <v>378</v>
      </c>
      <c r="L221">
        <f t="shared" si="48"/>
        <v>156.47269016040096</v>
      </c>
      <c r="M221">
        <f t="shared" si="49"/>
        <v>108.13895043686934</v>
      </c>
      <c r="N221" s="69">
        <f t="shared" si="50"/>
        <v>91.394094063596299</v>
      </c>
      <c r="O221">
        <v>184</v>
      </c>
      <c r="P221">
        <f t="shared" si="43"/>
        <v>6.4325330157385894</v>
      </c>
      <c r="Q221">
        <f t="shared" si="51"/>
        <v>-2.8932786935523183</v>
      </c>
      <c r="R221">
        <f t="shared" si="44"/>
        <v>-1.2206485122286908</v>
      </c>
      <c r="S221">
        <f t="shared" si="44"/>
        <v>-0.11032425611434538</v>
      </c>
      <c r="T221">
        <f t="shared" si="44"/>
        <v>2.1103242561143452</v>
      </c>
      <c r="U221">
        <f t="shared" si="42"/>
        <v>3.2206485122286908</v>
      </c>
      <c r="V221">
        <v>0.68</v>
      </c>
      <c r="W221" s="69">
        <f t="shared" si="52"/>
        <v>2.9311688311688311</v>
      </c>
      <c r="X221" s="69">
        <f t="shared" si="53"/>
        <v>-1.1724675324675324</v>
      </c>
      <c r="Y221">
        <f t="shared" si="54"/>
        <v>-1.2206485122286908</v>
      </c>
      <c r="Z221">
        <f t="shared" si="55"/>
        <v>3.2206485122286908</v>
      </c>
    </row>
    <row r="222" spans="9:26">
      <c r="I222">
        <f t="shared" si="45"/>
        <v>197.721490063907</v>
      </c>
      <c r="J222">
        <f t="shared" si="46"/>
        <v>230</v>
      </c>
      <c r="K222">
        <f t="shared" si="47"/>
        <v>378</v>
      </c>
      <c r="L222">
        <f t="shared" si="48"/>
        <v>156.47269016040096</v>
      </c>
      <c r="M222">
        <f t="shared" si="49"/>
        <v>108.13895043686934</v>
      </c>
      <c r="N222" s="69">
        <f t="shared" si="50"/>
        <v>91.394094063596299</v>
      </c>
      <c r="O222">
        <v>185</v>
      </c>
      <c r="P222">
        <f t="shared" si="43"/>
        <v>6.502641849706202</v>
      </c>
      <c r="Q222">
        <f t="shared" si="51"/>
        <v>-2.9248128333774832</v>
      </c>
      <c r="R222">
        <f t="shared" si="44"/>
        <v>-1.2327172541429774</v>
      </c>
      <c r="S222">
        <f t="shared" si="44"/>
        <v>-0.1163586270714887</v>
      </c>
      <c r="T222">
        <f t="shared" si="44"/>
        <v>2.1163586270714889</v>
      </c>
      <c r="U222">
        <f t="shared" si="42"/>
        <v>3.2327172541429774</v>
      </c>
      <c r="V222">
        <v>0.7</v>
      </c>
      <c r="W222" s="69">
        <f t="shared" si="52"/>
        <v>2.9311688311688311</v>
      </c>
      <c r="X222" s="69">
        <f t="shared" si="53"/>
        <v>-1.1724675324675324</v>
      </c>
      <c r="Y222">
        <f t="shared" si="54"/>
        <v>-1.2327172541429774</v>
      </c>
      <c r="Z222">
        <f t="shared" si="55"/>
        <v>3.2327172541429774</v>
      </c>
    </row>
    <row r="223" spans="9:26">
      <c r="I223">
        <f t="shared" si="45"/>
        <v>197.721490063907</v>
      </c>
      <c r="J223">
        <f t="shared" si="46"/>
        <v>230</v>
      </c>
      <c r="K223">
        <f t="shared" si="47"/>
        <v>378</v>
      </c>
      <c r="L223">
        <f t="shared" si="48"/>
        <v>156.47269016040096</v>
      </c>
      <c r="M223">
        <f t="shared" si="49"/>
        <v>108.13895043686934</v>
      </c>
      <c r="N223" s="69">
        <f t="shared" si="50"/>
        <v>91.394094063596299</v>
      </c>
      <c r="O223">
        <v>186</v>
      </c>
      <c r="P223">
        <f t="shared" si="43"/>
        <v>6.5731306773538583</v>
      </c>
      <c r="Q223">
        <f t="shared" si="51"/>
        <v>-2.9565178899496689</v>
      </c>
      <c r="R223">
        <f t="shared" si="44"/>
        <v>-1.2447859960572636</v>
      </c>
      <c r="S223">
        <f t="shared" si="44"/>
        <v>-0.12239299802863179</v>
      </c>
      <c r="T223">
        <f t="shared" si="44"/>
        <v>2.1223929980286318</v>
      </c>
      <c r="U223">
        <f t="shared" si="42"/>
        <v>3.2447859960572636</v>
      </c>
      <c r="V223">
        <v>0.72</v>
      </c>
      <c r="W223" s="69">
        <f t="shared" si="52"/>
        <v>2.9311688311688311</v>
      </c>
      <c r="X223" s="69">
        <f t="shared" si="53"/>
        <v>-1.1724675324675324</v>
      </c>
      <c r="Y223">
        <f t="shared" si="54"/>
        <v>-1.2447859960572636</v>
      </c>
      <c r="Z223">
        <f t="shared" si="55"/>
        <v>3.2447859960572636</v>
      </c>
    </row>
    <row r="224" spans="9:26">
      <c r="I224">
        <f t="shared" si="45"/>
        <v>197.721490063907</v>
      </c>
      <c r="J224">
        <f t="shared" si="46"/>
        <v>230</v>
      </c>
      <c r="K224">
        <f t="shared" si="47"/>
        <v>378</v>
      </c>
      <c r="L224">
        <f t="shared" si="48"/>
        <v>156.47269016040096</v>
      </c>
      <c r="M224">
        <f t="shared" si="49"/>
        <v>108.13895043686934</v>
      </c>
      <c r="N224" s="69">
        <f t="shared" si="50"/>
        <v>91.394094063596299</v>
      </c>
      <c r="O224">
        <v>187</v>
      </c>
      <c r="P224">
        <f t="shared" si="43"/>
        <v>6.6439994986815547</v>
      </c>
      <c r="Q224">
        <f t="shared" si="51"/>
        <v>-2.9883938632688745</v>
      </c>
      <c r="R224">
        <f t="shared" si="44"/>
        <v>-1.2568547379715502</v>
      </c>
      <c r="S224">
        <f t="shared" si="44"/>
        <v>-0.12842736898577511</v>
      </c>
      <c r="T224">
        <f t="shared" si="44"/>
        <v>2.1284273689857751</v>
      </c>
      <c r="U224">
        <f t="shared" si="42"/>
        <v>3.2568547379715502</v>
      </c>
      <c r="V224">
        <v>0.74</v>
      </c>
      <c r="W224" s="69">
        <f t="shared" si="52"/>
        <v>2.9311688311688311</v>
      </c>
      <c r="X224" s="69">
        <f t="shared" si="53"/>
        <v>-1.1724675324675324</v>
      </c>
      <c r="Y224">
        <f t="shared" si="54"/>
        <v>-1.2568547379715502</v>
      </c>
      <c r="Z224">
        <f t="shared" si="55"/>
        <v>3.2568547379715502</v>
      </c>
    </row>
    <row r="225" spans="9:26">
      <c r="I225">
        <f t="shared" si="45"/>
        <v>197.721490063907</v>
      </c>
      <c r="J225">
        <f t="shared" si="46"/>
        <v>230</v>
      </c>
      <c r="K225">
        <f t="shared" si="47"/>
        <v>378</v>
      </c>
      <c r="L225">
        <f t="shared" si="48"/>
        <v>156.47269016040096</v>
      </c>
      <c r="M225">
        <f t="shared" si="49"/>
        <v>108.13895043686934</v>
      </c>
      <c r="N225" s="69">
        <f t="shared" si="50"/>
        <v>91.394094063596299</v>
      </c>
      <c r="O225">
        <v>188</v>
      </c>
      <c r="P225">
        <f t="shared" si="43"/>
        <v>6.7152483136892922</v>
      </c>
      <c r="Q225">
        <f t="shared" si="51"/>
        <v>-3.0204407533350999</v>
      </c>
      <c r="R225">
        <f t="shared" si="44"/>
        <v>-1.2689234798858364</v>
      </c>
      <c r="S225">
        <f t="shared" si="44"/>
        <v>-0.13446173994291821</v>
      </c>
      <c r="T225">
        <f t="shared" si="44"/>
        <v>2.1344617399429184</v>
      </c>
      <c r="U225">
        <f t="shared" si="42"/>
        <v>3.2689234798858364</v>
      </c>
      <c r="V225">
        <v>0.76</v>
      </c>
      <c r="W225" s="69">
        <f t="shared" si="52"/>
        <v>2.9311688311688311</v>
      </c>
      <c r="X225" s="69">
        <f t="shared" si="53"/>
        <v>-1.1724675324675324</v>
      </c>
      <c r="Y225">
        <f t="shared" si="54"/>
        <v>-1.2689234798858364</v>
      </c>
      <c r="Z225">
        <f t="shared" si="55"/>
        <v>3.2689234798858364</v>
      </c>
    </row>
    <row r="226" spans="9:26">
      <c r="I226">
        <f t="shared" si="45"/>
        <v>197.721490063907</v>
      </c>
      <c r="J226">
        <f t="shared" si="46"/>
        <v>230</v>
      </c>
      <c r="K226">
        <f t="shared" si="47"/>
        <v>378</v>
      </c>
      <c r="L226">
        <f t="shared" si="48"/>
        <v>156.47269016040096</v>
      </c>
      <c r="M226">
        <f t="shared" si="49"/>
        <v>108.13895043686934</v>
      </c>
      <c r="N226" s="69">
        <f t="shared" si="50"/>
        <v>91.394094063596299</v>
      </c>
      <c r="O226">
        <v>189</v>
      </c>
      <c r="P226">
        <f t="shared" si="43"/>
        <v>6.7868771223770707</v>
      </c>
      <c r="Q226">
        <f t="shared" si="51"/>
        <v>-3.0526585601483447</v>
      </c>
      <c r="R226">
        <f t="shared" si="44"/>
        <v>-1.2809922218001226</v>
      </c>
      <c r="S226">
        <f t="shared" si="44"/>
        <v>-0.14049611090006131</v>
      </c>
      <c r="T226">
        <f t="shared" si="44"/>
        <v>2.1404961109000613</v>
      </c>
      <c r="U226">
        <f t="shared" si="42"/>
        <v>3.2809922218001226</v>
      </c>
      <c r="V226">
        <v>0.78</v>
      </c>
      <c r="W226" s="69">
        <f t="shared" si="52"/>
        <v>2.9311688311688311</v>
      </c>
      <c r="X226" s="69">
        <f t="shared" si="53"/>
        <v>-1.1724675324675324</v>
      </c>
      <c r="Y226">
        <f t="shared" si="54"/>
        <v>-1.2809922218001226</v>
      </c>
      <c r="Z226">
        <f t="shared" si="55"/>
        <v>3.2809922218001226</v>
      </c>
    </row>
    <row r="227" spans="9:26">
      <c r="I227">
        <f t="shared" si="45"/>
        <v>197.721490063907</v>
      </c>
      <c r="J227">
        <f t="shared" si="46"/>
        <v>230</v>
      </c>
      <c r="K227">
        <f t="shared" si="47"/>
        <v>378</v>
      </c>
      <c r="L227">
        <f t="shared" si="48"/>
        <v>156.47269016040096</v>
      </c>
      <c r="M227">
        <f t="shared" si="49"/>
        <v>108.13895043686934</v>
      </c>
      <c r="N227" s="69">
        <f t="shared" si="50"/>
        <v>91.394094063596299</v>
      </c>
      <c r="O227">
        <v>190</v>
      </c>
      <c r="P227">
        <f t="shared" si="43"/>
        <v>6.8588859247448912</v>
      </c>
      <c r="Q227">
        <f t="shared" si="51"/>
        <v>-3.0850472837086094</v>
      </c>
      <c r="R227">
        <f t="shared" si="44"/>
        <v>-1.2930609637144093</v>
      </c>
      <c r="S227">
        <f t="shared" si="44"/>
        <v>-0.14653048185720463</v>
      </c>
      <c r="T227">
        <f t="shared" si="44"/>
        <v>2.1465304818572046</v>
      </c>
      <c r="U227">
        <f t="shared" si="42"/>
        <v>3.2930609637144093</v>
      </c>
      <c r="V227">
        <v>0.8</v>
      </c>
      <c r="W227" s="69">
        <f t="shared" si="52"/>
        <v>2.9311688311688311</v>
      </c>
      <c r="X227" s="69">
        <f t="shared" si="53"/>
        <v>-1.1724675324675324</v>
      </c>
      <c r="Y227">
        <f t="shared" si="54"/>
        <v>-1.2930609637144093</v>
      </c>
      <c r="Z227">
        <f t="shared" si="55"/>
        <v>3.2930609637144093</v>
      </c>
    </row>
    <row r="228" spans="9:26">
      <c r="I228">
        <f t="shared" si="45"/>
        <v>197.721490063907</v>
      </c>
      <c r="J228">
        <f t="shared" si="46"/>
        <v>230</v>
      </c>
      <c r="K228">
        <f t="shared" si="47"/>
        <v>378</v>
      </c>
      <c r="L228">
        <f t="shared" si="48"/>
        <v>156.47269016040096</v>
      </c>
      <c r="M228">
        <f t="shared" si="49"/>
        <v>108.13895043686934</v>
      </c>
      <c r="N228" s="69">
        <f t="shared" si="50"/>
        <v>91.394094063596299</v>
      </c>
      <c r="O228">
        <v>191</v>
      </c>
      <c r="P228">
        <f t="shared" si="43"/>
        <v>6.9312747207927536</v>
      </c>
      <c r="Q228">
        <f t="shared" si="51"/>
        <v>-3.1176069240158943</v>
      </c>
      <c r="R228">
        <f t="shared" si="44"/>
        <v>-1.3051297056286955</v>
      </c>
      <c r="S228">
        <f t="shared" si="44"/>
        <v>-0.15256485281434773</v>
      </c>
      <c r="T228">
        <f t="shared" si="44"/>
        <v>2.152564852814348</v>
      </c>
      <c r="U228">
        <f t="shared" si="44"/>
        <v>3.3051297056286955</v>
      </c>
      <c r="V228">
        <v>0.82</v>
      </c>
      <c r="W228" s="69">
        <f t="shared" si="52"/>
        <v>2.9311688311688311</v>
      </c>
      <c r="X228" s="69">
        <f t="shared" si="53"/>
        <v>-1.1724675324675324</v>
      </c>
      <c r="Y228">
        <f t="shared" si="54"/>
        <v>-1.3051297056286955</v>
      </c>
      <c r="Z228">
        <f t="shared" si="55"/>
        <v>3.3051297056286955</v>
      </c>
    </row>
    <row r="229" spans="9:26">
      <c r="I229">
        <f t="shared" si="45"/>
        <v>197.721490063907</v>
      </c>
      <c r="J229">
        <f t="shared" si="46"/>
        <v>230</v>
      </c>
      <c r="K229">
        <f t="shared" si="47"/>
        <v>378</v>
      </c>
      <c r="L229">
        <f t="shared" si="48"/>
        <v>156.47269016040096</v>
      </c>
      <c r="M229">
        <f t="shared" si="49"/>
        <v>108.13895043686934</v>
      </c>
      <c r="N229" s="69">
        <f t="shared" si="50"/>
        <v>91.394094063596299</v>
      </c>
      <c r="O229">
        <v>192</v>
      </c>
      <c r="P229">
        <f t="shared" ref="P229:P292" si="56">0.003388*(O229^2*$D$4*$D$12)/$D$6</f>
        <v>7.0040435105206562</v>
      </c>
      <c r="Q229">
        <f t="shared" si="51"/>
        <v>-3.1503374810701992</v>
      </c>
      <c r="R229">
        <f t="shared" ref="R229:U292" si="57">1+(($D$37*D$33*$O229*$D$17)/(498*($D$6/$D$4)))</f>
        <v>-1.3171984475429817</v>
      </c>
      <c r="S229">
        <f t="shared" si="57"/>
        <v>-0.15859922377149083</v>
      </c>
      <c r="T229">
        <f t="shared" si="57"/>
        <v>2.1585992237714908</v>
      </c>
      <c r="U229">
        <f t="shared" si="57"/>
        <v>3.3171984475429817</v>
      </c>
      <c r="V229">
        <v>0.84</v>
      </c>
      <c r="W229" s="69">
        <f t="shared" si="52"/>
        <v>2.9311688311688311</v>
      </c>
      <c r="X229" s="69">
        <f t="shared" si="53"/>
        <v>-1.1724675324675324</v>
      </c>
      <c r="Y229">
        <f t="shared" si="54"/>
        <v>-1.3171984475429817</v>
      </c>
      <c r="Z229">
        <f t="shared" si="55"/>
        <v>3.3171984475429817</v>
      </c>
    </row>
    <row r="230" spans="9:26">
      <c r="I230">
        <f t="shared" ref="I230:I293" si="58">$D$31</f>
        <v>197.721490063907</v>
      </c>
      <c r="J230">
        <f t="shared" ref="J230:J293" si="59">$D$29</f>
        <v>230</v>
      </c>
      <c r="K230">
        <f t="shared" ref="K230:K293" si="60">$D$30</f>
        <v>378</v>
      </c>
      <c r="L230">
        <f t="shared" ref="L230:L293" si="61">$D$24</f>
        <v>156.47269016040096</v>
      </c>
      <c r="M230">
        <f t="shared" ref="M230:M293" si="62">$D$15</f>
        <v>108.13895043686934</v>
      </c>
      <c r="N230" s="69">
        <f t="shared" ref="N230:N293" si="63">$D$14</f>
        <v>91.394094063596299</v>
      </c>
      <c r="O230">
        <v>193</v>
      </c>
      <c r="P230">
        <f t="shared" si="56"/>
        <v>7.0771922939285998</v>
      </c>
      <c r="Q230">
        <f t="shared" ref="Q230:Q293" si="64">-0.003388*(O230^2*$D$4*ABS($D$13)/$D$6)</f>
        <v>-3.1832389548715234</v>
      </c>
      <c r="R230">
        <f t="shared" si="57"/>
        <v>-1.3292671894572683</v>
      </c>
      <c r="S230">
        <f t="shared" si="57"/>
        <v>-0.16463359472863415</v>
      </c>
      <c r="T230">
        <f t="shared" si="57"/>
        <v>2.1646335947286341</v>
      </c>
      <c r="U230">
        <f t="shared" si="57"/>
        <v>3.3292671894572683</v>
      </c>
      <c r="V230">
        <v>0.86</v>
      </c>
      <c r="W230" s="69">
        <f t="shared" ref="W230:W293" si="65">$D$20</f>
        <v>2.9311688311688311</v>
      </c>
      <c r="X230" s="69">
        <f t="shared" ref="X230:X293" si="66">$D$21</f>
        <v>-1.1724675324675324</v>
      </c>
      <c r="Y230">
        <f t="shared" ref="Y230:Y293" si="67">1+(($D$37*D$33*$O230*$D$17)/(498*($D$6/$D$4)))</f>
        <v>-1.3292671894572683</v>
      </c>
      <c r="Z230">
        <f t="shared" ref="Z230:Z293" si="68">1+(($D$37*G$33*$O230*$D$17)/(498*($D$6/$D$4)))</f>
        <v>3.3292671894572683</v>
      </c>
    </row>
    <row r="231" spans="9:26">
      <c r="I231">
        <f t="shared" si="58"/>
        <v>197.721490063907</v>
      </c>
      <c r="J231">
        <f t="shared" si="59"/>
        <v>230</v>
      </c>
      <c r="K231">
        <f t="shared" si="60"/>
        <v>378</v>
      </c>
      <c r="L231">
        <f t="shared" si="61"/>
        <v>156.47269016040096</v>
      </c>
      <c r="M231">
        <f t="shared" si="62"/>
        <v>108.13895043686934</v>
      </c>
      <c r="N231" s="69">
        <f t="shared" si="63"/>
        <v>91.394094063596299</v>
      </c>
      <c r="O231">
        <v>194</v>
      </c>
      <c r="P231">
        <f t="shared" si="56"/>
        <v>7.1507210710165863</v>
      </c>
      <c r="Q231">
        <f t="shared" si="64"/>
        <v>-3.216311345419868</v>
      </c>
      <c r="R231">
        <f t="shared" si="57"/>
        <v>-1.3413359313715545</v>
      </c>
      <c r="S231">
        <f t="shared" si="57"/>
        <v>-0.17066796568577725</v>
      </c>
      <c r="T231">
        <f t="shared" si="57"/>
        <v>2.1706679656857775</v>
      </c>
      <c r="U231">
        <f t="shared" si="57"/>
        <v>3.3413359313715545</v>
      </c>
      <c r="V231">
        <v>0.88</v>
      </c>
      <c r="W231" s="69">
        <f t="shared" si="65"/>
        <v>2.9311688311688311</v>
      </c>
      <c r="X231" s="69">
        <f t="shared" si="66"/>
        <v>-1.1724675324675324</v>
      </c>
      <c r="Y231">
        <f t="shared" si="67"/>
        <v>-1.3413359313715545</v>
      </c>
      <c r="Z231">
        <f t="shared" si="68"/>
        <v>3.3413359313715545</v>
      </c>
    </row>
    <row r="232" spans="9:26">
      <c r="I232">
        <f t="shared" si="58"/>
        <v>197.721490063907</v>
      </c>
      <c r="J232">
        <f t="shared" si="59"/>
        <v>230</v>
      </c>
      <c r="K232">
        <f t="shared" si="60"/>
        <v>378</v>
      </c>
      <c r="L232">
        <f t="shared" si="61"/>
        <v>156.47269016040096</v>
      </c>
      <c r="M232">
        <f t="shared" si="62"/>
        <v>108.13895043686934</v>
      </c>
      <c r="N232" s="69">
        <f t="shared" si="63"/>
        <v>91.394094063596299</v>
      </c>
      <c r="O232">
        <v>195</v>
      </c>
      <c r="P232">
        <f t="shared" si="56"/>
        <v>7.2246298417846102</v>
      </c>
      <c r="Q232">
        <f t="shared" si="64"/>
        <v>-3.2495546527152319</v>
      </c>
      <c r="R232">
        <f t="shared" si="57"/>
        <v>-1.3534046732858411</v>
      </c>
      <c r="S232">
        <f t="shared" si="57"/>
        <v>-0.17670233664292057</v>
      </c>
      <c r="T232">
        <f t="shared" si="57"/>
        <v>2.1767023366429203</v>
      </c>
      <c r="U232">
        <f t="shared" si="57"/>
        <v>3.3534046732858411</v>
      </c>
      <c r="V232">
        <v>0.9</v>
      </c>
      <c r="W232" s="69">
        <f t="shared" si="65"/>
        <v>2.9311688311688311</v>
      </c>
      <c r="X232" s="69">
        <f t="shared" si="66"/>
        <v>-1.1724675324675324</v>
      </c>
      <c r="Y232">
        <f t="shared" si="67"/>
        <v>-1.3534046732858411</v>
      </c>
      <c r="Z232">
        <f t="shared" si="68"/>
        <v>3.3534046732858411</v>
      </c>
    </row>
    <row r="233" spans="9:26">
      <c r="I233">
        <f t="shared" si="58"/>
        <v>197.721490063907</v>
      </c>
      <c r="J233">
        <f t="shared" si="59"/>
        <v>230</v>
      </c>
      <c r="K233">
        <f t="shared" si="60"/>
        <v>378</v>
      </c>
      <c r="L233">
        <f t="shared" si="61"/>
        <v>156.47269016040096</v>
      </c>
      <c r="M233">
        <f t="shared" si="62"/>
        <v>108.13895043686934</v>
      </c>
      <c r="N233" s="69">
        <f t="shared" si="63"/>
        <v>91.394094063596299</v>
      </c>
      <c r="O233">
        <v>196</v>
      </c>
      <c r="P233">
        <f t="shared" si="56"/>
        <v>7.2989186062326805</v>
      </c>
      <c r="Q233">
        <f t="shared" si="64"/>
        <v>-3.2829688767576162</v>
      </c>
      <c r="R233">
        <f t="shared" si="57"/>
        <v>-1.3654734152001273</v>
      </c>
      <c r="S233">
        <f t="shared" si="57"/>
        <v>-0.18273670760006366</v>
      </c>
      <c r="T233">
        <f t="shared" si="57"/>
        <v>2.1827367076000637</v>
      </c>
      <c r="U233">
        <f t="shared" si="57"/>
        <v>3.3654734152001273</v>
      </c>
      <c r="V233">
        <v>0.92</v>
      </c>
      <c r="W233" s="69">
        <f t="shared" si="65"/>
        <v>2.9311688311688311</v>
      </c>
      <c r="X233" s="69">
        <f t="shared" si="66"/>
        <v>-1.1724675324675324</v>
      </c>
      <c r="Y233">
        <f t="shared" si="67"/>
        <v>-1.3654734152001273</v>
      </c>
      <c r="Z233">
        <f t="shared" si="68"/>
        <v>3.3654734152001273</v>
      </c>
    </row>
    <row r="234" spans="9:26">
      <c r="I234">
        <f t="shared" si="58"/>
        <v>197.721490063907</v>
      </c>
      <c r="J234">
        <f t="shared" si="59"/>
        <v>230</v>
      </c>
      <c r="K234">
        <f t="shared" si="60"/>
        <v>378</v>
      </c>
      <c r="L234">
        <f t="shared" si="61"/>
        <v>156.47269016040096</v>
      </c>
      <c r="M234">
        <f t="shared" si="62"/>
        <v>108.13895043686934</v>
      </c>
      <c r="N234" s="69">
        <f t="shared" si="63"/>
        <v>91.394094063596299</v>
      </c>
      <c r="O234">
        <v>197</v>
      </c>
      <c r="P234">
        <f t="shared" si="56"/>
        <v>7.3735873643607901</v>
      </c>
      <c r="Q234">
        <f t="shared" si="64"/>
        <v>-3.3165540175470203</v>
      </c>
      <c r="R234">
        <f t="shared" si="57"/>
        <v>-1.3775421571144135</v>
      </c>
      <c r="S234">
        <f t="shared" si="57"/>
        <v>-0.18877107855720676</v>
      </c>
      <c r="T234">
        <f t="shared" si="57"/>
        <v>2.188771078557207</v>
      </c>
      <c r="U234">
        <f t="shared" si="57"/>
        <v>3.3775421571144135</v>
      </c>
      <c r="V234">
        <v>0.94</v>
      </c>
      <c r="W234" s="69">
        <f t="shared" si="65"/>
        <v>2.9311688311688311</v>
      </c>
      <c r="X234" s="69">
        <f t="shared" si="66"/>
        <v>-1.1724675324675324</v>
      </c>
      <c r="Y234">
        <f t="shared" si="67"/>
        <v>-1.3775421571144135</v>
      </c>
      <c r="Z234">
        <f t="shared" si="68"/>
        <v>3.3775421571144135</v>
      </c>
    </row>
    <row r="235" spans="9:26">
      <c r="I235">
        <f t="shared" si="58"/>
        <v>197.721490063907</v>
      </c>
      <c r="J235">
        <f t="shared" si="59"/>
        <v>230</v>
      </c>
      <c r="K235">
        <f t="shared" si="60"/>
        <v>378</v>
      </c>
      <c r="L235">
        <f t="shared" si="61"/>
        <v>156.47269016040096</v>
      </c>
      <c r="M235">
        <f t="shared" si="62"/>
        <v>108.13895043686934</v>
      </c>
      <c r="N235" s="69">
        <f t="shared" si="63"/>
        <v>91.394094063596299</v>
      </c>
      <c r="O235">
        <v>198</v>
      </c>
      <c r="P235">
        <f t="shared" si="56"/>
        <v>7.4486361161689398</v>
      </c>
      <c r="Q235">
        <f t="shared" si="64"/>
        <v>-3.3503100750834438</v>
      </c>
      <c r="R235">
        <f t="shared" si="57"/>
        <v>-1.3896108990287002</v>
      </c>
      <c r="S235">
        <f t="shared" si="57"/>
        <v>-0.19480544951435008</v>
      </c>
      <c r="T235">
        <f t="shared" si="57"/>
        <v>2.1948054495143499</v>
      </c>
      <c r="U235">
        <f t="shared" si="57"/>
        <v>3.3896108990287002</v>
      </c>
      <c r="V235">
        <v>0.96</v>
      </c>
      <c r="W235" s="69">
        <f t="shared" si="65"/>
        <v>2.9311688311688311</v>
      </c>
      <c r="X235" s="69">
        <f t="shared" si="66"/>
        <v>-1.1724675324675324</v>
      </c>
      <c r="Y235">
        <f t="shared" si="67"/>
        <v>-1.3896108990287002</v>
      </c>
      <c r="Z235">
        <f t="shared" si="68"/>
        <v>3.3896108990287002</v>
      </c>
    </row>
    <row r="236" spans="9:26">
      <c r="I236">
        <f t="shared" si="58"/>
        <v>197.721490063907</v>
      </c>
      <c r="J236">
        <f t="shared" si="59"/>
        <v>230</v>
      </c>
      <c r="K236">
        <f t="shared" si="60"/>
        <v>378</v>
      </c>
      <c r="L236">
        <f t="shared" si="61"/>
        <v>156.47269016040096</v>
      </c>
      <c r="M236">
        <f t="shared" si="62"/>
        <v>108.13895043686934</v>
      </c>
      <c r="N236" s="69">
        <f t="shared" si="63"/>
        <v>91.394094063596299</v>
      </c>
      <c r="O236">
        <v>199</v>
      </c>
      <c r="P236">
        <f t="shared" si="56"/>
        <v>7.5240648616571315</v>
      </c>
      <c r="Q236">
        <f t="shared" si="64"/>
        <v>-3.3842370493668876</v>
      </c>
      <c r="R236">
        <f t="shared" si="57"/>
        <v>-1.4016796409429864</v>
      </c>
      <c r="S236">
        <f t="shared" si="57"/>
        <v>-0.20083982047149318</v>
      </c>
      <c r="T236">
        <f t="shared" si="57"/>
        <v>2.2008398204714932</v>
      </c>
      <c r="U236">
        <f t="shared" si="57"/>
        <v>3.4016796409429864</v>
      </c>
      <c r="V236">
        <v>0.98</v>
      </c>
      <c r="W236" s="69">
        <f t="shared" si="65"/>
        <v>2.9311688311688311</v>
      </c>
      <c r="X236" s="69">
        <f t="shared" si="66"/>
        <v>-1.1724675324675324</v>
      </c>
      <c r="Y236">
        <f t="shared" si="67"/>
        <v>-1.4016796409429864</v>
      </c>
      <c r="Z236">
        <f t="shared" si="68"/>
        <v>3.4016796409429864</v>
      </c>
    </row>
    <row r="237" spans="9:26">
      <c r="I237">
        <f t="shared" si="58"/>
        <v>197.721490063907</v>
      </c>
      <c r="J237">
        <f t="shared" si="59"/>
        <v>230</v>
      </c>
      <c r="K237">
        <f t="shared" si="60"/>
        <v>378</v>
      </c>
      <c r="L237">
        <f t="shared" si="61"/>
        <v>156.47269016040096</v>
      </c>
      <c r="M237">
        <f t="shared" si="62"/>
        <v>108.13895043686934</v>
      </c>
      <c r="N237" s="69">
        <f t="shared" si="63"/>
        <v>91.394094063596299</v>
      </c>
      <c r="O237">
        <v>200</v>
      </c>
      <c r="P237">
        <f t="shared" si="56"/>
        <v>7.5998736008253633</v>
      </c>
      <c r="Q237">
        <f t="shared" si="64"/>
        <v>-3.4183349403973509</v>
      </c>
      <c r="R237">
        <f t="shared" si="57"/>
        <v>-1.4137483828572726</v>
      </c>
      <c r="S237">
        <f t="shared" si="57"/>
        <v>-0.20687419142863628</v>
      </c>
      <c r="T237">
        <f t="shared" si="57"/>
        <v>2.2068741914286365</v>
      </c>
      <c r="U237">
        <f t="shared" si="57"/>
        <v>3.4137483828572726</v>
      </c>
      <c r="V237">
        <v>1</v>
      </c>
      <c r="W237" s="69">
        <f t="shared" si="65"/>
        <v>2.9311688311688311</v>
      </c>
      <c r="X237" s="69">
        <f t="shared" si="66"/>
        <v>-1.1724675324675324</v>
      </c>
      <c r="Y237">
        <f t="shared" si="67"/>
        <v>-1.4137483828572726</v>
      </c>
      <c r="Z237">
        <f t="shared" si="68"/>
        <v>3.4137483828572726</v>
      </c>
    </row>
    <row r="238" spans="9:26">
      <c r="I238">
        <f t="shared" si="58"/>
        <v>197.721490063907</v>
      </c>
      <c r="J238">
        <f t="shared" si="59"/>
        <v>230</v>
      </c>
      <c r="K238">
        <f t="shared" si="60"/>
        <v>378</v>
      </c>
      <c r="L238">
        <f t="shared" si="61"/>
        <v>156.47269016040096</v>
      </c>
      <c r="M238">
        <f t="shared" si="62"/>
        <v>108.13895043686934</v>
      </c>
      <c r="N238" s="69">
        <f t="shared" si="63"/>
        <v>91.394094063596299</v>
      </c>
      <c r="O238">
        <v>201</v>
      </c>
      <c r="P238">
        <f t="shared" si="56"/>
        <v>7.6760623336736398</v>
      </c>
      <c r="Q238">
        <f t="shared" si="64"/>
        <v>-3.4526037481748344</v>
      </c>
      <c r="R238">
        <f t="shared" si="57"/>
        <v>-1.4258171247715592</v>
      </c>
      <c r="S238">
        <f t="shared" si="57"/>
        <v>-0.2129085623857796</v>
      </c>
      <c r="T238">
        <f t="shared" si="57"/>
        <v>2.2129085623857794</v>
      </c>
      <c r="U238">
        <f t="shared" si="57"/>
        <v>3.4258171247715592</v>
      </c>
      <c r="V238">
        <v>1.02</v>
      </c>
      <c r="W238" s="69">
        <f t="shared" si="65"/>
        <v>2.9311688311688311</v>
      </c>
      <c r="X238" s="69">
        <f t="shared" si="66"/>
        <v>-1.1724675324675324</v>
      </c>
      <c r="Y238">
        <f t="shared" si="67"/>
        <v>-1.4258171247715592</v>
      </c>
      <c r="Z238">
        <f t="shared" si="68"/>
        <v>3.4258171247715592</v>
      </c>
    </row>
    <row r="239" spans="9:26">
      <c r="I239">
        <f t="shared" si="58"/>
        <v>197.721490063907</v>
      </c>
      <c r="J239">
        <f t="shared" si="59"/>
        <v>230</v>
      </c>
      <c r="K239">
        <f t="shared" si="60"/>
        <v>378</v>
      </c>
      <c r="L239">
        <f t="shared" si="61"/>
        <v>156.47269016040096</v>
      </c>
      <c r="M239">
        <f t="shared" si="62"/>
        <v>108.13895043686934</v>
      </c>
      <c r="N239" s="69">
        <f t="shared" si="63"/>
        <v>91.394094063596299</v>
      </c>
      <c r="O239">
        <v>202</v>
      </c>
      <c r="P239">
        <f t="shared" si="56"/>
        <v>7.7526310602019555</v>
      </c>
      <c r="Q239">
        <f t="shared" si="64"/>
        <v>-3.4870434726993382</v>
      </c>
      <c r="R239">
        <f t="shared" si="57"/>
        <v>-1.4378858666858454</v>
      </c>
      <c r="S239">
        <f t="shared" si="57"/>
        <v>-0.2189429333429227</v>
      </c>
      <c r="T239">
        <f t="shared" si="57"/>
        <v>2.2189429333429227</v>
      </c>
      <c r="U239">
        <f t="shared" si="57"/>
        <v>3.4378858666858454</v>
      </c>
      <c r="V239">
        <v>1.04</v>
      </c>
      <c r="W239" s="69">
        <f t="shared" si="65"/>
        <v>2.9311688311688311</v>
      </c>
      <c r="X239" s="69">
        <f t="shared" si="66"/>
        <v>-1.1724675324675324</v>
      </c>
      <c r="Y239">
        <f t="shared" si="67"/>
        <v>-1.4378858666858454</v>
      </c>
      <c r="Z239">
        <f t="shared" si="68"/>
        <v>3.4378858666858454</v>
      </c>
    </row>
    <row r="240" spans="9:26">
      <c r="I240">
        <f t="shared" si="58"/>
        <v>197.721490063907</v>
      </c>
      <c r="J240">
        <f t="shared" si="59"/>
        <v>230</v>
      </c>
      <c r="K240">
        <f t="shared" si="60"/>
        <v>378</v>
      </c>
      <c r="L240">
        <f t="shared" si="61"/>
        <v>156.47269016040096</v>
      </c>
      <c r="M240">
        <f t="shared" si="62"/>
        <v>108.13895043686934</v>
      </c>
      <c r="N240" s="69">
        <f t="shared" si="63"/>
        <v>91.394094063596299</v>
      </c>
      <c r="O240">
        <v>203</v>
      </c>
      <c r="P240">
        <f t="shared" si="56"/>
        <v>7.8295797804103122</v>
      </c>
      <c r="Q240">
        <f t="shared" si="64"/>
        <v>-3.5216541139708615</v>
      </c>
      <c r="R240">
        <f t="shared" si="57"/>
        <v>-1.449954608600132</v>
      </c>
      <c r="S240">
        <f t="shared" si="57"/>
        <v>-0.22497730430006602</v>
      </c>
      <c r="T240">
        <f t="shared" si="57"/>
        <v>2.224977304300066</v>
      </c>
      <c r="U240">
        <f t="shared" si="57"/>
        <v>3.449954608600132</v>
      </c>
      <c r="V240">
        <v>1.06</v>
      </c>
      <c r="W240" s="69">
        <f t="shared" si="65"/>
        <v>2.9311688311688311</v>
      </c>
      <c r="X240" s="69">
        <f t="shared" si="66"/>
        <v>-1.1724675324675324</v>
      </c>
      <c r="Y240">
        <f t="shared" si="67"/>
        <v>-1.449954608600132</v>
      </c>
      <c r="Z240">
        <f t="shared" si="68"/>
        <v>3.449954608600132</v>
      </c>
    </row>
    <row r="241" spans="9:26">
      <c r="I241">
        <f t="shared" si="58"/>
        <v>197.721490063907</v>
      </c>
      <c r="J241">
        <f t="shared" si="59"/>
        <v>230</v>
      </c>
      <c r="K241">
        <f t="shared" si="60"/>
        <v>378</v>
      </c>
      <c r="L241">
        <f t="shared" si="61"/>
        <v>156.47269016040096</v>
      </c>
      <c r="M241">
        <f t="shared" si="62"/>
        <v>108.13895043686934</v>
      </c>
      <c r="N241" s="69">
        <f t="shared" si="63"/>
        <v>91.394094063596299</v>
      </c>
      <c r="O241">
        <v>204</v>
      </c>
      <c r="P241">
        <f t="shared" si="56"/>
        <v>7.9069084942987091</v>
      </c>
      <c r="Q241">
        <f t="shared" si="64"/>
        <v>-3.5564356719894041</v>
      </c>
      <c r="R241">
        <f t="shared" si="57"/>
        <v>-1.4620233505144182</v>
      </c>
      <c r="S241">
        <f t="shared" si="57"/>
        <v>-0.23101167525720911</v>
      </c>
      <c r="T241">
        <f t="shared" si="57"/>
        <v>2.2310116752572089</v>
      </c>
      <c r="U241">
        <f t="shared" si="57"/>
        <v>3.4620233505144182</v>
      </c>
      <c r="V241">
        <v>1.08</v>
      </c>
      <c r="W241" s="69">
        <f t="shared" si="65"/>
        <v>2.9311688311688311</v>
      </c>
      <c r="X241" s="69">
        <f t="shared" si="66"/>
        <v>-1.1724675324675324</v>
      </c>
      <c r="Y241">
        <f t="shared" si="67"/>
        <v>-1.4620233505144182</v>
      </c>
      <c r="Z241">
        <f t="shared" si="68"/>
        <v>3.4620233505144182</v>
      </c>
    </row>
    <row r="242" spans="9:26">
      <c r="I242">
        <f t="shared" si="58"/>
        <v>197.721490063907</v>
      </c>
      <c r="J242">
        <f t="shared" si="59"/>
        <v>230</v>
      </c>
      <c r="K242">
        <f t="shared" si="60"/>
        <v>378</v>
      </c>
      <c r="L242">
        <f t="shared" si="61"/>
        <v>156.47269016040096</v>
      </c>
      <c r="M242">
        <f t="shared" si="62"/>
        <v>108.13895043686934</v>
      </c>
      <c r="N242" s="69">
        <f t="shared" si="63"/>
        <v>91.394094063596299</v>
      </c>
      <c r="O242">
        <v>205</v>
      </c>
      <c r="P242">
        <f t="shared" si="56"/>
        <v>7.984617201867148</v>
      </c>
      <c r="Q242">
        <f t="shared" si="64"/>
        <v>-3.5913881467549666</v>
      </c>
      <c r="R242">
        <f t="shared" si="57"/>
        <v>-1.4740920924287044</v>
      </c>
      <c r="S242">
        <f t="shared" si="57"/>
        <v>-0.23704604621435221</v>
      </c>
      <c r="T242">
        <f t="shared" si="57"/>
        <v>2.2370460462143522</v>
      </c>
      <c r="U242">
        <f t="shared" si="57"/>
        <v>3.4740920924287044</v>
      </c>
      <c r="V242">
        <v>1.1000000000000001</v>
      </c>
      <c r="W242" s="69">
        <f t="shared" si="65"/>
        <v>2.9311688311688311</v>
      </c>
      <c r="X242" s="69">
        <f t="shared" si="66"/>
        <v>-1.1724675324675324</v>
      </c>
      <c r="Y242">
        <f t="shared" si="67"/>
        <v>-1.4740920924287044</v>
      </c>
      <c r="Z242">
        <f t="shared" si="68"/>
        <v>3.4740920924287044</v>
      </c>
    </row>
    <row r="243" spans="9:26">
      <c r="I243">
        <f t="shared" si="58"/>
        <v>197.721490063907</v>
      </c>
      <c r="J243">
        <f t="shared" si="59"/>
        <v>230</v>
      </c>
      <c r="K243">
        <f t="shared" si="60"/>
        <v>378</v>
      </c>
      <c r="L243">
        <f t="shared" si="61"/>
        <v>156.47269016040096</v>
      </c>
      <c r="M243">
        <f t="shared" si="62"/>
        <v>108.13895043686934</v>
      </c>
      <c r="N243" s="69">
        <f t="shared" si="63"/>
        <v>91.394094063596299</v>
      </c>
      <c r="O243">
        <v>206</v>
      </c>
      <c r="P243">
        <f t="shared" si="56"/>
        <v>8.0627059031156278</v>
      </c>
      <c r="Q243">
        <f t="shared" si="64"/>
        <v>-3.6265115382675503</v>
      </c>
      <c r="R243">
        <f t="shared" si="57"/>
        <v>-1.4861608343429911</v>
      </c>
      <c r="S243">
        <f t="shared" si="57"/>
        <v>-0.24308041717149553</v>
      </c>
      <c r="T243">
        <f t="shared" si="57"/>
        <v>2.2430804171714955</v>
      </c>
      <c r="U243">
        <f t="shared" si="57"/>
        <v>3.4861608343429911</v>
      </c>
      <c r="V243">
        <v>1.1200000000000001</v>
      </c>
      <c r="W243" s="69">
        <f t="shared" si="65"/>
        <v>2.9311688311688311</v>
      </c>
      <c r="X243" s="69">
        <f t="shared" si="66"/>
        <v>-1.1724675324675324</v>
      </c>
      <c r="Y243">
        <f t="shared" si="67"/>
        <v>-1.4861608343429911</v>
      </c>
      <c r="Z243">
        <f t="shared" si="68"/>
        <v>3.4861608343429911</v>
      </c>
    </row>
    <row r="244" spans="9:26">
      <c r="I244">
        <f t="shared" si="58"/>
        <v>197.721490063907</v>
      </c>
      <c r="J244">
        <f t="shared" si="59"/>
        <v>230</v>
      </c>
      <c r="K244">
        <f t="shared" si="60"/>
        <v>378</v>
      </c>
      <c r="L244">
        <f t="shared" si="61"/>
        <v>156.47269016040096</v>
      </c>
      <c r="M244">
        <f t="shared" si="62"/>
        <v>108.13895043686934</v>
      </c>
      <c r="N244" s="69">
        <f t="shared" si="63"/>
        <v>91.394094063596299</v>
      </c>
      <c r="O244">
        <v>207</v>
      </c>
      <c r="P244">
        <f t="shared" si="56"/>
        <v>8.1411745980441523</v>
      </c>
      <c r="Q244">
        <f t="shared" si="64"/>
        <v>-3.6618058465271521</v>
      </c>
      <c r="R244">
        <f t="shared" si="57"/>
        <v>-1.4982295762572777</v>
      </c>
      <c r="S244">
        <f t="shared" si="57"/>
        <v>-0.24911478812863885</v>
      </c>
      <c r="T244">
        <f t="shared" si="57"/>
        <v>2.2491147881286389</v>
      </c>
      <c r="U244">
        <f t="shared" si="57"/>
        <v>3.4982295762572777</v>
      </c>
      <c r="V244">
        <v>1.1399999999999999</v>
      </c>
      <c r="W244" s="69">
        <f t="shared" si="65"/>
        <v>2.9311688311688311</v>
      </c>
      <c r="X244" s="69">
        <f t="shared" si="66"/>
        <v>-1.1724675324675324</v>
      </c>
      <c r="Y244">
        <f t="shared" si="67"/>
        <v>-1.4982295762572777</v>
      </c>
      <c r="Z244">
        <f t="shared" si="68"/>
        <v>3.4982295762572777</v>
      </c>
    </row>
    <row r="245" spans="9:26">
      <c r="I245">
        <f t="shared" si="58"/>
        <v>197.721490063907</v>
      </c>
      <c r="J245">
        <f t="shared" si="59"/>
        <v>230</v>
      </c>
      <c r="K245">
        <f t="shared" si="60"/>
        <v>378</v>
      </c>
      <c r="L245">
        <f t="shared" si="61"/>
        <v>156.47269016040096</v>
      </c>
      <c r="M245">
        <f t="shared" si="62"/>
        <v>108.13895043686934</v>
      </c>
      <c r="N245" s="69">
        <f t="shared" si="63"/>
        <v>91.394094063596299</v>
      </c>
      <c r="O245">
        <v>208</v>
      </c>
      <c r="P245">
        <f t="shared" si="56"/>
        <v>8.2200232866527134</v>
      </c>
      <c r="Q245">
        <f t="shared" si="64"/>
        <v>-3.6972710715337755</v>
      </c>
      <c r="R245">
        <f t="shared" si="57"/>
        <v>-1.5102983181715639</v>
      </c>
      <c r="S245">
        <f t="shared" si="57"/>
        <v>-0.25514915908578195</v>
      </c>
      <c r="T245">
        <f t="shared" si="57"/>
        <v>2.2551491590857822</v>
      </c>
      <c r="U245">
        <f t="shared" si="57"/>
        <v>3.5102983181715639</v>
      </c>
      <c r="V245">
        <v>1.1599999999999999</v>
      </c>
      <c r="W245" s="69">
        <f t="shared" si="65"/>
        <v>2.9311688311688311</v>
      </c>
      <c r="X245" s="69">
        <f t="shared" si="66"/>
        <v>-1.1724675324675324</v>
      </c>
      <c r="Y245">
        <f t="shared" si="67"/>
        <v>-1.5102983181715639</v>
      </c>
      <c r="Z245">
        <f t="shared" si="68"/>
        <v>3.5102983181715639</v>
      </c>
    </row>
    <row r="246" spans="9:26">
      <c r="I246">
        <f t="shared" si="58"/>
        <v>197.721490063907</v>
      </c>
      <c r="J246">
        <f t="shared" si="59"/>
        <v>230</v>
      </c>
      <c r="K246">
        <f t="shared" si="60"/>
        <v>378</v>
      </c>
      <c r="L246">
        <f t="shared" si="61"/>
        <v>156.47269016040096</v>
      </c>
      <c r="M246">
        <f t="shared" si="62"/>
        <v>108.13895043686934</v>
      </c>
      <c r="N246" s="69">
        <f t="shared" si="63"/>
        <v>91.394094063596299</v>
      </c>
      <c r="O246">
        <v>209</v>
      </c>
      <c r="P246">
        <f t="shared" si="56"/>
        <v>8.2992519689413182</v>
      </c>
      <c r="Q246">
        <f t="shared" si="64"/>
        <v>-3.7329072132874179</v>
      </c>
      <c r="R246">
        <f t="shared" si="57"/>
        <v>-1.5223670600858501</v>
      </c>
      <c r="S246">
        <f t="shared" si="57"/>
        <v>-0.26118353004292505</v>
      </c>
      <c r="T246">
        <f t="shared" si="57"/>
        <v>2.261183530042925</v>
      </c>
      <c r="U246">
        <f t="shared" si="57"/>
        <v>3.5223670600858501</v>
      </c>
      <c r="V246">
        <v>1.18</v>
      </c>
      <c r="W246" s="69">
        <f t="shared" si="65"/>
        <v>2.9311688311688311</v>
      </c>
      <c r="X246" s="69">
        <f t="shared" si="66"/>
        <v>-1.1724675324675324</v>
      </c>
      <c r="Y246">
        <f t="shared" si="67"/>
        <v>-1.5223670600858501</v>
      </c>
      <c r="Z246">
        <f t="shared" si="68"/>
        <v>3.5223670600858501</v>
      </c>
    </row>
    <row r="247" spans="9:26">
      <c r="I247">
        <f t="shared" si="58"/>
        <v>197.721490063907</v>
      </c>
      <c r="J247">
        <f t="shared" si="59"/>
        <v>230</v>
      </c>
      <c r="K247">
        <f t="shared" si="60"/>
        <v>378</v>
      </c>
      <c r="L247">
        <f t="shared" si="61"/>
        <v>156.47269016040096</v>
      </c>
      <c r="M247">
        <f t="shared" si="62"/>
        <v>108.13895043686934</v>
      </c>
      <c r="N247" s="69">
        <f t="shared" si="63"/>
        <v>91.394094063596299</v>
      </c>
      <c r="O247">
        <v>210</v>
      </c>
      <c r="P247">
        <f t="shared" si="56"/>
        <v>8.3788606449099632</v>
      </c>
      <c r="Q247">
        <f t="shared" si="64"/>
        <v>-3.7687142717880797</v>
      </c>
      <c r="R247">
        <f t="shared" si="57"/>
        <v>-1.5344358020001367</v>
      </c>
      <c r="S247">
        <f t="shared" si="57"/>
        <v>-0.26721790100006837</v>
      </c>
      <c r="T247">
        <f t="shared" si="57"/>
        <v>2.2672179010000684</v>
      </c>
      <c r="U247">
        <f t="shared" si="57"/>
        <v>3.5344358020001367</v>
      </c>
      <c r="V247">
        <v>1.2</v>
      </c>
      <c r="W247" s="69">
        <f t="shared" si="65"/>
        <v>2.9311688311688311</v>
      </c>
      <c r="X247" s="69">
        <f t="shared" si="66"/>
        <v>-1.1724675324675324</v>
      </c>
      <c r="Y247">
        <f t="shared" si="67"/>
        <v>-1.5344358020001367</v>
      </c>
      <c r="Z247">
        <f t="shared" si="68"/>
        <v>3.5344358020001367</v>
      </c>
    </row>
    <row r="248" spans="9:26">
      <c r="I248">
        <f t="shared" si="58"/>
        <v>197.721490063907</v>
      </c>
      <c r="J248">
        <f t="shared" si="59"/>
        <v>230</v>
      </c>
      <c r="K248">
        <f t="shared" si="60"/>
        <v>378</v>
      </c>
      <c r="L248">
        <f t="shared" si="61"/>
        <v>156.47269016040096</v>
      </c>
      <c r="M248">
        <f t="shared" si="62"/>
        <v>108.13895043686934</v>
      </c>
      <c r="N248" s="69">
        <f t="shared" si="63"/>
        <v>91.394094063596299</v>
      </c>
      <c r="O248">
        <v>211</v>
      </c>
      <c r="P248">
        <f t="shared" si="56"/>
        <v>8.4588493145586519</v>
      </c>
      <c r="Q248">
        <f t="shared" si="64"/>
        <v>-3.8046922470357614</v>
      </c>
      <c r="R248">
        <f t="shared" si="57"/>
        <v>-1.5465045439144229</v>
      </c>
      <c r="S248">
        <f t="shared" si="57"/>
        <v>-0.27325227195721147</v>
      </c>
      <c r="T248">
        <f t="shared" si="57"/>
        <v>2.2732522719572117</v>
      </c>
      <c r="U248">
        <f t="shared" si="57"/>
        <v>3.5465045439144229</v>
      </c>
      <c r="V248">
        <v>1.22</v>
      </c>
      <c r="W248" s="69">
        <f t="shared" si="65"/>
        <v>2.9311688311688311</v>
      </c>
      <c r="X248" s="69">
        <f t="shared" si="66"/>
        <v>-1.1724675324675324</v>
      </c>
      <c r="Y248">
        <f t="shared" si="67"/>
        <v>-1.5465045439144229</v>
      </c>
      <c r="Z248">
        <f t="shared" si="68"/>
        <v>3.5465045439144229</v>
      </c>
    </row>
    <row r="249" spans="9:26">
      <c r="I249">
        <f t="shared" si="58"/>
        <v>197.721490063907</v>
      </c>
      <c r="J249">
        <f t="shared" si="59"/>
        <v>230</v>
      </c>
      <c r="K249">
        <f t="shared" si="60"/>
        <v>378</v>
      </c>
      <c r="L249">
        <f t="shared" si="61"/>
        <v>156.47269016040096</v>
      </c>
      <c r="M249">
        <f t="shared" si="62"/>
        <v>108.13895043686934</v>
      </c>
      <c r="N249" s="69">
        <f t="shared" si="63"/>
        <v>91.394094063596299</v>
      </c>
      <c r="O249">
        <v>212</v>
      </c>
      <c r="P249">
        <f t="shared" si="56"/>
        <v>8.5392179778873807</v>
      </c>
      <c r="Q249">
        <f t="shared" si="64"/>
        <v>-3.8408411390304642</v>
      </c>
      <c r="R249">
        <f t="shared" si="57"/>
        <v>-1.5585732858287096</v>
      </c>
      <c r="S249">
        <f t="shared" si="57"/>
        <v>-0.27928664291435479</v>
      </c>
      <c r="T249">
        <f t="shared" si="57"/>
        <v>2.2792866429143546</v>
      </c>
      <c r="U249">
        <f t="shared" si="57"/>
        <v>3.5585732858287096</v>
      </c>
      <c r="V249">
        <v>1.24</v>
      </c>
      <c r="W249" s="69">
        <f t="shared" si="65"/>
        <v>2.9311688311688311</v>
      </c>
      <c r="X249" s="69">
        <f t="shared" si="66"/>
        <v>-1.1724675324675324</v>
      </c>
      <c r="Y249">
        <f t="shared" si="67"/>
        <v>-1.5585732858287096</v>
      </c>
      <c r="Z249">
        <f t="shared" si="68"/>
        <v>3.5585732858287096</v>
      </c>
    </row>
    <row r="250" spans="9:26">
      <c r="I250">
        <f t="shared" si="58"/>
        <v>197.721490063907</v>
      </c>
      <c r="J250">
        <f t="shared" si="59"/>
        <v>230</v>
      </c>
      <c r="K250">
        <f t="shared" si="60"/>
        <v>378</v>
      </c>
      <c r="L250">
        <f t="shared" si="61"/>
        <v>156.47269016040096</v>
      </c>
      <c r="M250">
        <f t="shared" si="62"/>
        <v>108.13895043686934</v>
      </c>
      <c r="N250" s="69">
        <f t="shared" si="63"/>
        <v>91.394094063596299</v>
      </c>
      <c r="O250">
        <v>213</v>
      </c>
      <c r="P250">
        <f t="shared" si="56"/>
        <v>8.6199666348961497</v>
      </c>
      <c r="Q250">
        <f t="shared" si="64"/>
        <v>-3.8771609477721856</v>
      </c>
      <c r="R250">
        <f t="shared" si="57"/>
        <v>-1.5706420277429958</v>
      </c>
      <c r="S250">
        <f t="shared" si="57"/>
        <v>-0.28532101387149789</v>
      </c>
      <c r="T250">
        <f t="shared" si="57"/>
        <v>2.2853210138714979</v>
      </c>
      <c r="U250">
        <f t="shared" si="57"/>
        <v>3.5706420277429958</v>
      </c>
      <c r="V250">
        <v>1.26</v>
      </c>
      <c r="W250" s="69">
        <f t="shared" si="65"/>
        <v>2.9311688311688311</v>
      </c>
      <c r="X250" s="69">
        <f t="shared" si="66"/>
        <v>-1.1724675324675324</v>
      </c>
      <c r="Y250">
        <f t="shared" si="67"/>
        <v>-1.5706420277429958</v>
      </c>
      <c r="Z250">
        <f t="shared" si="68"/>
        <v>3.5706420277429958</v>
      </c>
    </row>
    <row r="251" spans="9:26">
      <c r="I251">
        <f t="shared" si="58"/>
        <v>197.721490063907</v>
      </c>
      <c r="J251">
        <f t="shared" si="59"/>
        <v>230</v>
      </c>
      <c r="K251">
        <f t="shared" si="60"/>
        <v>378</v>
      </c>
      <c r="L251">
        <f t="shared" si="61"/>
        <v>156.47269016040096</v>
      </c>
      <c r="M251">
        <f t="shared" si="62"/>
        <v>108.13895043686934</v>
      </c>
      <c r="N251" s="69">
        <f t="shared" si="63"/>
        <v>91.394094063596299</v>
      </c>
      <c r="O251">
        <v>214</v>
      </c>
      <c r="P251">
        <f t="shared" si="56"/>
        <v>8.7010952855849588</v>
      </c>
      <c r="Q251">
        <f t="shared" si="64"/>
        <v>-3.9136516732609272</v>
      </c>
      <c r="R251">
        <f t="shared" si="57"/>
        <v>-1.582710769657282</v>
      </c>
      <c r="S251">
        <f t="shared" si="57"/>
        <v>-0.29135538482864098</v>
      </c>
      <c r="T251">
        <f t="shared" si="57"/>
        <v>2.2913553848286412</v>
      </c>
      <c r="U251">
        <f t="shared" si="57"/>
        <v>3.582710769657282</v>
      </c>
      <c r="V251">
        <v>1.28</v>
      </c>
      <c r="W251" s="69">
        <f t="shared" si="65"/>
        <v>2.9311688311688311</v>
      </c>
      <c r="X251" s="69">
        <f t="shared" si="66"/>
        <v>-1.1724675324675324</v>
      </c>
      <c r="Y251">
        <f t="shared" si="67"/>
        <v>-1.582710769657282</v>
      </c>
      <c r="Z251">
        <f t="shared" si="68"/>
        <v>3.582710769657282</v>
      </c>
    </row>
    <row r="252" spans="9:26">
      <c r="I252">
        <f t="shared" si="58"/>
        <v>197.721490063907</v>
      </c>
      <c r="J252">
        <f t="shared" si="59"/>
        <v>230</v>
      </c>
      <c r="K252">
        <f t="shared" si="60"/>
        <v>378</v>
      </c>
      <c r="L252">
        <f t="shared" si="61"/>
        <v>156.47269016040096</v>
      </c>
      <c r="M252">
        <f t="shared" si="62"/>
        <v>108.13895043686934</v>
      </c>
      <c r="N252" s="69">
        <f t="shared" si="63"/>
        <v>91.394094063596299</v>
      </c>
      <c r="O252">
        <v>215</v>
      </c>
      <c r="P252">
        <f t="shared" si="56"/>
        <v>8.7826039299538117</v>
      </c>
      <c r="Q252">
        <f t="shared" si="64"/>
        <v>-3.9503133154966887</v>
      </c>
      <c r="R252">
        <f t="shared" si="57"/>
        <v>-1.5947795115715686</v>
      </c>
      <c r="S252">
        <f t="shared" si="57"/>
        <v>-0.2973897557857843</v>
      </c>
      <c r="T252">
        <f t="shared" si="57"/>
        <v>2.2973897557857841</v>
      </c>
      <c r="U252">
        <f t="shared" si="57"/>
        <v>3.5947795115715686</v>
      </c>
      <c r="V252">
        <v>1.3</v>
      </c>
      <c r="W252" s="69">
        <f t="shared" si="65"/>
        <v>2.9311688311688311</v>
      </c>
      <c r="X252" s="69">
        <f t="shared" si="66"/>
        <v>-1.1724675324675324</v>
      </c>
      <c r="Y252">
        <f t="shared" si="67"/>
        <v>-1.5947795115715686</v>
      </c>
      <c r="Z252">
        <f t="shared" si="68"/>
        <v>3.5947795115715686</v>
      </c>
    </row>
    <row r="253" spans="9:26">
      <c r="I253">
        <f t="shared" si="58"/>
        <v>197.721490063907</v>
      </c>
      <c r="J253">
        <f t="shared" si="59"/>
        <v>230</v>
      </c>
      <c r="K253">
        <f t="shared" si="60"/>
        <v>378</v>
      </c>
      <c r="L253">
        <f t="shared" si="61"/>
        <v>156.47269016040096</v>
      </c>
      <c r="M253">
        <f t="shared" si="62"/>
        <v>108.13895043686934</v>
      </c>
      <c r="N253" s="69">
        <f t="shared" si="63"/>
        <v>91.394094063596299</v>
      </c>
      <c r="O253">
        <v>216</v>
      </c>
      <c r="P253">
        <f t="shared" si="56"/>
        <v>8.8644925680027047</v>
      </c>
      <c r="Q253">
        <f t="shared" si="64"/>
        <v>-3.9871458744794706</v>
      </c>
      <c r="R253">
        <f t="shared" si="57"/>
        <v>-1.6068482534858548</v>
      </c>
      <c r="S253">
        <f t="shared" si="57"/>
        <v>-0.3034241267429274</v>
      </c>
      <c r="T253">
        <f t="shared" si="57"/>
        <v>2.3034241267429274</v>
      </c>
      <c r="U253">
        <f t="shared" si="57"/>
        <v>3.6068482534858548</v>
      </c>
      <c r="V253">
        <v>1.32</v>
      </c>
      <c r="W253" s="69">
        <f t="shared" si="65"/>
        <v>2.9311688311688311</v>
      </c>
      <c r="X253" s="69">
        <f t="shared" si="66"/>
        <v>-1.1724675324675324</v>
      </c>
      <c r="Y253">
        <f t="shared" si="67"/>
        <v>-1.6068482534858548</v>
      </c>
      <c r="Z253">
        <f t="shared" si="68"/>
        <v>3.6068482534858548</v>
      </c>
    </row>
    <row r="254" spans="9:26">
      <c r="I254">
        <f t="shared" si="58"/>
        <v>197.721490063907</v>
      </c>
      <c r="J254">
        <f t="shared" si="59"/>
        <v>230</v>
      </c>
      <c r="K254">
        <f t="shared" si="60"/>
        <v>378</v>
      </c>
      <c r="L254">
        <f t="shared" si="61"/>
        <v>156.47269016040096</v>
      </c>
      <c r="M254">
        <f t="shared" si="62"/>
        <v>108.13895043686934</v>
      </c>
      <c r="N254" s="69">
        <f t="shared" si="63"/>
        <v>91.394094063596299</v>
      </c>
      <c r="O254">
        <v>217</v>
      </c>
      <c r="P254">
        <f t="shared" si="56"/>
        <v>8.9467611997316396</v>
      </c>
      <c r="Q254">
        <f t="shared" si="64"/>
        <v>-4.0241493502092718</v>
      </c>
      <c r="R254">
        <f t="shared" si="57"/>
        <v>-1.618916995400141</v>
      </c>
      <c r="S254">
        <f t="shared" si="57"/>
        <v>-0.3094584977000705</v>
      </c>
      <c r="T254">
        <f t="shared" si="57"/>
        <v>2.3094584977000707</v>
      </c>
      <c r="U254">
        <f t="shared" si="57"/>
        <v>3.618916995400141</v>
      </c>
      <c r="V254">
        <v>1.34</v>
      </c>
      <c r="W254" s="69">
        <f t="shared" si="65"/>
        <v>2.9311688311688311</v>
      </c>
      <c r="X254" s="69">
        <f t="shared" si="66"/>
        <v>-1.1724675324675324</v>
      </c>
      <c r="Y254">
        <f t="shared" si="67"/>
        <v>-1.618916995400141</v>
      </c>
      <c r="Z254">
        <f t="shared" si="68"/>
        <v>3.618916995400141</v>
      </c>
    </row>
    <row r="255" spans="9:26">
      <c r="I255">
        <f t="shared" si="58"/>
        <v>197.721490063907</v>
      </c>
      <c r="J255">
        <f t="shared" si="59"/>
        <v>230</v>
      </c>
      <c r="K255">
        <f t="shared" si="60"/>
        <v>378</v>
      </c>
      <c r="L255">
        <f t="shared" si="61"/>
        <v>156.47269016040096</v>
      </c>
      <c r="M255">
        <f t="shared" si="62"/>
        <v>108.13895043686934</v>
      </c>
      <c r="N255" s="69">
        <f t="shared" si="63"/>
        <v>91.394094063596299</v>
      </c>
      <c r="O255">
        <v>218</v>
      </c>
      <c r="P255">
        <f t="shared" si="56"/>
        <v>9.0294098251406165</v>
      </c>
      <c r="Q255">
        <f t="shared" si="64"/>
        <v>-4.0613237426860929</v>
      </c>
      <c r="R255">
        <f t="shared" si="57"/>
        <v>-1.6309857373144276</v>
      </c>
      <c r="S255">
        <f t="shared" si="57"/>
        <v>-0.31549286865721382</v>
      </c>
      <c r="T255">
        <f t="shared" si="57"/>
        <v>2.3154928686572136</v>
      </c>
      <c r="U255">
        <f t="shared" si="57"/>
        <v>3.6309857373144276</v>
      </c>
      <c r="V255">
        <v>1.36</v>
      </c>
      <c r="W255" s="69">
        <f t="shared" si="65"/>
        <v>2.9311688311688311</v>
      </c>
      <c r="X255" s="69">
        <f t="shared" si="66"/>
        <v>-1.1724675324675324</v>
      </c>
      <c r="Y255">
        <f t="shared" si="67"/>
        <v>-1.6309857373144276</v>
      </c>
      <c r="Z255">
        <f t="shared" si="68"/>
        <v>3.6309857373144276</v>
      </c>
    </row>
    <row r="256" spans="9:26">
      <c r="I256">
        <f t="shared" si="58"/>
        <v>197.721490063907</v>
      </c>
      <c r="J256">
        <f t="shared" si="59"/>
        <v>230</v>
      </c>
      <c r="K256">
        <f t="shared" si="60"/>
        <v>378</v>
      </c>
      <c r="L256">
        <f t="shared" si="61"/>
        <v>156.47269016040096</v>
      </c>
      <c r="M256">
        <f t="shared" si="62"/>
        <v>108.13895043686934</v>
      </c>
      <c r="N256" s="69">
        <f t="shared" si="63"/>
        <v>91.394094063596299</v>
      </c>
      <c r="O256">
        <v>219</v>
      </c>
      <c r="P256">
        <f t="shared" si="56"/>
        <v>9.1124384442296336</v>
      </c>
      <c r="Q256">
        <f t="shared" si="64"/>
        <v>-4.0986690519099342</v>
      </c>
      <c r="R256">
        <f t="shared" si="57"/>
        <v>-1.6430544792287138</v>
      </c>
      <c r="S256">
        <f t="shared" si="57"/>
        <v>-0.32152723961435692</v>
      </c>
      <c r="T256">
        <f t="shared" si="57"/>
        <v>2.3215272396143569</v>
      </c>
      <c r="U256">
        <f t="shared" si="57"/>
        <v>3.6430544792287138</v>
      </c>
      <c r="V256">
        <v>1.38</v>
      </c>
      <c r="W256" s="69">
        <f t="shared" si="65"/>
        <v>2.9311688311688311</v>
      </c>
      <c r="X256" s="69">
        <f t="shared" si="66"/>
        <v>-1.1724675324675324</v>
      </c>
      <c r="Y256">
        <f t="shared" si="67"/>
        <v>-1.6430544792287138</v>
      </c>
      <c r="Z256">
        <f t="shared" si="68"/>
        <v>3.6430544792287138</v>
      </c>
    </row>
    <row r="257" spans="9:26">
      <c r="I257">
        <f t="shared" si="58"/>
        <v>197.721490063907</v>
      </c>
      <c r="J257">
        <f t="shared" si="59"/>
        <v>230</v>
      </c>
      <c r="K257">
        <f t="shared" si="60"/>
        <v>378</v>
      </c>
      <c r="L257">
        <f t="shared" si="61"/>
        <v>156.47269016040096</v>
      </c>
      <c r="M257">
        <f t="shared" si="62"/>
        <v>108.13895043686934</v>
      </c>
      <c r="N257" s="69">
        <f t="shared" si="63"/>
        <v>91.394094063596299</v>
      </c>
      <c r="O257">
        <v>220</v>
      </c>
      <c r="P257">
        <f t="shared" si="56"/>
        <v>9.1958470569986908</v>
      </c>
      <c r="Q257">
        <f t="shared" si="64"/>
        <v>-4.136185277880795</v>
      </c>
      <c r="R257">
        <f t="shared" si="57"/>
        <v>-1.6551232211430005</v>
      </c>
      <c r="S257">
        <f t="shared" si="57"/>
        <v>-0.32756161057150024</v>
      </c>
      <c r="T257">
        <f t="shared" si="57"/>
        <v>2.3275616105715002</v>
      </c>
      <c r="U257">
        <f t="shared" si="57"/>
        <v>3.6551232211430005</v>
      </c>
      <c r="V257">
        <v>1.4</v>
      </c>
      <c r="W257" s="69">
        <f t="shared" si="65"/>
        <v>2.9311688311688311</v>
      </c>
      <c r="X257" s="69">
        <f t="shared" si="66"/>
        <v>-1.1724675324675324</v>
      </c>
      <c r="Y257">
        <f t="shared" si="67"/>
        <v>-1.6551232211430005</v>
      </c>
      <c r="Z257">
        <f t="shared" si="68"/>
        <v>3.6551232211430005</v>
      </c>
    </row>
    <row r="258" spans="9:26">
      <c r="I258">
        <f t="shared" si="58"/>
        <v>197.721490063907</v>
      </c>
      <c r="J258">
        <f t="shared" si="59"/>
        <v>230</v>
      </c>
      <c r="K258">
        <f t="shared" si="60"/>
        <v>378</v>
      </c>
      <c r="L258">
        <f t="shared" si="61"/>
        <v>156.47269016040096</v>
      </c>
      <c r="M258">
        <f t="shared" si="62"/>
        <v>108.13895043686934</v>
      </c>
      <c r="N258" s="69">
        <f t="shared" si="63"/>
        <v>91.394094063596299</v>
      </c>
      <c r="O258">
        <v>221</v>
      </c>
      <c r="P258">
        <f t="shared" si="56"/>
        <v>9.2796356634477899</v>
      </c>
      <c r="Q258">
        <f t="shared" si="64"/>
        <v>-4.1738724205986752</v>
      </c>
      <c r="R258">
        <f t="shared" si="57"/>
        <v>-1.6671919630572867</v>
      </c>
      <c r="S258">
        <f t="shared" si="57"/>
        <v>-0.33359598152864334</v>
      </c>
      <c r="T258">
        <f t="shared" si="57"/>
        <v>2.3335959815286431</v>
      </c>
      <c r="U258">
        <f t="shared" si="57"/>
        <v>3.6671919630572867</v>
      </c>
      <c r="V258">
        <v>1.42</v>
      </c>
      <c r="W258" s="69">
        <f t="shared" si="65"/>
        <v>2.9311688311688311</v>
      </c>
      <c r="X258" s="69">
        <f t="shared" si="66"/>
        <v>-1.1724675324675324</v>
      </c>
      <c r="Y258">
        <f t="shared" si="67"/>
        <v>-1.6671919630572867</v>
      </c>
      <c r="Z258">
        <f t="shared" si="68"/>
        <v>3.6671919630572867</v>
      </c>
    </row>
    <row r="259" spans="9:26">
      <c r="I259">
        <f t="shared" si="58"/>
        <v>197.721490063907</v>
      </c>
      <c r="J259">
        <f t="shared" si="59"/>
        <v>230</v>
      </c>
      <c r="K259">
        <f t="shared" si="60"/>
        <v>378</v>
      </c>
      <c r="L259">
        <f t="shared" si="61"/>
        <v>156.47269016040096</v>
      </c>
      <c r="M259">
        <f t="shared" si="62"/>
        <v>108.13895043686934</v>
      </c>
      <c r="N259" s="69">
        <f t="shared" si="63"/>
        <v>91.394094063596299</v>
      </c>
      <c r="O259">
        <v>222</v>
      </c>
      <c r="P259">
        <f t="shared" si="56"/>
        <v>9.363804263576931</v>
      </c>
      <c r="Q259">
        <f t="shared" si="64"/>
        <v>-4.2117304800635766</v>
      </c>
      <c r="R259">
        <f t="shared" si="57"/>
        <v>-1.6792607049715729</v>
      </c>
      <c r="S259">
        <f t="shared" si="57"/>
        <v>-0.33963035248578644</v>
      </c>
      <c r="T259">
        <f t="shared" si="57"/>
        <v>2.3396303524857864</v>
      </c>
      <c r="U259">
        <f t="shared" si="57"/>
        <v>3.6792607049715729</v>
      </c>
      <c r="V259">
        <v>1.44</v>
      </c>
      <c r="W259" s="69">
        <f t="shared" si="65"/>
        <v>2.9311688311688311</v>
      </c>
      <c r="X259" s="69">
        <f t="shared" si="66"/>
        <v>-1.1724675324675324</v>
      </c>
      <c r="Y259">
        <f t="shared" si="67"/>
        <v>-1.6792607049715729</v>
      </c>
      <c r="Z259">
        <f t="shared" si="68"/>
        <v>3.6792607049715729</v>
      </c>
    </row>
    <row r="260" spans="9:26">
      <c r="I260">
        <f t="shared" si="58"/>
        <v>197.721490063907</v>
      </c>
      <c r="J260">
        <f t="shared" si="59"/>
        <v>230</v>
      </c>
      <c r="K260">
        <f t="shared" si="60"/>
        <v>378</v>
      </c>
      <c r="L260">
        <f t="shared" si="61"/>
        <v>156.47269016040096</v>
      </c>
      <c r="M260">
        <f t="shared" si="62"/>
        <v>108.13895043686934</v>
      </c>
      <c r="N260" s="69">
        <f t="shared" si="63"/>
        <v>91.394094063596299</v>
      </c>
      <c r="O260">
        <v>223</v>
      </c>
      <c r="P260">
        <f t="shared" si="56"/>
        <v>9.448352857386114</v>
      </c>
      <c r="Q260">
        <f t="shared" si="64"/>
        <v>-4.2497594562754974</v>
      </c>
      <c r="R260">
        <f t="shared" si="57"/>
        <v>-1.6913294468858595</v>
      </c>
      <c r="S260">
        <f t="shared" si="57"/>
        <v>-0.34566472344292976</v>
      </c>
      <c r="T260">
        <f t="shared" si="57"/>
        <v>2.3456647234429298</v>
      </c>
      <c r="U260">
        <f t="shared" si="57"/>
        <v>3.6913294468858595</v>
      </c>
      <c r="V260">
        <v>1.46</v>
      </c>
      <c r="W260" s="69">
        <f t="shared" si="65"/>
        <v>2.9311688311688311</v>
      </c>
      <c r="X260" s="69">
        <f t="shared" si="66"/>
        <v>-1.1724675324675324</v>
      </c>
      <c r="Y260">
        <f t="shared" si="67"/>
        <v>-1.6913294468858595</v>
      </c>
      <c r="Z260">
        <f t="shared" si="68"/>
        <v>3.6913294468858595</v>
      </c>
    </row>
    <row r="261" spans="9:26">
      <c r="I261">
        <f t="shared" si="58"/>
        <v>197.721490063907</v>
      </c>
      <c r="J261">
        <f t="shared" si="59"/>
        <v>230</v>
      </c>
      <c r="K261">
        <f t="shared" si="60"/>
        <v>378</v>
      </c>
      <c r="L261">
        <f t="shared" si="61"/>
        <v>156.47269016040096</v>
      </c>
      <c r="M261">
        <f t="shared" si="62"/>
        <v>108.13895043686934</v>
      </c>
      <c r="N261" s="69">
        <f t="shared" si="63"/>
        <v>91.394094063596299</v>
      </c>
      <c r="O261">
        <v>224</v>
      </c>
      <c r="P261">
        <f t="shared" si="56"/>
        <v>9.5332814448753371</v>
      </c>
      <c r="Q261">
        <f t="shared" si="64"/>
        <v>-4.2879593492344377</v>
      </c>
      <c r="R261">
        <f t="shared" si="57"/>
        <v>-1.7033981888001457</v>
      </c>
      <c r="S261">
        <f t="shared" si="57"/>
        <v>-0.35169909440007285</v>
      </c>
      <c r="T261">
        <f t="shared" si="57"/>
        <v>2.3516990944000726</v>
      </c>
      <c r="U261">
        <f t="shared" si="57"/>
        <v>3.7033981888001457</v>
      </c>
      <c r="V261">
        <v>1.48</v>
      </c>
      <c r="W261" s="69">
        <f t="shared" si="65"/>
        <v>2.9311688311688311</v>
      </c>
      <c r="X261" s="69">
        <f t="shared" si="66"/>
        <v>-1.1724675324675324</v>
      </c>
      <c r="Y261">
        <f t="shared" si="67"/>
        <v>-1.7033981888001457</v>
      </c>
      <c r="Z261">
        <f t="shared" si="68"/>
        <v>3.7033981888001457</v>
      </c>
    </row>
    <row r="262" spans="9:26">
      <c r="I262">
        <f t="shared" si="58"/>
        <v>197.721490063907</v>
      </c>
      <c r="J262">
        <f t="shared" si="59"/>
        <v>230</v>
      </c>
      <c r="K262">
        <f t="shared" si="60"/>
        <v>378</v>
      </c>
      <c r="L262">
        <f t="shared" si="61"/>
        <v>156.47269016040096</v>
      </c>
      <c r="M262">
        <f t="shared" si="62"/>
        <v>108.13895043686934</v>
      </c>
      <c r="N262" s="69">
        <f t="shared" si="63"/>
        <v>91.394094063596299</v>
      </c>
      <c r="O262">
        <v>225</v>
      </c>
      <c r="P262">
        <f t="shared" si="56"/>
        <v>9.6185900260446022</v>
      </c>
      <c r="Q262">
        <f t="shared" si="64"/>
        <v>-4.3263301589403973</v>
      </c>
      <c r="R262">
        <f t="shared" si="57"/>
        <v>-1.7154669307144319</v>
      </c>
      <c r="S262">
        <f t="shared" si="57"/>
        <v>-0.35773346535721595</v>
      </c>
      <c r="T262">
        <f t="shared" si="57"/>
        <v>2.357733465357216</v>
      </c>
      <c r="U262">
        <f t="shared" si="57"/>
        <v>3.7154669307144319</v>
      </c>
      <c r="V262">
        <v>1.5</v>
      </c>
      <c r="W262" s="69">
        <f t="shared" si="65"/>
        <v>2.9311688311688311</v>
      </c>
      <c r="X262" s="69">
        <f t="shared" si="66"/>
        <v>-1.1724675324675324</v>
      </c>
      <c r="Y262">
        <f t="shared" si="67"/>
        <v>-1.7154669307144319</v>
      </c>
      <c r="Z262">
        <f t="shared" si="68"/>
        <v>3.7154669307144319</v>
      </c>
    </row>
    <row r="263" spans="9:26">
      <c r="I263">
        <f t="shared" si="58"/>
        <v>197.721490063907</v>
      </c>
      <c r="J263">
        <f t="shared" si="59"/>
        <v>230</v>
      </c>
      <c r="K263">
        <f t="shared" si="60"/>
        <v>378</v>
      </c>
      <c r="L263">
        <f t="shared" si="61"/>
        <v>156.47269016040096</v>
      </c>
      <c r="M263">
        <f t="shared" si="62"/>
        <v>108.13895043686934</v>
      </c>
      <c r="N263" s="69">
        <f t="shared" si="63"/>
        <v>91.394094063596299</v>
      </c>
      <c r="O263">
        <v>226</v>
      </c>
      <c r="P263">
        <f t="shared" si="56"/>
        <v>9.7042786008939075</v>
      </c>
      <c r="Q263">
        <f t="shared" si="64"/>
        <v>-4.3648718853933772</v>
      </c>
      <c r="R263">
        <f t="shared" si="57"/>
        <v>-1.7275356726287185</v>
      </c>
      <c r="S263">
        <f t="shared" si="57"/>
        <v>-0.36376783631435927</v>
      </c>
      <c r="T263">
        <f t="shared" si="57"/>
        <v>2.3637678363143593</v>
      </c>
      <c r="U263">
        <f t="shared" si="57"/>
        <v>3.7275356726287185</v>
      </c>
      <c r="V263">
        <v>1.52</v>
      </c>
      <c r="W263" s="69">
        <f t="shared" si="65"/>
        <v>2.9311688311688311</v>
      </c>
      <c r="X263" s="69">
        <f t="shared" si="66"/>
        <v>-1.1724675324675324</v>
      </c>
      <c r="Y263">
        <f t="shared" si="67"/>
        <v>-1.7275356726287185</v>
      </c>
      <c r="Z263">
        <f t="shared" si="68"/>
        <v>3.7275356726287185</v>
      </c>
    </row>
    <row r="264" spans="9:26">
      <c r="I264">
        <f t="shared" si="58"/>
        <v>197.721490063907</v>
      </c>
      <c r="J264">
        <f t="shared" si="59"/>
        <v>230</v>
      </c>
      <c r="K264">
        <f t="shared" si="60"/>
        <v>378</v>
      </c>
      <c r="L264">
        <f t="shared" si="61"/>
        <v>156.47269016040096</v>
      </c>
      <c r="M264">
        <f t="shared" si="62"/>
        <v>108.13895043686934</v>
      </c>
      <c r="N264" s="69">
        <f t="shared" si="63"/>
        <v>91.394094063596299</v>
      </c>
      <c r="O264">
        <v>227</v>
      </c>
      <c r="P264">
        <f t="shared" si="56"/>
        <v>9.7903471694232547</v>
      </c>
      <c r="Q264">
        <f t="shared" si="64"/>
        <v>-4.4035845285933775</v>
      </c>
      <c r="R264">
        <f t="shared" si="57"/>
        <v>-1.7396044145430047</v>
      </c>
      <c r="S264">
        <f t="shared" si="57"/>
        <v>-0.36980220727150237</v>
      </c>
      <c r="T264">
        <f t="shared" si="57"/>
        <v>2.3698022072715021</v>
      </c>
      <c r="U264">
        <f t="shared" si="57"/>
        <v>3.7396044145430047</v>
      </c>
      <c r="V264">
        <v>1.54</v>
      </c>
      <c r="W264" s="69">
        <f t="shared" si="65"/>
        <v>2.9311688311688311</v>
      </c>
      <c r="X264" s="69">
        <f t="shared" si="66"/>
        <v>-1.1724675324675324</v>
      </c>
      <c r="Y264">
        <f t="shared" si="67"/>
        <v>-1.7396044145430047</v>
      </c>
      <c r="Z264">
        <f t="shared" si="68"/>
        <v>3.7396044145430047</v>
      </c>
    </row>
    <row r="265" spans="9:26">
      <c r="I265">
        <f t="shared" si="58"/>
        <v>197.721490063907</v>
      </c>
      <c r="J265">
        <f t="shared" si="59"/>
        <v>230</v>
      </c>
      <c r="K265">
        <f t="shared" si="60"/>
        <v>378</v>
      </c>
      <c r="L265">
        <f t="shared" si="61"/>
        <v>156.47269016040096</v>
      </c>
      <c r="M265">
        <f t="shared" si="62"/>
        <v>108.13895043686934</v>
      </c>
      <c r="N265" s="69">
        <f t="shared" si="63"/>
        <v>91.394094063596299</v>
      </c>
      <c r="O265">
        <v>228</v>
      </c>
      <c r="P265">
        <f t="shared" si="56"/>
        <v>9.8767957316326438</v>
      </c>
      <c r="Q265">
        <f t="shared" si="64"/>
        <v>-4.4424680885403971</v>
      </c>
      <c r="R265">
        <f t="shared" si="57"/>
        <v>-1.7516731564572914</v>
      </c>
      <c r="S265">
        <f t="shared" si="57"/>
        <v>-0.37583657822864569</v>
      </c>
      <c r="T265">
        <f t="shared" si="57"/>
        <v>2.3758365782286459</v>
      </c>
      <c r="U265">
        <f t="shared" si="57"/>
        <v>3.7516731564572914</v>
      </c>
      <c r="V265">
        <v>1.56</v>
      </c>
      <c r="W265" s="69">
        <f t="shared" si="65"/>
        <v>2.9311688311688311</v>
      </c>
      <c r="X265" s="69">
        <f t="shared" si="66"/>
        <v>-1.1724675324675324</v>
      </c>
      <c r="Y265">
        <f t="shared" si="67"/>
        <v>-1.7516731564572914</v>
      </c>
      <c r="Z265">
        <f t="shared" si="68"/>
        <v>3.7516731564572914</v>
      </c>
    </row>
    <row r="266" spans="9:26">
      <c r="I266">
        <f t="shared" si="58"/>
        <v>197.721490063907</v>
      </c>
      <c r="J266">
        <f t="shared" si="59"/>
        <v>230</v>
      </c>
      <c r="K266">
        <f t="shared" si="60"/>
        <v>378</v>
      </c>
      <c r="L266">
        <f t="shared" si="61"/>
        <v>156.47269016040096</v>
      </c>
      <c r="M266">
        <f t="shared" si="62"/>
        <v>108.13895043686934</v>
      </c>
      <c r="N266" s="236">
        <f t="shared" si="63"/>
        <v>91.394094063596299</v>
      </c>
      <c r="O266">
        <v>229</v>
      </c>
      <c r="P266">
        <f t="shared" si="56"/>
        <v>9.9636242875220749</v>
      </c>
      <c r="Q266">
        <f t="shared" si="64"/>
        <v>-4.481522565234437</v>
      </c>
      <c r="R266">
        <f t="shared" si="57"/>
        <v>-1.7637418983715776</v>
      </c>
      <c r="S266">
        <f t="shared" si="57"/>
        <v>-0.38187094918578879</v>
      </c>
      <c r="T266">
        <f t="shared" si="57"/>
        <v>2.3818709491857888</v>
      </c>
      <c r="U266">
        <f t="shared" si="57"/>
        <v>3.7637418983715776</v>
      </c>
      <c r="V266">
        <v>1.58</v>
      </c>
      <c r="W266" s="69">
        <f t="shared" si="65"/>
        <v>2.9311688311688311</v>
      </c>
      <c r="X266" s="69">
        <f t="shared" si="66"/>
        <v>-1.1724675324675324</v>
      </c>
      <c r="Y266">
        <f t="shared" si="67"/>
        <v>-1.7637418983715776</v>
      </c>
      <c r="Z266">
        <f t="shared" si="68"/>
        <v>3.7637418983715776</v>
      </c>
    </row>
    <row r="267" spans="9:26">
      <c r="I267">
        <f t="shared" si="58"/>
        <v>197.721490063907</v>
      </c>
      <c r="J267">
        <f t="shared" si="59"/>
        <v>230</v>
      </c>
      <c r="K267">
        <f t="shared" si="60"/>
        <v>378</v>
      </c>
      <c r="L267">
        <f t="shared" si="61"/>
        <v>156.47269016040096</v>
      </c>
      <c r="M267">
        <f t="shared" si="62"/>
        <v>108.13895043686934</v>
      </c>
      <c r="N267" s="69">
        <f t="shared" si="63"/>
        <v>91.394094063596299</v>
      </c>
      <c r="O267">
        <v>230</v>
      </c>
      <c r="P267">
        <f t="shared" si="56"/>
        <v>10.050832837091543</v>
      </c>
      <c r="Q267">
        <f t="shared" si="64"/>
        <v>-4.5207479586754973</v>
      </c>
      <c r="R267">
        <f t="shared" si="57"/>
        <v>-1.7758106402858638</v>
      </c>
      <c r="S267">
        <f t="shared" si="57"/>
        <v>-0.38790532014293189</v>
      </c>
      <c r="T267">
        <f t="shared" si="57"/>
        <v>2.3879053201429317</v>
      </c>
      <c r="U267">
        <f t="shared" si="57"/>
        <v>3.7758106402858638</v>
      </c>
      <c r="V267">
        <v>1.6</v>
      </c>
      <c r="W267" s="69">
        <f t="shared" si="65"/>
        <v>2.9311688311688311</v>
      </c>
      <c r="X267" s="69">
        <f t="shared" si="66"/>
        <v>-1.1724675324675324</v>
      </c>
      <c r="Y267">
        <f t="shared" si="67"/>
        <v>-1.7758106402858638</v>
      </c>
      <c r="Z267">
        <f t="shared" si="68"/>
        <v>3.7758106402858638</v>
      </c>
    </row>
    <row r="268" spans="9:26">
      <c r="I268">
        <f t="shared" si="58"/>
        <v>197.721490063907</v>
      </c>
      <c r="J268">
        <f t="shared" si="59"/>
        <v>230</v>
      </c>
      <c r="K268">
        <f t="shared" si="60"/>
        <v>378</v>
      </c>
      <c r="L268">
        <f t="shared" si="61"/>
        <v>156.47269016040096</v>
      </c>
      <c r="M268">
        <f t="shared" si="62"/>
        <v>108.13895043686934</v>
      </c>
      <c r="N268" s="69">
        <f t="shared" si="63"/>
        <v>91.394094063596299</v>
      </c>
      <c r="O268">
        <v>231</v>
      </c>
      <c r="P268">
        <f t="shared" si="56"/>
        <v>10.138421380341056</v>
      </c>
      <c r="Q268">
        <f t="shared" si="64"/>
        <v>-4.560144268863576</v>
      </c>
      <c r="R268">
        <f t="shared" si="57"/>
        <v>-1.7878793822001504</v>
      </c>
      <c r="S268">
        <f t="shared" si="57"/>
        <v>-0.39393969110007521</v>
      </c>
      <c r="T268">
        <f t="shared" si="57"/>
        <v>2.3939396911000754</v>
      </c>
      <c r="U268">
        <f t="shared" si="57"/>
        <v>3.7878793822001504</v>
      </c>
      <c r="V268">
        <v>1.62</v>
      </c>
      <c r="W268" s="69">
        <f t="shared" si="65"/>
        <v>2.9311688311688311</v>
      </c>
      <c r="X268" s="69">
        <f t="shared" si="66"/>
        <v>-1.1724675324675324</v>
      </c>
      <c r="Y268">
        <f t="shared" si="67"/>
        <v>-1.7878793822001504</v>
      </c>
      <c r="Z268">
        <f t="shared" si="68"/>
        <v>3.7878793822001504</v>
      </c>
    </row>
    <row r="269" spans="9:26">
      <c r="I269">
        <f t="shared" si="58"/>
        <v>197.721490063907</v>
      </c>
      <c r="J269">
        <f t="shared" si="59"/>
        <v>230</v>
      </c>
      <c r="K269">
        <f t="shared" si="60"/>
        <v>378</v>
      </c>
      <c r="L269">
        <f t="shared" si="61"/>
        <v>156.47269016040096</v>
      </c>
      <c r="M269">
        <f t="shared" si="62"/>
        <v>108.13895043686934</v>
      </c>
      <c r="N269" s="69">
        <f t="shared" si="63"/>
        <v>91.394094063596299</v>
      </c>
      <c r="O269">
        <v>232</v>
      </c>
      <c r="P269">
        <f t="shared" si="56"/>
        <v>10.226389917270611</v>
      </c>
      <c r="Q269">
        <f t="shared" si="64"/>
        <v>-4.599711495798676</v>
      </c>
      <c r="R269">
        <f t="shared" si="57"/>
        <v>-1.7999481241144366</v>
      </c>
      <c r="S269">
        <f t="shared" si="57"/>
        <v>-0.3999740620572183</v>
      </c>
      <c r="T269">
        <f t="shared" si="57"/>
        <v>2.3999740620572183</v>
      </c>
      <c r="U269">
        <f t="shared" si="57"/>
        <v>3.7999481241144366</v>
      </c>
      <c r="V269">
        <v>1.64</v>
      </c>
      <c r="W269" s="69">
        <f t="shared" si="65"/>
        <v>2.9311688311688311</v>
      </c>
      <c r="X269" s="69">
        <f t="shared" si="66"/>
        <v>-1.1724675324675324</v>
      </c>
      <c r="Y269">
        <f t="shared" si="67"/>
        <v>-1.7999481241144366</v>
      </c>
      <c r="Z269">
        <f t="shared" si="68"/>
        <v>3.7999481241144366</v>
      </c>
    </row>
    <row r="270" spans="9:26">
      <c r="I270">
        <f t="shared" si="58"/>
        <v>197.721490063907</v>
      </c>
      <c r="J270">
        <f t="shared" si="59"/>
        <v>230</v>
      </c>
      <c r="K270">
        <f t="shared" si="60"/>
        <v>378</v>
      </c>
      <c r="L270">
        <f t="shared" si="61"/>
        <v>156.47269016040096</v>
      </c>
      <c r="M270">
        <f t="shared" si="62"/>
        <v>108.13895043686934</v>
      </c>
      <c r="N270" s="69">
        <f t="shared" si="63"/>
        <v>91.394094063596299</v>
      </c>
      <c r="O270">
        <v>233</v>
      </c>
      <c r="P270">
        <f t="shared" si="56"/>
        <v>10.314738447880206</v>
      </c>
      <c r="Q270">
        <f t="shared" si="64"/>
        <v>-4.6394496394807945</v>
      </c>
      <c r="R270">
        <f t="shared" si="57"/>
        <v>-1.8120168660287228</v>
      </c>
      <c r="S270">
        <f t="shared" si="57"/>
        <v>-0.4060084330143614</v>
      </c>
      <c r="T270">
        <f t="shared" si="57"/>
        <v>2.4060084330143612</v>
      </c>
      <c r="U270">
        <f t="shared" si="57"/>
        <v>3.8120168660287228</v>
      </c>
      <c r="V270">
        <v>1.66</v>
      </c>
      <c r="W270" s="69">
        <f t="shared" si="65"/>
        <v>2.9311688311688311</v>
      </c>
      <c r="X270" s="69">
        <f t="shared" si="66"/>
        <v>-1.1724675324675324</v>
      </c>
      <c r="Y270">
        <f t="shared" si="67"/>
        <v>-1.8120168660287228</v>
      </c>
      <c r="Z270">
        <f t="shared" si="68"/>
        <v>3.8120168660287228</v>
      </c>
    </row>
    <row r="271" spans="9:26">
      <c r="I271">
        <f t="shared" si="58"/>
        <v>197.721490063907</v>
      </c>
      <c r="J271">
        <f t="shared" si="59"/>
        <v>230</v>
      </c>
      <c r="K271">
        <f t="shared" si="60"/>
        <v>378</v>
      </c>
      <c r="L271">
        <f t="shared" si="61"/>
        <v>156.47269016040096</v>
      </c>
      <c r="M271">
        <f t="shared" si="62"/>
        <v>108.13895043686934</v>
      </c>
      <c r="N271" s="69">
        <f t="shared" si="63"/>
        <v>91.394094063596299</v>
      </c>
      <c r="O271">
        <v>234</v>
      </c>
      <c r="P271">
        <f t="shared" si="56"/>
        <v>10.403466972169843</v>
      </c>
      <c r="Q271">
        <f t="shared" si="64"/>
        <v>-4.6793586999099333</v>
      </c>
      <c r="R271">
        <f t="shared" si="57"/>
        <v>-1.8240856079430094</v>
      </c>
      <c r="S271">
        <f t="shared" si="57"/>
        <v>-0.41204280397150472</v>
      </c>
      <c r="T271">
        <f t="shared" si="57"/>
        <v>2.4120428039715049</v>
      </c>
      <c r="U271">
        <f t="shared" si="57"/>
        <v>3.8240856079430094</v>
      </c>
      <c r="V271">
        <v>1.68</v>
      </c>
      <c r="W271" s="69">
        <f t="shared" si="65"/>
        <v>2.9311688311688311</v>
      </c>
      <c r="X271" s="69">
        <f t="shared" si="66"/>
        <v>-1.1724675324675324</v>
      </c>
      <c r="Y271">
        <f t="shared" si="67"/>
        <v>-1.8240856079430094</v>
      </c>
      <c r="Z271">
        <f t="shared" si="68"/>
        <v>3.8240856079430094</v>
      </c>
    </row>
    <row r="272" spans="9:26">
      <c r="I272">
        <f t="shared" si="58"/>
        <v>197.721490063907</v>
      </c>
      <c r="J272">
        <f t="shared" si="59"/>
        <v>230</v>
      </c>
      <c r="K272">
        <f t="shared" si="60"/>
        <v>378</v>
      </c>
      <c r="L272">
        <f t="shared" si="61"/>
        <v>156.47269016040096</v>
      </c>
      <c r="M272">
        <f t="shared" si="62"/>
        <v>108.13895043686934</v>
      </c>
      <c r="N272" s="69">
        <f t="shared" si="63"/>
        <v>91.394094063596299</v>
      </c>
      <c r="O272">
        <v>235</v>
      </c>
      <c r="P272">
        <f t="shared" si="56"/>
        <v>10.492575490139519</v>
      </c>
      <c r="Q272">
        <f t="shared" si="64"/>
        <v>-4.7194386770860923</v>
      </c>
      <c r="R272">
        <f t="shared" si="57"/>
        <v>-1.8361543498572961</v>
      </c>
      <c r="S272">
        <f t="shared" si="57"/>
        <v>-0.41807717492864804</v>
      </c>
      <c r="T272">
        <f t="shared" si="57"/>
        <v>2.4180771749286478</v>
      </c>
      <c r="U272">
        <f t="shared" si="57"/>
        <v>3.8361543498572961</v>
      </c>
      <c r="V272">
        <v>1.7</v>
      </c>
      <c r="W272" s="69">
        <f t="shared" si="65"/>
        <v>2.9311688311688311</v>
      </c>
      <c r="X272" s="69">
        <f t="shared" si="66"/>
        <v>-1.1724675324675324</v>
      </c>
      <c r="Y272">
        <f t="shared" si="67"/>
        <v>-1.8361543498572961</v>
      </c>
      <c r="Z272">
        <f t="shared" si="68"/>
        <v>3.8361543498572961</v>
      </c>
    </row>
    <row r="273" spans="9:26">
      <c r="I273">
        <f t="shared" si="58"/>
        <v>197.721490063907</v>
      </c>
      <c r="J273">
        <f t="shared" si="59"/>
        <v>230</v>
      </c>
      <c r="K273">
        <f t="shared" si="60"/>
        <v>378</v>
      </c>
      <c r="L273">
        <f t="shared" si="61"/>
        <v>156.47269016040096</v>
      </c>
      <c r="M273">
        <f t="shared" si="62"/>
        <v>108.13895043686934</v>
      </c>
      <c r="N273" s="69">
        <f t="shared" si="63"/>
        <v>91.394094063596299</v>
      </c>
      <c r="O273">
        <v>236</v>
      </c>
      <c r="P273">
        <f t="shared" si="56"/>
        <v>10.582064001789238</v>
      </c>
      <c r="Q273">
        <f t="shared" si="64"/>
        <v>-4.7596895710092717</v>
      </c>
      <c r="R273">
        <f t="shared" si="57"/>
        <v>-1.8482230917715818</v>
      </c>
      <c r="S273">
        <f t="shared" si="57"/>
        <v>-0.42411154588579092</v>
      </c>
      <c r="T273">
        <f t="shared" si="57"/>
        <v>2.4241115458857907</v>
      </c>
      <c r="U273">
        <f t="shared" si="57"/>
        <v>3.8482230917715818</v>
      </c>
      <c r="V273">
        <v>1.72</v>
      </c>
      <c r="W273" s="69">
        <f t="shared" si="65"/>
        <v>2.9311688311688311</v>
      </c>
      <c r="X273" s="69">
        <f t="shared" si="66"/>
        <v>-1.1724675324675324</v>
      </c>
      <c r="Y273">
        <f t="shared" si="67"/>
        <v>-1.8482230917715818</v>
      </c>
      <c r="Z273">
        <f t="shared" si="68"/>
        <v>3.8482230917715818</v>
      </c>
    </row>
    <row r="274" spans="9:26">
      <c r="I274">
        <f t="shared" si="58"/>
        <v>197.721490063907</v>
      </c>
      <c r="J274">
        <f t="shared" si="59"/>
        <v>230</v>
      </c>
      <c r="K274">
        <f t="shared" si="60"/>
        <v>378</v>
      </c>
      <c r="L274">
        <f t="shared" si="61"/>
        <v>156.47269016040096</v>
      </c>
      <c r="M274">
        <f t="shared" si="62"/>
        <v>108.13895043686934</v>
      </c>
      <c r="N274" s="69">
        <f t="shared" si="63"/>
        <v>91.394094063596299</v>
      </c>
      <c r="O274">
        <v>237</v>
      </c>
      <c r="P274">
        <f t="shared" si="56"/>
        <v>10.671932507118997</v>
      </c>
      <c r="Q274">
        <f t="shared" si="64"/>
        <v>-4.8001113816794705</v>
      </c>
      <c r="R274">
        <f t="shared" si="57"/>
        <v>-1.8602918336858685</v>
      </c>
      <c r="S274">
        <f t="shared" si="57"/>
        <v>-0.43014591684293424</v>
      </c>
      <c r="T274">
        <f t="shared" si="57"/>
        <v>2.4301459168429345</v>
      </c>
      <c r="U274">
        <f t="shared" si="57"/>
        <v>3.8602918336858685</v>
      </c>
      <c r="V274">
        <v>1.74</v>
      </c>
      <c r="W274" s="69">
        <f t="shared" si="65"/>
        <v>2.9311688311688311</v>
      </c>
      <c r="X274" s="69">
        <f t="shared" si="66"/>
        <v>-1.1724675324675324</v>
      </c>
      <c r="Y274">
        <f t="shared" si="67"/>
        <v>-1.8602918336858685</v>
      </c>
      <c r="Z274">
        <f t="shared" si="68"/>
        <v>3.8602918336858685</v>
      </c>
    </row>
    <row r="275" spans="9:26">
      <c r="I275">
        <f t="shared" si="58"/>
        <v>197.721490063907</v>
      </c>
      <c r="J275">
        <f t="shared" si="59"/>
        <v>230</v>
      </c>
      <c r="K275">
        <f t="shared" si="60"/>
        <v>378</v>
      </c>
      <c r="L275">
        <f t="shared" si="61"/>
        <v>156.47269016040096</v>
      </c>
      <c r="M275">
        <f t="shared" si="62"/>
        <v>108.13895043686934</v>
      </c>
      <c r="N275" s="69">
        <f t="shared" si="63"/>
        <v>91.394094063596299</v>
      </c>
      <c r="O275">
        <v>238</v>
      </c>
      <c r="P275">
        <f t="shared" si="56"/>
        <v>10.762181006128799</v>
      </c>
      <c r="Q275">
        <f t="shared" si="64"/>
        <v>-4.8407041090966887</v>
      </c>
      <c r="R275">
        <f t="shared" si="57"/>
        <v>-1.8723605756001547</v>
      </c>
      <c r="S275">
        <f t="shared" si="57"/>
        <v>-0.43618028780007734</v>
      </c>
      <c r="T275">
        <f t="shared" si="57"/>
        <v>2.4361802878000773</v>
      </c>
      <c r="U275">
        <f t="shared" si="57"/>
        <v>3.8723605756001547</v>
      </c>
      <c r="V275">
        <v>1.76</v>
      </c>
      <c r="W275" s="69">
        <f t="shared" si="65"/>
        <v>2.9311688311688311</v>
      </c>
      <c r="X275" s="69">
        <f t="shared" si="66"/>
        <v>-1.1724675324675324</v>
      </c>
      <c r="Y275">
        <f t="shared" si="67"/>
        <v>-1.8723605756001547</v>
      </c>
      <c r="Z275">
        <f t="shared" si="68"/>
        <v>3.8723605756001547</v>
      </c>
    </row>
    <row r="276" spans="9:26">
      <c r="I276">
        <f t="shared" si="58"/>
        <v>197.721490063907</v>
      </c>
      <c r="J276">
        <f t="shared" si="59"/>
        <v>230</v>
      </c>
      <c r="K276">
        <f t="shared" si="60"/>
        <v>378</v>
      </c>
      <c r="L276">
        <f t="shared" si="61"/>
        <v>156.47269016040096</v>
      </c>
      <c r="M276">
        <f t="shared" si="62"/>
        <v>108.13895043686934</v>
      </c>
      <c r="N276" s="69">
        <f t="shared" si="63"/>
        <v>91.394094063596299</v>
      </c>
      <c r="O276">
        <v>239</v>
      </c>
      <c r="P276">
        <f t="shared" si="56"/>
        <v>10.85280949881864</v>
      </c>
      <c r="Q276">
        <f t="shared" si="64"/>
        <v>-4.8814677532609272</v>
      </c>
      <c r="R276">
        <f t="shared" si="57"/>
        <v>-1.8844293175144413</v>
      </c>
      <c r="S276">
        <f t="shared" si="57"/>
        <v>-0.44221465875722066</v>
      </c>
      <c r="T276">
        <f t="shared" si="57"/>
        <v>2.4422146587572207</v>
      </c>
      <c r="U276">
        <f t="shared" si="57"/>
        <v>3.8844293175144413</v>
      </c>
      <c r="V276">
        <v>1.78</v>
      </c>
      <c r="W276" s="69">
        <f t="shared" si="65"/>
        <v>2.9311688311688311</v>
      </c>
      <c r="X276" s="69">
        <f t="shared" si="66"/>
        <v>-1.1724675324675324</v>
      </c>
      <c r="Y276">
        <f t="shared" si="67"/>
        <v>-1.8844293175144413</v>
      </c>
      <c r="Z276">
        <f t="shared" si="68"/>
        <v>3.8844293175144413</v>
      </c>
    </row>
    <row r="277" spans="9:26">
      <c r="I277">
        <f t="shared" si="58"/>
        <v>197.721490063907</v>
      </c>
      <c r="J277">
        <f t="shared" si="59"/>
        <v>230</v>
      </c>
      <c r="K277">
        <f t="shared" si="60"/>
        <v>378</v>
      </c>
      <c r="L277">
        <f t="shared" si="61"/>
        <v>156.47269016040096</v>
      </c>
      <c r="M277">
        <f t="shared" si="62"/>
        <v>108.13895043686934</v>
      </c>
      <c r="N277" s="69">
        <f t="shared" si="63"/>
        <v>91.394094063596299</v>
      </c>
      <c r="O277">
        <v>240</v>
      </c>
      <c r="P277">
        <f t="shared" si="56"/>
        <v>10.943817985188524</v>
      </c>
      <c r="Q277">
        <f t="shared" si="64"/>
        <v>-4.9224023141721851</v>
      </c>
      <c r="R277">
        <f t="shared" si="57"/>
        <v>-1.896498059428728</v>
      </c>
      <c r="S277">
        <f t="shared" si="57"/>
        <v>-0.44824902971436398</v>
      </c>
      <c r="T277">
        <f t="shared" si="57"/>
        <v>2.448249029714364</v>
      </c>
      <c r="U277">
        <f t="shared" si="57"/>
        <v>3.896498059428728</v>
      </c>
      <c r="V277">
        <v>1.8</v>
      </c>
      <c r="W277" s="69">
        <f t="shared" si="65"/>
        <v>2.9311688311688311</v>
      </c>
      <c r="X277" s="69">
        <f t="shared" si="66"/>
        <v>-1.1724675324675324</v>
      </c>
      <c r="Y277">
        <f t="shared" si="67"/>
        <v>-1.896498059428728</v>
      </c>
      <c r="Z277">
        <f t="shared" si="68"/>
        <v>3.896498059428728</v>
      </c>
    </row>
    <row r="278" spans="9:26">
      <c r="I278">
        <f t="shared" si="58"/>
        <v>197.721490063907</v>
      </c>
      <c r="J278">
        <f t="shared" si="59"/>
        <v>230</v>
      </c>
      <c r="K278">
        <f t="shared" si="60"/>
        <v>378</v>
      </c>
      <c r="L278">
        <f t="shared" si="61"/>
        <v>156.47269016040096</v>
      </c>
      <c r="M278">
        <f t="shared" si="62"/>
        <v>108.13895043686934</v>
      </c>
      <c r="N278" s="69">
        <f t="shared" si="63"/>
        <v>91.394094063596299</v>
      </c>
      <c r="O278">
        <v>241</v>
      </c>
      <c r="P278">
        <f t="shared" si="56"/>
        <v>11.035206465238449</v>
      </c>
      <c r="Q278">
        <f t="shared" si="64"/>
        <v>-4.9635077918304633</v>
      </c>
      <c r="R278">
        <f t="shared" si="57"/>
        <v>-1.9085668013430137</v>
      </c>
      <c r="S278">
        <f t="shared" si="57"/>
        <v>-0.45428340067150685</v>
      </c>
      <c r="T278">
        <f t="shared" si="57"/>
        <v>2.4542834006715069</v>
      </c>
      <c r="U278">
        <f t="shared" si="57"/>
        <v>3.9085668013430137</v>
      </c>
      <c r="V278">
        <v>1.82</v>
      </c>
      <c r="W278" s="69">
        <f t="shared" si="65"/>
        <v>2.9311688311688311</v>
      </c>
      <c r="X278" s="69">
        <f t="shared" si="66"/>
        <v>-1.1724675324675324</v>
      </c>
      <c r="Y278">
        <f t="shared" si="67"/>
        <v>-1.9085668013430137</v>
      </c>
      <c r="Z278">
        <f t="shared" si="68"/>
        <v>3.9085668013430137</v>
      </c>
    </row>
    <row r="279" spans="9:26">
      <c r="I279">
        <f t="shared" si="58"/>
        <v>197.721490063907</v>
      </c>
      <c r="J279">
        <f t="shared" si="59"/>
        <v>230</v>
      </c>
      <c r="K279">
        <f t="shared" si="60"/>
        <v>378</v>
      </c>
      <c r="L279">
        <f t="shared" si="61"/>
        <v>156.47269016040096</v>
      </c>
      <c r="M279">
        <f t="shared" si="62"/>
        <v>108.13895043686934</v>
      </c>
      <c r="N279" s="69">
        <f t="shared" si="63"/>
        <v>91.394094063596299</v>
      </c>
      <c r="O279">
        <v>242</v>
      </c>
      <c r="P279">
        <f t="shared" si="56"/>
        <v>11.126974938968416</v>
      </c>
      <c r="Q279">
        <f t="shared" si="64"/>
        <v>-5.0047841862357618</v>
      </c>
      <c r="R279">
        <f t="shared" si="57"/>
        <v>-1.9206355432573003</v>
      </c>
      <c r="S279">
        <f t="shared" si="57"/>
        <v>-0.46031777162865017</v>
      </c>
      <c r="T279">
        <f t="shared" si="57"/>
        <v>2.4603177716286502</v>
      </c>
      <c r="U279">
        <f t="shared" si="57"/>
        <v>3.9206355432573003</v>
      </c>
      <c r="V279">
        <v>1.84</v>
      </c>
      <c r="W279" s="69">
        <f t="shared" si="65"/>
        <v>2.9311688311688311</v>
      </c>
      <c r="X279" s="69">
        <f t="shared" si="66"/>
        <v>-1.1724675324675324</v>
      </c>
      <c r="Y279">
        <f t="shared" si="67"/>
        <v>-1.9206355432573003</v>
      </c>
      <c r="Z279">
        <f t="shared" si="68"/>
        <v>3.9206355432573003</v>
      </c>
    </row>
    <row r="280" spans="9:26">
      <c r="I280">
        <f t="shared" si="58"/>
        <v>197.721490063907</v>
      </c>
      <c r="J280">
        <f t="shared" si="59"/>
        <v>230</v>
      </c>
      <c r="K280">
        <f t="shared" si="60"/>
        <v>378</v>
      </c>
      <c r="L280">
        <f t="shared" si="61"/>
        <v>156.47269016040096</v>
      </c>
      <c r="M280">
        <f t="shared" si="62"/>
        <v>108.13895043686934</v>
      </c>
      <c r="N280" s="69">
        <f t="shared" si="63"/>
        <v>91.394094063596299</v>
      </c>
      <c r="O280">
        <v>243</v>
      </c>
      <c r="P280">
        <f t="shared" si="56"/>
        <v>11.219123406378422</v>
      </c>
      <c r="Q280">
        <f t="shared" si="64"/>
        <v>-5.0462314973880797</v>
      </c>
      <c r="R280">
        <f t="shared" si="57"/>
        <v>-1.9327042851715865</v>
      </c>
      <c r="S280">
        <f t="shared" si="57"/>
        <v>-0.46635214258579327</v>
      </c>
      <c r="T280">
        <f t="shared" si="57"/>
        <v>2.4663521425857935</v>
      </c>
      <c r="U280">
        <f t="shared" si="57"/>
        <v>3.9327042851715865</v>
      </c>
      <c r="V280">
        <v>1.86</v>
      </c>
      <c r="W280" s="69">
        <f t="shared" si="65"/>
        <v>2.9311688311688311</v>
      </c>
      <c r="X280" s="69">
        <f t="shared" si="66"/>
        <v>-1.1724675324675324</v>
      </c>
      <c r="Y280">
        <f t="shared" si="67"/>
        <v>-1.9327042851715865</v>
      </c>
      <c r="Z280">
        <f t="shared" si="68"/>
        <v>3.9327042851715865</v>
      </c>
    </row>
    <row r="281" spans="9:26">
      <c r="I281">
        <f t="shared" si="58"/>
        <v>197.721490063907</v>
      </c>
      <c r="J281">
        <f t="shared" si="59"/>
        <v>230</v>
      </c>
      <c r="K281">
        <f t="shared" si="60"/>
        <v>378</v>
      </c>
      <c r="L281">
        <f t="shared" si="61"/>
        <v>156.47269016040096</v>
      </c>
      <c r="M281">
        <f t="shared" si="62"/>
        <v>108.13895043686934</v>
      </c>
      <c r="N281" s="69">
        <f t="shared" si="63"/>
        <v>91.394094063596299</v>
      </c>
      <c r="O281">
        <v>244</v>
      </c>
      <c r="P281">
        <f t="shared" si="56"/>
        <v>11.311651867468473</v>
      </c>
      <c r="Q281">
        <f t="shared" si="64"/>
        <v>-5.087849725287418</v>
      </c>
      <c r="R281">
        <f t="shared" si="57"/>
        <v>-1.9447730270858732</v>
      </c>
      <c r="S281">
        <f t="shared" si="57"/>
        <v>-0.47238651354293659</v>
      </c>
      <c r="T281">
        <f t="shared" si="57"/>
        <v>2.4723865135429364</v>
      </c>
      <c r="U281">
        <f t="shared" si="57"/>
        <v>3.9447730270858732</v>
      </c>
      <c r="V281">
        <v>1.88</v>
      </c>
      <c r="W281" s="69">
        <f t="shared" si="65"/>
        <v>2.9311688311688311</v>
      </c>
      <c r="X281" s="69">
        <f t="shared" si="66"/>
        <v>-1.1724675324675324</v>
      </c>
      <c r="Y281">
        <f t="shared" si="67"/>
        <v>-1.9447730270858732</v>
      </c>
      <c r="Z281">
        <f t="shared" si="68"/>
        <v>3.9447730270858732</v>
      </c>
    </row>
    <row r="282" spans="9:26">
      <c r="I282">
        <f t="shared" si="58"/>
        <v>197.721490063907</v>
      </c>
      <c r="J282">
        <f t="shared" si="59"/>
        <v>230</v>
      </c>
      <c r="K282">
        <f t="shared" si="60"/>
        <v>378</v>
      </c>
      <c r="L282">
        <f t="shared" si="61"/>
        <v>156.47269016040096</v>
      </c>
      <c r="M282">
        <f t="shared" si="62"/>
        <v>108.13895043686934</v>
      </c>
      <c r="N282" s="69">
        <f t="shared" si="63"/>
        <v>91.394094063596299</v>
      </c>
      <c r="O282">
        <v>245</v>
      </c>
      <c r="P282">
        <f t="shared" si="56"/>
        <v>11.404560322238561</v>
      </c>
      <c r="Q282">
        <f t="shared" si="64"/>
        <v>-5.1296388699337747</v>
      </c>
      <c r="R282">
        <f t="shared" si="57"/>
        <v>-1.9568417690001598</v>
      </c>
      <c r="S282">
        <f t="shared" si="57"/>
        <v>-0.47842088450007991</v>
      </c>
      <c r="T282">
        <f t="shared" si="57"/>
        <v>2.4784208845000801</v>
      </c>
      <c r="U282">
        <f t="shared" si="57"/>
        <v>3.9568417690001598</v>
      </c>
      <c r="V282">
        <v>1.9</v>
      </c>
      <c r="W282" s="69">
        <f t="shared" si="65"/>
        <v>2.9311688311688311</v>
      </c>
      <c r="X282" s="69">
        <f t="shared" si="66"/>
        <v>-1.1724675324675324</v>
      </c>
      <c r="Y282">
        <f t="shared" si="67"/>
        <v>-1.9568417690001598</v>
      </c>
      <c r="Z282">
        <f t="shared" si="68"/>
        <v>3.9568417690001598</v>
      </c>
    </row>
    <row r="283" spans="9:26">
      <c r="I283">
        <f t="shared" si="58"/>
        <v>197.721490063907</v>
      </c>
      <c r="J283">
        <f t="shared" si="59"/>
        <v>230</v>
      </c>
      <c r="K283">
        <f t="shared" si="60"/>
        <v>378</v>
      </c>
      <c r="L283">
        <f t="shared" si="61"/>
        <v>156.47269016040096</v>
      </c>
      <c r="M283">
        <f t="shared" si="62"/>
        <v>108.13895043686934</v>
      </c>
      <c r="N283" s="69">
        <f t="shared" si="63"/>
        <v>91.394094063596299</v>
      </c>
      <c r="O283">
        <v>246</v>
      </c>
      <c r="P283">
        <f t="shared" si="56"/>
        <v>11.497848770688693</v>
      </c>
      <c r="Q283">
        <f t="shared" si="64"/>
        <v>-5.1715989313271526</v>
      </c>
      <c r="R283">
        <f t="shared" si="57"/>
        <v>-1.9689105109144456</v>
      </c>
      <c r="S283">
        <f t="shared" si="57"/>
        <v>-0.48445525545722279</v>
      </c>
      <c r="T283">
        <f t="shared" si="57"/>
        <v>2.484455255457223</v>
      </c>
      <c r="U283">
        <f t="shared" si="57"/>
        <v>3.9689105109144456</v>
      </c>
      <c r="V283">
        <v>1.92</v>
      </c>
      <c r="W283" s="69">
        <f t="shared" si="65"/>
        <v>2.9311688311688311</v>
      </c>
      <c r="X283" s="69">
        <f t="shared" si="66"/>
        <v>-1.1724675324675324</v>
      </c>
      <c r="Y283">
        <f t="shared" si="67"/>
        <v>-1.9689105109144456</v>
      </c>
      <c r="Z283">
        <f t="shared" si="68"/>
        <v>3.9689105109144456</v>
      </c>
    </row>
    <row r="284" spans="9:26">
      <c r="I284">
        <f t="shared" si="58"/>
        <v>197.721490063907</v>
      </c>
      <c r="J284">
        <f t="shared" si="59"/>
        <v>230</v>
      </c>
      <c r="K284">
        <f t="shared" si="60"/>
        <v>378</v>
      </c>
      <c r="L284">
        <f t="shared" si="61"/>
        <v>156.47269016040096</v>
      </c>
      <c r="M284">
        <f t="shared" si="62"/>
        <v>108.13895043686934</v>
      </c>
      <c r="N284" s="69">
        <f t="shared" si="63"/>
        <v>91.394094063596299</v>
      </c>
      <c r="O284">
        <v>247</v>
      </c>
      <c r="P284">
        <f t="shared" si="56"/>
        <v>11.591517212818866</v>
      </c>
      <c r="Q284">
        <f t="shared" si="64"/>
        <v>-5.21372990946755</v>
      </c>
      <c r="R284">
        <f t="shared" si="57"/>
        <v>-1.9809792528287322</v>
      </c>
      <c r="S284">
        <f t="shared" si="57"/>
        <v>-0.49048962641436611</v>
      </c>
      <c r="T284">
        <f t="shared" si="57"/>
        <v>2.4904896264143659</v>
      </c>
      <c r="U284">
        <f t="shared" si="57"/>
        <v>3.9809792528287322</v>
      </c>
      <c r="V284">
        <v>1.94</v>
      </c>
      <c r="W284" s="69">
        <f t="shared" si="65"/>
        <v>2.9311688311688311</v>
      </c>
      <c r="X284" s="69">
        <f t="shared" si="66"/>
        <v>-1.1724675324675324</v>
      </c>
      <c r="Y284">
        <f t="shared" si="67"/>
        <v>-1.9809792528287322</v>
      </c>
      <c r="Z284">
        <f t="shared" si="68"/>
        <v>3.9809792528287322</v>
      </c>
    </row>
    <row r="285" spans="9:26">
      <c r="I285">
        <f t="shared" si="58"/>
        <v>197.721490063907</v>
      </c>
      <c r="J285">
        <f t="shared" si="59"/>
        <v>230</v>
      </c>
      <c r="K285">
        <f t="shared" si="60"/>
        <v>378</v>
      </c>
      <c r="L285">
        <f t="shared" si="61"/>
        <v>156.47269016040096</v>
      </c>
      <c r="M285">
        <f t="shared" si="62"/>
        <v>108.13895043686934</v>
      </c>
      <c r="N285" s="69">
        <f t="shared" si="63"/>
        <v>91.394094063596299</v>
      </c>
      <c r="O285">
        <v>248</v>
      </c>
      <c r="P285">
        <f t="shared" si="56"/>
        <v>11.68556564862908</v>
      </c>
      <c r="Q285">
        <f t="shared" si="64"/>
        <v>-5.2560318043549676</v>
      </c>
      <c r="R285">
        <f t="shared" si="57"/>
        <v>-1.993047994743018</v>
      </c>
      <c r="S285">
        <f t="shared" si="57"/>
        <v>-0.49652399737150898</v>
      </c>
      <c r="T285">
        <f t="shared" si="57"/>
        <v>2.4965239973715088</v>
      </c>
      <c r="U285">
        <f t="shared" si="57"/>
        <v>3.993047994743018</v>
      </c>
      <c r="V285">
        <v>1.96</v>
      </c>
      <c r="W285" s="69">
        <f t="shared" si="65"/>
        <v>2.9311688311688311</v>
      </c>
      <c r="X285" s="69">
        <f t="shared" si="66"/>
        <v>-1.1724675324675324</v>
      </c>
      <c r="Y285">
        <f t="shared" si="67"/>
        <v>-1.993047994743018</v>
      </c>
      <c r="Z285">
        <f t="shared" si="68"/>
        <v>3.993047994743018</v>
      </c>
    </row>
    <row r="286" spans="9:26">
      <c r="I286">
        <f t="shared" si="58"/>
        <v>197.721490063907</v>
      </c>
      <c r="J286">
        <f t="shared" si="59"/>
        <v>230</v>
      </c>
      <c r="K286">
        <f t="shared" si="60"/>
        <v>378</v>
      </c>
      <c r="L286">
        <f t="shared" si="61"/>
        <v>156.47269016040096</v>
      </c>
      <c r="M286">
        <f t="shared" si="62"/>
        <v>108.13895043686934</v>
      </c>
      <c r="N286" s="69">
        <f t="shared" si="63"/>
        <v>91.394094063596299</v>
      </c>
      <c r="O286">
        <v>249</v>
      </c>
      <c r="P286">
        <f t="shared" si="56"/>
        <v>11.779994078119335</v>
      </c>
      <c r="Q286">
        <f t="shared" si="64"/>
        <v>-5.2985046159894047</v>
      </c>
      <c r="R286">
        <f t="shared" si="57"/>
        <v>-2.0051167366573046</v>
      </c>
      <c r="S286">
        <f t="shared" si="57"/>
        <v>-0.50255836832865231</v>
      </c>
      <c r="T286">
        <f t="shared" si="57"/>
        <v>2.5025583683286525</v>
      </c>
      <c r="U286">
        <f t="shared" si="57"/>
        <v>4.0051167366573051</v>
      </c>
      <c r="V286">
        <v>1.98</v>
      </c>
      <c r="W286" s="69">
        <f t="shared" si="65"/>
        <v>2.9311688311688311</v>
      </c>
      <c r="X286" s="69">
        <f t="shared" si="66"/>
        <v>-1.1724675324675324</v>
      </c>
      <c r="Y286">
        <f t="shared" si="67"/>
        <v>-2.0051167366573046</v>
      </c>
      <c r="Z286">
        <f t="shared" si="68"/>
        <v>4.0051167366573051</v>
      </c>
    </row>
    <row r="287" spans="9:26">
      <c r="I287">
        <f t="shared" si="58"/>
        <v>197.721490063907</v>
      </c>
      <c r="J287">
        <f t="shared" si="59"/>
        <v>230</v>
      </c>
      <c r="K287">
        <f t="shared" si="60"/>
        <v>378</v>
      </c>
      <c r="L287">
        <f t="shared" si="61"/>
        <v>156.47269016040096</v>
      </c>
      <c r="M287">
        <f t="shared" si="62"/>
        <v>108.13895043686934</v>
      </c>
      <c r="N287" s="69">
        <f t="shared" si="63"/>
        <v>91.394094063596299</v>
      </c>
      <c r="O287">
        <v>250</v>
      </c>
      <c r="P287">
        <f t="shared" si="56"/>
        <v>11.874802501289633</v>
      </c>
      <c r="Q287">
        <f t="shared" si="64"/>
        <v>-5.3411483443708603</v>
      </c>
      <c r="R287" s="19">
        <f t="shared" si="57"/>
        <v>-2.0171854785715908</v>
      </c>
      <c r="S287">
        <f t="shared" si="57"/>
        <v>-0.5085927392857954</v>
      </c>
      <c r="T287">
        <f t="shared" si="57"/>
        <v>2.5085927392857954</v>
      </c>
      <c r="U287" s="19">
        <f t="shared" si="57"/>
        <v>4.0171854785715908</v>
      </c>
      <c r="V287">
        <v>2</v>
      </c>
      <c r="W287" s="69">
        <f t="shared" si="65"/>
        <v>2.9311688311688311</v>
      </c>
      <c r="X287" s="69">
        <f t="shared" si="66"/>
        <v>-1.1724675324675324</v>
      </c>
      <c r="Y287">
        <f t="shared" si="67"/>
        <v>-2.0171854785715908</v>
      </c>
      <c r="Z287">
        <f t="shared" si="68"/>
        <v>4.0171854785715908</v>
      </c>
    </row>
    <row r="288" spans="9:26">
      <c r="I288">
        <f t="shared" si="58"/>
        <v>197.721490063907</v>
      </c>
      <c r="J288">
        <f t="shared" si="59"/>
        <v>230</v>
      </c>
      <c r="K288">
        <f t="shared" si="60"/>
        <v>378</v>
      </c>
      <c r="L288">
        <f t="shared" si="61"/>
        <v>156.47269016040096</v>
      </c>
      <c r="M288">
        <f t="shared" si="62"/>
        <v>108.13895043686934</v>
      </c>
      <c r="N288" s="69">
        <f t="shared" si="63"/>
        <v>91.394094063596299</v>
      </c>
      <c r="O288">
        <v>251</v>
      </c>
      <c r="P288">
        <f t="shared" si="56"/>
        <v>11.96999091813997</v>
      </c>
      <c r="Q288">
        <f t="shared" si="64"/>
        <v>-5.3839629894993379</v>
      </c>
      <c r="R288">
        <f t="shared" si="57"/>
        <v>-2.0292542204858774</v>
      </c>
      <c r="S288">
        <f t="shared" si="57"/>
        <v>-0.51462711024293872</v>
      </c>
      <c r="T288">
        <f t="shared" si="57"/>
        <v>2.5146271102429387</v>
      </c>
      <c r="U288">
        <f t="shared" si="57"/>
        <v>4.0292542204858774</v>
      </c>
      <c r="V288">
        <v>2.02</v>
      </c>
      <c r="W288" s="69">
        <f t="shared" si="65"/>
        <v>2.9311688311688311</v>
      </c>
      <c r="X288" s="69">
        <f t="shared" si="66"/>
        <v>-1.1724675324675324</v>
      </c>
      <c r="Y288">
        <f t="shared" si="67"/>
        <v>-2.0292542204858774</v>
      </c>
      <c r="Z288">
        <f t="shared" si="68"/>
        <v>4.0292542204858774</v>
      </c>
    </row>
    <row r="289" spans="9:26">
      <c r="I289">
        <f t="shared" si="58"/>
        <v>197.721490063907</v>
      </c>
      <c r="J289">
        <f t="shared" si="59"/>
        <v>230</v>
      </c>
      <c r="K289">
        <f t="shared" si="60"/>
        <v>378</v>
      </c>
      <c r="L289">
        <f t="shared" si="61"/>
        <v>156.47269016040096</v>
      </c>
      <c r="M289">
        <f t="shared" si="62"/>
        <v>108.13895043686934</v>
      </c>
      <c r="N289" s="69">
        <f t="shared" si="63"/>
        <v>91.394094063596299</v>
      </c>
      <c r="O289">
        <v>252</v>
      </c>
      <c r="P289">
        <f t="shared" si="56"/>
        <v>12.065559328670348</v>
      </c>
      <c r="Q289">
        <f t="shared" si="64"/>
        <v>-5.4269485513748341</v>
      </c>
      <c r="R289">
        <f t="shared" si="57"/>
        <v>-2.0413229624001641</v>
      </c>
      <c r="S289">
        <f t="shared" si="57"/>
        <v>-0.52066148120008204</v>
      </c>
      <c r="T289">
        <f t="shared" si="57"/>
        <v>2.520661481200082</v>
      </c>
      <c r="U289">
        <f t="shared" si="57"/>
        <v>4.0413229624001641</v>
      </c>
      <c r="V289">
        <v>2.04</v>
      </c>
      <c r="W289" s="69">
        <f t="shared" si="65"/>
        <v>2.9311688311688311</v>
      </c>
      <c r="X289" s="69">
        <f t="shared" si="66"/>
        <v>-1.1724675324675324</v>
      </c>
      <c r="Y289">
        <f t="shared" si="67"/>
        <v>-2.0413229624001641</v>
      </c>
      <c r="Z289">
        <f t="shared" si="68"/>
        <v>4.0413229624001641</v>
      </c>
    </row>
    <row r="290" spans="9:26">
      <c r="I290">
        <f t="shared" si="58"/>
        <v>197.721490063907</v>
      </c>
      <c r="J290">
        <f t="shared" si="59"/>
        <v>230</v>
      </c>
      <c r="K290">
        <f t="shared" si="60"/>
        <v>378</v>
      </c>
      <c r="L290">
        <f t="shared" si="61"/>
        <v>156.47269016040096</v>
      </c>
      <c r="M290">
        <f t="shared" si="62"/>
        <v>108.13895043686934</v>
      </c>
      <c r="N290" s="69">
        <f t="shared" si="63"/>
        <v>91.394094063596299</v>
      </c>
      <c r="O290">
        <v>253</v>
      </c>
      <c r="P290">
        <f t="shared" si="56"/>
        <v>12.16150773288077</v>
      </c>
      <c r="Q290">
        <f t="shared" si="64"/>
        <v>-5.4701050299973515</v>
      </c>
      <c r="R290">
        <f t="shared" si="57"/>
        <v>-2.0533917043144498</v>
      </c>
      <c r="S290">
        <f t="shared" si="57"/>
        <v>-0.52669585215722492</v>
      </c>
      <c r="T290">
        <f t="shared" si="57"/>
        <v>2.5266958521572249</v>
      </c>
      <c r="U290">
        <f t="shared" si="57"/>
        <v>4.0533917043144498</v>
      </c>
      <c r="V290">
        <v>2.06</v>
      </c>
      <c r="W290" s="69">
        <f t="shared" si="65"/>
        <v>2.9311688311688311</v>
      </c>
      <c r="X290" s="69">
        <f t="shared" si="66"/>
        <v>-1.1724675324675324</v>
      </c>
      <c r="Y290">
        <f t="shared" si="67"/>
        <v>-2.0533917043144498</v>
      </c>
      <c r="Z290">
        <f t="shared" si="68"/>
        <v>4.0533917043144498</v>
      </c>
    </row>
    <row r="291" spans="9:26">
      <c r="I291">
        <f t="shared" si="58"/>
        <v>197.721490063907</v>
      </c>
      <c r="J291">
        <f t="shared" si="59"/>
        <v>230</v>
      </c>
      <c r="K291">
        <f t="shared" si="60"/>
        <v>378</v>
      </c>
      <c r="L291">
        <f t="shared" si="61"/>
        <v>156.47269016040096</v>
      </c>
      <c r="M291">
        <f t="shared" si="62"/>
        <v>108.13895043686934</v>
      </c>
      <c r="N291" s="69">
        <f t="shared" si="63"/>
        <v>91.394094063596299</v>
      </c>
      <c r="O291">
        <v>254</v>
      </c>
      <c r="P291">
        <f t="shared" si="56"/>
        <v>12.257836130771231</v>
      </c>
      <c r="Q291">
        <f t="shared" si="64"/>
        <v>-5.5134324253668874</v>
      </c>
      <c r="R291">
        <f t="shared" si="57"/>
        <v>-2.0654604462287365</v>
      </c>
      <c r="S291">
        <f t="shared" si="57"/>
        <v>-0.53273022311436824</v>
      </c>
      <c r="T291">
        <f t="shared" si="57"/>
        <v>2.5327302231143682</v>
      </c>
      <c r="U291">
        <f t="shared" si="57"/>
        <v>4.0654604462287365</v>
      </c>
      <c r="V291">
        <v>2.08</v>
      </c>
      <c r="W291" s="69">
        <f t="shared" si="65"/>
        <v>2.9311688311688311</v>
      </c>
      <c r="X291" s="69">
        <f t="shared" si="66"/>
        <v>-1.1724675324675324</v>
      </c>
      <c r="Y291">
        <f t="shared" si="67"/>
        <v>-2.0654604462287365</v>
      </c>
      <c r="Z291">
        <f t="shared" si="68"/>
        <v>4.0654604462287365</v>
      </c>
    </row>
    <row r="292" spans="9:26">
      <c r="I292">
        <f t="shared" si="58"/>
        <v>197.721490063907</v>
      </c>
      <c r="J292">
        <f t="shared" si="59"/>
        <v>230</v>
      </c>
      <c r="K292">
        <f t="shared" si="60"/>
        <v>378</v>
      </c>
      <c r="L292">
        <f t="shared" si="61"/>
        <v>156.47269016040096</v>
      </c>
      <c r="M292">
        <f t="shared" si="62"/>
        <v>108.13895043686934</v>
      </c>
      <c r="N292" s="69">
        <f t="shared" si="63"/>
        <v>91.394094063596299</v>
      </c>
      <c r="O292">
        <v>255</v>
      </c>
      <c r="P292">
        <f t="shared" si="56"/>
        <v>12.354544522341733</v>
      </c>
      <c r="Q292">
        <f t="shared" si="64"/>
        <v>-5.5569307374834436</v>
      </c>
      <c r="R292">
        <f t="shared" si="57"/>
        <v>-2.0775291881430227</v>
      </c>
      <c r="S292">
        <f t="shared" si="57"/>
        <v>-0.53876459407151134</v>
      </c>
      <c r="T292">
        <f t="shared" si="57"/>
        <v>2.5387645940715116</v>
      </c>
      <c r="U292">
        <f t="shared" ref="U292:U355" si="69">1+(($D$37*G$33*$O292*$D$17)/(498*($D$6/$D$4)))</f>
        <v>4.0775291881430231</v>
      </c>
      <c r="V292">
        <v>2.1</v>
      </c>
      <c r="W292" s="69">
        <f t="shared" si="65"/>
        <v>2.9311688311688311</v>
      </c>
      <c r="X292" s="69">
        <f t="shared" si="66"/>
        <v>-1.1724675324675324</v>
      </c>
      <c r="Y292">
        <f t="shared" si="67"/>
        <v>-2.0775291881430227</v>
      </c>
      <c r="Z292">
        <f t="shared" si="68"/>
        <v>4.0775291881430231</v>
      </c>
    </row>
    <row r="293" spans="9:26">
      <c r="I293">
        <f t="shared" si="58"/>
        <v>197.721490063907</v>
      </c>
      <c r="J293">
        <f t="shared" si="59"/>
        <v>230</v>
      </c>
      <c r="K293">
        <f t="shared" si="60"/>
        <v>378</v>
      </c>
      <c r="L293">
        <f t="shared" si="61"/>
        <v>156.47269016040096</v>
      </c>
      <c r="M293">
        <f t="shared" si="62"/>
        <v>108.13895043686934</v>
      </c>
      <c r="N293" s="69">
        <f t="shared" si="63"/>
        <v>91.394094063596299</v>
      </c>
      <c r="O293">
        <v>256</v>
      </c>
      <c r="P293">
        <f t="shared" ref="P293:P356" si="70">0.003388*(O293^2*$D$4*$D$12)/$D$6</f>
        <v>12.451632907592279</v>
      </c>
      <c r="Q293">
        <f t="shared" si="64"/>
        <v>-5.6005999663470201</v>
      </c>
      <c r="R293">
        <f t="shared" ref="R293:U356" si="71">1+(($D$37*D$33*$O293*$D$17)/(498*($D$6/$D$4)))</f>
        <v>-2.0895979300573093</v>
      </c>
      <c r="S293">
        <f t="shared" si="71"/>
        <v>-0.54479896502865466</v>
      </c>
      <c r="T293">
        <f t="shared" si="71"/>
        <v>2.5447989650286544</v>
      </c>
      <c r="U293">
        <f t="shared" si="69"/>
        <v>4.0895979300573089</v>
      </c>
      <c r="V293">
        <v>2.12</v>
      </c>
      <c r="W293" s="69">
        <f t="shared" si="65"/>
        <v>2.9311688311688311</v>
      </c>
      <c r="X293" s="69">
        <f t="shared" si="66"/>
        <v>-1.1724675324675324</v>
      </c>
      <c r="Y293">
        <f t="shared" si="67"/>
        <v>-2.0895979300573093</v>
      </c>
      <c r="Z293">
        <f t="shared" si="68"/>
        <v>4.0895979300573089</v>
      </c>
    </row>
    <row r="294" spans="9:26">
      <c r="I294">
        <f t="shared" ref="I294:I357" si="72">$D$31</f>
        <v>197.721490063907</v>
      </c>
      <c r="J294">
        <f t="shared" ref="J294:J357" si="73">$D$29</f>
        <v>230</v>
      </c>
      <c r="K294">
        <f t="shared" ref="K294:K357" si="74">$D$30</f>
        <v>378</v>
      </c>
      <c r="L294">
        <f t="shared" ref="L294:L357" si="75">$D$24</f>
        <v>156.47269016040096</v>
      </c>
      <c r="M294">
        <f t="shared" ref="M294:M357" si="76">$D$15</f>
        <v>108.13895043686934</v>
      </c>
      <c r="N294" s="69">
        <f t="shared" ref="N294:N357" si="77">$D$14</f>
        <v>91.394094063596299</v>
      </c>
      <c r="O294">
        <v>257</v>
      </c>
      <c r="P294">
        <f t="shared" si="70"/>
        <v>12.549101286522863</v>
      </c>
      <c r="Q294">
        <f t="shared" ref="Q294:Q357" si="78">-0.003388*(O294^2*$D$4*ABS($D$13)/$D$6)</f>
        <v>-5.644440111957616</v>
      </c>
      <c r="R294">
        <f t="shared" si="71"/>
        <v>-2.101666671971596</v>
      </c>
      <c r="S294">
        <f t="shared" si="71"/>
        <v>-0.55083333598579798</v>
      </c>
      <c r="T294">
        <f t="shared" si="71"/>
        <v>2.5508333359857982</v>
      </c>
      <c r="U294">
        <f t="shared" si="69"/>
        <v>4.1016666719715964</v>
      </c>
      <c r="V294">
        <v>2.14</v>
      </c>
      <c r="W294" s="69">
        <f t="shared" ref="W294:W357" si="79">$D$20</f>
        <v>2.9311688311688311</v>
      </c>
      <c r="X294" s="69">
        <f t="shared" ref="X294:X357" si="80">$D$21</f>
        <v>-1.1724675324675324</v>
      </c>
      <c r="Y294">
        <f t="shared" ref="Y294:Y357" si="81">1+(($D$37*D$33*$O294*$D$17)/(498*($D$6/$D$4)))</f>
        <v>-2.101666671971596</v>
      </c>
      <c r="Z294">
        <f t="shared" ref="Z294:Z357" si="82">1+(($D$37*G$33*$O294*$D$17)/(498*($D$6/$D$4)))</f>
        <v>4.1016666719715964</v>
      </c>
    </row>
    <row r="295" spans="9:26">
      <c r="I295">
        <f t="shared" si="72"/>
        <v>197.721490063907</v>
      </c>
      <c r="J295">
        <f t="shared" si="73"/>
        <v>230</v>
      </c>
      <c r="K295">
        <f t="shared" si="74"/>
        <v>378</v>
      </c>
      <c r="L295">
        <f t="shared" si="75"/>
        <v>156.47269016040096</v>
      </c>
      <c r="M295">
        <f t="shared" si="76"/>
        <v>108.13895043686934</v>
      </c>
      <c r="N295" s="69">
        <f t="shared" si="77"/>
        <v>91.394094063596299</v>
      </c>
      <c r="O295">
        <v>258</v>
      </c>
      <c r="P295">
        <f t="shared" si="70"/>
        <v>12.646949659133488</v>
      </c>
      <c r="Q295">
        <f t="shared" si="78"/>
        <v>-5.6884511743152322</v>
      </c>
      <c r="R295">
        <f t="shared" si="71"/>
        <v>-2.1137354138858817</v>
      </c>
      <c r="S295">
        <f t="shared" si="71"/>
        <v>-0.55686770694294085</v>
      </c>
      <c r="T295">
        <f t="shared" si="71"/>
        <v>2.5568677069429411</v>
      </c>
      <c r="U295">
        <f t="shared" si="69"/>
        <v>4.1137354138858822</v>
      </c>
      <c r="V295">
        <v>2.16</v>
      </c>
      <c r="W295" s="69">
        <f t="shared" si="79"/>
        <v>2.9311688311688311</v>
      </c>
      <c r="X295" s="69">
        <f t="shared" si="80"/>
        <v>-1.1724675324675324</v>
      </c>
      <c r="Y295">
        <f t="shared" si="81"/>
        <v>-2.1137354138858817</v>
      </c>
      <c r="Z295">
        <f t="shared" si="82"/>
        <v>4.1137354138858822</v>
      </c>
    </row>
    <row r="296" spans="9:26">
      <c r="I296">
        <f t="shared" si="72"/>
        <v>197.721490063907</v>
      </c>
      <c r="J296">
        <f t="shared" si="73"/>
        <v>230</v>
      </c>
      <c r="K296">
        <f t="shared" si="74"/>
        <v>378</v>
      </c>
      <c r="L296">
        <f t="shared" si="75"/>
        <v>156.47269016040096</v>
      </c>
      <c r="M296">
        <f t="shared" si="76"/>
        <v>108.13895043686934</v>
      </c>
      <c r="N296" s="69">
        <f t="shared" si="77"/>
        <v>91.394094063596299</v>
      </c>
      <c r="O296">
        <v>259</v>
      </c>
      <c r="P296">
        <f t="shared" si="70"/>
        <v>12.745178025424154</v>
      </c>
      <c r="Q296">
        <f t="shared" si="78"/>
        <v>-5.7326331534198678</v>
      </c>
      <c r="R296">
        <f t="shared" si="71"/>
        <v>-2.1258041558001683</v>
      </c>
      <c r="S296">
        <f t="shared" si="71"/>
        <v>-0.56290207790008417</v>
      </c>
      <c r="T296">
        <f t="shared" si="71"/>
        <v>2.562902077900084</v>
      </c>
      <c r="U296">
        <f t="shared" si="69"/>
        <v>4.1258041558001679</v>
      </c>
      <c r="V296">
        <v>2.1800000000000099</v>
      </c>
      <c r="W296" s="69">
        <f t="shared" si="79"/>
        <v>2.9311688311688311</v>
      </c>
      <c r="X296" s="69">
        <f t="shared" si="80"/>
        <v>-1.1724675324675324</v>
      </c>
      <c r="Y296">
        <f t="shared" si="81"/>
        <v>-2.1258041558001683</v>
      </c>
      <c r="Z296">
        <f t="shared" si="82"/>
        <v>4.1258041558001679</v>
      </c>
    </row>
    <row r="297" spans="9:26">
      <c r="I297">
        <f t="shared" si="72"/>
        <v>197.721490063907</v>
      </c>
      <c r="J297">
        <f t="shared" si="73"/>
        <v>230</v>
      </c>
      <c r="K297">
        <f t="shared" si="74"/>
        <v>378</v>
      </c>
      <c r="L297">
        <f t="shared" si="75"/>
        <v>156.47269016040096</v>
      </c>
      <c r="M297">
        <f t="shared" si="76"/>
        <v>108.13895043686934</v>
      </c>
      <c r="N297" s="69">
        <f t="shared" si="77"/>
        <v>91.394094063596299</v>
      </c>
      <c r="O297">
        <v>260</v>
      </c>
      <c r="P297">
        <f t="shared" si="70"/>
        <v>12.843786385394866</v>
      </c>
      <c r="Q297">
        <f t="shared" si="78"/>
        <v>-5.7769860492715228</v>
      </c>
      <c r="R297">
        <f t="shared" si="71"/>
        <v>-2.1378728977144545</v>
      </c>
      <c r="S297">
        <f t="shared" si="71"/>
        <v>-0.56893644885722727</v>
      </c>
      <c r="T297">
        <f t="shared" si="71"/>
        <v>2.5689364488572273</v>
      </c>
      <c r="U297">
        <f t="shared" si="69"/>
        <v>4.1378728977144545</v>
      </c>
      <c r="V297">
        <v>2.2000000000000002</v>
      </c>
      <c r="W297" s="69">
        <f t="shared" si="79"/>
        <v>2.9311688311688311</v>
      </c>
      <c r="X297" s="69">
        <f t="shared" si="80"/>
        <v>-1.1724675324675324</v>
      </c>
      <c r="Y297">
        <f t="shared" si="81"/>
        <v>-2.1378728977144545</v>
      </c>
      <c r="Z297">
        <f t="shared" si="82"/>
        <v>4.1378728977144545</v>
      </c>
    </row>
    <row r="298" spans="9:26">
      <c r="I298">
        <f t="shared" si="72"/>
        <v>197.721490063907</v>
      </c>
      <c r="J298">
        <f t="shared" si="73"/>
        <v>230</v>
      </c>
      <c r="K298">
        <f t="shared" si="74"/>
        <v>378</v>
      </c>
      <c r="L298">
        <f t="shared" si="75"/>
        <v>156.47269016040096</v>
      </c>
      <c r="M298">
        <f t="shared" si="76"/>
        <v>108.13895043686934</v>
      </c>
      <c r="N298" s="69">
        <f t="shared" si="77"/>
        <v>91.394094063596299</v>
      </c>
      <c r="O298">
        <v>261</v>
      </c>
      <c r="P298">
        <f t="shared" si="70"/>
        <v>12.942774739045616</v>
      </c>
      <c r="Q298">
        <f t="shared" si="78"/>
        <v>-5.821509861870199</v>
      </c>
      <c r="R298">
        <f t="shared" si="71"/>
        <v>-2.1499416396287412</v>
      </c>
      <c r="S298">
        <f t="shared" si="71"/>
        <v>-0.57497081981437059</v>
      </c>
      <c r="T298">
        <f t="shared" si="71"/>
        <v>2.5749708198143706</v>
      </c>
      <c r="U298">
        <f t="shared" si="69"/>
        <v>4.1499416396287412</v>
      </c>
      <c r="V298">
        <v>2.2200000000000002</v>
      </c>
      <c r="W298" s="69">
        <f t="shared" si="79"/>
        <v>2.9311688311688311</v>
      </c>
      <c r="X298" s="69">
        <f t="shared" si="80"/>
        <v>-1.1724675324675324</v>
      </c>
      <c r="Y298">
        <f t="shared" si="81"/>
        <v>-2.1499416396287412</v>
      </c>
      <c r="Z298">
        <f t="shared" si="82"/>
        <v>4.1499416396287412</v>
      </c>
    </row>
    <row r="299" spans="9:26">
      <c r="I299">
        <f t="shared" si="72"/>
        <v>197.721490063907</v>
      </c>
      <c r="J299">
        <f t="shared" si="73"/>
        <v>230</v>
      </c>
      <c r="K299">
        <f t="shared" si="74"/>
        <v>378</v>
      </c>
      <c r="L299">
        <f t="shared" si="75"/>
        <v>156.47269016040096</v>
      </c>
      <c r="M299">
        <f t="shared" si="76"/>
        <v>108.13895043686934</v>
      </c>
      <c r="N299" s="69">
        <f t="shared" si="77"/>
        <v>91.394094063596299</v>
      </c>
      <c r="O299">
        <v>262</v>
      </c>
      <c r="P299">
        <f t="shared" si="70"/>
        <v>13.042143086376409</v>
      </c>
      <c r="Q299">
        <f t="shared" si="78"/>
        <v>-5.8662045912158938</v>
      </c>
      <c r="R299">
        <f t="shared" si="71"/>
        <v>-2.1620103815430278</v>
      </c>
      <c r="S299">
        <f t="shared" si="71"/>
        <v>-0.58100519077151391</v>
      </c>
      <c r="T299">
        <f t="shared" si="71"/>
        <v>2.5810051907715139</v>
      </c>
      <c r="U299">
        <f t="shared" si="69"/>
        <v>4.1620103815430278</v>
      </c>
      <c r="V299">
        <v>2.2400000000000002</v>
      </c>
      <c r="W299" s="69">
        <f t="shared" si="79"/>
        <v>2.9311688311688311</v>
      </c>
      <c r="X299" s="69">
        <f t="shared" si="80"/>
        <v>-1.1724675324675324</v>
      </c>
      <c r="Y299">
        <f t="shared" si="81"/>
        <v>-2.1620103815430278</v>
      </c>
      <c r="Z299">
        <f t="shared" si="82"/>
        <v>4.1620103815430278</v>
      </c>
    </row>
    <row r="300" spans="9:26">
      <c r="I300">
        <f t="shared" si="72"/>
        <v>197.721490063907</v>
      </c>
      <c r="J300">
        <f t="shared" si="73"/>
        <v>230</v>
      </c>
      <c r="K300">
        <f t="shared" si="74"/>
        <v>378</v>
      </c>
      <c r="L300">
        <f t="shared" si="75"/>
        <v>156.47269016040096</v>
      </c>
      <c r="M300">
        <f t="shared" si="76"/>
        <v>108.13895043686934</v>
      </c>
      <c r="N300" s="69">
        <f t="shared" si="77"/>
        <v>91.394094063596299</v>
      </c>
      <c r="O300">
        <v>263</v>
      </c>
      <c r="P300">
        <f t="shared" si="70"/>
        <v>13.141891427387241</v>
      </c>
      <c r="Q300">
        <f t="shared" si="78"/>
        <v>-5.9110702373086097</v>
      </c>
      <c r="R300">
        <f t="shared" si="71"/>
        <v>-2.1740791234573136</v>
      </c>
      <c r="S300">
        <f t="shared" si="71"/>
        <v>-0.58703956172865679</v>
      </c>
      <c r="T300">
        <f t="shared" si="71"/>
        <v>2.5870395617286568</v>
      </c>
      <c r="U300">
        <f t="shared" si="69"/>
        <v>4.1740791234573136</v>
      </c>
      <c r="V300">
        <v>2.26000000000001</v>
      </c>
      <c r="W300" s="69">
        <f t="shared" si="79"/>
        <v>2.9311688311688311</v>
      </c>
      <c r="X300" s="69">
        <f t="shared" si="80"/>
        <v>-1.1724675324675324</v>
      </c>
      <c r="Y300">
        <f t="shared" si="81"/>
        <v>-2.1740791234573136</v>
      </c>
      <c r="Z300">
        <f t="shared" si="82"/>
        <v>4.1740791234573136</v>
      </c>
    </row>
    <row r="301" spans="9:26">
      <c r="I301">
        <f t="shared" si="72"/>
        <v>197.721490063907</v>
      </c>
      <c r="J301">
        <f t="shared" si="73"/>
        <v>230</v>
      </c>
      <c r="K301">
        <f t="shared" si="74"/>
        <v>378</v>
      </c>
      <c r="L301">
        <f t="shared" si="75"/>
        <v>156.47269016040096</v>
      </c>
      <c r="M301">
        <f t="shared" si="76"/>
        <v>108.13895043686934</v>
      </c>
      <c r="N301" s="69">
        <f t="shared" si="77"/>
        <v>91.394094063596299</v>
      </c>
      <c r="O301">
        <v>264</v>
      </c>
      <c r="P301">
        <f t="shared" si="70"/>
        <v>13.242019762078115</v>
      </c>
      <c r="Q301">
        <f t="shared" si="78"/>
        <v>-5.956106800148345</v>
      </c>
      <c r="R301">
        <f t="shared" si="71"/>
        <v>-2.1861478653716002</v>
      </c>
      <c r="S301">
        <f t="shared" si="71"/>
        <v>-0.59307393268580011</v>
      </c>
      <c r="T301">
        <f t="shared" si="71"/>
        <v>2.5930739326858001</v>
      </c>
      <c r="U301">
        <f t="shared" si="69"/>
        <v>4.1861478653716002</v>
      </c>
      <c r="V301">
        <v>2.2799999999999998</v>
      </c>
      <c r="W301" s="69">
        <f t="shared" si="79"/>
        <v>2.9311688311688311</v>
      </c>
      <c r="X301" s="69">
        <f t="shared" si="80"/>
        <v>-1.1724675324675324</v>
      </c>
      <c r="Y301">
        <f t="shared" si="81"/>
        <v>-2.1861478653716002</v>
      </c>
      <c r="Z301">
        <f t="shared" si="82"/>
        <v>4.1861478653716002</v>
      </c>
    </row>
    <row r="302" spans="9:26">
      <c r="I302">
        <f t="shared" si="72"/>
        <v>197.721490063907</v>
      </c>
      <c r="J302">
        <f t="shared" si="73"/>
        <v>230</v>
      </c>
      <c r="K302">
        <f t="shared" si="74"/>
        <v>378</v>
      </c>
      <c r="L302">
        <f t="shared" si="75"/>
        <v>156.47269016040096</v>
      </c>
      <c r="M302">
        <f t="shared" si="76"/>
        <v>108.13895043686934</v>
      </c>
      <c r="N302" s="69">
        <f t="shared" si="77"/>
        <v>91.394094063596299</v>
      </c>
      <c r="O302">
        <v>265</v>
      </c>
      <c r="P302">
        <f t="shared" si="70"/>
        <v>13.342528090449029</v>
      </c>
      <c r="Q302">
        <f t="shared" si="78"/>
        <v>-6.0013142797350998</v>
      </c>
      <c r="R302">
        <f t="shared" si="71"/>
        <v>-2.1982166072858864</v>
      </c>
      <c r="S302">
        <f t="shared" si="71"/>
        <v>-0.59910830364294321</v>
      </c>
      <c r="T302">
        <f t="shared" si="71"/>
        <v>2.599108303642943</v>
      </c>
      <c r="U302">
        <f t="shared" si="69"/>
        <v>4.198216607285886</v>
      </c>
      <c r="V302">
        <v>2.2999999999999998</v>
      </c>
      <c r="W302" s="69">
        <f t="shared" si="79"/>
        <v>2.9311688311688311</v>
      </c>
      <c r="X302" s="69">
        <f t="shared" si="80"/>
        <v>-1.1724675324675324</v>
      </c>
      <c r="Y302">
        <f t="shared" si="81"/>
        <v>-2.1982166072858864</v>
      </c>
      <c r="Z302">
        <f t="shared" si="82"/>
        <v>4.198216607285886</v>
      </c>
    </row>
    <row r="303" spans="9:26">
      <c r="I303">
        <f t="shared" si="72"/>
        <v>197.721490063907</v>
      </c>
      <c r="J303">
        <f t="shared" si="73"/>
        <v>230</v>
      </c>
      <c r="K303">
        <f t="shared" si="74"/>
        <v>378</v>
      </c>
      <c r="L303">
        <f t="shared" si="75"/>
        <v>156.47269016040096</v>
      </c>
      <c r="M303">
        <f t="shared" si="76"/>
        <v>108.13895043686934</v>
      </c>
      <c r="N303" s="69">
        <f t="shared" si="77"/>
        <v>91.394094063596299</v>
      </c>
      <c r="O303">
        <v>266</v>
      </c>
      <c r="P303">
        <f t="shared" si="70"/>
        <v>13.443416412499987</v>
      </c>
      <c r="Q303">
        <f t="shared" si="78"/>
        <v>-6.046692676068874</v>
      </c>
      <c r="R303">
        <f t="shared" si="71"/>
        <v>-2.2102853492001731</v>
      </c>
      <c r="S303">
        <f t="shared" si="71"/>
        <v>-0.60514267460008653</v>
      </c>
      <c r="T303">
        <f t="shared" si="71"/>
        <v>2.6051426746000867</v>
      </c>
      <c r="U303">
        <f t="shared" si="69"/>
        <v>4.2102853492001735</v>
      </c>
      <c r="V303">
        <v>2.3199999999999998</v>
      </c>
      <c r="W303" s="69">
        <f t="shared" si="79"/>
        <v>2.9311688311688311</v>
      </c>
      <c r="X303" s="69">
        <f t="shared" si="80"/>
        <v>-1.1724675324675324</v>
      </c>
      <c r="Y303">
        <f t="shared" si="81"/>
        <v>-2.2102853492001731</v>
      </c>
      <c r="Z303">
        <f t="shared" si="82"/>
        <v>4.2102853492001735</v>
      </c>
    </row>
    <row r="304" spans="9:26">
      <c r="I304">
        <f t="shared" si="72"/>
        <v>197.721490063907</v>
      </c>
      <c r="J304">
        <f t="shared" si="73"/>
        <v>230</v>
      </c>
      <c r="K304">
        <f t="shared" si="74"/>
        <v>378</v>
      </c>
      <c r="L304">
        <f t="shared" si="75"/>
        <v>156.47269016040096</v>
      </c>
      <c r="M304">
        <f t="shared" si="76"/>
        <v>108.13895043686934</v>
      </c>
      <c r="N304" s="69">
        <f t="shared" si="77"/>
        <v>91.394094063596299</v>
      </c>
      <c r="O304">
        <v>267</v>
      </c>
      <c r="P304">
        <f t="shared" si="70"/>
        <v>13.544684728230981</v>
      </c>
      <c r="Q304">
        <f t="shared" si="78"/>
        <v>-6.0922419891496684</v>
      </c>
      <c r="R304">
        <f t="shared" si="71"/>
        <v>-2.2223540911144588</v>
      </c>
      <c r="S304">
        <f t="shared" si="71"/>
        <v>-0.6111770455572294</v>
      </c>
      <c r="T304">
        <f t="shared" si="71"/>
        <v>2.6111770455572296</v>
      </c>
      <c r="U304">
        <f t="shared" si="69"/>
        <v>4.2223540911144593</v>
      </c>
      <c r="V304">
        <v>2.3400000000000101</v>
      </c>
      <c r="W304" s="69">
        <f t="shared" si="79"/>
        <v>2.9311688311688311</v>
      </c>
      <c r="X304" s="69">
        <f t="shared" si="80"/>
        <v>-1.1724675324675324</v>
      </c>
      <c r="Y304">
        <f t="shared" si="81"/>
        <v>-2.2223540911144588</v>
      </c>
      <c r="Z304">
        <f t="shared" si="82"/>
        <v>4.2223540911144593</v>
      </c>
    </row>
    <row r="305" spans="9:26">
      <c r="I305">
        <f t="shared" si="72"/>
        <v>197.721490063907</v>
      </c>
      <c r="J305">
        <f t="shared" si="73"/>
        <v>230</v>
      </c>
      <c r="K305">
        <f t="shared" si="74"/>
        <v>378</v>
      </c>
      <c r="L305">
        <f t="shared" si="75"/>
        <v>156.47269016040096</v>
      </c>
      <c r="M305">
        <f t="shared" si="76"/>
        <v>108.13895043686934</v>
      </c>
      <c r="N305" s="69">
        <f t="shared" si="77"/>
        <v>91.394094063596299</v>
      </c>
      <c r="O305">
        <v>268</v>
      </c>
      <c r="P305">
        <f t="shared" si="70"/>
        <v>13.646333037642023</v>
      </c>
      <c r="Q305">
        <f t="shared" si="78"/>
        <v>-6.1379622189774832</v>
      </c>
      <c r="R305">
        <f t="shared" si="71"/>
        <v>-2.2344228330287454</v>
      </c>
      <c r="S305">
        <f t="shared" si="71"/>
        <v>-0.61721141651437272</v>
      </c>
      <c r="T305">
        <f t="shared" si="71"/>
        <v>2.6172114165143725</v>
      </c>
      <c r="U305">
        <f t="shared" si="69"/>
        <v>4.234422833028745</v>
      </c>
      <c r="V305">
        <v>2.36</v>
      </c>
      <c r="W305" s="69">
        <f t="shared" si="79"/>
        <v>2.9311688311688311</v>
      </c>
      <c r="X305" s="69">
        <f t="shared" si="80"/>
        <v>-1.1724675324675324</v>
      </c>
      <c r="Y305">
        <f t="shared" si="81"/>
        <v>-2.2344228330287454</v>
      </c>
      <c r="Z305">
        <f t="shared" si="82"/>
        <v>4.234422833028745</v>
      </c>
    </row>
    <row r="306" spans="9:26">
      <c r="I306">
        <f t="shared" si="72"/>
        <v>197.721490063907</v>
      </c>
      <c r="J306">
        <f t="shared" si="73"/>
        <v>230</v>
      </c>
      <c r="K306">
        <f t="shared" si="74"/>
        <v>378</v>
      </c>
      <c r="L306">
        <f t="shared" si="75"/>
        <v>156.47269016040096</v>
      </c>
      <c r="M306">
        <f t="shared" si="76"/>
        <v>108.13895043686934</v>
      </c>
      <c r="N306" s="69">
        <f t="shared" si="77"/>
        <v>91.394094063596299</v>
      </c>
      <c r="O306">
        <v>269</v>
      </c>
      <c r="P306">
        <f t="shared" si="70"/>
        <v>13.748361340733107</v>
      </c>
      <c r="Q306">
        <f t="shared" si="78"/>
        <v>-6.1838533655523182</v>
      </c>
      <c r="R306">
        <f t="shared" si="71"/>
        <v>-2.2464915749430321</v>
      </c>
      <c r="S306">
        <f t="shared" si="71"/>
        <v>-0.62324578747151604</v>
      </c>
      <c r="T306">
        <f t="shared" si="71"/>
        <v>2.6232457874715163</v>
      </c>
      <c r="U306">
        <f t="shared" si="69"/>
        <v>4.2464915749430325</v>
      </c>
      <c r="V306">
        <v>2.38</v>
      </c>
      <c r="W306" s="69">
        <f t="shared" si="79"/>
        <v>2.9311688311688311</v>
      </c>
      <c r="X306" s="69">
        <f t="shared" si="80"/>
        <v>-1.1724675324675324</v>
      </c>
      <c r="Y306">
        <f t="shared" si="81"/>
        <v>-2.2464915749430321</v>
      </c>
      <c r="Z306">
        <f t="shared" si="82"/>
        <v>4.2464915749430325</v>
      </c>
    </row>
    <row r="307" spans="9:26">
      <c r="I307">
        <f t="shared" si="72"/>
        <v>197.721490063907</v>
      </c>
      <c r="J307">
        <f t="shared" si="73"/>
        <v>230</v>
      </c>
      <c r="K307">
        <f t="shared" si="74"/>
        <v>378</v>
      </c>
      <c r="L307">
        <f t="shared" si="75"/>
        <v>156.47269016040096</v>
      </c>
      <c r="M307">
        <f t="shared" si="76"/>
        <v>108.13895043686934</v>
      </c>
      <c r="N307" s="69">
        <f t="shared" si="77"/>
        <v>91.394094063596299</v>
      </c>
      <c r="O307">
        <v>270</v>
      </c>
      <c r="P307">
        <f t="shared" si="70"/>
        <v>13.850769637504227</v>
      </c>
      <c r="Q307">
        <f t="shared" si="78"/>
        <v>-6.2299154288741727</v>
      </c>
      <c r="R307">
        <f t="shared" si="71"/>
        <v>-2.2585603168573183</v>
      </c>
      <c r="S307">
        <f t="shared" si="71"/>
        <v>-0.62928015842865914</v>
      </c>
      <c r="T307">
        <f t="shared" si="71"/>
        <v>2.6292801584286591</v>
      </c>
      <c r="U307">
        <f t="shared" si="69"/>
        <v>4.2585603168573183</v>
      </c>
      <c r="V307">
        <v>2.4</v>
      </c>
      <c r="W307" s="69">
        <f t="shared" si="79"/>
        <v>2.9311688311688311</v>
      </c>
      <c r="X307" s="69">
        <f t="shared" si="80"/>
        <v>-1.1724675324675324</v>
      </c>
      <c r="Y307">
        <f t="shared" si="81"/>
        <v>-2.2585603168573183</v>
      </c>
      <c r="Z307">
        <f t="shared" si="82"/>
        <v>4.2585603168573183</v>
      </c>
    </row>
    <row r="308" spans="9:26">
      <c r="I308">
        <f t="shared" si="72"/>
        <v>197.721490063907</v>
      </c>
      <c r="J308">
        <f t="shared" si="73"/>
        <v>230</v>
      </c>
      <c r="K308">
        <f t="shared" si="74"/>
        <v>378</v>
      </c>
      <c r="L308">
        <f t="shared" si="75"/>
        <v>156.47269016040096</v>
      </c>
      <c r="M308">
        <f t="shared" si="76"/>
        <v>108.13895043686934</v>
      </c>
      <c r="N308" s="69">
        <f t="shared" si="77"/>
        <v>91.394094063596299</v>
      </c>
      <c r="O308">
        <v>271</v>
      </c>
      <c r="P308">
        <f t="shared" si="70"/>
        <v>13.953557927955389</v>
      </c>
      <c r="Q308">
        <f t="shared" si="78"/>
        <v>-6.2761484089430466</v>
      </c>
      <c r="R308">
        <f t="shared" si="71"/>
        <v>-2.2706290587716049</v>
      </c>
      <c r="S308">
        <f t="shared" si="71"/>
        <v>-0.63531452938580246</v>
      </c>
      <c r="T308">
        <f t="shared" si="71"/>
        <v>2.6353145293858025</v>
      </c>
      <c r="U308">
        <f t="shared" si="69"/>
        <v>4.2706290587716049</v>
      </c>
      <c r="V308">
        <v>2.4200000000000101</v>
      </c>
      <c r="W308" s="69">
        <f t="shared" si="79"/>
        <v>2.9311688311688311</v>
      </c>
      <c r="X308" s="69">
        <f t="shared" si="80"/>
        <v>-1.1724675324675324</v>
      </c>
      <c r="Y308">
        <f t="shared" si="81"/>
        <v>-2.2706290587716049</v>
      </c>
      <c r="Z308">
        <f t="shared" si="82"/>
        <v>4.2706290587716049</v>
      </c>
    </row>
    <row r="309" spans="9:26">
      <c r="I309">
        <f t="shared" si="72"/>
        <v>197.721490063907</v>
      </c>
      <c r="J309">
        <f t="shared" si="73"/>
        <v>230</v>
      </c>
      <c r="K309">
        <f t="shared" si="74"/>
        <v>378</v>
      </c>
      <c r="L309">
        <f t="shared" si="75"/>
        <v>156.47269016040096</v>
      </c>
      <c r="M309">
        <f t="shared" si="76"/>
        <v>108.13895043686934</v>
      </c>
      <c r="N309" s="69">
        <f t="shared" si="77"/>
        <v>91.394094063596299</v>
      </c>
      <c r="O309">
        <v>272</v>
      </c>
      <c r="P309">
        <f t="shared" si="70"/>
        <v>14.056726212086595</v>
      </c>
      <c r="Q309">
        <f t="shared" si="78"/>
        <v>-6.3225523057589399</v>
      </c>
      <c r="R309">
        <f t="shared" si="71"/>
        <v>-2.2826978006858907</v>
      </c>
      <c r="S309">
        <f t="shared" si="71"/>
        <v>-0.64134890034294534</v>
      </c>
      <c r="T309">
        <f t="shared" si="71"/>
        <v>2.6413489003429453</v>
      </c>
      <c r="U309">
        <f t="shared" si="69"/>
        <v>4.2826978006858907</v>
      </c>
      <c r="V309">
        <v>2.44</v>
      </c>
      <c r="W309" s="69">
        <f t="shared" si="79"/>
        <v>2.9311688311688311</v>
      </c>
      <c r="X309" s="69">
        <f t="shared" si="80"/>
        <v>-1.1724675324675324</v>
      </c>
      <c r="Y309">
        <f t="shared" si="81"/>
        <v>-2.2826978006858907</v>
      </c>
      <c r="Z309">
        <f t="shared" si="82"/>
        <v>4.2826978006858907</v>
      </c>
    </row>
    <row r="310" spans="9:26">
      <c r="I310">
        <f t="shared" si="72"/>
        <v>197.721490063907</v>
      </c>
      <c r="J310">
        <f t="shared" si="73"/>
        <v>230</v>
      </c>
      <c r="K310">
        <f t="shared" si="74"/>
        <v>378</v>
      </c>
      <c r="L310">
        <f t="shared" si="75"/>
        <v>156.47269016040096</v>
      </c>
      <c r="M310">
        <f t="shared" si="76"/>
        <v>108.13895043686934</v>
      </c>
      <c r="N310" s="69">
        <f t="shared" si="77"/>
        <v>91.394094063596299</v>
      </c>
      <c r="O310">
        <v>273</v>
      </c>
      <c r="P310">
        <f t="shared" si="70"/>
        <v>14.160274489897837</v>
      </c>
      <c r="Q310">
        <f t="shared" si="78"/>
        <v>-6.3691271193218544</v>
      </c>
      <c r="R310">
        <f t="shared" si="71"/>
        <v>-2.2947665426001773</v>
      </c>
      <c r="S310">
        <f t="shared" si="71"/>
        <v>-0.64738327130008866</v>
      </c>
      <c r="T310">
        <f t="shared" si="71"/>
        <v>2.6473832713000887</v>
      </c>
      <c r="U310">
        <f t="shared" si="69"/>
        <v>4.2947665426001773</v>
      </c>
      <c r="V310">
        <v>2.46</v>
      </c>
      <c r="W310" s="69">
        <f t="shared" si="79"/>
        <v>2.9311688311688311</v>
      </c>
      <c r="X310" s="69">
        <f t="shared" si="80"/>
        <v>-1.1724675324675324</v>
      </c>
      <c r="Y310">
        <f t="shared" si="81"/>
        <v>-2.2947665426001773</v>
      </c>
      <c r="Z310">
        <f t="shared" si="82"/>
        <v>4.2947665426001773</v>
      </c>
    </row>
    <row r="311" spans="9:26">
      <c r="I311">
        <f t="shared" si="72"/>
        <v>197.721490063907</v>
      </c>
      <c r="J311">
        <f t="shared" si="73"/>
        <v>230</v>
      </c>
      <c r="K311">
        <f t="shared" si="74"/>
        <v>378</v>
      </c>
      <c r="L311">
        <f t="shared" si="75"/>
        <v>156.47269016040096</v>
      </c>
      <c r="M311">
        <f t="shared" si="76"/>
        <v>108.13895043686934</v>
      </c>
      <c r="N311" s="69">
        <f t="shared" si="77"/>
        <v>91.394094063596299</v>
      </c>
      <c r="O311">
        <v>274</v>
      </c>
      <c r="P311">
        <f t="shared" si="70"/>
        <v>14.264202761389127</v>
      </c>
      <c r="Q311">
        <f t="shared" si="78"/>
        <v>-6.4158728496317883</v>
      </c>
      <c r="R311">
        <f t="shared" si="71"/>
        <v>-2.306835284514464</v>
      </c>
      <c r="S311">
        <f t="shared" si="71"/>
        <v>-0.65341764225723198</v>
      </c>
      <c r="T311">
        <f t="shared" si="71"/>
        <v>2.653417642257232</v>
      </c>
      <c r="U311">
        <f t="shared" si="69"/>
        <v>4.306835284514464</v>
      </c>
      <c r="V311">
        <v>2.48</v>
      </c>
      <c r="W311" s="69">
        <f t="shared" si="79"/>
        <v>2.9311688311688311</v>
      </c>
      <c r="X311" s="69">
        <f t="shared" si="80"/>
        <v>-1.1724675324675324</v>
      </c>
      <c r="Y311">
        <f t="shared" si="81"/>
        <v>-2.306835284514464</v>
      </c>
      <c r="Z311">
        <f t="shared" si="82"/>
        <v>4.306835284514464</v>
      </c>
    </row>
    <row r="312" spans="9:26">
      <c r="I312">
        <f t="shared" si="72"/>
        <v>197.721490063907</v>
      </c>
      <c r="J312">
        <f t="shared" si="73"/>
        <v>230</v>
      </c>
      <c r="K312">
        <f t="shared" si="74"/>
        <v>378</v>
      </c>
      <c r="L312">
        <f t="shared" si="75"/>
        <v>156.47269016040096</v>
      </c>
      <c r="M312">
        <f t="shared" si="76"/>
        <v>108.13895043686934</v>
      </c>
      <c r="N312" s="69">
        <f t="shared" si="77"/>
        <v>91.394094063596299</v>
      </c>
      <c r="O312">
        <v>275</v>
      </c>
      <c r="P312">
        <f t="shared" si="70"/>
        <v>14.368511026560451</v>
      </c>
      <c r="Q312">
        <f t="shared" si="78"/>
        <v>-6.4627894966887416</v>
      </c>
      <c r="R312">
        <f t="shared" si="71"/>
        <v>-2.3189040264287502</v>
      </c>
      <c r="S312">
        <f t="shared" si="71"/>
        <v>-0.65945201321437508</v>
      </c>
      <c r="T312">
        <f t="shared" si="71"/>
        <v>2.6594520132143753</v>
      </c>
      <c r="U312">
        <f t="shared" si="69"/>
        <v>4.3189040264287506</v>
      </c>
      <c r="V312">
        <v>2.5000000000000102</v>
      </c>
      <c r="W312" s="69">
        <f t="shared" si="79"/>
        <v>2.9311688311688311</v>
      </c>
      <c r="X312" s="69">
        <f t="shared" si="80"/>
        <v>-1.1724675324675324</v>
      </c>
      <c r="Y312">
        <f t="shared" si="81"/>
        <v>-2.3189040264287502</v>
      </c>
      <c r="Z312">
        <f t="shared" si="82"/>
        <v>4.3189040264287506</v>
      </c>
    </row>
    <row r="313" spans="9:26">
      <c r="I313">
        <f t="shared" si="72"/>
        <v>197.721490063907</v>
      </c>
      <c r="J313">
        <f t="shared" si="73"/>
        <v>230</v>
      </c>
      <c r="K313">
        <f t="shared" si="74"/>
        <v>378</v>
      </c>
      <c r="L313">
        <f t="shared" si="75"/>
        <v>156.47269016040096</v>
      </c>
      <c r="M313">
        <f t="shared" si="76"/>
        <v>108.13895043686934</v>
      </c>
      <c r="N313" s="69">
        <f t="shared" si="77"/>
        <v>91.394094063596299</v>
      </c>
      <c r="O313">
        <v>276</v>
      </c>
      <c r="P313">
        <f t="shared" si="70"/>
        <v>14.473199285411821</v>
      </c>
      <c r="Q313">
        <f t="shared" si="78"/>
        <v>-6.5098770604927152</v>
      </c>
      <c r="R313">
        <f t="shared" si="71"/>
        <v>-2.3309727683430368</v>
      </c>
      <c r="S313">
        <f t="shared" si="71"/>
        <v>-0.6654863841715184</v>
      </c>
      <c r="T313">
        <f t="shared" si="71"/>
        <v>2.6654863841715182</v>
      </c>
      <c r="U313">
        <f t="shared" si="69"/>
        <v>4.3309727683430363</v>
      </c>
      <c r="V313">
        <v>2.52</v>
      </c>
      <c r="W313" s="69">
        <f t="shared" si="79"/>
        <v>2.9311688311688311</v>
      </c>
      <c r="X313" s="69">
        <f t="shared" si="80"/>
        <v>-1.1724675324675324</v>
      </c>
      <c r="Y313">
        <f t="shared" si="81"/>
        <v>-2.3309727683430368</v>
      </c>
      <c r="Z313">
        <f t="shared" si="82"/>
        <v>4.3309727683430363</v>
      </c>
    </row>
    <row r="314" spans="9:26">
      <c r="I314">
        <f t="shared" si="72"/>
        <v>197.721490063907</v>
      </c>
      <c r="J314">
        <f t="shared" si="73"/>
        <v>230</v>
      </c>
      <c r="K314">
        <f t="shared" si="74"/>
        <v>378</v>
      </c>
      <c r="L314">
        <f t="shared" si="75"/>
        <v>156.47269016040096</v>
      </c>
      <c r="M314">
        <f t="shared" si="76"/>
        <v>108.13895043686934</v>
      </c>
      <c r="N314" s="69">
        <f t="shared" si="77"/>
        <v>91.394094063596299</v>
      </c>
      <c r="O314">
        <v>277</v>
      </c>
      <c r="P314">
        <f t="shared" si="70"/>
        <v>14.578267537943232</v>
      </c>
      <c r="Q314">
        <f t="shared" si="78"/>
        <v>-6.5571355410437082</v>
      </c>
      <c r="R314">
        <f t="shared" si="71"/>
        <v>-2.343041510257323</v>
      </c>
      <c r="S314">
        <f t="shared" si="71"/>
        <v>-0.6715207551286615</v>
      </c>
      <c r="T314">
        <f t="shared" si="71"/>
        <v>2.6715207551286615</v>
      </c>
      <c r="U314">
        <f t="shared" si="69"/>
        <v>4.343041510257323</v>
      </c>
      <c r="V314">
        <v>2.54</v>
      </c>
      <c r="W314" s="69">
        <f t="shared" si="79"/>
        <v>2.9311688311688311</v>
      </c>
      <c r="X314" s="69">
        <f t="shared" si="80"/>
        <v>-1.1724675324675324</v>
      </c>
      <c r="Y314">
        <f t="shared" si="81"/>
        <v>-2.343041510257323</v>
      </c>
      <c r="Z314">
        <f t="shared" si="82"/>
        <v>4.343041510257323</v>
      </c>
    </row>
    <row r="315" spans="9:26">
      <c r="I315">
        <f t="shared" si="72"/>
        <v>197.721490063907</v>
      </c>
      <c r="J315">
        <f t="shared" si="73"/>
        <v>230</v>
      </c>
      <c r="K315">
        <f t="shared" si="74"/>
        <v>378</v>
      </c>
      <c r="L315">
        <f t="shared" si="75"/>
        <v>156.47269016040096</v>
      </c>
      <c r="M315">
        <f t="shared" si="76"/>
        <v>108.13895043686934</v>
      </c>
      <c r="N315" s="69">
        <f t="shared" si="77"/>
        <v>91.394094063596299</v>
      </c>
      <c r="O315">
        <v>278</v>
      </c>
      <c r="P315">
        <f t="shared" si="70"/>
        <v>14.683715784154687</v>
      </c>
      <c r="Q315">
        <f t="shared" si="78"/>
        <v>-6.6045649383417215</v>
      </c>
      <c r="R315">
        <f t="shared" si="71"/>
        <v>-2.3551102521716096</v>
      </c>
      <c r="S315">
        <f t="shared" si="71"/>
        <v>-0.67755512608580482</v>
      </c>
      <c r="T315">
        <f t="shared" si="71"/>
        <v>2.6775551260858048</v>
      </c>
      <c r="U315">
        <f t="shared" si="69"/>
        <v>4.3551102521716096</v>
      </c>
      <c r="V315">
        <v>2.56</v>
      </c>
      <c r="W315" s="69">
        <f t="shared" si="79"/>
        <v>2.9311688311688311</v>
      </c>
      <c r="X315" s="69">
        <f t="shared" si="80"/>
        <v>-1.1724675324675324</v>
      </c>
      <c r="Y315">
        <f t="shared" si="81"/>
        <v>-2.3551102521716096</v>
      </c>
      <c r="Z315">
        <f t="shared" si="82"/>
        <v>4.3551102521716096</v>
      </c>
    </row>
    <row r="316" spans="9:26">
      <c r="I316">
        <f t="shared" si="72"/>
        <v>197.721490063907</v>
      </c>
      <c r="J316">
        <f t="shared" si="73"/>
        <v>230</v>
      </c>
      <c r="K316">
        <f t="shared" si="74"/>
        <v>378</v>
      </c>
      <c r="L316">
        <f t="shared" si="75"/>
        <v>156.47269016040096</v>
      </c>
      <c r="M316">
        <f t="shared" si="76"/>
        <v>108.13895043686934</v>
      </c>
      <c r="N316" s="69">
        <f t="shared" si="77"/>
        <v>91.394094063596299</v>
      </c>
      <c r="O316">
        <v>279</v>
      </c>
      <c r="P316">
        <f t="shared" si="70"/>
        <v>14.789544024046178</v>
      </c>
      <c r="Q316">
        <f t="shared" si="78"/>
        <v>-6.6521652523867552</v>
      </c>
      <c r="R316">
        <f t="shared" si="71"/>
        <v>-2.3671789940858963</v>
      </c>
      <c r="S316">
        <f t="shared" si="71"/>
        <v>-0.68358949704294814</v>
      </c>
      <c r="T316">
        <f t="shared" si="71"/>
        <v>2.6835894970429481</v>
      </c>
      <c r="U316">
        <f t="shared" si="69"/>
        <v>4.3671789940858963</v>
      </c>
      <c r="V316">
        <v>2.5800000000000098</v>
      </c>
      <c r="W316" s="69">
        <f t="shared" si="79"/>
        <v>2.9311688311688311</v>
      </c>
      <c r="X316" s="69">
        <f t="shared" si="80"/>
        <v>-1.1724675324675324</v>
      </c>
      <c r="Y316">
        <f t="shared" si="81"/>
        <v>-2.3671789940858963</v>
      </c>
      <c r="Z316">
        <f t="shared" si="82"/>
        <v>4.3671789940858963</v>
      </c>
    </row>
    <row r="317" spans="9:26">
      <c r="I317">
        <f t="shared" si="72"/>
        <v>197.721490063907</v>
      </c>
      <c r="J317">
        <f t="shared" si="73"/>
        <v>230</v>
      </c>
      <c r="K317">
        <f t="shared" si="74"/>
        <v>378</v>
      </c>
      <c r="L317">
        <f t="shared" si="75"/>
        <v>156.47269016040096</v>
      </c>
      <c r="M317">
        <f t="shared" si="76"/>
        <v>108.13895043686934</v>
      </c>
      <c r="N317" s="69">
        <f t="shared" si="77"/>
        <v>91.394094063596299</v>
      </c>
      <c r="O317">
        <v>280</v>
      </c>
      <c r="P317">
        <f t="shared" si="70"/>
        <v>14.895752257617712</v>
      </c>
      <c r="Q317">
        <f t="shared" si="78"/>
        <v>-6.6999364831788082</v>
      </c>
      <c r="R317">
        <f t="shared" si="71"/>
        <v>-2.379247736000182</v>
      </c>
      <c r="S317">
        <f t="shared" si="71"/>
        <v>-0.68962386800009101</v>
      </c>
      <c r="T317">
        <f t="shared" si="71"/>
        <v>2.689623868000091</v>
      </c>
      <c r="U317">
        <f t="shared" si="69"/>
        <v>4.379247736000182</v>
      </c>
      <c r="V317">
        <v>2.6</v>
      </c>
      <c r="W317" s="69">
        <f t="shared" si="79"/>
        <v>2.9311688311688311</v>
      </c>
      <c r="X317" s="69">
        <f t="shared" si="80"/>
        <v>-1.1724675324675324</v>
      </c>
      <c r="Y317">
        <f t="shared" si="81"/>
        <v>-2.379247736000182</v>
      </c>
      <c r="Z317">
        <f t="shared" si="82"/>
        <v>4.379247736000182</v>
      </c>
    </row>
    <row r="318" spans="9:26">
      <c r="I318">
        <f t="shared" si="72"/>
        <v>197.721490063907</v>
      </c>
      <c r="J318">
        <f t="shared" si="73"/>
        <v>230</v>
      </c>
      <c r="K318">
        <f t="shared" si="74"/>
        <v>378</v>
      </c>
      <c r="L318">
        <f t="shared" si="75"/>
        <v>156.47269016040096</v>
      </c>
      <c r="M318">
        <f t="shared" si="76"/>
        <v>108.13895043686934</v>
      </c>
      <c r="N318" s="69">
        <f t="shared" si="77"/>
        <v>91.394094063596299</v>
      </c>
      <c r="O318">
        <v>281</v>
      </c>
      <c r="P318">
        <f t="shared" si="70"/>
        <v>15.00234048486929</v>
      </c>
      <c r="Q318">
        <f t="shared" si="78"/>
        <v>-6.7478786307178806</v>
      </c>
      <c r="R318">
        <f t="shared" si="71"/>
        <v>-2.3913164779144687</v>
      </c>
      <c r="S318">
        <f t="shared" si="71"/>
        <v>-0.69565823895723433</v>
      </c>
      <c r="T318">
        <f t="shared" si="71"/>
        <v>2.6956582389572343</v>
      </c>
      <c r="U318">
        <f t="shared" si="69"/>
        <v>4.3913164779144687</v>
      </c>
      <c r="V318">
        <v>2.62</v>
      </c>
      <c r="W318" s="69">
        <f t="shared" si="79"/>
        <v>2.9311688311688311</v>
      </c>
      <c r="X318" s="69">
        <f t="shared" si="80"/>
        <v>-1.1724675324675324</v>
      </c>
      <c r="Y318">
        <f t="shared" si="81"/>
        <v>-2.3913164779144687</v>
      </c>
      <c r="Z318">
        <f t="shared" si="82"/>
        <v>4.3913164779144687</v>
      </c>
    </row>
    <row r="319" spans="9:26">
      <c r="I319">
        <f t="shared" si="72"/>
        <v>197.721490063907</v>
      </c>
      <c r="J319">
        <f t="shared" si="73"/>
        <v>230</v>
      </c>
      <c r="K319">
        <f t="shared" si="74"/>
        <v>378</v>
      </c>
      <c r="L319">
        <f t="shared" si="75"/>
        <v>156.47269016040096</v>
      </c>
      <c r="M319">
        <f t="shared" si="76"/>
        <v>108.13895043686934</v>
      </c>
      <c r="N319" s="69">
        <f t="shared" si="77"/>
        <v>91.394094063596299</v>
      </c>
      <c r="O319">
        <v>282</v>
      </c>
      <c r="P319">
        <f t="shared" si="70"/>
        <v>15.109308705800906</v>
      </c>
      <c r="Q319">
        <f t="shared" si="78"/>
        <v>-6.7959916950039734</v>
      </c>
      <c r="R319">
        <f t="shared" si="71"/>
        <v>-2.4033852198287549</v>
      </c>
      <c r="S319">
        <f t="shared" si="71"/>
        <v>-0.70169260991437743</v>
      </c>
      <c r="T319">
        <f t="shared" si="71"/>
        <v>2.7016926099143772</v>
      </c>
      <c r="U319">
        <f t="shared" si="69"/>
        <v>4.4033852198287544</v>
      </c>
      <c r="V319">
        <v>2.6400000000000099</v>
      </c>
      <c r="W319" s="69">
        <f t="shared" si="79"/>
        <v>2.9311688311688311</v>
      </c>
      <c r="X319" s="69">
        <f t="shared" si="80"/>
        <v>-1.1724675324675324</v>
      </c>
      <c r="Y319">
        <f t="shared" si="81"/>
        <v>-2.4033852198287549</v>
      </c>
      <c r="Z319">
        <f t="shared" si="82"/>
        <v>4.4033852198287544</v>
      </c>
    </row>
    <row r="320" spans="9:26">
      <c r="I320">
        <f t="shared" si="72"/>
        <v>197.721490063907</v>
      </c>
      <c r="J320">
        <f t="shared" si="73"/>
        <v>230</v>
      </c>
      <c r="K320">
        <f t="shared" si="74"/>
        <v>378</v>
      </c>
      <c r="L320">
        <f t="shared" si="75"/>
        <v>156.47269016040096</v>
      </c>
      <c r="M320">
        <f t="shared" si="76"/>
        <v>108.13895043686934</v>
      </c>
      <c r="N320" s="69">
        <f t="shared" si="77"/>
        <v>91.394094063596299</v>
      </c>
      <c r="O320">
        <v>283</v>
      </c>
      <c r="P320">
        <f t="shared" si="70"/>
        <v>15.216656920412564</v>
      </c>
      <c r="Q320">
        <f t="shared" si="78"/>
        <v>-6.8442756760370864</v>
      </c>
      <c r="R320">
        <f t="shared" si="71"/>
        <v>-2.4154539617430415</v>
      </c>
      <c r="S320">
        <f t="shared" si="71"/>
        <v>-0.70772698087152075</v>
      </c>
      <c r="T320">
        <f t="shared" si="71"/>
        <v>2.707726980871521</v>
      </c>
      <c r="U320">
        <f t="shared" si="69"/>
        <v>4.4154539617430419</v>
      </c>
      <c r="V320">
        <v>2.6600000000000099</v>
      </c>
      <c r="W320" s="69">
        <f t="shared" si="79"/>
        <v>2.9311688311688311</v>
      </c>
      <c r="X320" s="69">
        <f t="shared" si="80"/>
        <v>-1.1724675324675324</v>
      </c>
      <c r="Y320">
        <f t="shared" si="81"/>
        <v>-2.4154539617430415</v>
      </c>
      <c r="Z320">
        <f t="shared" si="82"/>
        <v>4.4154539617430419</v>
      </c>
    </row>
    <row r="321" spans="9:26">
      <c r="I321">
        <f t="shared" si="72"/>
        <v>197.721490063907</v>
      </c>
      <c r="J321">
        <f t="shared" si="73"/>
        <v>230</v>
      </c>
      <c r="K321">
        <f t="shared" si="74"/>
        <v>378</v>
      </c>
      <c r="L321">
        <f t="shared" si="75"/>
        <v>156.47269016040096</v>
      </c>
      <c r="M321">
        <f t="shared" si="76"/>
        <v>108.13895043686934</v>
      </c>
      <c r="N321" s="69">
        <f t="shared" si="77"/>
        <v>91.394094063596299</v>
      </c>
      <c r="O321">
        <v>284</v>
      </c>
      <c r="P321">
        <f t="shared" si="70"/>
        <v>15.324385128704266</v>
      </c>
      <c r="Q321">
        <f t="shared" si="78"/>
        <v>-6.8927305738172189</v>
      </c>
      <c r="R321">
        <f t="shared" si="71"/>
        <v>-2.4275227036573281</v>
      </c>
      <c r="S321">
        <f t="shared" si="71"/>
        <v>-0.71376135182866407</v>
      </c>
      <c r="T321">
        <f t="shared" si="71"/>
        <v>2.7137613518286638</v>
      </c>
      <c r="U321">
        <f t="shared" si="69"/>
        <v>4.4275227036573277</v>
      </c>
      <c r="V321">
        <v>2.6800000000000099</v>
      </c>
      <c r="W321" s="69">
        <f t="shared" si="79"/>
        <v>2.9311688311688311</v>
      </c>
      <c r="X321" s="69">
        <f t="shared" si="80"/>
        <v>-1.1724675324675324</v>
      </c>
      <c r="Y321">
        <f t="shared" si="81"/>
        <v>-2.4275227036573281</v>
      </c>
      <c r="Z321">
        <f t="shared" si="82"/>
        <v>4.4275227036573277</v>
      </c>
    </row>
    <row r="322" spans="9:26">
      <c r="I322">
        <f t="shared" si="72"/>
        <v>197.721490063907</v>
      </c>
      <c r="J322">
        <f t="shared" si="73"/>
        <v>230</v>
      </c>
      <c r="K322">
        <f t="shared" si="74"/>
        <v>378</v>
      </c>
      <c r="L322">
        <f t="shared" si="75"/>
        <v>156.47269016040096</v>
      </c>
      <c r="M322">
        <f t="shared" si="76"/>
        <v>108.13895043686934</v>
      </c>
      <c r="N322" s="69">
        <f t="shared" si="77"/>
        <v>91.394094063596299</v>
      </c>
      <c r="O322">
        <v>285</v>
      </c>
      <c r="P322">
        <f t="shared" si="70"/>
        <v>15.432493330676007</v>
      </c>
      <c r="Q322">
        <f t="shared" si="78"/>
        <v>-6.9413563883443707</v>
      </c>
      <c r="R322">
        <f t="shared" si="71"/>
        <v>-2.4395914455716139</v>
      </c>
      <c r="S322">
        <f t="shared" si="71"/>
        <v>-0.71979572278580695</v>
      </c>
      <c r="T322">
        <f t="shared" si="71"/>
        <v>2.7197957227858067</v>
      </c>
      <c r="U322">
        <f t="shared" si="69"/>
        <v>4.4395914455716134</v>
      </c>
      <c r="V322">
        <v>2.7</v>
      </c>
      <c r="W322" s="69">
        <f t="shared" si="79"/>
        <v>2.9311688311688311</v>
      </c>
      <c r="X322" s="69">
        <f t="shared" si="80"/>
        <v>-1.1724675324675324</v>
      </c>
      <c r="Y322">
        <f t="shared" si="81"/>
        <v>-2.4395914455716139</v>
      </c>
      <c r="Z322">
        <f t="shared" si="82"/>
        <v>4.4395914455716134</v>
      </c>
    </row>
    <row r="323" spans="9:26">
      <c r="I323">
        <f t="shared" si="72"/>
        <v>197.721490063907</v>
      </c>
      <c r="J323">
        <f t="shared" si="73"/>
        <v>230</v>
      </c>
      <c r="K323">
        <f t="shared" si="74"/>
        <v>378</v>
      </c>
      <c r="L323">
        <f t="shared" si="75"/>
        <v>156.47269016040096</v>
      </c>
      <c r="M323">
        <f t="shared" si="76"/>
        <v>108.13895043686934</v>
      </c>
      <c r="N323" s="69">
        <f t="shared" si="77"/>
        <v>91.394094063596299</v>
      </c>
      <c r="O323">
        <v>286</v>
      </c>
      <c r="P323">
        <f t="shared" si="70"/>
        <v>15.540981526327789</v>
      </c>
      <c r="Q323">
        <f t="shared" si="78"/>
        <v>-6.9901531196185429</v>
      </c>
      <c r="R323">
        <f t="shared" si="71"/>
        <v>-2.4516601874859005</v>
      </c>
      <c r="S323">
        <f t="shared" si="71"/>
        <v>-0.72583009374295027</v>
      </c>
      <c r="T323">
        <f t="shared" si="71"/>
        <v>2.7258300937429505</v>
      </c>
      <c r="U323">
        <f t="shared" si="69"/>
        <v>4.451660187485901</v>
      </c>
      <c r="V323">
        <v>2.72000000000001</v>
      </c>
      <c r="W323" s="69">
        <f t="shared" si="79"/>
        <v>2.9311688311688311</v>
      </c>
      <c r="X323" s="69">
        <f t="shared" si="80"/>
        <v>-1.1724675324675324</v>
      </c>
      <c r="Y323">
        <f t="shared" si="81"/>
        <v>-2.4516601874859005</v>
      </c>
      <c r="Z323">
        <f t="shared" si="82"/>
        <v>4.451660187485901</v>
      </c>
    </row>
    <row r="324" spans="9:26">
      <c r="I324">
        <f t="shared" si="72"/>
        <v>197.721490063907</v>
      </c>
      <c r="J324">
        <f t="shared" si="73"/>
        <v>230</v>
      </c>
      <c r="K324">
        <f t="shared" si="74"/>
        <v>378</v>
      </c>
      <c r="L324">
        <f t="shared" si="75"/>
        <v>156.47269016040096</v>
      </c>
      <c r="M324">
        <f t="shared" si="76"/>
        <v>108.13895043686934</v>
      </c>
      <c r="N324" s="69">
        <f t="shared" si="77"/>
        <v>91.394094063596299</v>
      </c>
      <c r="O324">
        <v>287</v>
      </c>
      <c r="P324">
        <f t="shared" si="70"/>
        <v>15.649849715659611</v>
      </c>
      <c r="Q324">
        <f t="shared" si="78"/>
        <v>-7.0391207676397354</v>
      </c>
      <c r="R324">
        <f t="shared" si="71"/>
        <v>-2.4637289294001867</v>
      </c>
      <c r="S324">
        <f t="shared" si="71"/>
        <v>-0.73186446470009336</v>
      </c>
      <c r="T324">
        <f t="shared" si="71"/>
        <v>2.7318644647000934</v>
      </c>
      <c r="U324">
        <f t="shared" si="69"/>
        <v>4.4637289294001867</v>
      </c>
      <c r="V324">
        <v>2.74000000000001</v>
      </c>
      <c r="W324" s="69">
        <f t="shared" si="79"/>
        <v>2.9311688311688311</v>
      </c>
      <c r="X324" s="69">
        <f t="shared" si="80"/>
        <v>-1.1724675324675324</v>
      </c>
      <c r="Y324">
        <f t="shared" si="81"/>
        <v>-2.4637289294001867</v>
      </c>
      <c r="Z324">
        <f t="shared" si="82"/>
        <v>4.4637289294001867</v>
      </c>
    </row>
    <row r="325" spans="9:26">
      <c r="I325">
        <f t="shared" si="72"/>
        <v>197.721490063907</v>
      </c>
      <c r="J325">
        <f t="shared" si="73"/>
        <v>230</v>
      </c>
      <c r="K325">
        <f t="shared" si="74"/>
        <v>378</v>
      </c>
      <c r="L325">
        <f t="shared" si="75"/>
        <v>156.47269016040096</v>
      </c>
      <c r="M325">
        <f t="shared" si="76"/>
        <v>108.13895043686934</v>
      </c>
      <c r="N325" s="69">
        <f t="shared" si="77"/>
        <v>91.394094063596299</v>
      </c>
      <c r="O325">
        <v>288</v>
      </c>
      <c r="P325">
        <f t="shared" si="70"/>
        <v>15.759097898671474</v>
      </c>
      <c r="Q325">
        <f t="shared" si="78"/>
        <v>-7.0882593324079473</v>
      </c>
      <c r="R325">
        <f t="shared" si="71"/>
        <v>-2.4757976713144734</v>
      </c>
      <c r="S325">
        <f t="shared" si="71"/>
        <v>-0.73789883565723668</v>
      </c>
      <c r="T325">
        <f t="shared" si="71"/>
        <v>2.7378988356572367</v>
      </c>
      <c r="U325">
        <f t="shared" si="69"/>
        <v>4.4757976713144734</v>
      </c>
      <c r="V325">
        <v>2.76000000000001</v>
      </c>
      <c r="W325" s="69">
        <f t="shared" si="79"/>
        <v>2.9311688311688311</v>
      </c>
      <c r="X325" s="69">
        <f t="shared" si="80"/>
        <v>-1.1724675324675324</v>
      </c>
      <c r="Y325">
        <f t="shared" si="81"/>
        <v>-2.4757976713144734</v>
      </c>
      <c r="Z325">
        <f t="shared" si="82"/>
        <v>4.4757976713144734</v>
      </c>
    </row>
    <row r="326" spans="9:26">
      <c r="I326">
        <f t="shared" si="72"/>
        <v>197.721490063907</v>
      </c>
      <c r="J326">
        <f t="shared" si="73"/>
        <v>230</v>
      </c>
      <c r="K326">
        <f t="shared" si="74"/>
        <v>378</v>
      </c>
      <c r="L326">
        <f t="shared" si="75"/>
        <v>156.47269016040096</v>
      </c>
      <c r="M326">
        <f t="shared" si="76"/>
        <v>108.13895043686934</v>
      </c>
      <c r="N326" s="69">
        <f t="shared" si="77"/>
        <v>91.394094063596299</v>
      </c>
      <c r="O326">
        <v>289</v>
      </c>
      <c r="P326">
        <f t="shared" si="70"/>
        <v>15.868726075363382</v>
      </c>
      <c r="Q326">
        <f t="shared" si="78"/>
        <v>-7.1375688139231794</v>
      </c>
      <c r="R326">
        <f t="shared" si="71"/>
        <v>-2.4878664132287591</v>
      </c>
      <c r="S326">
        <f t="shared" si="71"/>
        <v>-0.74393320661437956</v>
      </c>
      <c r="T326">
        <f t="shared" si="71"/>
        <v>2.7439332066143796</v>
      </c>
      <c r="U326">
        <f t="shared" si="69"/>
        <v>4.4878664132287591</v>
      </c>
      <c r="V326">
        <v>2.78</v>
      </c>
      <c r="W326" s="69">
        <f t="shared" si="79"/>
        <v>2.9311688311688311</v>
      </c>
      <c r="X326" s="69">
        <f t="shared" si="80"/>
        <v>-1.1724675324675324</v>
      </c>
      <c r="Y326">
        <f t="shared" si="81"/>
        <v>-2.4878664132287591</v>
      </c>
      <c r="Z326">
        <f t="shared" si="82"/>
        <v>4.4878664132287591</v>
      </c>
    </row>
    <row r="327" spans="9:26">
      <c r="I327">
        <f t="shared" si="72"/>
        <v>197.721490063907</v>
      </c>
      <c r="J327">
        <f t="shared" si="73"/>
        <v>230</v>
      </c>
      <c r="K327">
        <f t="shared" si="74"/>
        <v>378</v>
      </c>
      <c r="L327">
        <f t="shared" si="75"/>
        <v>156.47269016040096</v>
      </c>
      <c r="M327">
        <f t="shared" si="76"/>
        <v>108.13895043686934</v>
      </c>
      <c r="N327" s="69">
        <f t="shared" si="77"/>
        <v>91.394094063596299</v>
      </c>
      <c r="O327">
        <v>290</v>
      </c>
      <c r="P327">
        <f t="shared" si="70"/>
        <v>15.978734245735328</v>
      </c>
      <c r="Q327">
        <f t="shared" si="78"/>
        <v>-7.1870492121854301</v>
      </c>
      <c r="R327">
        <f t="shared" si="71"/>
        <v>-2.4999351551430458</v>
      </c>
      <c r="S327">
        <f t="shared" si="71"/>
        <v>-0.74996757757152288</v>
      </c>
      <c r="T327">
        <f t="shared" si="71"/>
        <v>2.7499675775715229</v>
      </c>
      <c r="U327">
        <f t="shared" si="69"/>
        <v>4.4999351551430458</v>
      </c>
      <c r="V327">
        <v>2.80000000000001</v>
      </c>
      <c r="W327" s="69">
        <f t="shared" si="79"/>
        <v>2.9311688311688311</v>
      </c>
      <c r="X327" s="69">
        <f t="shared" si="80"/>
        <v>-1.1724675324675324</v>
      </c>
      <c r="Y327">
        <f t="shared" si="81"/>
        <v>-2.4999351551430458</v>
      </c>
      <c r="Z327">
        <f t="shared" si="82"/>
        <v>4.4999351551430458</v>
      </c>
    </row>
    <row r="328" spans="9:26">
      <c r="I328">
        <f t="shared" si="72"/>
        <v>197.721490063907</v>
      </c>
      <c r="J328">
        <f t="shared" si="73"/>
        <v>230</v>
      </c>
      <c r="K328">
        <f t="shared" si="74"/>
        <v>378</v>
      </c>
      <c r="L328">
        <f t="shared" si="75"/>
        <v>156.47269016040096</v>
      </c>
      <c r="M328">
        <f t="shared" si="76"/>
        <v>108.13895043686934</v>
      </c>
      <c r="N328" s="69">
        <f t="shared" si="77"/>
        <v>91.394094063596299</v>
      </c>
      <c r="O328">
        <v>291</v>
      </c>
      <c r="P328">
        <f t="shared" si="70"/>
        <v>16.089122409787315</v>
      </c>
      <c r="Q328">
        <f t="shared" si="78"/>
        <v>-7.2367005271947011</v>
      </c>
      <c r="R328">
        <f t="shared" si="71"/>
        <v>-2.5120038970573324</v>
      </c>
      <c r="S328">
        <f t="shared" si="71"/>
        <v>-0.7560019485286662</v>
      </c>
      <c r="T328">
        <f t="shared" si="71"/>
        <v>2.7560019485286662</v>
      </c>
      <c r="U328">
        <f t="shared" si="69"/>
        <v>4.5120038970573324</v>
      </c>
      <c r="V328">
        <v>2.8200000000000101</v>
      </c>
      <c r="W328" s="69">
        <f t="shared" si="79"/>
        <v>2.9311688311688311</v>
      </c>
      <c r="X328" s="69">
        <f t="shared" si="80"/>
        <v>-1.1724675324675324</v>
      </c>
      <c r="Y328">
        <f t="shared" si="81"/>
        <v>-2.5120038970573324</v>
      </c>
      <c r="Z328">
        <f t="shared" si="82"/>
        <v>4.5120038970573324</v>
      </c>
    </row>
    <row r="329" spans="9:26">
      <c r="I329">
        <f t="shared" si="72"/>
        <v>197.721490063907</v>
      </c>
      <c r="J329">
        <f t="shared" si="73"/>
        <v>230</v>
      </c>
      <c r="K329">
        <f t="shared" si="74"/>
        <v>378</v>
      </c>
      <c r="L329">
        <f t="shared" si="75"/>
        <v>156.47269016040096</v>
      </c>
      <c r="M329">
        <f t="shared" si="76"/>
        <v>108.13895043686934</v>
      </c>
      <c r="N329" s="69">
        <f t="shared" si="77"/>
        <v>91.394094063596299</v>
      </c>
      <c r="O329">
        <v>292</v>
      </c>
      <c r="P329">
        <f t="shared" si="70"/>
        <v>16.199890567519343</v>
      </c>
      <c r="Q329">
        <f t="shared" si="78"/>
        <v>-7.2865227589509924</v>
      </c>
      <c r="R329">
        <f t="shared" si="71"/>
        <v>-2.5240726389716186</v>
      </c>
      <c r="S329">
        <f t="shared" si="71"/>
        <v>-0.7620363194858093</v>
      </c>
      <c r="T329">
        <f t="shared" si="71"/>
        <v>2.7620363194858095</v>
      </c>
      <c r="U329">
        <f t="shared" si="69"/>
        <v>4.524072638971619</v>
      </c>
      <c r="V329">
        <v>2.8400000000000101</v>
      </c>
      <c r="W329" s="69">
        <f t="shared" si="79"/>
        <v>2.9311688311688311</v>
      </c>
      <c r="X329" s="69">
        <f t="shared" si="80"/>
        <v>-1.1724675324675324</v>
      </c>
      <c r="Y329">
        <f t="shared" si="81"/>
        <v>-2.5240726389716186</v>
      </c>
      <c r="Z329">
        <f t="shared" si="82"/>
        <v>4.524072638971619</v>
      </c>
    </row>
    <row r="330" spans="9:26">
      <c r="I330">
        <f t="shared" si="72"/>
        <v>197.721490063907</v>
      </c>
      <c r="J330">
        <f t="shared" si="73"/>
        <v>230</v>
      </c>
      <c r="K330">
        <f t="shared" si="74"/>
        <v>378</v>
      </c>
      <c r="L330">
        <f t="shared" si="75"/>
        <v>156.47269016040096</v>
      </c>
      <c r="M330">
        <f t="shared" si="76"/>
        <v>108.13895043686934</v>
      </c>
      <c r="N330" s="69">
        <f t="shared" si="77"/>
        <v>91.394094063596299</v>
      </c>
      <c r="O330">
        <v>293</v>
      </c>
      <c r="P330">
        <f t="shared" si="70"/>
        <v>16.311038718931417</v>
      </c>
      <c r="Q330">
        <f t="shared" si="78"/>
        <v>-7.336515907454304</v>
      </c>
      <c r="R330">
        <f t="shared" si="71"/>
        <v>-2.5361413808859052</v>
      </c>
      <c r="S330">
        <f t="shared" si="71"/>
        <v>-0.76807069044295262</v>
      </c>
      <c r="T330">
        <f t="shared" si="71"/>
        <v>2.7680706904429524</v>
      </c>
      <c r="U330">
        <f t="shared" si="69"/>
        <v>4.5361413808859048</v>
      </c>
      <c r="V330">
        <v>2.86</v>
      </c>
      <c r="W330" s="69">
        <f t="shared" si="79"/>
        <v>2.9311688311688311</v>
      </c>
      <c r="X330" s="69">
        <f t="shared" si="80"/>
        <v>-1.1724675324675324</v>
      </c>
      <c r="Y330">
        <f t="shared" si="81"/>
        <v>-2.5361413808859052</v>
      </c>
      <c r="Z330">
        <f t="shared" si="82"/>
        <v>4.5361413808859048</v>
      </c>
    </row>
    <row r="331" spans="9:26">
      <c r="I331">
        <f t="shared" si="72"/>
        <v>197.721490063907</v>
      </c>
      <c r="J331">
        <f t="shared" si="73"/>
        <v>230</v>
      </c>
      <c r="K331">
        <f t="shared" si="74"/>
        <v>378</v>
      </c>
      <c r="L331">
        <f t="shared" si="75"/>
        <v>156.47269016040096</v>
      </c>
      <c r="M331">
        <f t="shared" si="76"/>
        <v>108.13895043686934</v>
      </c>
      <c r="N331" s="69">
        <f t="shared" si="77"/>
        <v>91.394094063596299</v>
      </c>
      <c r="O331">
        <v>294</v>
      </c>
      <c r="P331">
        <f t="shared" si="70"/>
        <v>16.42256686402353</v>
      </c>
      <c r="Q331">
        <f t="shared" si="78"/>
        <v>-7.3866799727046351</v>
      </c>
      <c r="R331">
        <f t="shared" si="71"/>
        <v>-2.548210122800191</v>
      </c>
      <c r="S331">
        <f t="shared" si="71"/>
        <v>-0.7741050614000955</v>
      </c>
      <c r="T331">
        <f t="shared" si="71"/>
        <v>2.7741050614000953</v>
      </c>
      <c r="U331">
        <f t="shared" si="69"/>
        <v>4.5482101228001905</v>
      </c>
      <c r="V331">
        <v>2.8800000000000101</v>
      </c>
      <c r="W331" s="69">
        <f t="shared" si="79"/>
        <v>2.9311688311688311</v>
      </c>
      <c r="X331" s="69">
        <f t="shared" si="80"/>
        <v>-1.1724675324675324</v>
      </c>
      <c r="Y331">
        <f t="shared" si="81"/>
        <v>-2.548210122800191</v>
      </c>
      <c r="Z331">
        <f t="shared" si="82"/>
        <v>4.5482101228001905</v>
      </c>
    </row>
    <row r="332" spans="9:26">
      <c r="I332">
        <f t="shared" si="72"/>
        <v>197.721490063907</v>
      </c>
      <c r="J332">
        <f t="shared" si="73"/>
        <v>230</v>
      </c>
      <c r="K332">
        <f t="shared" si="74"/>
        <v>378</v>
      </c>
      <c r="L332">
        <f t="shared" si="75"/>
        <v>156.47269016040096</v>
      </c>
      <c r="M332">
        <f t="shared" si="76"/>
        <v>108.13895043686934</v>
      </c>
      <c r="N332" s="69">
        <f t="shared" si="77"/>
        <v>91.394094063596299</v>
      </c>
      <c r="O332">
        <v>295</v>
      </c>
      <c r="P332">
        <f t="shared" si="70"/>
        <v>16.534475002795684</v>
      </c>
      <c r="Q332">
        <f t="shared" si="78"/>
        <v>-7.4370149547019873</v>
      </c>
      <c r="R332">
        <f t="shared" si="71"/>
        <v>-2.5602788647144776</v>
      </c>
      <c r="S332">
        <f t="shared" si="71"/>
        <v>-0.78013943235723882</v>
      </c>
      <c r="T332">
        <f t="shared" si="71"/>
        <v>2.780139432357239</v>
      </c>
      <c r="U332">
        <f t="shared" si="69"/>
        <v>4.5602788647144781</v>
      </c>
      <c r="V332">
        <v>2.9000000000000101</v>
      </c>
      <c r="W332" s="69">
        <f t="shared" si="79"/>
        <v>2.9311688311688311</v>
      </c>
      <c r="X332" s="69">
        <f t="shared" si="80"/>
        <v>-1.1724675324675324</v>
      </c>
      <c r="Y332">
        <f t="shared" si="81"/>
        <v>-2.5602788647144776</v>
      </c>
      <c r="Z332">
        <f t="shared" si="82"/>
        <v>4.5602788647144781</v>
      </c>
    </row>
    <row r="333" spans="9:26">
      <c r="I333">
        <f t="shared" si="72"/>
        <v>197.721490063907</v>
      </c>
      <c r="J333">
        <f t="shared" si="73"/>
        <v>230</v>
      </c>
      <c r="K333">
        <f t="shared" si="74"/>
        <v>378</v>
      </c>
      <c r="L333">
        <f t="shared" si="75"/>
        <v>156.47269016040096</v>
      </c>
      <c r="M333">
        <f t="shared" si="76"/>
        <v>108.13895043686934</v>
      </c>
      <c r="N333" s="69">
        <f t="shared" si="77"/>
        <v>91.394094063596299</v>
      </c>
      <c r="O333">
        <v>296</v>
      </c>
      <c r="P333">
        <f t="shared" si="70"/>
        <v>16.646763135247877</v>
      </c>
      <c r="Q333">
        <f t="shared" si="78"/>
        <v>-7.4875208534463571</v>
      </c>
      <c r="R333">
        <f t="shared" si="71"/>
        <v>-2.5723476066287643</v>
      </c>
      <c r="S333">
        <f t="shared" si="71"/>
        <v>-0.78617380331438214</v>
      </c>
      <c r="T333">
        <f t="shared" si="71"/>
        <v>2.7861738033143819</v>
      </c>
      <c r="U333">
        <f t="shared" si="69"/>
        <v>4.5723476066287638</v>
      </c>
      <c r="V333">
        <v>2.9200000000000101</v>
      </c>
      <c r="W333" s="69">
        <f t="shared" si="79"/>
        <v>2.9311688311688311</v>
      </c>
      <c r="X333" s="69">
        <f t="shared" si="80"/>
        <v>-1.1724675324675324</v>
      </c>
      <c r="Y333">
        <f t="shared" si="81"/>
        <v>-2.5723476066287643</v>
      </c>
      <c r="Z333">
        <f t="shared" si="82"/>
        <v>4.5723476066287638</v>
      </c>
    </row>
    <row r="334" spans="9:26">
      <c r="I334">
        <f t="shared" si="72"/>
        <v>197.721490063907</v>
      </c>
      <c r="J334">
        <f t="shared" si="73"/>
        <v>230</v>
      </c>
      <c r="K334">
        <f t="shared" si="74"/>
        <v>378</v>
      </c>
      <c r="L334">
        <f t="shared" si="75"/>
        <v>156.47269016040096</v>
      </c>
      <c r="M334">
        <f t="shared" si="76"/>
        <v>108.13895043686934</v>
      </c>
      <c r="N334" s="69">
        <f t="shared" si="77"/>
        <v>91.394094063596299</v>
      </c>
      <c r="O334">
        <v>297</v>
      </c>
      <c r="P334">
        <f t="shared" si="70"/>
        <v>16.759431261380115</v>
      </c>
      <c r="Q334">
        <f t="shared" si="78"/>
        <v>-7.5381976689377472</v>
      </c>
      <c r="R334">
        <f t="shared" si="71"/>
        <v>-2.5844163485430505</v>
      </c>
      <c r="S334">
        <f t="shared" si="71"/>
        <v>-0.79220817427152523</v>
      </c>
      <c r="T334">
        <f t="shared" si="71"/>
        <v>2.7922081742715252</v>
      </c>
      <c r="U334">
        <f t="shared" si="69"/>
        <v>4.5844163485430505</v>
      </c>
      <c r="V334">
        <v>2.94</v>
      </c>
      <c r="W334" s="69">
        <f t="shared" si="79"/>
        <v>2.9311688311688311</v>
      </c>
      <c r="X334" s="69">
        <f t="shared" si="80"/>
        <v>-1.1724675324675324</v>
      </c>
      <c r="Y334">
        <f t="shared" si="81"/>
        <v>-2.5844163485430505</v>
      </c>
      <c r="Z334">
        <f t="shared" si="82"/>
        <v>4.5844163485430505</v>
      </c>
    </row>
    <row r="335" spans="9:26">
      <c r="I335">
        <f t="shared" si="72"/>
        <v>197.721490063907</v>
      </c>
      <c r="J335">
        <f t="shared" si="73"/>
        <v>230</v>
      </c>
      <c r="K335">
        <f t="shared" si="74"/>
        <v>378</v>
      </c>
      <c r="L335">
        <f t="shared" si="75"/>
        <v>156.47269016040096</v>
      </c>
      <c r="M335">
        <f t="shared" si="76"/>
        <v>108.13895043686934</v>
      </c>
      <c r="N335" s="69">
        <f t="shared" si="77"/>
        <v>91.394094063596299</v>
      </c>
      <c r="O335">
        <v>298</v>
      </c>
      <c r="P335">
        <f t="shared" si="70"/>
        <v>16.872479381192388</v>
      </c>
      <c r="Q335">
        <f t="shared" si="78"/>
        <v>-7.5890454011761594</v>
      </c>
      <c r="R335">
        <f t="shared" si="71"/>
        <v>-2.5964850904573371</v>
      </c>
      <c r="S335">
        <f t="shared" si="71"/>
        <v>-0.79824254522866855</v>
      </c>
      <c r="T335">
        <f t="shared" si="71"/>
        <v>2.7982425452286686</v>
      </c>
      <c r="U335">
        <f t="shared" si="69"/>
        <v>4.5964850904573371</v>
      </c>
      <c r="V335">
        <v>2.9600000000000102</v>
      </c>
      <c r="W335" s="69">
        <f t="shared" si="79"/>
        <v>2.9311688311688311</v>
      </c>
      <c r="X335" s="69">
        <f t="shared" si="80"/>
        <v>-1.1724675324675324</v>
      </c>
      <c r="Y335">
        <f t="shared" si="81"/>
        <v>-2.5964850904573371</v>
      </c>
      <c r="Z335">
        <f t="shared" si="82"/>
        <v>4.5964850904573371</v>
      </c>
    </row>
    <row r="336" spans="9:26">
      <c r="I336">
        <f t="shared" si="72"/>
        <v>197.721490063907</v>
      </c>
      <c r="J336">
        <f t="shared" si="73"/>
        <v>230</v>
      </c>
      <c r="K336">
        <f t="shared" si="74"/>
        <v>378</v>
      </c>
      <c r="L336">
        <f t="shared" si="75"/>
        <v>156.47269016040096</v>
      </c>
      <c r="M336">
        <f t="shared" si="76"/>
        <v>108.13895043686934</v>
      </c>
      <c r="N336" s="69">
        <f t="shared" si="77"/>
        <v>91.394094063596299</v>
      </c>
      <c r="O336">
        <v>299</v>
      </c>
      <c r="P336">
        <f t="shared" si="70"/>
        <v>16.98590749468471</v>
      </c>
      <c r="Q336">
        <f t="shared" si="78"/>
        <v>-7.6400640501615902</v>
      </c>
      <c r="R336">
        <f t="shared" si="71"/>
        <v>-2.6085538323716229</v>
      </c>
      <c r="S336">
        <f t="shared" si="71"/>
        <v>-0.80427691618581143</v>
      </c>
      <c r="T336">
        <f t="shared" si="71"/>
        <v>2.8042769161858114</v>
      </c>
      <c r="U336">
        <f t="shared" si="69"/>
        <v>4.6085538323716229</v>
      </c>
      <c r="V336">
        <v>2.9800000000000102</v>
      </c>
      <c r="W336" s="69">
        <f t="shared" si="79"/>
        <v>2.9311688311688311</v>
      </c>
      <c r="X336" s="69">
        <f t="shared" si="80"/>
        <v>-1.1724675324675324</v>
      </c>
      <c r="Y336">
        <f t="shared" si="81"/>
        <v>-2.6085538323716229</v>
      </c>
      <c r="Z336">
        <f t="shared" si="82"/>
        <v>4.6085538323716229</v>
      </c>
    </row>
    <row r="337" spans="9:26">
      <c r="I337">
        <f t="shared" si="72"/>
        <v>197.721490063907</v>
      </c>
      <c r="J337">
        <f t="shared" si="73"/>
        <v>230</v>
      </c>
      <c r="K337">
        <f t="shared" si="74"/>
        <v>378</v>
      </c>
      <c r="L337">
        <f t="shared" si="75"/>
        <v>156.47269016040096</v>
      </c>
      <c r="M337">
        <f t="shared" si="76"/>
        <v>108.13895043686934</v>
      </c>
      <c r="N337" s="69">
        <f t="shared" si="77"/>
        <v>91.394094063596299</v>
      </c>
      <c r="O337">
        <v>300</v>
      </c>
      <c r="P337">
        <f t="shared" si="70"/>
        <v>17.099715601857071</v>
      </c>
      <c r="Q337">
        <f t="shared" si="78"/>
        <v>-7.6912536158940394</v>
      </c>
      <c r="R337">
        <f t="shared" si="71"/>
        <v>-2.6206225742859095</v>
      </c>
      <c r="S337">
        <f t="shared" si="71"/>
        <v>-0.81031128714295475</v>
      </c>
      <c r="T337">
        <f t="shared" si="71"/>
        <v>2.8103112871429548</v>
      </c>
      <c r="U337">
        <f t="shared" si="69"/>
        <v>4.6206225742859095</v>
      </c>
      <c r="V337">
        <v>3.0000000000000102</v>
      </c>
      <c r="W337" s="69">
        <f t="shared" si="79"/>
        <v>2.9311688311688311</v>
      </c>
      <c r="X337" s="69">
        <f t="shared" si="80"/>
        <v>-1.1724675324675324</v>
      </c>
      <c r="Y337">
        <f t="shared" si="81"/>
        <v>-2.6206225742859095</v>
      </c>
      <c r="Z337">
        <f t="shared" si="82"/>
        <v>4.6206225742859095</v>
      </c>
    </row>
    <row r="338" spans="9:26">
      <c r="I338">
        <f t="shared" si="72"/>
        <v>197.721490063907</v>
      </c>
      <c r="J338">
        <f t="shared" si="73"/>
        <v>230</v>
      </c>
      <c r="K338">
        <f t="shared" si="74"/>
        <v>378</v>
      </c>
      <c r="L338">
        <f t="shared" si="75"/>
        <v>156.47269016040096</v>
      </c>
      <c r="M338">
        <f t="shared" si="76"/>
        <v>108.13895043686934</v>
      </c>
      <c r="N338" s="69">
        <f t="shared" si="77"/>
        <v>91.394094063596299</v>
      </c>
      <c r="O338">
        <v>301</v>
      </c>
      <c r="P338">
        <f t="shared" si="70"/>
        <v>17.213903702709469</v>
      </c>
      <c r="Q338">
        <f t="shared" si="78"/>
        <v>-7.7426140983735099</v>
      </c>
      <c r="R338">
        <f t="shared" si="71"/>
        <v>-2.6326913162001961</v>
      </c>
      <c r="S338">
        <f t="shared" si="71"/>
        <v>-0.81634565810009807</v>
      </c>
      <c r="T338">
        <f t="shared" si="71"/>
        <v>2.8163456581000981</v>
      </c>
      <c r="U338">
        <f t="shared" si="69"/>
        <v>4.6326913162001961</v>
      </c>
      <c r="V338">
        <v>3.02</v>
      </c>
      <c r="W338" s="69">
        <f t="shared" si="79"/>
        <v>2.9311688311688311</v>
      </c>
      <c r="X338" s="69">
        <f t="shared" si="80"/>
        <v>-1.1724675324675324</v>
      </c>
      <c r="Y338">
        <f t="shared" si="81"/>
        <v>-2.6326913162001961</v>
      </c>
      <c r="Z338">
        <f t="shared" si="82"/>
        <v>4.6326913162001961</v>
      </c>
    </row>
    <row r="339" spans="9:26">
      <c r="I339">
        <f t="shared" si="72"/>
        <v>197.721490063907</v>
      </c>
      <c r="J339">
        <f t="shared" si="73"/>
        <v>230</v>
      </c>
      <c r="K339">
        <f t="shared" si="74"/>
        <v>378</v>
      </c>
      <c r="L339">
        <f t="shared" si="75"/>
        <v>156.47269016040096</v>
      </c>
      <c r="M339">
        <f t="shared" si="76"/>
        <v>108.13895043686934</v>
      </c>
      <c r="N339" s="69">
        <f t="shared" si="77"/>
        <v>91.394094063596299</v>
      </c>
      <c r="O339">
        <v>302</v>
      </c>
      <c r="P339">
        <f t="shared" si="70"/>
        <v>17.328471797241914</v>
      </c>
      <c r="Q339">
        <f t="shared" si="78"/>
        <v>-7.7941454975999989</v>
      </c>
      <c r="R339">
        <f t="shared" si="71"/>
        <v>-2.6447600581144819</v>
      </c>
      <c r="S339">
        <f t="shared" si="71"/>
        <v>-0.82238002905724095</v>
      </c>
      <c r="T339">
        <f t="shared" si="71"/>
        <v>2.8223800290572409</v>
      </c>
      <c r="U339">
        <f t="shared" si="69"/>
        <v>4.6447600581144819</v>
      </c>
      <c r="V339">
        <v>3.0400000000000098</v>
      </c>
      <c r="W339" s="69">
        <f t="shared" si="79"/>
        <v>2.9311688311688311</v>
      </c>
      <c r="X339" s="69">
        <f t="shared" si="80"/>
        <v>-1.1724675324675324</v>
      </c>
      <c r="Y339">
        <f t="shared" si="81"/>
        <v>-2.6447600581144819</v>
      </c>
      <c r="Z339">
        <f t="shared" si="82"/>
        <v>4.6447600581144819</v>
      </c>
    </row>
    <row r="340" spans="9:26">
      <c r="I340">
        <f t="shared" si="72"/>
        <v>197.721490063907</v>
      </c>
      <c r="J340">
        <f t="shared" si="73"/>
        <v>230</v>
      </c>
      <c r="K340">
        <f t="shared" si="74"/>
        <v>378</v>
      </c>
      <c r="L340">
        <f t="shared" si="75"/>
        <v>156.47269016040096</v>
      </c>
      <c r="M340">
        <f t="shared" si="76"/>
        <v>108.13895043686934</v>
      </c>
      <c r="N340" s="69">
        <f t="shared" si="77"/>
        <v>91.394094063596299</v>
      </c>
      <c r="O340">
        <v>303</v>
      </c>
      <c r="P340">
        <f t="shared" si="70"/>
        <v>17.443419885454393</v>
      </c>
      <c r="Q340">
        <f t="shared" si="78"/>
        <v>-7.845847813573509</v>
      </c>
      <c r="R340">
        <f t="shared" si="71"/>
        <v>-2.6568288000287685</v>
      </c>
      <c r="S340">
        <f t="shared" si="71"/>
        <v>-0.82841440001438427</v>
      </c>
      <c r="T340">
        <f t="shared" si="71"/>
        <v>2.8284144000143843</v>
      </c>
      <c r="U340">
        <f t="shared" si="69"/>
        <v>4.6568288000287685</v>
      </c>
      <c r="V340">
        <v>3.0600000000000098</v>
      </c>
      <c r="W340" s="69">
        <f t="shared" si="79"/>
        <v>2.9311688311688311</v>
      </c>
      <c r="X340" s="69">
        <f t="shared" si="80"/>
        <v>-1.1724675324675324</v>
      </c>
      <c r="Y340">
        <f t="shared" si="81"/>
        <v>-2.6568288000287685</v>
      </c>
      <c r="Z340">
        <f t="shared" si="82"/>
        <v>4.6568288000287685</v>
      </c>
    </row>
    <row r="341" spans="9:26">
      <c r="I341">
        <f t="shared" si="72"/>
        <v>197.721490063907</v>
      </c>
      <c r="J341">
        <f t="shared" si="73"/>
        <v>230</v>
      </c>
      <c r="K341">
        <f t="shared" si="74"/>
        <v>378</v>
      </c>
      <c r="L341">
        <f t="shared" si="75"/>
        <v>156.47269016040096</v>
      </c>
      <c r="M341">
        <f t="shared" si="76"/>
        <v>108.13895043686934</v>
      </c>
      <c r="N341" s="69">
        <f t="shared" si="77"/>
        <v>91.394094063596299</v>
      </c>
      <c r="O341">
        <v>304</v>
      </c>
      <c r="P341">
        <f t="shared" si="70"/>
        <v>17.558747967346925</v>
      </c>
      <c r="Q341">
        <f t="shared" si="78"/>
        <v>-7.8977210462940404</v>
      </c>
      <c r="R341">
        <f t="shared" si="71"/>
        <v>-2.6688975419430547</v>
      </c>
      <c r="S341">
        <f t="shared" si="71"/>
        <v>-0.83444877097152736</v>
      </c>
      <c r="T341">
        <f t="shared" si="71"/>
        <v>2.8344487709715276</v>
      </c>
      <c r="U341">
        <f t="shared" si="69"/>
        <v>4.6688975419430552</v>
      </c>
      <c r="V341">
        <v>3.0800000000000098</v>
      </c>
      <c r="W341" s="69">
        <f t="shared" si="79"/>
        <v>2.9311688311688311</v>
      </c>
      <c r="X341" s="69">
        <f t="shared" si="80"/>
        <v>-1.1724675324675324</v>
      </c>
      <c r="Y341">
        <f t="shared" si="81"/>
        <v>-2.6688975419430547</v>
      </c>
      <c r="Z341">
        <f t="shared" si="82"/>
        <v>4.6688975419430552</v>
      </c>
    </row>
    <row r="342" spans="9:26">
      <c r="I342">
        <f t="shared" si="72"/>
        <v>197.721490063907</v>
      </c>
      <c r="J342">
        <f t="shared" si="73"/>
        <v>230</v>
      </c>
      <c r="K342">
        <f t="shared" si="74"/>
        <v>378</v>
      </c>
      <c r="L342">
        <f t="shared" si="75"/>
        <v>156.47269016040096</v>
      </c>
      <c r="M342">
        <f t="shared" si="76"/>
        <v>108.13895043686934</v>
      </c>
      <c r="N342" s="69">
        <f t="shared" si="77"/>
        <v>91.394094063596299</v>
      </c>
      <c r="O342">
        <v>305</v>
      </c>
      <c r="P342">
        <f t="shared" si="70"/>
        <v>17.674456042919488</v>
      </c>
      <c r="Q342">
        <f t="shared" si="78"/>
        <v>-7.9497651957615902</v>
      </c>
      <c r="R342">
        <f t="shared" si="71"/>
        <v>-2.6809662838573414</v>
      </c>
      <c r="S342">
        <f t="shared" si="71"/>
        <v>-0.84048314192867069</v>
      </c>
      <c r="T342">
        <f t="shared" si="71"/>
        <v>2.8404831419286705</v>
      </c>
      <c r="U342">
        <f t="shared" si="69"/>
        <v>4.6809662838573409</v>
      </c>
      <c r="V342">
        <v>3.1</v>
      </c>
      <c r="W342" s="69">
        <f t="shared" si="79"/>
        <v>2.9311688311688311</v>
      </c>
      <c r="X342" s="69">
        <f t="shared" si="80"/>
        <v>-1.1724675324675324</v>
      </c>
      <c r="Y342">
        <f t="shared" si="81"/>
        <v>-2.6809662838573414</v>
      </c>
      <c r="Z342">
        <f t="shared" si="82"/>
        <v>4.6809662838573409</v>
      </c>
    </row>
    <row r="343" spans="9:26">
      <c r="I343">
        <f t="shared" si="72"/>
        <v>197.721490063907</v>
      </c>
      <c r="J343">
        <f t="shared" si="73"/>
        <v>230</v>
      </c>
      <c r="K343">
        <f t="shared" si="74"/>
        <v>378</v>
      </c>
      <c r="L343">
        <f t="shared" si="75"/>
        <v>156.47269016040096</v>
      </c>
      <c r="M343">
        <f t="shared" si="76"/>
        <v>108.13895043686934</v>
      </c>
      <c r="N343" s="69">
        <f t="shared" si="77"/>
        <v>91.394094063596299</v>
      </c>
      <c r="O343">
        <v>306</v>
      </c>
      <c r="P343">
        <f t="shared" si="70"/>
        <v>17.790544112172096</v>
      </c>
      <c r="Q343">
        <f t="shared" si="78"/>
        <v>-8.0019802619761595</v>
      </c>
      <c r="R343">
        <f t="shared" si="71"/>
        <v>-2.6930350257716271</v>
      </c>
      <c r="S343">
        <f t="shared" si="71"/>
        <v>-0.84651751288581356</v>
      </c>
      <c r="T343">
        <f t="shared" si="71"/>
        <v>2.8465175128858133</v>
      </c>
      <c r="U343">
        <f t="shared" si="69"/>
        <v>4.6930350257716267</v>
      </c>
      <c r="V343">
        <v>3.1200000000000099</v>
      </c>
      <c r="W343" s="69">
        <f t="shared" si="79"/>
        <v>2.9311688311688311</v>
      </c>
      <c r="X343" s="69">
        <f t="shared" si="80"/>
        <v>-1.1724675324675324</v>
      </c>
      <c r="Y343">
        <f t="shared" si="81"/>
        <v>-2.6930350257716271</v>
      </c>
      <c r="Z343">
        <f t="shared" si="82"/>
        <v>4.6930350257716267</v>
      </c>
    </row>
    <row r="344" spans="9:26">
      <c r="I344">
        <f t="shared" si="72"/>
        <v>197.721490063907</v>
      </c>
      <c r="J344">
        <f t="shared" si="73"/>
        <v>230</v>
      </c>
      <c r="K344">
        <f t="shared" si="74"/>
        <v>378</v>
      </c>
      <c r="L344">
        <f t="shared" si="75"/>
        <v>156.47269016040096</v>
      </c>
      <c r="M344">
        <f t="shared" si="76"/>
        <v>108.13895043686934</v>
      </c>
      <c r="N344" s="69">
        <f t="shared" si="77"/>
        <v>91.394094063596299</v>
      </c>
      <c r="O344">
        <v>307</v>
      </c>
      <c r="P344">
        <f t="shared" si="70"/>
        <v>17.90701217510474</v>
      </c>
      <c r="Q344">
        <f t="shared" si="78"/>
        <v>-8.0543662449377482</v>
      </c>
      <c r="R344">
        <f t="shared" si="71"/>
        <v>-2.7051037676859138</v>
      </c>
      <c r="S344">
        <f t="shared" si="71"/>
        <v>-0.85255188384295688</v>
      </c>
      <c r="T344">
        <f t="shared" si="71"/>
        <v>2.8525518838429571</v>
      </c>
      <c r="U344">
        <f t="shared" si="69"/>
        <v>4.7051037676859142</v>
      </c>
      <c r="V344">
        <v>3.1400000000000099</v>
      </c>
      <c r="W344" s="69">
        <f t="shared" si="79"/>
        <v>2.9311688311688311</v>
      </c>
      <c r="X344" s="69">
        <f t="shared" si="80"/>
        <v>-1.1724675324675324</v>
      </c>
      <c r="Y344">
        <f t="shared" si="81"/>
        <v>-2.7051037676859138</v>
      </c>
      <c r="Z344">
        <f t="shared" si="82"/>
        <v>4.7051037676859142</v>
      </c>
    </row>
    <row r="345" spans="9:26">
      <c r="I345">
        <f t="shared" si="72"/>
        <v>197.721490063907</v>
      </c>
      <c r="J345">
        <f t="shared" si="73"/>
        <v>230</v>
      </c>
      <c r="K345">
        <f t="shared" si="74"/>
        <v>378</v>
      </c>
      <c r="L345">
        <f t="shared" si="75"/>
        <v>156.47269016040096</v>
      </c>
      <c r="M345">
        <f t="shared" si="76"/>
        <v>108.13895043686934</v>
      </c>
      <c r="N345" s="69">
        <f t="shared" si="77"/>
        <v>91.394094063596299</v>
      </c>
      <c r="O345">
        <v>308</v>
      </c>
      <c r="P345">
        <f t="shared" si="70"/>
        <v>18.023860231717432</v>
      </c>
      <c r="Q345">
        <f t="shared" si="78"/>
        <v>-8.1069231446463572</v>
      </c>
      <c r="R345">
        <f t="shared" si="71"/>
        <v>-2.7171725096002004</v>
      </c>
      <c r="S345">
        <f t="shared" si="71"/>
        <v>-0.8585862548001002</v>
      </c>
      <c r="T345">
        <f t="shared" si="71"/>
        <v>2.8585862548001</v>
      </c>
      <c r="U345">
        <f t="shared" si="69"/>
        <v>4.7171725096002</v>
      </c>
      <c r="V345">
        <v>3.1600000000000099</v>
      </c>
      <c r="W345" s="69">
        <f t="shared" si="79"/>
        <v>2.9311688311688311</v>
      </c>
      <c r="X345" s="69">
        <f t="shared" si="80"/>
        <v>-1.1724675324675324</v>
      </c>
      <c r="Y345">
        <f t="shared" si="81"/>
        <v>-2.7171725096002004</v>
      </c>
      <c r="Z345">
        <f t="shared" si="82"/>
        <v>4.7171725096002</v>
      </c>
    </row>
    <row r="346" spans="9:26">
      <c r="I346">
        <f t="shared" si="72"/>
        <v>197.721490063907</v>
      </c>
      <c r="J346">
        <f t="shared" si="73"/>
        <v>230</v>
      </c>
      <c r="K346">
        <f t="shared" si="74"/>
        <v>378</v>
      </c>
      <c r="L346">
        <f t="shared" si="75"/>
        <v>156.47269016040096</v>
      </c>
      <c r="M346">
        <f t="shared" si="76"/>
        <v>108.13895043686934</v>
      </c>
      <c r="N346" s="69">
        <f t="shared" si="77"/>
        <v>91.394094063596299</v>
      </c>
      <c r="O346">
        <v>309</v>
      </c>
      <c r="P346">
        <f t="shared" si="70"/>
        <v>18.141088282010166</v>
      </c>
      <c r="Q346">
        <f t="shared" si="78"/>
        <v>-8.1596509611019883</v>
      </c>
      <c r="R346">
        <f t="shared" si="71"/>
        <v>-2.7292412515144866</v>
      </c>
      <c r="S346">
        <f t="shared" si="71"/>
        <v>-0.8646206257572433</v>
      </c>
      <c r="T346">
        <f t="shared" si="71"/>
        <v>2.8646206257572433</v>
      </c>
      <c r="U346">
        <f t="shared" si="69"/>
        <v>4.7292412515144866</v>
      </c>
      <c r="V346">
        <v>3.1800000000000099</v>
      </c>
      <c r="W346" s="69">
        <f t="shared" si="79"/>
        <v>2.9311688311688311</v>
      </c>
      <c r="X346" s="69">
        <f t="shared" si="80"/>
        <v>-1.1724675324675324</v>
      </c>
      <c r="Y346">
        <f t="shared" si="81"/>
        <v>-2.7292412515144866</v>
      </c>
      <c r="Z346">
        <f t="shared" si="82"/>
        <v>4.7292412515144866</v>
      </c>
    </row>
    <row r="347" spans="9:26">
      <c r="I347">
        <f t="shared" si="72"/>
        <v>197.721490063907</v>
      </c>
      <c r="J347">
        <f t="shared" si="73"/>
        <v>230</v>
      </c>
      <c r="K347">
        <f t="shared" si="74"/>
        <v>378</v>
      </c>
      <c r="L347">
        <f t="shared" si="75"/>
        <v>156.47269016040096</v>
      </c>
      <c r="M347">
        <f t="shared" si="76"/>
        <v>108.13895043686934</v>
      </c>
      <c r="N347" s="69">
        <f t="shared" si="77"/>
        <v>91.394094063596299</v>
      </c>
      <c r="O347">
        <v>310</v>
      </c>
      <c r="P347">
        <f t="shared" si="70"/>
        <v>18.258696325982935</v>
      </c>
      <c r="Q347">
        <f t="shared" si="78"/>
        <v>-8.2125496943046361</v>
      </c>
      <c r="R347">
        <f t="shared" si="71"/>
        <v>-2.7413099934287732</v>
      </c>
      <c r="S347">
        <f t="shared" si="71"/>
        <v>-0.87065499671438662</v>
      </c>
      <c r="T347">
        <f t="shared" si="71"/>
        <v>2.8706549967143866</v>
      </c>
      <c r="U347">
        <f t="shared" si="69"/>
        <v>4.7413099934287732</v>
      </c>
      <c r="V347">
        <v>3.2000000000000099</v>
      </c>
      <c r="W347" s="69">
        <f t="shared" si="79"/>
        <v>2.9311688311688311</v>
      </c>
      <c r="X347" s="69">
        <f t="shared" si="80"/>
        <v>-1.1724675324675324</v>
      </c>
      <c r="Y347">
        <f t="shared" si="81"/>
        <v>-2.7413099934287732</v>
      </c>
      <c r="Z347">
        <f t="shared" si="82"/>
        <v>4.7413099934287732</v>
      </c>
    </row>
    <row r="348" spans="9:26">
      <c r="I348">
        <f t="shared" si="72"/>
        <v>197.721490063907</v>
      </c>
      <c r="J348">
        <f t="shared" si="73"/>
        <v>230</v>
      </c>
      <c r="K348">
        <f t="shared" si="74"/>
        <v>378</v>
      </c>
      <c r="L348">
        <f t="shared" si="75"/>
        <v>156.47269016040096</v>
      </c>
      <c r="M348">
        <f t="shared" si="76"/>
        <v>108.13895043686934</v>
      </c>
      <c r="N348" s="69">
        <f t="shared" si="77"/>
        <v>91.394094063596299</v>
      </c>
      <c r="O348">
        <v>311</v>
      </c>
      <c r="P348">
        <f t="shared" si="70"/>
        <v>18.37668436363575</v>
      </c>
      <c r="Q348">
        <f t="shared" si="78"/>
        <v>-8.265619344254306</v>
      </c>
      <c r="R348">
        <f t="shared" si="71"/>
        <v>-2.753378735343059</v>
      </c>
      <c r="S348">
        <f t="shared" si="71"/>
        <v>-0.8766893676715295</v>
      </c>
      <c r="T348">
        <f t="shared" si="71"/>
        <v>2.8766893676715295</v>
      </c>
      <c r="U348">
        <f t="shared" si="69"/>
        <v>4.753378735343059</v>
      </c>
      <c r="V348">
        <v>3.22000000000001</v>
      </c>
      <c r="W348" s="69">
        <f t="shared" si="79"/>
        <v>2.9311688311688311</v>
      </c>
      <c r="X348" s="69">
        <f t="shared" si="80"/>
        <v>-1.1724675324675324</v>
      </c>
      <c r="Y348">
        <f t="shared" si="81"/>
        <v>-2.753378735343059</v>
      </c>
      <c r="Z348">
        <f t="shared" si="82"/>
        <v>4.753378735343059</v>
      </c>
    </row>
    <row r="349" spans="9:26">
      <c r="I349">
        <f t="shared" si="72"/>
        <v>197.721490063907</v>
      </c>
      <c r="J349">
        <f t="shared" si="73"/>
        <v>230</v>
      </c>
      <c r="K349">
        <f t="shared" si="74"/>
        <v>378</v>
      </c>
      <c r="L349">
        <f t="shared" si="75"/>
        <v>156.47269016040096</v>
      </c>
      <c r="M349">
        <f t="shared" si="76"/>
        <v>108.13895043686934</v>
      </c>
      <c r="N349" s="69">
        <f t="shared" si="77"/>
        <v>91.394094063596299</v>
      </c>
      <c r="O349">
        <v>312</v>
      </c>
      <c r="P349">
        <f t="shared" si="70"/>
        <v>18.495052394968607</v>
      </c>
      <c r="Q349">
        <f t="shared" si="78"/>
        <v>-8.3188599109509926</v>
      </c>
      <c r="R349">
        <f t="shared" si="71"/>
        <v>-2.7654474772573456</v>
      </c>
      <c r="S349">
        <f t="shared" si="71"/>
        <v>-0.88272373862867282</v>
      </c>
      <c r="T349">
        <f t="shared" si="71"/>
        <v>2.8827237386286728</v>
      </c>
      <c r="U349">
        <f t="shared" si="69"/>
        <v>4.7654474772573456</v>
      </c>
      <c r="V349">
        <v>3.24000000000001</v>
      </c>
      <c r="W349" s="69">
        <f t="shared" si="79"/>
        <v>2.9311688311688311</v>
      </c>
      <c r="X349" s="69">
        <f t="shared" si="80"/>
        <v>-1.1724675324675324</v>
      </c>
      <c r="Y349">
        <f t="shared" si="81"/>
        <v>-2.7654474772573456</v>
      </c>
      <c r="Z349">
        <f t="shared" si="82"/>
        <v>4.7654474772573456</v>
      </c>
    </row>
    <row r="350" spans="9:26">
      <c r="I350">
        <f t="shared" si="72"/>
        <v>197.721490063907</v>
      </c>
      <c r="J350">
        <f t="shared" si="73"/>
        <v>230</v>
      </c>
      <c r="K350">
        <f t="shared" si="74"/>
        <v>378</v>
      </c>
      <c r="L350">
        <f t="shared" si="75"/>
        <v>156.47269016040096</v>
      </c>
      <c r="M350">
        <f t="shared" si="76"/>
        <v>108.13895043686934</v>
      </c>
      <c r="N350" s="69">
        <f t="shared" si="77"/>
        <v>91.394094063596299</v>
      </c>
      <c r="O350">
        <v>313</v>
      </c>
      <c r="P350">
        <f t="shared" si="70"/>
        <v>18.613800419981501</v>
      </c>
      <c r="Q350">
        <f t="shared" si="78"/>
        <v>-8.3722713943947014</v>
      </c>
      <c r="R350">
        <f t="shared" si="71"/>
        <v>-2.7775162191716323</v>
      </c>
      <c r="S350">
        <f t="shared" si="71"/>
        <v>-0.88875810958581614</v>
      </c>
      <c r="T350">
        <f t="shared" si="71"/>
        <v>2.8887581095858161</v>
      </c>
      <c r="U350">
        <f t="shared" si="69"/>
        <v>4.7775162191716323</v>
      </c>
      <c r="V350">
        <v>3.26000000000001</v>
      </c>
      <c r="W350" s="69">
        <f t="shared" si="79"/>
        <v>2.9311688311688311</v>
      </c>
      <c r="X350" s="69">
        <f t="shared" si="80"/>
        <v>-1.1724675324675324</v>
      </c>
      <c r="Y350">
        <f t="shared" si="81"/>
        <v>-2.7775162191716323</v>
      </c>
      <c r="Z350">
        <f t="shared" si="82"/>
        <v>4.7775162191716323</v>
      </c>
    </row>
    <row r="351" spans="9:26">
      <c r="I351">
        <f t="shared" si="72"/>
        <v>197.721490063907</v>
      </c>
      <c r="J351">
        <f t="shared" si="73"/>
        <v>230</v>
      </c>
      <c r="K351">
        <f t="shared" si="74"/>
        <v>378</v>
      </c>
      <c r="L351">
        <f t="shared" si="75"/>
        <v>156.47269016040096</v>
      </c>
      <c r="M351">
        <f t="shared" si="76"/>
        <v>108.13895043686934</v>
      </c>
      <c r="N351" s="69">
        <f t="shared" si="77"/>
        <v>91.394094063596299</v>
      </c>
      <c r="O351">
        <v>314</v>
      </c>
      <c r="P351">
        <f t="shared" si="70"/>
        <v>18.732928438674438</v>
      </c>
      <c r="Q351">
        <f t="shared" si="78"/>
        <v>-8.4258537945854304</v>
      </c>
      <c r="R351">
        <f t="shared" si="71"/>
        <v>-2.7895849610859185</v>
      </c>
      <c r="S351">
        <f t="shared" si="71"/>
        <v>-0.89479248054295923</v>
      </c>
      <c r="T351">
        <f t="shared" si="71"/>
        <v>2.894792480542959</v>
      </c>
      <c r="U351">
        <f t="shared" si="69"/>
        <v>4.789584961085918</v>
      </c>
      <c r="V351">
        <v>3.28000000000001</v>
      </c>
      <c r="W351" s="69">
        <f t="shared" si="79"/>
        <v>2.9311688311688311</v>
      </c>
      <c r="X351" s="69">
        <f t="shared" si="80"/>
        <v>-1.1724675324675324</v>
      </c>
      <c r="Y351">
        <f t="shared" si="81"/>
        <v>-2.7895849610859185</v>
      </c>
      <c r="Z351">
        <f t="shared" si="82"/>
        <v>4.789584961085918</v>
      </c>
    </row>
    <row r="352" spans="9:26">
      <c r="I352">
        <f t="shared" si="72"/>
        <v>197.721490063907</v>
      </c>
      <c r="J352">
        <f t="shared" si="73"/>
        <v>230</v>
      </c>
      <c r="K352">
        <f t="shared" si="74"/>
        <v>378</v>
      </c>
      <c r="L352">
        <f t="shared" si="75"/>
        <v>156.47269016040096</v>
      </c>
      <c r="M352">
        <f t="shared" si="76"/>
        <v>108.13895043686934</v>
      </c>
      <c r="N352" s="69">
        <f t="shared" si="77"/>
        <v>91.394094063596299</v>
      </c>
      <c r="O352">
        <v>315</v>
      </c>
      <c r="P352">
        <f t="shared" si="70"/>
        <v>18.852436451047417</v>
      </c>
      <c r="Q352">
        <f t="shared" si="78"/>
        <v>-8.4796071115231779</v>
      </c>
      <c r="R352">
        <f t="shared" si="71"/>
        <v>-2.8016537030002051</v>
      </c>
      <c r="S352">
        <f t="shared" si="71"/>
        <v>-0.90082685150010255</v>
      </c>
      <c r="T352">
        <f t="shared" si="71"/>
        <v>2.9008268515001028</v>
      </c>
      <c r="U352">
        <f t="shared" si="69"/>
        <v>4.8016537030002056</v>
      </c>
      <c r="V352">
        <v>3.30000000000001</v>
      </c>
      <c r="W352" s="69">
        <f t="shared" si="79"/>
        <v>2.9311688311688311</v>
      </c>
      <c r="X352" s="69">
        <f t="shared" si="80"/>
        <v>-1.1724675324675324</v>
      </c>
      <c r="Y352">
        <f t="shared" si="81"/>
        <v>-2.8016537030002051</v>
      </c>
      <c r="Z352">
        <f t="shared" si="82"/>
        <v>4.8016537030002056</v>
      </c>
    </row>
    <row r="353" spans="9:26">
      <c r="I353">
        <f t="shared" si="72"/>
        <v>197.721490063907</v>
      </c>
      <c r="J353">
        <f t="shared" si="73"/>
        <v>230</v>
      </c>
      <c r="K353">
        <f t="shared" si="74"/>
        <v>378</v>
      </c>
      <c r="L353">
        <f t="shared" si="75"/>
        <v>156.47269016040096</v>
      </c>
      <c r="M353">
        <f t="shared" si="76"/>
        <v>108.13895043686934</v>
      </c>
      <c r="N353" s="69">
        <f t="shared" si="77"/>
        <v>91.394094063596299</v>
      </c>
      <c r="O353">
        <v>316</v>
      </c>
      <c r="P353">
        <f t="shared" si="70"/>
        <v>18.972324457100438</v>
      </c>
      <c r="Q353">
        <f t="shared" si="78"/>
        <v>-8.5335313452079475</v>
      </c>
      <c r="R353">
        <f t="shared" si="71"/>
        <v>-2.8137224449144909</v>
      </c>
      <c r="S353">
        <f t="shared" si="71"/>
        <v>-0.90686122245724543</v>
      </c>
      <c r="T353">
        <f t="shared" si="71"/>
        <v>2.9068612224572457</v>
      </c>
      <c r="U353">
        <f t="shared" si="69"/>
        <v>4.8137224449144913</v>
      </c>
      <c r="V353">
        <v>3.3200000000000101</v>
      </c>
      <c r="W353" s="69">
        <f t="shared" si="79"/>
        <v>2.9311688311688311</v>
      </c>
      <c r="X353" s="69">
        <f t="shared" si="80"/>
        <v>-1.1724675324675324</v>
      </c>
      <c r="Y353">
        <f t="shared" si="81"/>
        <v>-2.8137224449144909</v>
      </c>
      <c r="Z353">
        <f t="shared" si="82"/>
        <v>4.8137224449144913</v>
      </c>
    </row>
    <row r="354" spans="9:26">
      <c r="I354">
        <f t="shared" si="72"/>
        <v>197.721490063907</v>
      </c>
      <c r="J354">
        <f t="shared" si="73"/>
        <v>230</v>
      </c>
      <c r="K354">
        <f t="shared" si="74"/>
        <v>378</v>
      </c>
      <c r="L354">
        <f t="shared" si="75"/>
        <v>156.47269016040096</v>
      </c>
      <c r="M354">
        <f t="shared" si="76"/>
        <v>108.13895043686934</v>
      </c>
      <c r="N354" s="69">
        <f t="shared" si="77"/>
        <v>91.394094063596299</v>
      </c>
      <c r="O354">
        <v>317</v>
      </c>
      <c r="P354">
        <f t="shared" si="70"/>
        <v>19.092592456833504</v>
      </c>
      <c r="Q354">
        <f t="shared" si="78"/>
        <v>-8.5876264956397375</v>
      </c>
      <c r="R354">
        <f t="shared" si="71"/>
        <v>-2.8257911868287775</v>
      </c>
      <c r="S354">
        <f t="shared" si="71"/>
        <v>-0.91289559341438875</v>
      </c>
      <c r="T354">
        <f t="shared" si="71"/>
        <v>2.9128955934143885</v>
      </c>
      <c r="U354">
        <f t="shared" si="69"/>
        <v>4.8257911868287771</v>
      </c>
      <c r="V354">
        <v>3.3400000000000101</v>
      </c>
      <c r="W354" s="69">
        <f t="shared" si="79"/>
        <v>2.9311688311688311</v>
      </c>
      <c r="X354" s="69">
        <f t="shared" si="80"/>
        <v>-1.1724675324675324</v>
      </c>
      <c r="Y354">
        <f t="shared" si="81"/>
        <v>-2.8257911868287775</v>
      </c>
      <c r="Z354">
        <f t="shared" si="82"/>
        <v>4.8257911868287771</v>
      </c>
    </row>
    <row r="355" spans="9:26">
      <c r="I355">
        <f t="shared" si="72"/>
        <v>197.721490063907</v>
      </c>
      <c r="J355">
        <f t="shared" si="73"/>
        <v>230</v>
      </c>
      <c r="K355">
        <f t="shared" si="74"/>
        <v>378</v>
      </c>
      <c r="L355">
        <f t="shared" si="75"/>
        <v>156.47269016040096</v>
      </c>
      <c r="M355">
        <f t="shared" si="76"/>
        <v>108.13895043686934</v>
      </c>
      <c r="N355" s="69">
        <f t="shared" si="77"/>
        <v>91.394094063596299</v>
      </c>
      <c r="O355">
        <v>318</v>
      </c>
      <c r="P355">
        <f t="shared" si="70"/>
        <v>19.213240450246605</v>
      </c>
      <c r="Q355">
        <f t="shared" si="78"/>
        <v>-8.6418925628185441</v>
      </c>
      <c r="R355">
        <f t="shared" si="71"/>
        <v>-2.8378599287430641</v>
      </c>
      <c r="S355">
        <f t="shared" si="71"/>
        <v>-0.91892996437153207</v>
      </c>
      <c r="T355">
        <f t="shared" si="71"/>
        <v>2.9189299643715323</v>
      </c>
      <c r="U355">
        <f t="shared" si="69"/>
        <v>4.8378599287430646</v>
      </c>
      <c r="V355">
        <v>3.3600000000000101</v>
      </c>
      <c r="W355" s="69">
        <f t="shared" si="79"/>
        <v>2.9311688311688311</v>
      </c>
      <c r="X355" s="69">
        <f t="shared" si="80"/>
        <v>-1.1724675324675324</v>
      </c>
      <c r="Y355">
        <f t="shared" si="81"/>
        <v>-2.8378599287430641</v>
      </c>
      <c r="Z355">
        <f t="shared" si="82"/>
        <v>4.8378599287430646</v>
      </c>
    </row>
    <row r="356" spans="9:26">
      <c r="I356">
        <f t="shared" si="72"/>
        <v>197.721490063907</v>
      </c>
      <c r="J356">
        <f t="shared" si="73"/>
        <v>230</v>
      </c>
      <c r="K356">
        <f t="shared" si="74"/>
        <v>378</v>
      </c>
      <c r="L356">
        <f t="shared" si="75"/>
        <v>156.47269016040096</v>
      </c>
      <c r="M356">
        <f t="shared" si="76"/>
        <v>108.13895043686934</v>
      </c>
      <c r="N356" s="69">
        <f t="shared" si="77"/>
        <v>91.394094063596299</v>
      </c>
      <c r="O356">
        <v>319</v>
      </c>
      <c r="P356">
        <f t="shared" si="70"/>
        <v>19.334268437339748</v>
      </c>
      <c r="Q356">
        <f t="shared" si="78"/>
        <v>-8.6963295467443711</v>
      </c>
      <c r="R356">
        <f t="shared" si="71"/>
        <v>-2.8499286706573503</v>
      </c>
      <c r="S356">
        <f t="shared" si="71"/>
        <v>-0.92496433532867517</v>
      </c>
      <c r="T356">
        <f t="shared" si="71"/>
        <v>2.9249643353286752</v>
      </c>
      <c r="U356">
        <f t="shared" si="71"/>
        <v>4.8499286706573503</v>
      </c>
      <c r="V356">
        <v>3.3800000000000101</v>
      </c>
      <c r="W356" s="69">
        <f t="shared" si="79"/>
        <v>2.9311688311688311</v>
      </c>
      <c r="X356" s="69">
        <f t="shared" si="80"/>
        <v>-1.1724675324675324</v>
      </c>
      <c r="Y356">
        <f t="shared" si="81"/>
        <v>-2.8499286706573503</v>
      </c>
      <c r="Z356">
        <f t="shared" si="82"/>
        <v>4.8499286706573503</v>
      </c>
    </row>
    <row r="357" spans="9:26">
      <c r="I357">
        <f t="shared" si="72"/>
        <v>197.721490063907</v>
      </c>
      <c r="J357">
        <f t="shared" si="73"/>
        <v>230</v>
      </c>
      <c r="K357">
        <f t="shared" si="74"/>
        <v>378</v>
      </c>
      <c r="L357">
        <f t="shared" si="75"/>
        <v>156.47269016040096</v>
      </c>
      <c r="M357">
        <f t="shared" si="76"/>
        <v>108.13895043686934</v>
      </c>
      <c r="N357" s="69">
        <f t="shared" si="77"/>
        <v>91.394094063596299</v>
      </c>
      <c r="O357">
        <v>320</v>
      </c>
      <c r="P357">
        <f t="shared" ref="P357:P420" si="83">0.003388*(O357^2*$D$4*$D$12)/$D$6</f>
        <v>19.455676418112933</v>
      </c>
      <c r="Q357">
        <f t="shared" si="78"/>
        <v>-8.7509374474172184</v>
      </c>
      <c r="R357">
        <f t="shared" ref="R357:U420" si="84">1+(($D$37*D$33*$O357*$D$17)/(498*($D$6/$D$4)))</f>
        <v>-2.861997412571637</v>
      </c>
      <c r="S357">
        <f t="shared" si="84"/>
        <v>-0.93099870628581849</v>
      </c>
      <c r="T357">
        <f t="shared" si="84"/>
        <v>2.9309987062858185</v>
      </c>
      <c r="U357">
        <f t="shared" si="84"/>
        <v>4.861997412571637</v>
      </c>
      <c r="V357">
        <v>3.4000000000000101</v>
      </c>
      <c r="W357" s="69">
        <f t="shared" si="79"/>
        <v>2.9311688311688311</v>
      </c>
      <c r="X357" s="69">
        <f t="shared" si="80"/>
        <v>-1.1724675324675324</v>
      </c>
      <c r="Y357">
        <f t="shared" si="81"/>
        <v>-2.861997412571637</v>
      </c>
      <c r="Z357">
        <f t="shared" si="82"/>
        <v>4.861997412571637</v>
      </c>
    </row>
    <row r="358" spans="9:26">
      <c r="I358">
        <f t="shared" ref="I358:I421" si="85">$D$31</f>
        <v>197.721490063907</v>
      </c>
      <c r="J358">
        <f t="shared" ref="J358:J421" si="86">$D$29</f>
        <v>230</v>
      </c>
      <c r="K358">
        <f t="shared" ref="K358:K421" si="87">$D$30</f>
        <v>378</v>
      </c>
      <c r="L358">
        <f t="shared" ref="L358:L421" si="88">$D$24</f>
        <v>156.47269016040096</v>
      </c>
      <c r="M358">
        <f t="shared" ref="M358:M421" si="89">$D$15</f>
        <v>108.13895043686934</v>
      </c>
      <c r="N358" s="69">
        <f t="shared" ref="N358:N421" si="90">$D$14</f>
        <v>91.394094063596299</v>
      </c>
      <c r="O358">
        <v>321</v>
      </c>
      <c r="P358">
        <f t="shared" si="83"/>
        <v>19.57746439256616</v>
      </c>
      <c r="Q358">
        <f t="shared" ref="Q358:Q421" si="91">-0.003388*(O358^2*$D$4*ABS($D$13)/$D$6)</f>
        <v>-8.8057162648370859</v>
      </c>
      <c r="R358">
        <f t="shared" si="84"/>
        <v>-2.8740661544859227</v>
      </c>
      <c r="S358">
        <f t="shared" si="84"/>
        <v>-0.93703307724296137</v>
      </c>
      <c r="T358">
        <f t="shared" si="84"/>
        <v>2.9370330772429614</v>
      </c>
      <c r="U358">
        <f t="shared" si="84"/>
        <v>4.8740661544859227</v>
      </c>
      <c r="V358">
        <v>3.4200000000000101</v>
      </c>
      <c r="W358" s="69">
        <f t="shared" ref="W358:W421" si="92">$D$20</f>
        <v>2.9311688311688311</v>
      </c>
      <c r="X358" s="69">
        <f t="shared" ref="X358:X421" si="93">$D$21</f>
        <v>-1.1724675324675324</v>
      </c>
      <c r="Y358">
        <f t="shared" ref="Y358:Y421" si="94">1+(($D$37*D$33*$O358*$D$17)/(498*($D$6/$D$4)))</f>
        <v>-2.8740661544859227</v>
      </c>
      <c r="Z358">
        <f t="shared" ref="Z358:Z421" si="95">1+(($D$37*G$33*$O358*$D$17)/(498*($D$6/$D$4)))</f>
        <v>4.8740661544859227</v>
      </c>
    </row>
    <row r="359" spans="9:26">
      <c r="I359">
        <f t="shared" si="85"/>
        <v>197.721490063907</v>
      </c>
      <c r="J359">
        <f t="shared" si="86"/>
        <v>230</v>
      </c>
      <c r="K359">
        <f t="shared" si="87"/>
        <v>378</v>
      </c>
      <c r="L359">
        <f t="shared" si="88"/>
        <v>156.47269016040096</v>
      </c>
      <c r="M359">
        <f t="shared" si="89"/>
        <v>108.13895043686934</v>
      </c>
      <c r="N359" s="69">
        <f t="shared" si="90"/>
        <v>91.394094063596299</v>
      </c>
      <c r="O359">
        <v>322</v>
      </c>
      <c r="P359">
        <f t="shared" si="83"/>
        <v>19.699632360699429</v>
      </c>
      <c r="Q359">
        <f t="shared" si="91"/>
        <v>-8.8606659990039738</v>
      </c>
      <c r="R359">
        <f t="shared" si="84"/>
        <v>-2.8861348964002094</v>
      </c>
      <c r="S359">
        <f t="shared" si="84"/>
        <v>-0.94306744820010469</v>
      </c>
      <c r="T359">
        <f t="shared" si="84"/>
        <v>2.9430674482001047</v>
      </c>
      <c r="U359">
        <f t="shared" si="84"/>
        <v>4.8861348964002094</v>
      </c>
      <c r="V359">
        <v>3.4400000000000102</v>
      </c>
      <c r="W359" s="69">
        <f t="shared" si="92"/>
        <v>2.9311688311688311</v>
      </c>
      <c r="X359" s="69">
        <f t="shared" si="93"/>
        <v>-1.1724675324675324</v>
      </c>
      <c r="Y359">
        <f t="shared" si="94"/>
        <v>-2.8861348964002094</v>
      </c>
      <c r="Z359">
        <f t="shared" si="95"/>
        <v>4.8861348964002094</v>
      </c>
    </row>
    <row r="360" spans="9:26">
      <c r="I360">
        <f t="shared" si="85"/>
        <v>197.721490063907</v>
      </c>
      <c r="J360">
        <f t="shared" si="86"/>
        <v>230</v>
      </c>
      <c r="K360">
        <f t="shared" si="87"/>
        <v>378</v>
      </c>
      <c r="L360">
        <f t="shared" si="88"/>
        <v>156.47269016040096</v>
      </c>
      <c r="M360">
        <f t="shared" si="89"/>
        <v>108.13895043686934</v>
      </c>
      <c r="N360" s="69">
        <f t="shared" si="90"/>
        <v>91.394094063596299</v>
      </c>
      <c r="O360">
        <v>323</v>
      </c>
      <c r="P360">
        <f t="shared" si="83"/>
        <v>19.822180322512736</v>
      </c>
      <c r="Q360">
        <f t="shared" si="91"/>
        <v>-8.9157866499178819</v>
      </c>
      <c r="R360">
        <f t="shared" si="84"/>
        <v>-2.898203638314496</v>
      </c>
      <c r="S360">
        <f t="shared" si="84"/>
        <v>-0.94910181915724801</v>
      </c>
      <c r="T360">
        <f t="shared" si="84"/>
        <v>2.949101819157248</v>
      </c>
      <c r="U360">
        <f t="shared" si="84"/>
        <v>4.898203638314496</v>
      </c>
      <c r="V360">
        <v>3.4600000000000102</v>
      </c>
      <c r="W360" s="69">
        <f t="shared" si="92"/>
        <v>2.9311688311688311</v>
      </c>
      <c r="X360" s="69">
        <f t="shared" si="93"/>
        <v>-1.1724675324675324</v>
      </c>
      <c r="Y360">
        <f t="shared" si="94"/>
        <v>-2.898203638314496</v>
      </c>
      <c r="Z360">
        <f t="shared" si="95"/>
        <v>4.898203638314496</v>
      </c>
    </row>
    <row r="361" spans="9:26">
      <c r="I361">
        <f t="shared" si="85"/>
        <v>197.721490063907</v>
      </c>
      <c r="J361">
        <f t="shared" si="86"/>
        <v>230</v>
      </c>
      <c r="K361">
        <f t="shared" si="87"/>
        <v>378</v>
      </c>
      <c r="L361">
        <f t="shared" si="88"/>
        <v>156.47269016040096</v>
      </c>
      <c r="M361">
        <f t="shared" si="89"/>
        <v>108.13895043686934</v>
      </c>
      <c r="N361" s="69">
        <f t="shared" si="90"/>
        <v>91.394094063596299</v>
      </c>
      <c r="O361">
        <v>324</v>
      </c>
      <c r="P361">
        <f t="shared" si="83"/>
        <v>19.945108278006085</v>
      </c>
      <c r="Q361">
        <f t="shared" si="91"/>
        <v>-8.9710782175788086</v>
      </c>
      <c r="R361">
        <f t="shared" si="84"/>
        <v>-2.9102723802287822</v>
      </c>
      <c r="S361">
        <f t="shared" si="84"/>
        <v>-0.9551361901143911</v>
      </c>
      <c r="T361">
        <f t="shared" si="84"/>
        <v>2.9551361901143913</v>
      </c>
      <c r="U361">
        <f t="shared" si="84"/>
        <v>4.9102723802287827</v>
      </c>
      <c r="V361">
        <v>3.4800000000000102</v>
      </c>
      <c r="W361" s="69">
        <f t="shared" si="92"/>
        <v>2.9311688311688311</v>
      </c>
      <c r="X361" s="69">
        <f t="shared" si="93"/>
        <v>-1.1724675324675324</v>
      </c>
      <c r="Y361">
        <f t="shared" si="94"/>
        <v>-2.9102723802287822</v>
      </c>
      <c r="Z361">
        <f t="shared" si="95"/>
        <v>4.9102723802287827</v>
      </c>
    </row>
    <row r="362" spans="9:26">
      <c r="I362">
        <f t="shared" si="85"/>
        <v>197.721490063907</v>
      </c>
      <c r="J362">
        <f t="shared" si="86"/>
        <v>230</v>
      </c>
      <c r="K362">
        <f t="shared" si="87"/>
        <v>378</v>
      </c>
      <c r="L362">
        <f t="shared" si="88"/>
        <v>156.47269016040096</v>
      </c>
      <c r="M362">
        <f t="shared" si="89"/>
        <v>108.13895043686934</v>
      </c>
      <c r="N362" s="69">
        <f t="shared" si="90"/>
        <v>91.394094063596299</v>
      </c>
      <c r="O362">
        <v>325</v>
      </c>
      <c r="P362">
        <f t="shared" si="83"/>
        <v>20.068416227179476</v>
      </c>
      <c r="Q362">
        <f t="shared" si="91"/>
        <v>-9.0265407019867538</v>
      </c>
      <c r="R362">
        <f t="shared" si="84"/>
        <v>-2.9223411221430688</v>
      </c>
      <c r="S362">
        <f t="shared" si="84"/>
        <v>-0.96117056107153442</v>
      </c>
      <c r="T362">
        <f t="shared" si="84"/>
        <v>2.9611705610715342</v>
      </c>
      <c r="U362">
        <f t="shared" si="84"/>
        <v>4.9223411221430684</v>
      </c>
      <c r="V362">
        <v>3.5000000000000102</v>
      </c>
      <c r="W362" s="69">
        <f t="shared" si="92"/>
        <v>2.9311688311688311</v>
      </c>
      <c r="X362" s="69">
        <f t="shared" si="93"/>
        <v>-1.1724675324675324</v>
      </c>
      <c r="Y362">
        <f t="shared" si="94"/>
        <v>-2.9223411221430688</v>
      </c>
      <c r="Z362">
        <f t="shared" si="95"/>
        <v>4.9223411221430684</v>
      </c>
    </row>
    <row r="363" spans="9:26">
      <c r="I363">
        <f t="shared" si="85"/>
        <v>197.721490063907</v>
      </c>
      <c r="J363">
        <f t="shared" si="86"/>
        <v>230</v>
      </c>
      <c r="K363">
        <f t="shared" si="87"/>
        <v>378</v>
      </c>
      <c r="L363">
        <f t="shared" si="88"/>
        <v>156.47269016040096</v>
      </c>
      <c r="M363">
        <f t="shared" si="89"/>
        <v>108.13895043686934</v>
      </c>
      <c r="N363" s="69">
        <f t="shared" si="90"/>
        <v>91.394094063596299</v>
      </c>
      <c r="O363">
        <v>326</v>
      </c>
      <c r="P363">
        <f t="shared" si="83"/>
        <v>20.192104170032909</v>
      </c>
      <c r="Q363">
        <f t="shared" si="91"/>
        <v>-9.0821741031417229</v>
      </c>
      <c r="R363">
        <f t="shared" si="84"/>
        <v>-2.9344098640573546</v>
      </c>
      <c r="S363">
        <f t="shared" si="84"/>
        <v>-0.9672049320286773</v>
      </c>
      <c r="T363">
        <f t="shared" si="84"/>
        <v>2.9672049320286771</v>
      </c>
      <c r="U363">
        <f t="shared" si="84"/>
        <v>4.9344098640573542</v>
      </c>
      <c r="V363">
        <v>3.5200000000000098</v>
      </c>
      <c r="W363" s="69">
        <f t="shared" si="92"/>
        <v>2.9311688311688311</v>
      </c>
      <c r="X363" s="69">
        <f t="shared" si="93"/>
        <v>-1.1724675324675324</v>
      </c>
      <c r="Y363">
        <f t="shared" si="94"/>
        <v>-2.9344098640573546</v>
      </c>
      <c r="Z363">
        <f t="shared" si="95"/>
        <v>4.9344098640573542</v>
      </c>
    </row>
    <row r="364" spans="9:26">
      <c r="I364">
        <f t="shared" si="85"/>
        <v>197.721490063907</v>
      </c>
      <c r="J364">
        <f t="shared" si="86"/>
        <v>230</v>
      </c>
      <c r="K364">
        <f t="shared" si="87"/>
        <v>378</v>
      </c>
      <c r="L364">
        <f t="shared" si="88"/>
        <v>156.47269016040096</v>
      </c>
      <c r="M364">
        <f t="shared" si="89"/>
        <v>108.13895043686934</v>
      </c>
      <c r="N364" s="69">
        <f t="shared" si="90"/>
        <v>91.394094063596299</v>
      </c>
      <c r="O364">
        <v>327</v>
      </c>
      <c r="P364">
        <f t="shared" si="83"/>
        <v>20.316172106566384</v>
      </c>
      <c r="Q364">
        <f t="shared" si="91"/>
        <v>-9.1379784210437087</v>
      </c>
      <c r="R364">
        <f t="shared" si="84"/>
        <v>-2.9464786059716412</v>
      </c>
      <c r="S364">
        <f t="shared" si="84"/>
        <v>-0.97323930298582062</v>
      </c>
      <c r="T364">
        <f t="shared" si="84"/>
        <v>2.9732393029858208</v>
      </c>
      <c r="U364">
        <f t="shared" si="84"/>
        <v>4.9464786059716417</v>
      </c>
      <c r="V364">
        <v>3.5400000000000098</v>
      </c>
      <c r="W364" s="69">
        <f t="shared" si="92"/>
        <v>2.9311688311688311</v>
      </c>
      <c r="X364" s="69">
        <f t="shared" si="93"/>
        <v>-1.1724675324675324</v>
      </c>
      <c r="Y364">
        <f t="shared" si="94"/>
        <v>-2.9464786059716412</v>
      </c>
      <c r="Z364">
        <f t="shared" si="95"/>
        <v>4.9464786059716417</v>
      </c>
    </row>
    <row r="365" spans="9:26">
      <c r="I365">
        <f t="shared" si="85"/>
        <v>197.721490063907</v>
      </c>
      <c r="J365">
        <f t="shared" si="86"/>
        <v>230</v>
      </c>
      <c r="K365" s="19">
        <f t="shared" si="87"/>
        <v>378</v>
      </c>
      <c r="L365">
        <f t="shared" si="88"/>
        <v>156.47269016040096</v>
      </c>
      <c r="M365">
        <f t="shared" si="89"/>
        <v>108.13895043686934</v>
      </c>
      <c r="N365" s="69">
        <f t="shared" si="90"/>
        <v>91.394094063596299</v>
      </c>
      <c r="O365">
        <v>328</v>
      </c>
      <c r="P365">
        <f t="shared" si="83"/>
        <v>20.440620036779904</v>
      </c>
      <c r="Q365">
        <f t="shared" si="91"/>
        <v>-9.1939536556927166</v>
      </c>
      <c r="R365">
        <f t="shared" si="84"/>
        <v>-2.958547347885927</v>
      </c>
      <c r="S365">
        <f t="shared" si="84"/>
        <v>-0.9792736739429635</v>
      </c>
      <c r="T365">
        <f t="shared" si="84"/>
        <v>2.9792736739429637</v>
      </c>
      <c r="U365">
        <f t="shared" si="84"/>
        <v>4.9585473478859274</v>
      </c>
      <c r="V365">
        <v>3.5600000000000098</v>
      </c>
      <c r="W365" s="69">
        <f t="shared" si="92"/>
        <v>2.9311688311688311</v>
      </c>
      <c r="X365" s="69">
        <f t="shared" si="93"/>
        <v>-1.1724675324675324</v>
      </c>
      <c r="Y365">
        <f t="shared" si="94"/>
        <v>-2.958547347885927</v>
      </c>
      <c r="Z365">
        <f t="shared" si="95"/>
        <v>4.9585473478859274</v>
      </c>
    </row>
    <row r="366" spans="9:26">
      <c r="I366">
        <f t="shared" si="85"/>
        <v>197.721490063907</v>
      </c>
      <c r="J366">
        <f t="shared" si="86"/>
        <v>230</v>
      </c>
      <c r="K366">
        <f t="shared" si="87"/>
        <v>378</v>
      </c>
      <c r="L366">
        <f t="shared" si="88"/>
        <v>156.47269016040096</v>
      </c>
      <c r="M366">
        <f t="shared" si="89"/>
        <v>108.13895043686934</v>
      </c>
      <c r="N366" s="69">
        <f t="shared" si="90"/>
        <v>91.394094063596299</v>
      </c>
      <c r="O366">
        <v>329</v>
      </c>
      <c r="P366">
        <f t="shared" si="83"/>
        <v>20.565447960673456</v>
      </c>
      <c r="Q366">
        <f t="shared" si="91"/>
        <v>-9.250099807088743</v>
      </c>
      <c r="R366">
        <f t="shared" si="84"/>
        <v>-2.9706160898002141</v>
      </c>
      <c r="S366">
        <f t="shared" si="84"/>
        <v>-0.98530804490010704</v>
      </c>
      <c r="T366">
        <f t="shared" si="84"/>
        <v>2.985308044900107</v>
      </c>
      <c r="U366">
        <f t="shared" si="84"/>
        <v>4.9706160898002141</v>
      </c>
      <c r="V366">
        <v>3.5800000000000098</v>
      </c>
      <c r="W366" s="69">
        <f t="shared" si="92"/>
        <v>2.9311688311688311</v>
      </c>
      <c r="X366" s="69">
        <f t="shared" si="93"/>
        <v>-1.1724675324675324</v>
      </c>
      <c r="Y366">
        <f t="shared" si="94"/>
        <v>-2.9706160898002141</v>
      </c>
      <c r="Z366">
        <f t="shared" si="95"/>
        <v>4.9706160898002141</v>
      </c>
    </row>
    <row r="367" spans="9:26">
      <c r="I367">
        <f t="shared" si="85"/>
        <v>197.721490063907</v>
      </c>
      <c r="J367">
        <f t="shared" si="86"/>
        <v>230</v>
      </c>
      <c r="K367">
        <f t="shared" si="87"/>
        <v>378</v>
      </c>
      <c r="L367">
        <f t="shared" si="88"/>
        <v>156.47269016040096</v>
      </c>
      <c r="M367">
        <f t="shared" si="89"/>
        <v>108.13895043686934</v>
      </c>
      <c r="N367" s="69">
        <f t="shared" si="90"/>
        <v>91.394094063596299</v>
      </c>
      <c r="O367">
        <v>330</v>
      </c>
      <c r="P367">
        <f t="shared" si="83"/>
        <v>20.690655878247053</v>
      </c>
      <c r="Q367">
        <f t="shared" si="91"/>
        <v>-9.306416875231788</v>
      </c>
      <c r="R367">
        <f t="shared" si="84"/>
        <v>-2.9826848317145007</v>
      </c>
      <c r="S367">
        <f t="shared" si="84"/>
        <v>-0.99134241585725036</v>
      </c>
      <c r="T367">
        <f t="shared" si="84"/>
        <v>2.9913424158572504</v>
      </c>
      <c r="U367">
        <f t="shared" si="84"/>
        <v>4.9826848317145007</v>
      </c>
      <c r="V367">
        <v>3.6000000000000099</v>
      </c>
      <c r="W367" s="69">
        <f t="shared" si="92"/>
        <v>2.9311688311688311</v>
      </c>
      <c r="X367" s="69">
        <f t="shared" si="93"/>
        <v>-1.1724675324675324</v>
      </c>
      <c r="Y367">
        <f t="shared" si="94"/>
        <v>-2.9826848317145007</v>
      </c>
      <c r="Z367">
        <f t="shared" si="95"/>
        <v>4.9826848317145007</v>
      </c>
    </row>
    <row r="368" spans="9:26">
      <c r="I368">
        <f t="shared" si="85"/>
        <v>197.721490063907</v>
      </c>
      <c r="J368">
        <f t="shared" si="86"/>
        <v>230</v>
      </c>
      <c r="K368">
        <f t="shared" si="87"/>
        <v>378</v>
      </c>
      <c r="L368">
        <f t="shared" si="88"/>
        <v>156.47269016040096</v>
      </c>
      <c r="M368">
        <f t="shared" si="89"/>
        <v>108.13895043686934</v>
      </c>
      <c r="N368" s="69">
        <f t="shared" si="90"/>
        <v>91.394094063596299</v>
      </c>
      <c r="O368">
        <v>331</v>
      </c>
      <c r="P368">
        <f t="shared" si="83"/>
        <v>20.816243789500692</v>
      </c>
      <c r="Q368">
        <f t="shared" si="91"/>
        <v>-9.362904860121855</v>
      </c>
      <c r="R368">
        <f t="shared" si="84"/>
        <v>-2.9947535736287865</v>
      </c>
      <c r="S368">
        <f t="shared" si="84"/>
        <v>-0.99737678681439323</v>
      </c>
      <c r="T368">
        <f t="shared" si="84"/>
        <v>2.9973767868143932</v>
      </c>
      <c r="U368">
        <f t="shared" si="84"/>
        <v>4.9947535736287865</v>
      </c>
      <c r="V368">
        <v>3.6200000000000099</v>
      </c>
      <c r="W368" s="69">
        <f t="shared" si="92"/>
        <v>2.9311688311688311</v>
      </c>
      <c r="X368" s="69">
        <f t="shared" si="93"/>
        <v>-1.1724675324675324</v>
      </c>
      <c r="Y368">
        <f t="shared" si="94"/>
        <v>-2.9947535736287865</v>
      </c>
      <c r="Z368">
        <f t="shared" si="95"/>
        <v>4.9947535736287865</v>
      </c>
    </row>
    <row r="369" spans="9:26">
      <c r="I369">
        <f t="shared" si="85"/>
        <v>197.721490063907</v>
      </c>
      <c r="J369">
        <f t="shared" si="86"/>
        <v>230</v>
      </c>
      <c r="K369">
        <f t="shared" si="87"/>
        <v>378</v>
      </c>
      <c r="L369">
        <f t="shared" si="88"/>
        <v>156.47269016040096</v>
      </c>
      <c r="M369">
        <f t="shared" si="89"/>
        <v>108.13895043686934</v>
      </c>
      <c r="N369" s="69">
        <f t="shared" si="90"/>
        <v>91.394094063596299</v>
      </c>
      <c r="O369">
        <v>332</v>
      </c>
      <c r="P369">
        <f t="shared" si="83"/>
        <v>20.942211694434373</v>
      </c>
      <c r="Q369">
        <f t="shared" si="91"/>
        <v>-9.4195637617589405</v>
      </c>
      <c r="R369">
        <f t="shared" si="84"/>
        <v>-3.0068223155430731</v>
      </c>
      <c r="S369">
        <f t="shared" si="84"/>
        <v>-1.0034111577715366</v>
      </c>
      <c r="T369">
        <f t="shared" si="84"/>
        <v>3.0034111577715366</v>
      </c>
      <c r="U369">
        <f t="shared" si="84"/>
        <v>5.0068223155430731</v>
      </c>
      <c r="V369">
        <v>3.6400000000000099</v>
      </c>
      <c r="W369" s="69">
        <f t="shared" si="92"/>
        <v>2.9311688311688311</v>
      </c>
      <c r="X369" s="69">
        <f t="shared" si="93"/>
        <v>-1.1724675324675324</v>
      </c>
      <c r="Y369">
        <f t="shared" si="94"/>
        <v>-3.0068223155430731</v>
      </c>
      <c r="Z369">
        <f t="shared" si="95"/>
        <v>5.0068223155430731</v>
      </c>
    </row>
    <row r="370" spans="9:26">
      <c r="I370">
        <f t="shared" si="85"/>
        <v>197.721490063907</v>
      </c>
      <c r="J370">
        <f t="shared" si="86"/>
        <v>230</v>
      </c>
      <c r="K370">
        <f t="shared" si="87"/>
        <v>378</v>
      </c>
      <c r="L370">
        <f t="shared" si="88"/>
        <v>156.47269016040096</v>
      </c>
      <c r="M370">
        <f t="shared" si="89"/>
        <v>108.13895043686934</v>
      </c>
      <c r="N370" s="69">
        <f t="shared" si="90"/>
        <v>91.394094063596299</v>
      </c>
      <c r="O370">
        <v>333</v>
      </c>
      <c r="P370">
        <f t="shared" si="83"/>
        <v>21.068559593048096</v>
      </c>
      <c r="Q370">
        <f t="shared" si="91"/>
        <v>-9.4763935801430463</v>
      </c>
      <c r="R370">
        <f t="shared" si="84"/>
        <v>-3.0188910574573589</v>
      </c>
      <c r="S370">
        <f t="shared" si="84"/>
        <v>-1.0094455287286794</v>
      </c>
      <c r="T370">
        <f t="shared" si="84"/>
        <v>3.0094455287286794</v>
      </c>
      <c r="U370">
        <f t="shared" si="84"/>
        <v>5.0188910574573589</v>
      </c>
      <c r="V370">
        <v>3.6600000000000099</v>
      </c>
      <c r="W370" s="69">
        <f t="shared" si="92"/>
        <v>2.9311688311688311</v>
      </c>
      <c r="X370" s="69">
        <f t="shared" si="93"/>
        <v>-1.1724675324675324</v>
      </c>
      <c r="Y370">
        <f t="shared" si="94"/>
        <v>-3.0188910574573589</v>
      </c>
      <c r="Z370">
        <f t="shared" si="95"/>
        <v>5.0188910574573589</v>
      </c>
    </row>
    <row r="371" spans="9:26">
      <c r="I371">
        <f t="shared" si="85"/>
        <v>197.721490063907</v>
      </c>
      <c r="J371">
        <f t="shared" si="86"/>
        <v>230</v>
      </c>
      <c r="K371">
        <f t="shared" si="87"/>
        <v>378</v>
      </c>
      <c r="L371">
        <f t="shared" si="88"/>
        <v>156.47269016040096</v>
      </c>
      <c r="M371">
        <f t="shared" si="89"/>
        <v>108.13895043686934</v>
      </c>
      <c r="N371" s="69">
        <f t="shared" si="90"/>
        <v>91.394094063596299</v>
      </c>
      <c r="O371">
        <v>334</v>
      </c>
      <c r="P371">
        <f t="shared" si="83"/>
        <v>21.195287485341858</v>
      </c>
      <c r="Q371">
        <f t="shared" si="91"/>
        <v>-9.5333943152741725</v>
      </c>
      <c r="R371">
        <f t="shared" si="84"/>
        <v>-3.0309597993716455</v>
      </c>
      <c r="S371">
        <f t="shared" si="84"/>
        <v>-1.0154798996858228</v>
      </c>
      <c r="T371">
        <f t="shared" si="84"/>
        <v>3.0154798996858228</v>
      </c>
      <c r="U371">
        <f t="shared" si="84"/>
        <v>5.0309597993716455</v>
      </c>
      <c r="V371">
        <v>3.6800000000000099</v>
      </c>
      <c r="W371" s="69">
        <f t="shared" si="92"/>
        <v>2.9311688311688311</v>
      </c>
      <c r="X371" s="69">
        <f t="shared" si="93"/>
        <v>-1.1724675324675324</v>
      </c>
      <c r="Y371">
        <f t="shared" si="94"/>
        <v>-3.0309597993716455</v>
      </c>
      <c r="Z371">
        <f t="shared" si="95"/>
        <v>5.0309597993716455</v>
      </c>
    </row>
    <row r="372" spans="9:26">
      <c r="I372">
        <f t="shared" si="85"/>
        <v>197.721490063907</v>
      </c>
      <c r="J372">
        <f t="shared" si="86"/>
        <v>230</v>
      </c>
      <c r="K372">
        <f t="shared" si="87"/>
        <v>378</v>
      </c>
      <c r="L372">
        <f t="shared" si="88"/>
        <v>156.47269016040096</v>
      </c>
      <c r="M372">
        <f t="shared" si="89"/>
        <v>108.13895043686934</v>
      </c>
      <c r="N372" s="69">
        <f t="shared" si="90"/>
        <v>91.394094063596299</v>
      </c>
      <c r="O372">
        <v>335</v>
      </c>
      <c r="P372">
        <f t="shared" si="83"/>
        <v>21.322395371315661</v>
      </c>
      <c r="Q372">
        <f t="shared" si="91"/>
        <v>-9.5905659671523171</v>
      </c>
      <c r="R372">
        <f t="shared" si="84"/>
        <v>-3.0430285412859321</v>
      </c>
      <c r="S372">
        <f t="shared" si="84"/>
        <v>-1.0215142706429661</v>
      </c>
      <c r="T372">
        <f t="shared" si="84"/>
        <v>3.0215142706429661</v>
      </c>
      <c r="U372">
        <f t="shared" si="84"/>
        <v>5.0430285412859321</v>
      </c>
      <c r="V372">
        <v>3.7000000000000099</v>
      </c>
      <c r="W372" s="69">
        <f t="shared" si="92"/>
        <v>2.9311688311688311</v>
      </c>
      <c r="X372" s="69">
        <f t="shared" si="93"/>
        <v>-1.1724675324675324</v>
      </c>
      <c r="Y372">
        <f t="shared" si="94"/>
        <v>-3.0430285412859321</v>
      </c>
      <c r="Z372">
        <f t="shared" si="95"/>
        <v>5.0430285412859321</v>
      </c>
    </row>
    <row r="373" spans="9:26">
      <c r="I373">
        <f t="shared" si="85"/>
        <v>197.721490063907</v>
      </c>
      <c r="J373">
        <f t="shared" si="86"/>
        <v>230</v>
      </c>
      <c r="K373">
        <f t="shared" si="87"/>
        <v>378</v>
      </c>
      <c r="L373">
        <f t="shared" si="88"/>
        <v>156.47269016040096</v>
      </c>
      <c r="M373">
        <f t="shared" si="89"/>
        <v>108.13895043686934</v>
      </c>
      <c r="N373" s="69">
        <f t="shared" si="90"/>
        <v>91.394094063596299</v>
      </c>
      <c r="O373">
        <v>336</v>
      </c>
      <c r="P373">
        <f t="shared" si="83"/>
        <v>21.44988325096951</v>
      </c>
      <c r="Q373">
        <f t="shared" si="91"/>
        <v>-9.6479085357774839</v>
      </c>
      <c r="R373">
        <f t="shared" si="84"/>
        <v>-3.0550972832002179</v>
      </c>
      <c r="S373">
        <f t="shared" si="84"/>
        <v>-1.0275486416001089</v>
      </c>
      <c r="T373">
        <f t="shared" si="84"/>
        <v>3.0275486416001089</v>
      </c>
      <c r="U373">
        <f t="shared" si="84"/>
        <v>5.0550972832002179</v>
      </c>
      <c r="V373">
        <v>3.72000000000001</v>
      </c>
      <c r="W373" s="69">
        <f t="shared" si="92"/>
        <v>2.9311688311688311</v>
      </c>
      <c r="X373" s="69">
        <f t="shared" si="93"/>
        <v>-1.1724675324675324</v>
      </c>
      <c r="Y373">
        <f t="shared" si="94"/>
        <v>-3.0550972832002179</v>
      </c>
      <c r="Z373">
        <f t="shared" si="95"/>
        <v>5.0550972832002179</v>
      </c>
    </row>
    <row r="374" spans="9:26">
      <c r="I374">
        <f t="shared" si="85"/>
        <v>197.721490063907</v>
      </c>
      <c r="J374">
        <f t="shared" si="86"/>
        <v>230</v>
      </c>
      <c r="K374">
        <f t="shared" si="87"/>
        <v>378</v>
      </c>
      <c r="L374">
        <f t="shared" si="88"/>
        <v>156.47269016040096</v>
      </c>
      <c r="M374">
        <f t="shared" si="89"/>
        <v>108.13895043686934</v>
      </c>
      <c r="N374" s="69">
        <f t="shared" si="90"/>
        <v>91.394094063596299</v>
      </c>
      <c r="O374">
        <v>337</v>
      </c>
      <c r="P374">
        <f t="shared" si="83"/>
        <v>21.577751124303397</v>
      </c>
      <c r="Q374">
        <f t="shared" si="91"/>
        <v>-9.7054220211496709</v>
      </c>
      <c r="R374">
        <f t="shared" si="84"/>
        <v>-3.0671660251145045</v>
      </c>
      <c r="S374">
        <f t="shared" si="84"/>
        <v>-1.0335830125572523</v>
      </c>
      <c r="T374">
        <f t="shared" si="84"/>
        <v>3.0335830125572523</v>
      </c>
      <c r="U374">
        <f t="shared" si="84"/>
        <v>5.0671660251145045</v>
      </c>
      <c r="V374">
        <v>3.74000000000001</v>
      </c>
      <c r="W374" s="69">
        <f t="shared" si="92"/>
        <v>2.9311688311688311</v>
      </c>
      <c r="X374" s="69">
        <f t="shared" si="93"/>
        <v>-1.1724675324675324</v>
      </c>
      <c r="Y374">
        <f t="shared" si="94"/>
        <v>-3.0671660251145045</v>
      </c>
      <c r="Z374">
        <f t="shared" si="95"/>
        <v>5.0671660251145045</v>
      </c>
    </row>
    <row r="375" spans="9:26">
      <c r="I375">
        <f t="shared" si="85"/>
        <v>197.721490063907</v>
      </c>
      <c r="J375">
        <f t="shared" si="86"/>
        <v>230</v>
      </c>
      <c r="K375">
        <f t="shared" si="87"/>
        <v>378</v>
      </c>
      <c r="L375">
        <f t="shared" si="88"/>
        <v>156.47269016040096</v>
      </c>
      <c r="M375">
        <f t="shared" si="89"/>
        <v>108.13895043686934</v>
      </c>
      <c r="N375" s="69">
        <f t="shared" si="90"/>
        <v>91.394094063596299</v>
      </c>
      <c r="O375">
        <v>338</v>
      </c>
      <c r="P375">
        <f t="shared" si="83"/>
        <v>21.705998991317326</v>
      </c>
      <c r="Q375">
        <f t="shared" si="91"/>
        <v>-9.7631064232688747</v>
      </c>
      <c r="R375">
        <f t="shared" si="84"/>
        <v>-3.0792347670287912</v>
      </c>
      <c r="S375">
        <f t="shared" si="84"/>
        <v>-1.0396173835143956</v>
      </c>
      <c r="T375">
        <f t="shared" si="84"/>
        <v>3.0396173835143956</v>
      </c>
      <c r="U375">
        <f t="shared" si="84"/>
        <v>5.0792347670287912</v>
      </c>
      <c r="V375">
        <v>3.76000000000001</v>
      </c>
      <c r="W375" s="69">
        <f t="shared" si="92"/>
        <v>2.9311688311688311</v>
      </c>
      <c r="X375" s="69">
        <f t="shared" si="93"/>
        <v>-1.1724675324675324</v>
      </c>
      <c r="Y375">
        <f t="shared" si="94"/>
        <v>-3.0792347670287912</v>
      </c>
      <c r="Z375">
        <f t="shared" si="95"/>
        <v>5.0792347670287912</v>
      </c>
    </row>
    <row r="376" spans="9:26">
      <c r="I376">
        <f t="shared" si="85"/>
        <v>197.721490063907</v>
      </c>
      <c r="J376">
        <f t="shared" si="86"/>
        <v>230</v>
      </c>
      <c r="K376">
        <f t="shared" si="87"/>
        <v>378</v>
      </c>
      <c r="L376">
        <f t="shared" si="88"/>
        <v>156.47269016040096</v>
      </c>
      <c r="M376">
        <f t="shared" si="89"/>
        <v>108.13895043686934</v>
      </c>
      <c r="N376" s="69">
        <f t="shared" si="90"/>
        <v>91.394094063596299</v>
      </c>
      <c r="O376">
        <v>339</v>
      </c>
      <c r="P376">
        <f t="shared" si="83"/>
        <v>21.834626852011294</v>
      </c>
      <c r="Q376">
        <f t="shared" si="91"/>
        <v>-9.8209617421351005</v>
      </c>
      <c r="R376">
        <f t="shared" si="84"/>
        <v>-3.0913035089430778</v>
      </c>
      <c r="S376">
        <f t="shared" si="84"/>
        <v>-1.0456517544715389</v>
      </c>
      <c r="T376">
        <f t="shared" si="84"/>
        <v>3.0456517544715389</v>
      </c>
      <c r="U376">
        <f t="shared" si="84"/>
        <v>5.0913035089430778</v>
      </c>
      <c r="V376">
        <v>3.78000000000001</v>
      </c>
      <c r="W376" s="69">
        <f t="shared" si="92"/>
        <v>2.9311688311688311</v>
      </c>
      <c r="X376" s="69">
        <f t="shared" si="93"/>
        <v>-1.1724675324675324</v>
      </c>
      <c r="Y376">
        <f t="shared" si="94"/>
        <v>-3.0913035089430778</v>
      </c>
      <c r="Z376">
        <f t="shared" si="95"/>
        <v>5.0913035089430778</v>
      </c>
    </row>
    <row r="377" spans="9:26">
      <c r="I377">
        <f t="shared" si="85"/>
        <v>197.721490063907</v>
      </c>
      <c r="J377">
        <f t="shared" si="86"/>
        <v>230</v>
      </c>
      <c r="K377">
        <f t="shared" si="87"/>
        <v>378</v>
      </c>
      <c r="L377">
        <f t="shared" si="88"/>
        <v>156.47269016040096</v>
      </c>
      <c r="M377">
        <f t="shared" si="89"/>
        <v>108.13895043686934</v>
      </c>
      <c r="N377" s="69">
        <f t="shared" si="90"/>
        <v>91.394094063596299</v>
      </c>
      <c r="O377">
        <v>340</v>
      </c>
      <c r="P377">
        <f t="shared" si="83"/>
        <v>21.963634706385299</v>
      </c>
      <c r="Q377">
        <f t="shared" si="91"/>
        <v>-9.8789879777483431</v>
      </c>
      <c r="R377">
        <f t="shared" si="84"/>
        <v>-3.1033722508573645</v>
      </c>
      <c r="S377">
        <f t="shared" si="84"/>
        <v>-1.0516861254286822</v>
      </c>
      <c r="T377">
        <f t="shared" si="84"/>
        <v>3.0516861254286822</v>
      </c>
      <c r="U377">
        <f t="shared" si="84"/>
        <v>5.1033722508573645</v>
      </c>
      <c r="V377">
        <v>3.80000000000001</v>
      </c>
      <c r="W377" s="69">
        <f t="shared" si="92"/>
        <v>2.9311688311688311</v>
      </c>
      <c r="X377" s="69">
        <f t="shared" si="93"/>
        <v>-1.1724675324675324</v>
      </c>
      <c r="Y377">
        <f t="shared" si="94"/>
        <v>-3.1033722508573645</v>
      </c>
      <c r="Z377">
        <f t="shared" si="95"/>
        <v>5.1033722508573645</v>
      </c>
    </row>
    <row r="378" spans="9:26">
      <c r="I378">
        <f t="shared" si="85"/>
        <v>197.721490063907</v>
      </c>
      <c r="J378">
        <f t="shared" si="86"/>
        <v>230</v>
      </c>
      <c r="K378">
        <f t="shared" si="87"/>
        <v>378</v>
      </c>
      <c r="L378">
        <f t="shared" si="88"/>
        <v>156.47269016040096</v>
      </c>
      <c r="M378">
        <f t="shared" si="89"/>
        <v>108.13895043686934</v>
      </c>
      <c r="N378" s="69">
        <f t="shared" si="90"/>
        <v>91.394094063596299</v>
      </c>
      <c r="O378">
        <v>341</v>
      </c>
      <c r="P378">
        <f t="shared" si="83"/>
        <v>22.093022554439354</v>
      </c>
      <c r="Q378">
        <f t="shared" si="91"/>
        <v>-9.9371851301086096</v>
      </c>
      <c r="R378">
        <f t="shared" si="84"/>
        <v>-3.1154409927716502</v>
      </c>
      <c r="S378">
        <f t="shared" si="84"/>
        <v>-1.0577204963858251</v>
      </c>
      <c r="T378">
        <f t="shared" si="84"/>
        <v>3.0577204963858251</v>
      </c>
      <c r="U378">
        <f t="shared" si="84"/>
        <v>5.1154409927716502</v>
      </c>
      <c r="V378">
        <v>3.8200000000000101</v>
      </c>
      <c r="W378" s="69">
        <f t="shared" si="92"/>
        <v>2.9311688311688311</v>
      </c>
      <c r="X378" s="69">
        <f t="shared" si="93"/>
        <v>-1.1724675324675324</v>
      </c>
      <c r="Y378">
        <f t="shared" si="94"/>
        <v>-3.1154409927716502</v>
      </c>
      <c r="Z378">
        <f t="shared" si="95"/>
        <v>5.1154409927716502</v>
      </c>
    </row>
    <row r="379" spans="9:26">
      <c r="I379">
        <f t="shared" si="85"/>
        <v>197.721490063907</v>
      </c>
      <c r="J379">
        <f t="shared" si="86"/>
        <v>230</v>
      </c>
      <c r="K379">
        <f t="shared" si="87"/>
        <v>378</v>
      </c>
      <c r="L379">
        <f t="shared" si="88"/>
        <v>156.47269016040096</v>
      </c>
      <c r="M379">
        <f t="shared" si="89"/>
        <v>108.13895043686934</v>
      </c>
      <c r="N379" s="69">
        <f t="shared" si="90"/>
        <v>91.394094063596299</v>
      </c>
      <c r="O379">
        <v>342</v>
      </c>
      <c r="P379">
        <f t="shared" si="83"/>
        <v>22.222790396173448</v>
      </c>
      <c r="Q379">
        <f t="shared" si="91"/>
        <v>-9.9955531992158946</v>
      </c>
      <c r="R379">
        <f t="shared" si="84"/>
        <v>-3.1275097346859368</v>
      </c>
      <c r="S379">
        <f t="shared" si="84"/>
        <v>-1.0637548673429684</v>
      </c>
      <c r="T379">
        <f t="shared" si="84"/>
        <v>3.0637548673429684</v>
      </c>
      <c r="U379">
        <f t="shared" si="84"/>
        <v>5.1275097346859368</v>
      </c>
      <c r="V379">
        <v>3.8400000000000101</v>
      </c>
      <c r="W379" s="69">
        <f t="shared" si="92"/>
        <v>2.9311688311688311</v>
      </c>
      <c r="X379" s="69">
        <f t="shared" si="93"/>
        <v>-1.1724675324675324</v>
      </c>
      <c r="Y379">
        <f t="shared" si="94"/>
        <v>-3.1275097346859368</v>
      </c>
      <c r="Z379">
        <f t="shared" si="95"/>
        <v>5.1275097346859368</v>
      </c>
    </row>
    <row r="380" spans="9:26">
      <c r="I380">
        <f t="shared" si="85"/>
        <v>197.721490063907</v>
      </c>
      <c r="J380">
        <f t="shared" si="86"/>
        <v>230</v>
      </c>
      <c r="K380">
        <f t="shared" si="87"/>
        <v>378</v>
      </c>
      <c r="L380">
        <f t="shared" si="88"/>
        <v>156.47269016040096</v>
      </c>
      <c r="M380">
        <f t="shared" si="89"/>
        <v>108.13895043686934</v>
      </c>
      <c r="N380" s="69">
        <f t="shared" si="90"/>
        <v>91.394094063596299</v>
      </c>
      <c r="O380">
        <v>343</v>
      </c>
      <c r="P380">
        <f t="shared" si="83"/>
        <v>22.352938231587583</v>
      </c>
      <c r="Q380">
        <f t="shared" si="91"/>
        <v>-10.054092185070198</v>
      </c>
      <c r="R380">
        <f t="shared" si="84"/>
        <v>-3.1395784766002226</v>
      </c>
      <c r="S380">
        <f t="shared" si="84"/>
        <v>-1.0697892383001113</v>
      </c>
      <c r="T380">
        <f t="shared" si="84"/>
        <v>3.0697892383001113</v>
      </c>
      <c r="U380">
        <f t="shared" si="84"/>
        <v>5.1395784766002226</v>
      </c>
      <c r="V380">
        <v>3.8600000000000101</v>
      </c>
      <c r="W380" s="69">
        <f t="shared" si="92"/>
        <v>2.9311688311688311</v>
      </c>
      <c r="X380" s="69">
        <f t="shared" si="93"/>
        <v>-1.1724675324675324</v>
      </c>
      <c r="Y380">
        <f t="shared" si="94"/>
        <v>-3.1395784766002226</v>
      </c>
      <c r="Z380">
        <f t="shared" si="95"/>
        <v>5.1395784766002226</v>
      </c>
    </row>
    <row r="381" spans="9:26">
      <c r="I381">
        <f t="shared" si="85"/>
        <v>197.721490063907</v>
      </c>
      <c r="J381">
        <f t="shared" si="86"/>
        <v>230</v>
      </c>
      <c r="K381">
        <f t="shared" si="87"/>
        <v>378</v>
      </c>
      <c r="L381">
        <f t="shared" si="88"/>
        <v>156.47269016040096</v>
      </c>
      <c r="M381">
        <f t="shared" si="89"/>
        <v>108.13895043686934</v>
      </c>
      <c r="N381" s="69">
        <f t="shared" si="90"/>
        <v>91.394094063596299</v>
      </c>
      <c r="O381">
        <v>344</v>
      </c>
      <c r="P381">
        <f t="shared" si="83"/>
        <v>22.48346606068176</v>
      </c>
      <c r="Q381">
        <f t="shared" si="91"/>
        <v>-10.112802087671524</v>
      </c>
      <c r="R381">
        <f t="shared" si="84"/>
        <v>-3.1516472185145092</v>
      </c>
      <c r="S381">
        <f t="shared" si="84"/>
        <v>-1.0758236092572546</v>
      </c>
      <c r="T381">
        <f t="shared" si="84"/>
        <v>3.0758236092572546</v>
      </c>
      <c r="U381">
        <f t="shared" si="84"/>
        <v>5.1516472185145092</v>
      </c>
      <c r="V381">
        <v>3.8800000000000101</v>
      </c>
      <c r="W381" s="69">
        <f t="shared" si="92"/>
        <v>2.9311688311688311</v>
      </c>
      <c r="X381" s="69">
        <f t="shared" si="93"/>
        <v>-1.1724675324675324</v>
      </c>
      <c r="Y381">
        <f t="shared" si="94"/>
        <v>-3.1516472185145092</v>
      </c>
      <c r="Z381">
        <f t="shared" si="95"/>
        <v>5.1516472185145092</v>
      </c>
    </row>
    <row r="382" spans="9:26">
      <c r="I382">
        <f t="shared" si="85"/>
        <v>197.721490063907</v>
      </c>
      <c r="J382">
        <f t="shared" si="86"/>
        <v>230</v>
      </c>
      <c r="K382">
        <f t="shared" si="87"/>
        <v>378</v>
      </c>
      <c r="L382">
        <f t="shared" si="88"/>
        <v>156.47269016040096</v>
      </c>
      <c r="M382">
        <f t="shared" si="89"/>
        <v>108.13895043686934</v>
      </c>
      <c r="N382" s="69">
        <f t="shared" si="90"/>
        <v>91.394094063596299</v>
      </c>
      <c r="O382">
        <v>345</v>
      </c>
      <c r="P382">
        <f t="shared" si="83"/>
        <v>22.614373883455972</v>
      </c>
      <c r="Q382">
        <f t="shared" si="91"/>
        <v>-10.171682907019868</v>
      </c>
      <c r="R382">
        <f t="shared" si="84"/>
        <v>-3.163715960428795</v>
      </c>
      <c r="S382">
        <f t="shared" si="84"/>
        <v>-1.0818579802143975</v>
      </c>
      <c r="T382">
        <f t="shared" si="84"/>
        <v>3.0818579802143975</v>
      </c>
      <c r="U382">
        <f t="shared" si="84"/>
        <v>5.163715960428795</v>
      </c>
      <c r="V382">
        <v>3.9000000000000101</v>
      </c>
      <c r="W382" s="69">
        <f t="shared" si="92"/>
        <v>2.9311688311688311</v>
      </c>
      <c r="X382" s="69">
        <f t="shared" si="93"/>
        <v>-1.1724675324675324</v>
      </c>
      <c r="Y382">
        <f t="shared" si="94"/>
        <v>-3.163715960428795</v>
      </c>
      <c r="Z382">
        <f t="shared" si="95"/>
        <v>5.163715960428795</v>
      </c>
    </row>
    <row r="383" spans="9:26">
      <c r="I383">
        <f t="shared" si="85"/>
        <v>197.721490063907</v>
      </c>
      <c r="J383">
        <f t="shared" si="86"/>
        <v>230</v>
      </c>
      <c r="K383">
        <f t="shared" si="87"/>
        <v>378</v>
      </c>
      <c r="L383">
        <f t="shared" si="88"/>
        <v>156.47269016040096</v>
      </c>
      <c r="M383">
        <f t="shared" si="89"/>
        <v>108.13895043686934</v>
      </c>
      <c r="N383" s="69">
        <f t="shared" si="90"/>
        <v>91.394094063596299</v>
      </c>
      <c r="O383">
        <v>346</v>
      </c>
      <c r="P383">
        <f t="shared" si="83"/>
        <v>22.745661699910233</v>
      </c>
      <c r="Q383">
        <f t="shared" si="91"/>
        <v>-10.230734643115232</v>
      </c>
      <c r="R383">
        <f t="shared" si="84"/>
        <v>-3.1757847023430816</v>
      </c>
      <c r="S383">
        <f t="shared" si="84"/>
        <v>-1.0878923511715408</v>
      </c>
      <c r="T383">
        <f t="shared" si="84"/>
        <v>3.0878923511715408</v>
      </c>
      <c r="U383">
        <f t="shared" si="84"/>
        <v>5.1757847023430816</v>
      </c>
      <c r="V383">
        <v>3.9200000000000101</v>
      </c>
      <c r="W383" s="69">
        <f t="shared" si="92"/>
        <v>2.9311688311688311</v>
      </c>
      <c r="X383" s="69">
        <f t="shared" si="93"/>
        <v>-1.1724675324675324</v>
      </c>
      <c r="Y383">
        <f t="shared" si="94"/>
        <v>-3.1757847023430816</v>
      </c>
      <c r="Z383">
        <f t="shared" si="95"/>
        <v>5.1757847023430816</v>
      </c>
    </row>
    <row r="384" spans="9:26">
      <c r="I384">
        <f t="shared" si="85"/>
        <v>197.721490063907</v>
      </c>
      <c r="J384">
        <f t="shared" si="86"/>
        <v>230</v>
      </c>
      <c r="K384">
        <f t="shared" si="87"/>
        <v>378</v>
      </c>
      <c r="L384">
        <f t="shared" si="88"/>
        <v>156.47269016040096</v>
      </c>
      <c r="M384">
        <f t="shared" si="89"/>
        <v>108.13895043686934</v>
      </c>
      <c r="N384" s="69">
        <f t="shared" si="90"/>
        <v>91.394094063596299</v>
      </c>
      <c r="O384">
        <v>347</v>
      </c>
      <c r="P384">
        <f t="shared" si="83"/>
        <v>22.877329510044536</v>
      </c>
      <c r="Q384">
        <f t="shared" si="91"/>
        <v>-10.289957295957617</v>
      </c>
      <c r="R384">
        <f t="shared" si="84"/>
        <v>-3.1878534442573683</v>
      </c>
      <c r="S384">
        <f t="shared" si="84"/>
        <v>-1.0939267221286841</v>
      </c>
      <c r="T384">
        <f t="shared" si="84"/>
        <v>3.0939267221286841</v>
      </c>
      <c r="U384">
        <f t="shared" si="84"/>
        <v>5.1878534442573683</v>
      </c>
      <c r="V384">
        <v>3.9400000000000102</v>
      </c>
      <c r="W384" s="69">
        <f t="shared" si="92"/>
        <v>2.9311688311688311</v>
      </c>
      <c r="X384" s="69">
        <f t="shared" si="93"/>
        <v>-1.1724675324675324</v>
      </c>
      <c r="Y384">
        <f t="shared" si="94"/>
        <v>-3.1878534442573683</v>
      </c>
      <c r="Z384">
        <f t="shared" si="95"/>
        <v>5.1878534442573683</v>
      </c>
    </row>
    <row r="385" spans="9:26">
      <c r="I385">
        <f t="shared" si="85"/>
        <v>197.721490063907</v>
      </c>
      <c r="J385">
        <f t="shared" si="86"/>
        <v>230</v>
      </c>
      <c r="K385">
        <f t="shared" si="87"/>
        <v>378</v>
      </c>
      <c r="L385">
        <f t="shared" si="88"/>
        <v>156.47269016040096</v>
      </c>
      <c r="M385">
        <f t="shared" si="89"/>
        <v>108.13895043686934</v>
      </c>
      <c r="N385" s="69">
        <f t="shared" si="90"/>
        <v>91.394094063596299</v>
      </c>
      <c r="O385">
        <v>348</v>
      </c>
      <c r="P385">
        <f t="shared" si="83"/>
        <v>23.009377313858877</v>
      </c>
      <c r="Q385">
        <f t="shared" si="91"/>
        <v>-10.349350865547022</v>
      </c>
      <c r="R385">
        <f t="shared" si="84"/>
        <v>-3.1999221861716549</v>
      </c>
      <c r="S385">
        <f t="shared" si="84"/>
        <v>-1.0999610930858275</v>
      </c>
      <c r="T385">
        <f t="shared" si="84"/>
        <v>3.0999610930858275</v>
      </c>
      <c r="U385">
        <f t="shared" si="84"/>
        <v>5.1999221861716549</v>
      </c>
      <c r="V385">
        <v>3.9600000000000102</v>
      </c>
      <c r="W385" s="69">
        <f t="shared" si="92"/>
        <v>2.9311688311688311</v>
      </c>
      <c r="X385" s="69">
        <f t="shared" si="93"/>
        <v>-1.1724675324675324</v>
      </c>
      <c r="Y385">
        <f t="shared" si="94"/>
        <v>-3.1999221861716549</v>
      </c>
      <c r="Z385">
        <f t="shared" si="95"/>
        <v>5.1999221861716549</v>
      </c>
    </row>
    <row r="386" spans="9:26">
      <c r="I386">
        <f t="shared" si="85"/>
        <v>197.721490063907</v>
      </c>
      <c r="J386">
        <f t="shared" si="86"/>
        <v>230</v>
      </c>
      <c r="K386">
        <f t="shared" si="87"/>
        <v>378</v>
      </c>
      <c r="L386">
        <f t="shared" si="88"/>
        <v>156.47269016040096</v>
      </c>
      <c r="M386">
        <f t="shared" si="89"/>
        <v>108.13895043686934</v>
      </c>
      <c r="N386" s="69">
        <f t="shared" si="90"/>
        <v>91.394094063596299</v>
      </c>
      <c r="O386">
        <v>349</v>
      </c>
      <c r="P386">
        <f t="shared" si="83"/>
        <v>23.141805111353253</v>
      </c>
      <c r="Q386">
        <f t="shared" si="91"/>
        <v>-10.408915351883444</v>
      </c>
      <c r="R386">
        <f t="shared" si="84"/>
        <v>-3.2119909280859416</v>
      </c>
      <c r="S386">
        <f t="shared" si="84"/>
        <v>-1.1059954640429708</v>
      </c>
      <c r="T386">
        <f t="shared" si="84"/>
        <v>3.1059954640429708</v>
      </c>
      <c r="U386">
        <f t="shared" si="84"/>
        <v>5.2119909280859416</v>
      </c>
      <c r="V386">
        <v>3.9800000000000102</v>
      </c>
      <c r="W386" s="69">
        <f t="shared" si="92"/>
        <v>2.9311688311688311</v>
      </c>
      <c r="X386" s="69">
        <f t="shared" si="93"/>
        <v>-1.1724675324675324</v>
      </c>
      <c r="Y386">
        <f t="shared" si="94"/>
        <v>-3.2119909280859416</v>
      </c>
      <c r="Z386">
        <f t="shared" si="95"/>
        <v>5.2119909280859416</v>
      </c>
    </row>
    <row r="387" spans="9:26">
      <c r="I387">
        <f t="shared" si="85"/>
        <v>197.721490063907</v>
      </c>
      <c r="J387">
        <f t="shared" si="86"/>
        <v>230</v>
      </c>
      <c r="K387">
        <f t="shared" si="87"/>
        <v>378</v>
      </c>
      <c r="L387">
        <f t="shared" si="88"/>
        <v>156.47269016040096</v>
      </c>
      <c r="M387">
        <f t="shared" si="89"/>
        <v>108.13895043686934</v>
      </c>
      <c r="N387" s="69">
        <f t="shared" si="90"/>
        <v>91.394094063596299</v>
      </c>
      <c r="O387">
        <v>350</v>
      </c>
      <c r="P387">
        <f t="shared" si="83"/>
        <v>23.274612902527679</v>
      </c>
      <c r="Q387">
        <f t="shared" si="91"/>
        <v>-10.468650754966887</v>
      </c>
      <c r="R387">
        <f t="shared" si="84"/>
        <v>-3.2240596700002273</v>
      </c>
      <c r="S387">
        <f t="shared" si="84"/>
        <v>-1.1120298350001137</v>
      </c>
      <c r="T387">
        <f t="shared" si="84"/>
        <v>3.1120298350001137</v>
      </c>
      <c r="U387">
        <f t="shared" si="84"/>
        <v>5.2240596700002273</v>
      </c>
      <c r="V387">
        <v>4.0000000000000098</v>
      </c>
      <c r="W387" s="69">
        <f t="shared" si="92"/>
        <v>2.9311688311688311</v>
      </c>
      <c r="X387" s="69">
        <f t="shared" si="93"/>
        <v>-1.1724675324675324</v>
      </c>
      <c r="Y387">
        <f t="shared" si="94"/>
        <v>-3.2240596700002273</v>
      </c>
      <c r="Z387">
        <f t="shared" si="95"/>
        <v>5.2240596700002273</v>
      </c>
    </row>
    <row r="388" spans="9:26">
      <c r="I388">
        <f t="shared" si="85"/>
        <v>197.721490063907</v>
      </c>
      <c r="J388">
        <f t="shared" si="86"/>
        <v>230</v>
      </c>
      <c r="K388">
        <f t="shared" si="87"/>
        <v>378</v>
      </c>
      <c r="L388">
        <f t="shared" si="88"/>
        <v>156.47269016040096</v>
      </c>
      <c r="M388">
        <f t="shared" si="89"/>
        <v>108.13895043686934</v>
      </c>
      <c r="N388" s="69">
        <f t="shared" si="90"/>
        <v>91.394094063596299</v>
      </c>
      <c r="O388">
        <v>351</v>
      </c>
      <c r="P388">
        <f t="shared" si="83"/>
        <v>23.407800687382142</v>
      </c>
      <c r="Q388">
        <f t="shared" si="91"/>
        <v>-10.52855707479735</v>
      </c>
      <c r="R388">
        <f t="shared" si="84"/>
        <v>-3.2361284119145139</v>
      </c>
      <c r="S388">
        <f t="shared" si="84"/>
        <v>-1.118064205957257</v>
      </c>
      <c r="T388">
        <f t="shared" si="84"/>
        <v>3.118064205957257</v>
      </c>
      <c r="U388">
        <f t="shared" si="84"/>
        <v>5.2361284119145139</v>
      </c>
      <c r="V388">
        <v>4.0200000000000102</v>
      </c>
      <c r="W388" s="69">
        <f t="shared" si="92"/>
        <v>2.9311688311688311</v>
      </c>
      <c r="X388" s="69">
        <f t="shared" si="93"/>
        <v>-1.1724675324675324</v>
      </c>
      <c r="Y388">
        <f t="shared" si="94"/>
        <v>-3.2361284119145139</v>
      </c>
      <c r="Z388">
        <f t="shared" si="95"/>
        <v>5.2361284119145139</v>
      </c>
    </row>
    <row r="389" spans="9:26">
      <c r="I389">
        <f t="shared" si="85"/>
        <v>197.721490063907</v>
      </c>
      <c r="J389">
        <f t="shared" si="86"/>
        <v>230</v>
      </c>
      <c r="K389">
        <f t="shared" si="87"/>
        <v>378</v>
      </c>
      <c r="L389">
        <f t="shared" si="88"/>
        <v>156.47269016040096</v>
      </c>
      <c r="M389">
        <f t="shared" si="89"/>
        <v>108.13895043686934</v>
      </c>
      <c r="N389" s="69">
        <f t="shared" si="90"/>
        <v>91.394094063596299</v>
      </c>
      <c r="O389">
        <v>352</v>
      </c>
      <c r="P389">
        <f t="shared" si="83"/>
        <v>23.541368465916648</v>
      </c>
      <c r="Q389">
        <f t="shared" si="91"/>
        <v>-10.588634311374836</v>
      </c>
      <c r="R389">
        <f t="shared" si="84"/>
        <v>-3.2481971538288006</v>
      </c>
      <c r="S389">
        <f t="shared" si="84"/>
        <v>-1.1240985769144003</v>
      </c>
      <c r="T389">
        <f t="shared" si="84"/>
        <v>3.1240985769144003</v>
      </c>
      <c r="U389">
        <f t="shared" si="84"/>
        <v>5.2481971538288006</v>
      </c>
      <c r="V389">
        <v>4.0400000000000098</v>
      </c>
      <c r="W389" s="69">
        <f t="shared" si="92"/>
        <v>2.9311688311688311</v>
      </c>
      <c r="X389" s="69">
        <f t="shared" si="93"/>
        <v>-1.1724675324675324</v>
      </c>
      <c r="Y389">
        <f t="shared" si="94"/>
        <v>-3.2481971538288006</v>
      </c>
      <c r="Z389">
        <f t="shared" si="95"/>
        <v>5.2481971538288006</v>
      </c>
    </row>
    <row r="390" spans="9:26">
      <c r="I390">
        <f t="shared" si="85"/>
        <v>197.721490063907</v>
      </c>
      <c r="J390">
        <f t="shared" si="86"/>
        <v>230</v>
      </c>
      <c r="K390">
        <f t="shared" si="87"/>
        <v>378</v>
      </c>
      <c r="L390">
        <f t="shared" si="88"/>
        <v>156.47269016040096</v>
      </c>
      <c r="M390">
        <f t="shared" si="89"/>
        <v>108.13895043686934</v>
      </c>
      <c r="N390" s="69">
        <f t="shared" si="90"/>
        <v>91.394094063596299</v>
      </c>
      <c r="O390">
        <v>353</v>
      </c>
      <c r="P390">
        <f t="shared" si="83"/>
        <v>23.675316238131195</v>
      </c>
      <c r="Q390">
        <f t="shared" si="91"/>
        <v>-10.648882464699339</v>
      </c>
      <c r="R390">
        <f t="shared" si="84"/>
        <v>-3.2602658957430863</v>
      </c>
      <c r="S390">
        <f t="shared" si="84"/>
        <v>-1.1301329478715432</v>
      </c>
      <c r="T390">
        <f t="shared" si="84"/>
        <v>3.1301329478715432</v>
      </c>
      <c r="U390">
        <f t="shared" si="84"/>
        <v>5.2602658957430863</v>
      </c>
      <c r="V390">
        <v>4.0600000000000103</v>
      </c>
      <c r="W390" s="69">
        <f t="shared" si="92"/>
        <v>2.9311688311688311</v>
      </c>
      <c r="X390" s="69">
        <f t="shared" si="93"/>
        <v>-1.1724675324675324</v>
      </c>
      <c r="Y390">
        <f t="shared" si="94"/>
        <v>-3.2602658957430863</v>
      </c>
      <c r="Z390">
        <f t="shared" si="95"/>
        <v>5.2602658957430863</v>
      </c>
    </row>
    <row r="391" spans="9:26">
      <c r="I391">
        <f t="shared" si="85"/>
        <v>197.721490063907</v>
      </c>
      <c r="J391">
        <f t="shared" si="86"/>
        <v>230</v>
      </c>
      <c r="K391">
        <f t="shared" si="87"/>
        <v>378</v>
      </c>
      <c r="L391">
        <f t="shared" si="88"/>
        <v>156.47269016040096</v>
      </c>
      <c r="M391">
        <f t="shared" si="89"/>
        <v>108.13895043686934</v>
      </c>
      <c r="N391" s="69">
        <f t="shared" si="90"/>
        <v>91.394094063596299</v>
      </c>
      <c r="O391">
        <v>354</v>
      </c>
      <c r="P391">
        <f t="shared" si="83"/>
        <v>23.809644004025785</v>
      </c>
      <c r="Q391">
        <f t="shared" si="91"/>
        <v>-10.70930153477086</v>
      </c>
      <c r="R391">
        <f t="shared" si="84"/>
        <v>-3.272334637657373</v>
      </c>
      <c r="S391">
        <f t="shared" si="84"/>
        <v>-1.1361673188286865</v>
      </c>
      <c r="T391">
        <f t="shared" si="84"/>
        <v>3.1361673188286865</v>
      </c>
      <c r="U391">
        <f t="shared" si="84"/>
        <v>5.272334637657373</v>
      </c>
      <c r="V391">
        <v>4.0800000000000098</v>
      </c>
      <c r="W391" s="69">
        <f t="shared" si="92"/>
        <v>2.9311688311688311</v>
      </c>
      <c r="X391" s="69">
        <f t="shared" si="93"/>
        <v>-1.1724675324675324</v>
      </c>
      <c r="Y391">
        <f t="shared" si="94"/>
        <v>-3.272334637657373</v>
      </c>
      <c r="Z391">
        <f t="shared" si="95"/>
        <v>5.272334637657373</v>
      </c>
    </row>
    <row r="392" spans="9:26">
      <c r="I392">
        <f t="shared" si="85"/>
        <v>197.721490063907</v>
      </c>
      <c r="J392">
        <f t="shared" si="86"/>
        <v>230</v>
      </c>
      <c r="K392">
        <f t="shared" si="87"/>
        <v>378</v>
      </c>
      <c r="L392">
        <f t="shared" si="88"/>
        <v>156.47269016040096</v>
      </c>
      <c r="M392">
        <f t="shared" si="89"/>
        <v>108.13895043686934</v>
      </c>
      <c r="N392" s="69">
        <f t="shared" si="90"/>
        <v>91.394094063596299</v>
      </c>
      <c r="O392">
        <v>355</v>
      </c>
      <c r="P392">
        <f t="shared" si="83"/>
        <v>23.944351763600412</v>
      </c>
      <c r="Q392">
        <f t="shared" si="91"/>
        <v>-10.769891521589404</v>
      </c>
      <c r="R392">
        <f t="shared" si="84"/>
        <v>-3.2844033795716587</v>
      </c>
      <c r="S392">
        <f t="shared" si="84"/>
        <v>-1.1422016897858294</v>
      </c>
      <c r="T392">
        <f t="shared" si="84"/>
        <v>3.1422016897858294</v>
      </c>
      <c r="U392">
        <f t="shared" si="84"/>
        <v>5.2844033795716587</v>
      </c>
      <c r="V392">
        <v>4.1000000000000103</v>
      </c>
      <c r="W392" s="69">
        <f t="shared" si="92"/>
        <v>2.9311688311688311</v>
      </c>
      <c r="X392" s="69">
        <f t="shared" si="93"/>
        <v>-1.1724675324675324</v>
      </c>
      <c r="Y392">
        <f t="shared" si="94"/>
        <v>-3.2844033795716587</v>
      </c>
      <c r="Z392">
        <f t="shared" si="95"/>
        <v>5.2844033795716587</v>
      </c>
    </row>
    <row r="393" spans="9:26">
      <c r="I393">
        <f t="shared" si="85"/>
        <v>197.721490063907</v>
      </c>
      <c r="J393">
        <f t="shared" si="86"/>
        <v>230</v>
      </c>
      <c r="K393">
        <f t="shared" si="87"/>
        <v>378</v>
      </c>
      <c r="L393">
        <f t="shared" si="88"/>
        <v>156.47269016040096</v>
      </c>
      <c r="M393">
        <f t="shared" si="89"/>
        <v>108.13895043686934</v>
      </c>
      <c r="N393" s="69">
        <f t="shared" si="90"/>
        <v>91.394094063596299</v>
      </c>
      <c r="O393">
        <v>356</v>
      </c>
      <c r="P393">
        <f t="shared" si="83"/>
        <v>24.079439516855086</v>
      </c>
      <c r="Q393">
        <f t="shared" si="91"/>
        <v>-10.830652425154968</v>
      </c>
      <c r="R393">
        <f t="shared" si="84"/>
        <v>-3.2964721214859454</v>
      </c>
      <c r="S393">
        <f t="shared" si="84"/>
        <v>-1.1482360607429727</v>
      </c>
      <c r="T393">
        <f t="shared" si="84"/>
        <v>3.1482360607429727</v>
      </c>
      <c r="U393">
        <f t="shared" si="84"/>
        <v>5.2964721214859454</v>
      </c>
      <c r="V393">
        <v>4.1200000000000099</v>
      </c>
      <c r="W393" s="69">
        <f t="shared" si="92"/>
        <v>2.9311688311688311</v>
      </c>
      <c r="X393" s="69">
        <f t="shared" si="93"/>
        <v>-1.1724675324675324</v>
      </c>
      <c r="Y393">
        <f t="shared" si="94"/>
        <v>-3.2964721214859454</v>
      </c>
      <c r="Z393">
        <f t="shared" si="95"/>
        <v>5.2964721214859454</v>
      </c>
    </row>
    <row r="394" spans="9:26">
      <c r="I394">
        <f t="shared" si="85"/>
        <v>197.721490063907</v>
      </c>
      <c r="J394">
        <f t="shared" si="86"/>
        <v>230</v>
      </c>
      <c r="K394">
        <f t="shared" si="87"/>
        <v>378</v>
      </c>
      <c r="L394">
        <f t="shared" si="88"/>
        <v>156.47269016040096</v>
      </c>
      <c r="M394">
        <f t="shared" si="89"/>
        <v>108.13895043686934</v>
      </c>
      <c r="N394" s="69">
        <f t="shared" si="90"/>
        <v>91.394094063596299</v>
      </c>
      <c r="O394">
        <v>357</v>
      </c>
      <c r="P394">
        <f t="shared" si="83"/>
        <v>24.214907263789801</v>
      </c>
      <c r="Q394">
        <f t="shared" si="91"/>
        <v>-10.89158424546755</v>
      </c>
      <c r="R394">
        <f t="shared" si="84"/>
        <v>-3.308540863400232</v>
      </c>
      <c r="S394">
        <f t="shared" si="84"/>
        <v>-1.154270431700116</v>
      </c>
      <c r="T394">
        <f t="shared" si="84"/>
        <v>3.154270431700116</v>
      </c>
      <c r="U394">
        <f t="shared" si="84"/>
        <v>5.308540863400232</v>
      </c>
      <c r="V394">
        <v>4.1400000000000103</v>
      </c>
      <c r="W394" s="69">
        <f t="shared" si="92"/>
        <v>2.9311688311688311</v>
      </c>
      <c r="X394" s="69">
        <f t="shared" si="93"/>
        <v>-1.1724675324675324</v>
      </c>
      <c r="Y394">
        <f t="shared" si="94"/>
        <v>-3.308540863400232</v>
      </c>
      <c r="Z394">
        <f t="shared" si="95"/>
        <v>5.308540863400232</v>
      </c>
    </row>
    <row r="395" spans="9:26">
      <c r="I395">
        <f t="shared" si="85"/>
        <v>197.721490063907</v>
      </c>
      <c r="J395">
        <f t="shared" si="86"/>
        <v>230</v>
      </c>
      <c r="K395">
        <f t="shared" si="87"/>
        <v>378</v>
      </c>
      <c r="L395">
        <f t="shared" si="88"/>
        <v>156.47269016040096</v>
      </c>
      <c r="M395">
        <f t="shared" si="89"/>
        <v>108.13895043686934</v>
      </c>
      <c r="N395" s="69">
        <f t="shared" si="90"/>
        <v>91.394094063596299</v>
      </c>
      <c r="O395">
        <v>358</v>
      </c>
      <c r="P395">
        <f t="shared" si="83"/>
        <v>24.350755004404554</v>
      </c>
      <c r="Q395">
        <f t="shared" si="91"/>
        <v>-10.952686982527153</v>
      </c>
      <c r="R395">
        <f t="shared" si="84"/>
        <v>-3.3206096053145187</v>
      </c>
      <c r="S395">
        <f t="shared" si="84"/>
        <v>-1.1603048026572593</v>
      </c>
      <c r="T395">
        <f t="shared" si="84"/>
        <v>3.1603048026572593</v>
      </c>
      <c r="U395">
        <f t="shared" si="84"/>
        <v>5.3206096053145187</v>
      </c>
      <c r="V395">
        <v>4.1600000000000099</v>
      </c>
      <c r="W395" s="69">
        <f t="shared" si="92"/>
        <v>2.9311688311688311</v>
      </c>
      <c r="X395" s="69">
        <f t="shared" si="93"/>
        <v>-1.1724675324675324</v>
      </c>
      <c r="Y395">
        <f t="shared" si="94"/>
        <v>-3.3206096053145187</v>
      </c>
      <c r="Z395">
        <f t="shared" si="95"/>
        <v>5.3206096053145187</v>
      </c>
    </row>
    <row r="396" spans="9:26">
      <c r="I396">
        <f t="shared" si="85"/>
        <v>197.721490063907</v>
      </c>
      <c r="J396">
        <f t="shared" si="86"/>
        <v>230</v>
      </c>
      <c r="K396">
        <f t="shared" si="87"/>
        <v>378</v>
      </c>
      <c r="L396">
        <f t="shared" si="88"/>
        <v>156.47269016040096</v>
      </c>
      <c r="M396">
        <f t="shared" si="89"/>
        <v>108.13895043686934</v>
      </c>
      <c r="N396" s="69">
        <f t="shared" si="90"/>
        <v>91.394094063596299</v>
      </c>
      <c r="O396">
        <v>359</v>
      </c>
      <c r="P396">
        <f t="shared" si="83"/>
        <v>24.486982738699343</v>
      </c>
      <c r="Q396">
        <f t="shared" si="91"/>
        <v>-11.013960636333776</v>
      </c>
      <c r="R396">
        <f t="shared" si="84"/>
        <v>-3.3326783472288053</v>
      </c>
      <c r="S396">
        <f t="shared" si="84"/>
        <v>-1.1663391736144026</v>
      </c>
      <c r="T396">
        <f t="shared" si="84"/>
        <v>3.1663391736144026</v>
      </c>
      <c r="U396">
        <f t="shared" si="84"/>
        <v>5.3326783472288053</v>
      </c>
      <c r="V396">
        <v>4.1800000000000104</v>
      </c>
      <c r="W396" s="69">
        <f t="shared" si="92"/>
        <v>2.9311688311688311</v>
      </c>
      <c r="X396" s="69">
        <f t="shared" si="93"/>
        <v>-1.1724675324675324</v>
      </c>
      <c r="Y396">
        <f t="shared" si="94"/>
        <v>-3.3326783472288053</v>
      </c>
      <c r="Z396">
        <f t="shared" si="95"/>
        <v>5.3326783472288053</v>
      </c>
    </row>
    <row r="397" spans="9:26">
      <c r="I397">
        <f t="shared" si="85"/>
        <v>197.721490063907</v>
      </c>
      <c r="J397">
        <f t="shared" si="86"/>
        <v>230</v>
      </c>
      <c r="K397">
        <f t="shared" si="87"/>
        <v>378</v>
      </c>
      <c r="L397">
        <f t="shared" si="88"/>
        <v>156.47269016040096</v>
      </c>
      <c r="M397">
        <f t="shared" si="89"/>
        <v>108.13895043686934</v>
      </c>
      <c r="N397" s="69">
        <f t="shared" si="90"/>
        <v>91.394094063596299</v>
      </c>
      <c r="O397">
        <v>360</v>
      </c>
      <c r="P397">
        <f t="shared" si="83"/>
        <v>24.623590466674177</v>
      </c>
      <c r="Q397">
        <f t="shared" si="91"/>
        <v>-11.075405206887417</v>
      </c>
      <c r="R397">
        <f t="shared" si="84"/>
        <v>-3.344747089143091</v>
      </c>
      <c r="S397">
        <f t="shared" si="84"/>
        <v>-1.1723735445715455</v>
      </c>
      <c r="T397">
        <f t="shared" si="84"/>
        <v>3.1723735445715455</v>
      </c>
      <c r="U397">
        <f t="shared" si="84"/>
        <v>5.344747089143091</v>
      </c>
      <c r="V397">
        <v>4.2000000000000099</v>
      </c>
      <c r="W397" s="69">
        <f t="shared" si="92"/>
        <v>2.9311688311688311</v>
      </c>
      <c r="X397" s="69">
        <f t="shared" si="93"/>
        <v>-1.1724675324675324</v>
      </c>
      <c r="Y397">
        <f t="shared" si="94"/>
        <v>-3.344747089143091</v>
      </c>
      <c r="Z397">
        <f t="shared" si="95"/>
        <v>5.344747089143091</v>
      </c>
    </row>
    <row r="398" spans="9:26">
      <c r="I398">
        <f t="shared" si="85"/>
        <v>197.721490063907</v>
      </c>
      <c r="J398">
        <f t="shared" si="86"/>
        <v>230</v>
      </c>
      <c r="K398">
        <f t="shared" si="87"/>
        <v>378</v>
      </c>
      <c r="L398">
        <f t="shared" si="88"/>
        <v>156.47269016040096</v>
      </c>
      <c r="M398">
        <f t="shared" si="89"/>
        <v>108.13895043686934</v>
      </c>
      <c r="N398" s="69">
        <f t="shared" si="90"/>
        <v>91.394094063596299</v>
      </c>
      <c r="O398">
        <v>361</v>
      </c>
      <c r="P398">
        <f t="shared" si="83"/>
        <v>24.760578188329053</v>
      </c>
      <c r="Q398">
        <f t="shared" si="91"/>
        <v>-11.137020694188079</v>
      </c>
      <c r="R398">
        <f t="shared" si="84"/>
        <v>-3.3568158310573777</v>
      </c>
      <c r="S398">
        <f t="shared" si="84"/>
        <v>-1.1784079155286888</v>
      </c>
      <c r="T398">
        <f t="shared" si="84"/>
        <v>3.1784079155286888</v>
      </c>
      <c r="U398">
        <f t="shared" si="84"/>
        <v>5.3568158310573777</v>
      </c>
      <c r="V398">
        <v>4.2200000000000104</v>
      </c>
      <c r="W398" s="69">
        <f t="shared" si="92"/>
        <v>2.9311688311688311</v>
      </c>
      <c r="X398" s="69">
        <f t="shared" si="93"/>
        <v>-1.1724675324675324</v>
      </c>
      <c r="Y398">
        <f t="shared" si="94"/>
        <v>-3.3568158310573777</v>
      </c>
      <c r="Z398">
        <f t="shared" si="95"/>
        <v>5.3568158310573777</v>
      </c>
    </row>
    <row r="399" spans="9:26">
      <c r="I399">
        <f t="shared" si="85"/>
        <v>197.721490063907</v>
      </c>
      <c r="J399">
        <f t="shared" si="86"/>
        <v>230</v>
      </c>
      <c r="K399">
        <f t="shared" si="87"/>
        <v>378</v>
      </c>
      <c r="L399">
        <f t="shared" si="88"/>
        <v>156.47269016040096</v>
      </c>
      <c r="M399">
        <f t="shared" si="89"/>
        <v>108.13895043686934</v>
      </c>
      <c r="N399" s="69">
        <f t="shared" si="90"/>
        <v>91.394094063596299</v>
      </c>
      <c r="O399">
        <v>362</v>
      </c>
      <c r="P399">
        <f t="shared" si="83"/>
        <v>24.897945903663977</v>
      </c>
      <c r="Q399">
        <f t="shared" si="91"/>
        <v>-11.198807098235763</v>
      </c>
      <c r="R399">
        <f t="shared" si="84"/>
        <v>-3.3688845729716643</v>
      </c>
      <c r="S399">
        <f t="shared" si="84"/>
        <v>-1.1844422864858322</v>
      </c>
      <c r="T399">
        <f t="shared" si="84"/>
        <v>3.1844422864858322</v>
      </c>
      <c r="U399">
        <f t="shared" si="84"/>
        <v>5.3688845729716643</v>
      </c>
      <c r="V399">
        <v>4.24000000000001</v>
      </c>
      <c r="W399" s="69">
        <f t="shared" si="92"/>
        <v>2.9311688311688311</v>
      </c>
      <c r="X399" s="69">
        <f t="shared" si="93"/>
        <v>-1.1724675324675324</v>
      </c>
      <c r="Y399">
        <f t="shared" si="94"/>
        <v>-3.3688845729716643</v>
      </c>
      <c r="Z399">
        <f t="shared" si="95"/>
        <v>5.3688845729716643</v>
      </c>
    </row>
    <row r="400" spans="9:26">
      <c r="I400">
        <f t="shared" si="85"/>
        <v>197.721490063907</v>
      </c>
      <c r="J400">
        <f t="shared" si="86"/>
        <v>230</v>
      </c>
      <c r="K400">
        <f t="shared" si="87"/>
        <v>378</v>
      </c>
      <c r="L400">
        <f t="shared" si="88"/>
        <v>156.47269016040096</v>
      </c>
      <c r="M400">
        <f t="shared" si="89"/>
        <v>108.13895043686934</v>
      </c>
      <c r="N400" s="69">
        <f t="shared" si="90"/>
        <v>91.394094063596299</v>
      </c>
      <c r="O400">
        <v>363</v>
      </c>
      <c r="P400">
        <f t="shared" si="83"/>
        <v>25.035693612678937</v>
      </c>
      <c r="Q400">
        <f t="shared" si="91"/>
        <v>-11.260764419030465</v>
      </c>
      <c r="R400">
        <f t="shared" si="84"/>
        <v>-3.3809533148859501</v>
      </c>
      <c r="S400">
        <f t="shared" si="84"/>
        <v>-1.190476657442975</v>
      </c>
      <c r="T400">
        <f t="shared" si="84"/>
        <v>3.190476657442975</v>
      </c>
      <c r="U400">
        <f t="shared" si="84"/>
        <v>5.3809533148859501</v>
      </c>
      <c r="V400">
        <v>4.2600000000000096</v>
      </c>
      <c r="W400" s="69">
        <f t="shared" si="92"/>
        <v>2.9311688311688311</v>
      </c>
      <c r="X400" s="69">
        <f t="shared" si="93"/>
        <v>-1.1724675324675324</v>
      </c>
      <c r="Y400">
        <f t="shared" si="94"/>
        <v>-3.3809533148859501</v>
      </c>
      <c r="Z400">
        <f t="shared" si="95"/>
        <v>5.3809533148859501</v>
      </c>
    </row>
    <row r="401" spans="9:26">
      <c r="I401">
        <f t="shared" si="85"/>
        <v>197.721490063907</v>
      </c>
      <c r="J401">
        <f t="shared" si="86"/>
        <v>230</v>
      </c>
      <c r="K401">
        <f t="shared" si="87"/>
        <v>378</v>
      </c>
      <c r="L401">
        <f t="shared" si="88"/>
        <v>156.47269016040096</v>
      </c>
      <c r="M401">
        <f t="shared" si="89"/>
        <v>108.13895043686934</v>
      </c>
      <c r="N401" s="69">
        <f t="shared" si="90"/>
        <v>91.394094063596299</v>
      </c>
      <c r="O401">
        <v>364</v>
      </c>
      <c r="P401">
        <f t="shared" si="83"/>
        <v>25.173821315373932</v>
      </c>
      <c r="Q401">
        <f t="shared" si="91"/>
        <v>-11.322892656572186</v>
      </c>
      <c r="R401">
        <f t="shared" si="84"/>
        <v>-3.3930220568002367</v>
      </c>
      <c r="S401">
        <f t="shared" si="84"/>
        <v>-1.1965110284001184</v>
      </c>
      <c r="T401">
        <f t="shared" si="84"/>
        <v>3.1965110284001184</v>
      </c>
      <c r="U401">
        <f t="shared" si="84"/>
        <v>5.3930220568002367</v>
      </c>
      <c r="V401">
        <v>4.28000000000001</v>
      </c>
      <c r="W401" s="69">
        <f t="shared" si="92"/>
        <v>2.9311688311688311</v>
      </c>
      <c r="X401" s="69">
        <f t="shared" si="93"/>
        <v>-1.1724675324675324</v>
      </c>
      <c r="Y401">
        <f t="shared" si="94"/>
        <v>-3.3930220568002367</v>
      </c>
      <c r="Z401">
        <f t="shared" si="95"/>
        <v>5.3930220568002367</v>
      </c>
    </row>
    <row r="402" spans="9:26">
      <c r="I402">
        <f t="shared" si="85"/>
        <v>197.721490063907</v>
      </c>
      <c r="J402">
        <f t="shared" si="86"/>
        <v>230</v>
      </c>
      <c r="K402">
        <f t="shared" si="87"/>
        <v>378</v>
      </c>
      <c r="L402">
        <f t="shared" si="88"/>
        <v>156.47269016040096</v>
      </c>
      <c r="M402">
        <f t="shared" si="89"/>
        <v>108.13895043686934</v>
      </c>
      <c r="N402" s="69">
        <f t="shared" si="90"/>
        <v>91.394094063596299</v>
      </c>
      <c r="O402">
        <v>365</v>
      </c>
      <c r="P402">
        <f t="shared" si="83"/>
        <v>25.312329011748975</v>
      </c>
      <c r="Q402">
        <f t="shared" si="91"/>
        <v>-11.385191810860926</v>
      </c>
      <c r="R402">
        <f t="shared" si="84"/>
        <v>-3.4050907987145225</v>
      </c>
      <c r="S402">
        <f t="shared" si="84"/>
        <v>-1.2025453993572612</v>
      </c>
      <c r="T402">
        <f t="shared" si="84"/>
        <v>3.2025453993572612</v>
      </c>
      <c r="U402">
        <f t="shared" si="84"/>
        <v>5.4050907987145225</v>
      </c>
      <c r="V402">
        <v>4.3000000000000096</v>
      </c>
      <c r="W402" s="69">
        <f t="shared" si="92"/>
        <v>2.9311688311688311</v>
      </c>
      <c r="X402" s="69">
        <f t="shared" si="93"/>
        <v>-1.1724675324675324</v>
      </c>
      <c r="Y402">
        <f t="shared" si="94"/>
        <v>-3.4050907987145225</v>
      </c>
      <c r="Z402">
        <f t="shared" si="95"/>
        <v>5.4050907987145225</v>
      </c>
    </row>
    <row r="403" spans="9:26">
      <c r="I403">
        <f t="shared" si="85"/>
        <v>197.721490063907</v>
      </c>
      <c r="J403">
        <f t="shared" si="86"/>
        <v>230</v>
      </c>
      <c r="K403">
        <f t="shared" si="87"/>
        <v>378</v>
      </c>
      <c r="L403">
        <f t="shared" si="88"/>
        <v>156.47269016040096</v>
      </c>
      <c r="M403">
        <f t="shared" si="89"/>
        <v>108.13895043686934</v>
      </c>
      <c r="N403" s="69">
        <f t="shared" si="90"/>
        <v>91.394094063596299</v>
      </c>
      <c r="O403">
        <v>366</v>
      </c>
      <c r="P403">
        <f t="shared" si="83"/>
        <v>25.451216701804064</v>
      </c>
      <c r="Q403">
        <f t="shared" si="91"/>
        <v>-11.447661881896689</v>
      </c>
      <c r="R403">
        <f t="shared" si="84"/>
        <v>-3.4171595406288091</v>
      </c>
      <c r="S403">
        <f t="shared" si="84"/>
        <v>-1.2085797703144046</v>
      </c>
      <c r="T403">
        <f t="shared" si="84"/>
        <v>3.2085797703144046</v>
      </c>
      <c r="U403">
        <f t="shared" si="84"/>
        <v>5.4171595406288091</v>
      </c>
      <c r="V403">
        <v>4.3200000000000101</v>
      </c>
      <c r="W403" s="69">
        <f t="shared" si="92"/>
        <v>2.9311688311688311</v>
      </c>
      <c r="X403" s="69">
        <f t="shared" si="93"/>
        <v>-1.1724675324675324</v>
      </c>
      <c r="Y403">
        <f t="shared" si="94"/>
        <v>-3.4171595406288091</v>
      </c>
      <c r="Z403">
        <f t="shared" si="95"/>
        <v>5.4171595406288091</v>
      </c>
    </row>
    <row r="404" spans="9:26">
      <c r="I404">
        <f t="shared" si="85"/>
        <v>197.721490063907</v>
      </c>
      <c r="J404">
        <f t="shared" si="86"/>
        <v>230</v>
      </c>
      <c r="K404">
        <f t="shared" si="87"/>
        <v>378</v>
      </c>
      <c r="L404">
        <f t="shared" si="88"/>
        <v>156.47269016040096</v>
      </c>
      <c r="M404">
        <f t="shared" si="89"/>
        <v>108.13895043686934</v>
      </c>
      <c r="N404" s="69">
        <f t="shared" si="90"/>
        <v>91.394094063596299</v>
      </c>
      <c r="O404">
        <v>367</v>
      </c>
      <c r="P404">
        <f t="shared" si="83"/>
        <v>25.590484385539188</v>
      </c>
      <c r="Q404">
        <f t="shared" si="91"/>
        <v>-11.510302869679471</v>
      </c>
      <c r="R404">
        <f t="shared" si="84"/>
        <v>-3.4292282825430949</v>
      </c>
      <c r="S404">
        <f t="shared" si="84"/>
        <v>-1.2146141412715474</v>
      </c>
      <c r="T404">
        <f t="shared" si="84"/>
        <v>3.2146141412715474</v>
      </c>
      <c r="U404">
        <f t="shared" si="84"/>
        <v>5.4292282825430949</v>
      </c>
      <c r="V404">
        <v>4.3400000000000096</v>
      </c>
      <c r="W404" s="69">
        <f t="shared" si="92"/>
        <v>2.9311688311688311</v>
      </c>
      <c r="X404" s="69">
        <f t="shared" si="93"/>
        <v>-1.1724675324675324</v>
      </c>
      <c r="Y404">
        <f t="shared" si="94"/>
        <v>-3.4292282825430949</v>
      </c>
      <c r="Z404">
        <f t="shared" si="95"/>
        <v>5.4292282825430949</v>
      </c>
    </row>
    <row r="405" spans="9:26">
      <c r="I405">
        <f t="shared" si="85"/>
        <v>197.721490063907</v>
      </c>
      <c r="J405">
        <f t="shared" si="86"/>
        <v>230</v>
      </c>
      <c r="K405">
        <f t="shared" si="87"/>
        <v>378</v>
      </c>
      <c r="L405">
        <f t="shared" si="88"/>
        <v>156.47269016040096</v>
      </c>
      <c r="M405">
        <f t="shared" si="89"/>
        <v>108.13895043686934</v>
      </c>
      <c r="N405" s="69">
        <f t="shared" si="90"/>
        <v>91.394094063596299</v>
      </c>
      <c r="O405">
        <v>368</v>
      </c>
      <c r="P405">
        <f t="shared" si="83"/>
        <v>25.730132062954358</v>
      </c>
      <c r="Q405">
        <f t="shared" si="91"/>
        <v>-11.573114774209273</v>
      </c>
      <c r="R405">
        <f t="shared" si="84"/>
        <v>-3.4412970244573815</v>
      </c>
      <c r="S405">
        <f t="shared" si="84"/>
        <v>-1.2206485122286908</v>
      </c>
      <c r="T405">
        <f t="shared" si="84"/>
        <v>3.2206485122286908</v>
      </c>
      <c r="U405">
        <f t="shared" si="84"/>
        <v>5.4412970244573815</v>
      </c>
      <c r="V405">
        <v>4.3600000000000101</v>
      </c>
      <c r="W405" s="69">
        <f t="shared" si="92"/>
        <v>2.9311688311688311</v>
      </c>
      <c r="X405" s="69">
        <f t="shared" si="93"/>
        <v>-1.1724675324675324</v>
      </c>
      <c r="Y405">
        <f t="shared" si="94"/>
        <v>-3.4412970244573815</v>
      </c>
      <c r="Z405">
        <f t="shared" si="95"/>
        <v>5.4412970244573815</v>
      </c>
    </row>
    <row r="406" spans="9:26">
      <c r="I406">
        <f t="shared" si="85"/>
        <v>197.721490063907</v>
      </c>
      <c r="J406">
        <f t="shared" si="86"/>
        <v>230</v>
      </c>
      <c r="K406">
        <f t="shared" si="87"/>
        <v>378</v>
      </c>
      <c r="L406">
        <f t="shared" si="88"/>
        <v>156.47269016040096</v>
      </c>
      <c r="M406">
        <f t="shared" si="89"/>
        <v>108.13895043686934</v>
      </c>
      <c r="N406" s="69">
        <f t="shared" si="90"/>
        <v>91.394094063596299</v>
      </c>
      <c r="O406">
        <v>369</v>
      </c>
      <c r="P406">
        <f t="shared" si="83"/>
        <v>25.870159734049562</v>
      </c>
      <c r="Q406">
        <f t="shared" si="91"/>
        <v>-11.636097595486094</v>
      </c>
      <c r="R406">
        <f t="shared" si="84"/>
        <v>-3.4533657663716681</v>
      </c>
      <c r="S406">
        <f t="shared" si="84"/>
        <v>-1.2266828831858341</v>
      </c>
      <c r="T406">
        <f t="shared" si="84"/>
        <v>3.2266828831858341</v>
      </c>
      <c r="U406">
        <f t="shared" si="84"/>
        <v>5.4533657663716681</v>
      </c>
      <c r="V406">
        <v>4.3800000000000097</v>
      </c>
      <c r="W406" s="69">
        <f t="shared" si="92"/>
        <v>2.9311688311688311</v>
      </c>
      <c r="X406" s="69">
        <f t="shared" si="93"/>
        <v>-1.1724675324675324</v>
      </c>
      <c r="Y406">
        <f t="shared" si="94"/>
        <v>-3.4533657663716681</v>
      </c>
      <c r="Z406">
        <f t="shared" si="95"/>
        <v>5.4533657663716681</v>
      </c>
    </row>
    <row r="407" spans="9:26">
      <c r="I407">
        <f t="shared" si="85"/>
        <v>197.721490063907</v>
      </c>
      <c r="J407">
        <f t="shared" si="86"/>
        <v>230</v>
      </c>
      <c r="K407">
        <f t="shared" si="87"/>
        <v>378</v>
      </c>
      <c r="L407">
        <f t="shared" si="88"/>
        <v>156.47269016040096</v>
      </c>
      <c r="M407">
        <f t="shared" si="89"/>
        <v>108.13895043686934</v>
      </c>
      <c r="N407" s="69">
        <f t="shared" si="90"/>
        <v>91.394094063596299</v>
      </c>
      <c r="O407">
        <v>370</v>
      </c>
      <c r="P407">
        <f t="shared" si="83"/>
        <v>26.010567398824808</v>
      </c>
      <c r="Q407">
        <f t="shared" si="91"/>
        <v>-11.699251333509933</v>
      </c>
      <c r="R407">
        <f t="shared" si="84"/>
        <v>-3.4654345082859548</v>
      </c>
      <c r="S407">
        <f t="shared" si="84"/>
        <v>-1.2327172541429774</v>
      </c>
      <c r="T407">
        <f t="shared" si="84"/>
        <v>3.2327172541429774</v>
      </c>
      <c r="U407">
        <f t="shared" si="84"/>
        <v>5.4654345082859548</v>
      </c>
      <c r="V407">
        <v>4.4000000000000101</v>
      </c>
      <c r="W407" s="69">
        <f t="shared" si="92"/>
        <v>2.9311688311688311</v>
      </c>
      <c r="X407" s="69">
        <f t="shared" si="93"/>
        <v>-1.1724675324675324</v>
      </c>
      <c r="Y407">
        <f t="shared" si="94"/>
        <v>-3.4654345082859548</v>
      </c>
      <c r="Z407">
        <f t="shared" si="95"/>
        <v>5.4654345082859548</v>
      </c>
    </row>
    <row r="408" spans="9:26">
      <c r="I408">
        <f t="shared" si="85"/>
        <v>197.721490063907</v>
      </c>
      <c r="J408">
        <f t="shared" si="86"/>
        <v>230</v>
      </c>
      <c r="K408">
        <f t="shared" si="87"/>
        <v>378</v>
      </c>
      <c r="L408">
        <f t="shared" si="88"/>
        <v>156.47269016040096</v>
      </c>
      <c r="M408">
        <f t="shared" si="89"/>
        <v>108.13895043686934</v>
      </c>
      <c r="N408" s="69">
        <f t="shared" si="90"/>
        <v>91.394094063596299</v>
      </c>
      <c r="O408">
        <v>371</v>
      </c>
      <c r="P408">
        <f t="shared" si="83"/>
        <v>26.151355057280099</v>
      </c>
      <c r="Q408">
        <f t="shared" si="91"/>
        <v>-11.762575988280794</v>
      </c>
      <c r="R408">
        <f t="shared" si="84"/>
        <v>-3.4775032502002414</v>
      </c>
      <c r="S408">
        <f t="shared" si="84"/>
        <v>-1.2387516251001207</v>
      </c>
      <c r="T408">
        <f t="shared" si="84"/>
        <v>3.2387516251001207</v>
      </c>
      <c r="U408">
        <f t="shared" si="84"/>
        <v>5.4775032502002414</v>
      </c>
      <c r="V408">
        <v>4.4200000000000097</v>
      </c>
      <c r="W408" s="69">
        <f t="shared" si="92"/>
        <v>2.9311688311688311</v>
      </c>
      <c r="X408" s="69">
        <f t="shared" si="93"/>
        <v>-1.1724675324675324</v>
      </c>
      <c r="Y408">
        <f t="shared" si="94"/>
        <v>-3.4775032502002414</v>
      </c>
      <c r="Z408">
        <f t="shared" si="95"/>
        <v>5.4775032502002414</v>
      </c>
    </row>
    <row r="409" spans="9:26">
      <c r="I409">
        <f t="shared" si="85"/>
        <v>197.721490063907</v>
      </c>
      <c r="J409">
        <f t="shared" si="86"/>
        <v>230</v>
      </c>
      <c r="K409">
        <f t="shared" si="87"/>
        <v>378</v>
      </c>
      <c r="L409">
        <f t="shared" si="88"/>
        <v>156.47269016040096</v>
      </c>
      <c r="M409">
        <f t="shared" si="89"/>
        <v>108.13895043686934</v>
      </c>
      <c r="N409" s="69">
        <f t="shared" si="90"/>
        <v>91.394094063596299</v>
      </c>
      <c r="O409">
        <v>372</v>
      </c>
      <c r="P409">
        <f t="shared" si="83"/>
        <v>26.292522709415433</v>
      </c>
      <c r="Q409">
        <f t="shared" si="91"/>
        <v>-11.826071559798676</v>
      </c>
      <c r="R409">
        <f t="shared" si="84"/>
        <v>-3.4895719921145272</v>
      </c>
      <c r="S409">
        <f t="shared" si="84"/>
        <v>-1.2447859960572636</v>
      </c>
      <c r="T409">
        <f t="shared" si="84"/>
        <v>3.2447859960572636</v>
      </c>
      <c r="U409">
        <f t="shared" si="84"/>
        <v>5.4895719921145272</v>
      </c>
      <c r="V409">
        <v>4.4400000000000102</v>
      </c>
      <c r="W409" s="69">
        <f t="shared" si="92"/>
        <v>2.9311688311688311</v>
      </c>
      <c r="X409" s="69">
        <f t="shared" si="93"/>
        <v>-1.1724675324675324</v>
      </c>
      <c r="Y409">
        <f t="shared" si="94"/>
        <v>-3.4895719921145272</v>
      </c>
      <c r="Z409">
        <f t="shared" si="95"/>
        <v>5.4895719921145272</v>
      </c>
    </row>
    <row r="410" spans="9:26">
      <c r="I410">
        <f t="shared" si="85"/>
        <v>197.721490063907</v>
      </c>
      <c r="J410">
        <f t="shared" si="86"/>
        <v>230</v>
      </c>
      <c r="K410">
        <f t="shared" si="87"/>
        <v>378</v>
      </c>
      <c r="L410">
        <f t="shared" si="88"/>
        <v>156.47269016040096</v>
      </c>
      <c r="M410">
        <f t="shared" si="89"/>
        <v>108.13895043686934</v>
      </c>
      <c r="N410" s="69">
        <f t="shared" si="90"/>
        <v>91.394094063596299</v>
      </c>
      <c r="O410">
        <v>373</v>
      </c>
      <c r="P410">
        <f t="shared" si="83"/>
        <v>26.434070355230805</v>
      </c>
      <c r="Q410">
        <f t="shared" si="91"/>
        <v>-11.889738048063577</v>
      </c>
      <c r="R410">
        <f t="shared" si="84"/>
        <v>-3.5016407340288138</v>
      </c>
      <c r="S410">
        <f t="shared" si="84"/>
        <v>-1.2508203670144069</v>
      </c>
      <c r="T410">
        <f t="shared" si="84"/>
        <v>3.2508203670144069</v>
      </c>
      <c r="U410">
        <f t="shared" si="84"/>
        <v>5.5016407340288138</v>
      </c>
      <c r="V410">
        <v>4.4600000000000097</v>
      </c>
      <c r="W410" s="69">
        <f t="shared" si="92"/>
        <v>2.9311688311688311</v>
      </c>
      <c r="X410" s="69">
        <f t="shared" si="93"/>
        <v>-1.1724675324675324</v>
      </c>
      <c r="Y410">
        <f t="shared" si="94"/>
        <v>-3.5016407340288138</v>
      </c>
      <c r="Z410">
        <f t="shared" si="95"/>
        <v>5.5016407340288138</v>
      </c>
    </row>
    <row r="411" spans="9:26">
      <c r="I411">
        <f t="shared" si="85"/>
        <v>197.721490063907</v>
      </c>
      <c r="J411">
        <f t="shared" si="86"/>
        <v>230</v>
      </c>
      <c r="K411">
        <f t="shared" si="87"/>
        <v>378</v>
      </c>
      <c r="L411">
        <f t="shared" si="88"/>
        <v>156.47269016040096</v>
      </c>
      <c r="M411">
        <f t="shared" si="89"/>
        <v>108.13895043686934</v>
      </c>
      <c r="N411" s="69">
        <f t="shared" si="90"/>
        <v>91.394094063596299</v>
      </c>
      <c r="O411">
        <v>374</v>
      </c>
      <c r="P411">
        <f t="shared" si="83"/>
        <v>26.575997994726219</v>
      </c>
      <c r="Q411">
        <f t="shared" si="91"/>
        <v>-11.953575453075498</v>
      </c>
      <c r="R411">
        <f t="shared" si="84"/>
        <v>-3.5137094759431005</v>
      </c>
      <c r="S411">
        <f t="shared" si="84"/>
        <v>-1.2568547379715502</v>
      </c>
      <c r="T411">
        <f t="shared" si="84"/>
        <v>3.2568547379715502</v>
      </c>
      <c r="U411">
        <f t="shared" si="84"/>
        <v>5.5137094759431005</v>
      </c>
      <c r="V411">
        <v>4.4800000000000102</v>
      </c>
      <c r="W411" s="69">
        <f t="shared" si="92"/>
        <v>2.9311688311688311</v>
      </c>
      <c r="X411" s="69">
        <f t="shared" si="93"/>
        <v>-1.1724675324675324</v>
      </c>
      <c r="Y411">
        <f t="shared" si="94"/>
        <v>-3.5137094759431005</v>
      </c>
      <c r="Z411">
        <f t="shared" si="95"/>
        <v>5.5137094759431005</v>
      </c>
    </row>
    <row r="412" spans="9:26">
      <c r="I412">
        <f t="shared" si="85"/>
        <v>197.721490063907</v>
      </c>
      <c r="J412">
        <f t="shared" si="86"/>
        <v>230</v>
      </c>
      <c r="K412">
        <f t="shared" si="87"/>
        <v>378</v>
      </c>
      <c r="L412">
        <f t="shared" si="88"/>
        <v>156.47269016040096</v>
      </c>
      <c r="M412">
        <f t="shared" si="89"/>
        <v>108.13895043686934</v>
      </c>
      <c r="N412" s="69">
        <f t="shared" si="90"/>
        <v>91.394094063596299</v>
      </c>
      <c r="O412">
        <v>375</v>
      </c>
      <c r="P412">
        <f t="shared" si="83"/>
        <v>26.718305627901671</v>
      </c>
      <c r="Q412">
        <f t="shared" si="91"/>
        <v>-12.017583774834437</v>
      </c>
      <c r="R412">
        <f t="shared" si="84"/>
        <v>-3.5257782178573862</v>
      </c>
      <c r="S412">
        <f t="shared" si="84"/>
        <v>-1.2628891089286931</v>
      </c>
      <c r="T412">
        <f t="shared" si="84"/>
        <v>3.2628891089286931</v>
      </c>
      <c r="U412">
        <f t="shared" si="84"/>
        <v>5.5257782178573862</v>
      </c>
      <c r="V412">
        <v>4.5000000000000098</v>
      </c>
      <c r="W412" s="69">
        <f t="shared" si="92"/>
        <v>2.9311688311688311</v>
      </c>
      <c r="X412" s="69">
        <f t="shared" si="93"/>
        <v>-1.1724675324675324</v>
      </c>
      <c r="Y412">
        <f t="shared" si="94"/>
        <v>-3.5257782178573862</v>
      </c>
      <c r="Z412">
        <f t="shared" si="95"/>
        <v>5.5257782178573862</v>
      </c>
    </row>
    <row r="413" spans="9:26">
      <c r="I413">
        <f t="shared" si="85"/>
        <v>197.721490063907</v>
      </c>
      <c r="J413">
        <f t="shared" si="86"/>
        <v>230</v>
      </c>
      <c r="K413">
        <f t="shared" si="87"/>
        <v>378</v>
      </c>
      <c r="L413">
        <f t="shared" si="88"/>
        <v>156.47269016040096</v>
      </c>
      <c r="M413">
        <f t="shared" si="89"/>
        <v>108.13895043686934</v>
      </c>
      <c r="N413" s="69">
        <f t="shared" si="90"/>
        <v>91.394094063596299</v>
      </c>
      <c r="O413">
        <v>376</v>
      </c>
      <c r="P413">
        <f t="shared" si="83"/>
        <v>26.860993254757169</v>
      </c>
      <c r="Q413">
        <f t="shared" si="91"/>
        <v>-12.081763013340399</v>
      </c>
      <c r="R413">
        <f t="shared" si="84"/>
        <v>-3.5378469597716729</v>
      </c>
      <c r="S413">
        <f t="shared" si="84"/>
        <v>-1.2689234798858364</v>
      </c>
      <c r="T413">
        <f t="shared" si="84"/>
        <v>3.2689234798858364</v>
      </c>
      <c r="U413">
        <f t="shared" si="84"/>
        <v>5.5378469597716729</v>
      </c>
      <c r="V413">
        <v>4.5200000000000102</v>
      </c>
      <c r="W413" s="69">
        <f t="shared" si="92"/>
        <v>2.9311688311688311</v>
      </c>
      <c r="X413" s="69">
        <f t="shared" si="93"/>
        <v>-1.1724675324675324</v>
      </c>
      <c r="Y413">
        <f t="shared" si="94"/>
        <v>-3.5378469597716729</v>
      </c>
      <c r="Z413">
        <f t="shared" si="95"/>
        <v>5.5378469597716729</v>
      </c>
    </row>
    <row r="414" spans="9:26">
      <c r="I414">
        <f t="shared" si="85"/>
        <v>197.721490063907</v>
      </c>
      <c r="J414">
        <f t="shared" si="86"/>
        <v>230</v>
      </c>
      <c r="K414">
        <f t="shared" si="87"/>
        <v>378</v>
      </c>
      <c r="L414">
        <f t="shared" si="88"/>
        <v>156.47269016040096</v>
      </c>
      <c r="M414">
        <f t="shared" si="89"/>
        <v>108.13895043686934</v>
      </c>
      <c r="N414" s="69">
        <f t="shared" si="90"/>
        <v>91.394094063596299</v>
      </c>
      <c r="O414">
        <v>377</v>
      </c>
      <c r="P414">
        <f t="shared" si="83"/>
        <v>27.004060875292708</v>
      </c>
      <c r="Q414">
        <f t="shared" si="91"/>
        <v>-12.146113168593379</v>
      </c>
      <c r="R414">
        <f t="shared" si="84"/>
        <v>-3.5499157016859586</v>
      </c>
      <c r="S414">
        <f t="shared" si="84"/>
        <v>-1.2749578508429793</v>
      </c>
      <c r="T414">
        <f t="shared" si="84"/>
        <v>3.2749578508429793</v>
      </c>
      <c r="U414">
        <f t="shared" si="84"/>
        <v>5.5499157016859586</v>
      </c>
      <c r="V414">
        <v>4.5400000000000098</v>
      </c>
      <c r="W414" s="69">
        <f t="shared" si="92"/>
        <v>2.9311688311688311</v>
      </c>
      <c r="X414" s="69">
        <f t="shared" si="93"/>
        <v>-1.1724675324675324</v>
      </c>
      <c r="Y414">
        <f t="shared" si="94"/>
        <v>-3.5499157016859586</v>
      </c>
      <c r="Z414">
        <f t="shared" si="95"/>
        <v>5.5499157016859586</v>
      </c>
    </row>
    <row r="415" spans="9:26">
      <c r="I415">
        <f t="shared" si="85"/>
        <v>197.721490063907</v>
      </c>
      <c r="J415">
        <f t="shared" si="86"/>
        <v>230</v>
      </c>
      <c r="K415">
        <f t="shared" si="87"/>
        <v>378</v>
      </c>
      <c r="L415">
        <f t="shared" si="88"/>
        <v>156.47269016040096</v>
      </c>
      <c r="M415">
        <f t="shared" si="89"/>
        <v>108.13895043686934</v>
      </c>
      <c r="N415" s="69">
        <f t="shared" si="90"/>
        <v>91.394094063596299</v>
      </c>
      <c r="O415">
        <v>378</v>
      </c>
      <c r="P415">
        <f t="shared" si="83"/>
        <v>27.147508489508283</v>
      </c>
      <c r="Q415">
        <f t="shared" si="91"/>
        <v>-12.210634240593379</v>
      </c>
      <c r="R415">
        <f t="shared" si="84"/>
        <v>-3.5619844436002452</v>
      </c>
      <c r="S415" s="237">
        <f t="shared" si="84"/>
        <v>-1.2809922218001226</v>
      </c>
      <c r="T415" s="237">
        <f t="shared" si="84"/>
        <v>3.2809922218001226</v>
      </c>
      <c r="U415">
        <f t="shared" si="84"/>
        <v>5.5619844436002452</v>
      </c>
      <c r="V415">
        <v>4.5600000000000103</v>
      </c>
      <c r="W415" s="69">
        <f t="shared" si="92"/>
        <v>2.9311688311688311</v>
      </c>
      <c r="X415" s="69">
        <f t="shared" si="93"/>
        <v>-1.1724675324675324</v>
      </c>
      <c r="Y415">
        <f t="shared" si="94"/>
        <v>-3.5619844436002452</v>
      </c>
      <c r="Z415">
        <f t="shared" si="95"/>
        <v>5.5619844436002452</v>
      </c>
    </row>
    <row r="416" spans="9:26">
      <c r="I416">
        <f t="shared" si="85"/>
        <v>197.721490063907</v>
      </c>
      <c r="J416">
        <f t="shared" si="86"/>
        <v>230</v>
      </c>
      <c r="K416">
        <f t="shared" si="87"/>
        <v>378</v>
      </c>
      <c r="L416">
        <f t="shared" si="88"/>
        <v>156.47269016040096</v>
      </c>
      <c r="M416">
        <f t="shared" si="89"/>
        <v>108.13895043686934</v>
      </c>
      <c r="N416" s="69">
        <f t="shared" si="90"/>
        <v>91.394094063596299</v>
      </c>
      <c r="O416">
        <v>379</v>
      </c>
      <c r="P416">
        <f t="shared" si="83"/>
        <v>27.291336097403903</v>
      </c>
      <c r="Q416">
        <f t="shared" si="91"/>
        <v>-12.275326229340399</v>
      </c>
      <c r="R416">
        <f t="shared" si="84"/>
        <v>-3.5740531855145319</v>
      </c>
      <c r="S416">
        <f t="shared" si="84"/>
        <v>-1.2870265927572659</v>
      </c>
      <c r="T416">
        <f t="shared" si="84"/>
        <v>3.2870265927572659</v>
      </c>
      <c r="U416">
        <f t="shared" si="84"/>
        <v>5.5740531855145319</v>
      </c>
      <c r="V416">
        <v>4.5800000000000098</v>
      </c>
      <c r="W416" s="69">
        <f t="shared" si="92"/>
        <v>2.9311688311688311</v>
      </c>
      <c r="X416" s="69">
        <f t="shared" si="93"/>
        <v>-1.1724675324675324</v>
      </c>
      <c r="Y416">
        <f t="shared" si="94"/>
        <v>-3.5740531855145319</v>
      </c>
      <c r="Z416">
        <f t="shared" si="95"/>
        <v>5.5740531855145319</v>
      </c>
    </row>
    <row r="417" spans="9:26">
      <c r="I417">
        <f t="shared" si="85"/>
        <v>197.721490063907</v>
      </c>
      <c r="J417">
        <f t="shared" si="86"/>
        <v>230</v>
      </c>
      <c r="K417">
        <f t="shared" si="87"/>
        <v>378</v>
      </c>
      <c r="L417">
        <f t="shared" si="88"/>
        <v>156.47269016040096</v>
      </c>
      <c r="M417">
        <f t="shared" si="89"/>
        <v>108.13895043686934</v>
      </c>
      <c r="N417" s="69">
        <f t="shared" si="90"/>
        <v>91.394094063596299</v>
      </c>
      <c r="O417">
        <v>380</v>
      </c>
      <c r="P417">
        <f t="shared" si="83"/>
        <v>27.435543698979565</v>
      </c>
      <c r="Q417">
        <f t="shared" si="91"/>
        <v>-12.340189134834437</v>
      </c>
      <c r="R417">
        <f t="shared" si="84"/>
        <v>-3.5861219274288185</v>
      </c>
      <c r="S417">
        <f t="shared" si="84"/>
        <v>-1.2930609637144093</v>
      </c>
      <c r="T417">
        <f t="shared" si="84"/>
        <v>3.2930609637144093</v>
      </c>
      <c r="U417">
        <f t="shared" si="84"/>
        <v>5.5861219274288185</v>
      </c>
      <c r="V417">
        <v>4.6000000000000103</v>
      </c>
      <c r="W417" s="69">
        <f t="shared" si="92"/>
        <v>2.9311688311688311</v>
      </c>
      <c r="X417" s="69">
        <f t="shared" si="93"/>
        <v>-1.1724675324675324</v>
      </c>
      <c r="Y417">
        <f t="shared" si="94"/>
        <v>-3.5861219274288185</v>
      </c>
      <c r="Z417">
        <f t="shared" si="95"/>
        <v>5.5861219274288185</v>
      </c>
    </row>
    <row r="418" spans="9:26">
      <c r="I418">
        <f t="shared" si="85"/>
        <v>197.721490063907</v>
      </c>
      <c r="J418">
        <f t="shared" si="86"/>
        <v>230</v>
      </c>
      <c r="K418">
        <f t="shared" si="87"/>
        <v>378</v>
      </c>
      <c r="L418">
        <f t="shared" si="88"/>
        <v>156.47269016040096</v>
      </c>
      <c r="M418">
        <f t="shared" si="89"/>
        <v>108.13895043686934</v>
      </c>
      <c r="N418" s="69">
        <f t="shared" si="90"/>
        <v>91.394094063596299</v>
      </c>
      <c r="O418">
        <v>381</v>
      </c>
      <c r="P418">
        <f t="shared" si="83"/>
        <v>27.580131294235269</v>
      </c>
      <c r="Q418">
        <f t="shared" si="91"/>
        <v>-12.405222957075498</v>
      </c>
      <c r="R418">
        <f t="shared" si="84"/>
        <v>-3.5981906693431052</v>
      </c>
      <c r="S418">
        <f t="shared" si="84"/>
        <v>-1.2990953346715526</v>
      </c>
      <c r="T418">
        <f t="shared" si="84"/>
        <v>3.2990953346715526</v>
      </c>
      <c r="U418">
        <f t="shared" si="84"/>
        <v>5.5981906693431052</v>
      </c>
      <c r="V418">
        <v>4.6200000000000099</v>
      </c>
      <c r="W418" s="69">
        <f t="shared" si="92"/>
        <v>2.9311688311688311</v>
      </c>
      <c r="X418" s="69">
        <f t="shared" si="93"/>
        <v>-1.1724675324675324</v>
      </c>
      <c r="Y418">
        <f t="shared" si="94"/>
        <v>-3.5981906693431052</v>
      </c>
      <c r="Z418">
        <f t="shared" si="95"/>
        <v>5.5981906693431052</v>
      </c>
    </row>
    <row r="419" spans="9:26">
      <c r="I419">
        <f t="shared" si="85"/>
        <v>197.721490063907</v>
      </c>
      <c r="J419">
        <f t="shared" si="86"/>
        <v>230</v>
      </c>
      <c r="K419">
        <f t="shared" si="87"/>
        <v>378</v>
      </c>
      <c r="L419">
        <f t="shared" si="88"/>
        <v>156.47269016040096</v>
      </c>
      <c r="M419">
        <f t="shared" si="89"/>
        <v>108.13895043686934</v>
      </c>
      <c r="N419" s="69">
        <f t="shared" si="90"/>
        <v>91.394094063596299</v>
      </c>
      <c r="O419">
        <v>382</v>
      </c>
      <c r="P419">
        <f t="shared" si="83"/>
        <v>27.725098883171015</v>
      </c>
      <c r="Q419">
        <f t="shared" si="91"/>
        <v>-12.470427696063577</v>
      </c>
      <c r="R419">
        <f t="shared" si="84"/>
        <v>-3.6102594112573909</v>
      </c>
      <c r="S419">
        <f t="shared" si="84"/>
        <v>-1.3051297056286955</v>
      </c>
      <c r="T419">
        <f t="shared" si="84"/>
        <v>3.3051297056286955</v>
      </c>
      <c r="U419">
        <f t="shared" si="84"/>
        <v>5.6102594112573909</v>
      </c>
      <c r="V419">
        <v>4.6400000000000103</v>
      </c>
      <c r="W419" s="69">
        <f t="shared" si="92"/>
        <v>2.9311688311688311</v>
      </c>
      <c r="X419" s="69">
        <f t="shared" si="93"/>
        <v>-1.1724675324675324</v>
      </c>
      <c r="Y419">
        <f t="shared" si="94"/>
        <v>-3.6102594112573909</v>
      </c>
      <c r="Z419">
        <f t="shared" si="95"/>
        <v>5.6102594112573909</v>
      </c>
    </row>
    <row r="420" spans="9:26">
      <c r="I420">
        <f t="shared" si="85"/>
        <v>197.721490063907</v>
      </c>
      <c r="J420">
        <f t="shared" si="86"/>
        <v>230</v>
      </c>
      <c r="K420">
        <f t="shared" si="87"/>
        <v>378</v>
      </c>
      <c r="L420">
        <f t="shared" si="88"/>
        <v>156.47269016040096</v>
      </c>
      <c r="M420">
        <f t="shared" si="89"/>
        <v>108.13895043686934</v>
      </c>
      <c r="N420" s="69">
        <f t="shared" si="90"/>
        <v>91.394094063596299</v>
      </c>
      <c r="O420">
        <v>383</v>
      </c>
      <c r="P420">
        <f t="shared" si="83"/>
        <v>27.870446465786799</v>
      </c>
      <c r="Q420">
        <f t="shared" si="91"/>
        <v>-12.535803351798677</v>
      </c>
      <c r="R420">
        <f t="shared" si="84"/>
        <v>-3.6223281531716776</v>
      </c>
      <c r="S420">
        <f t="shared" si="84"/>
        <v>-1.3111640765858388</v>
      </c>
      <c r="T420">
        <f t="shared" si="84"/>
        <v>3.3111640765858388</v>
      </c>
      <c r="U420">
        <f t="shared" ref="U420:U437" si="96">1+(($D$37*G$33*$O420*$D$17)/(498*($D$6/$D$4)))</f>
        <v>5.6223281531716776</v>
      </c>
      <c r="V420">
        <v>4.6600000000000099</v>
      </c>
      <c r="W420" s="69">
        <f t="shared" si="92"/>
        <v>2.9311688311688311</v>
      </c>
      <c r="X420" s="69">
        <f t="shared" si="93"/>
        <v>-1.1724675324675324</v>
      </c>
      <c r="Y420">
        <f t="shared" si="94"/>
        <v>-3.6223281531716776</v>
      </c>
      <c r="Z420">
        <f t="shared" si="95"/>
        <v>5.6223281531716776</v>
      </c>
    </row>
    <row r="421" spans="9:26">
      <c r="I421">
        <f t="shared" si="85"/>
        <v>197.721490063907</v>
      </c>
      <c r="J421">
        <f t="shared" si="86"/>
        <v>230</v>
      </c>
      <c r="K421">
        <f t="shared" si="87"/>
        <v>378</v>
      </c>
      <c r="L421">
        <f t="shared" si="88"/>
        <v>156.47269016040096</v>
      </c>
      <c r="M421">
        <f t="shared" si="89"/>
        <v>108.13895043686934</v>
      </c>
      <c r="N421" s="69">
        <f t="shared" si="90"/>
        <v>91.394094063596299</v>
      </c>
      <c r="O421">
        <v>384</v>
      </c>
      <c r="P421">
        <f t="shared" ref="P421:P437" si="97">0.003388*(O421^2*$D$4*$D$12)/$D$6</f>
        <v>28.016174042082625</v>
      </c>
      <c r="Q421">
        <f t="shared" si="91"/>
        <v>-12.601349924280797</v>
      </c>
      <c r="R421">
        <f t="shared" ref="R421:T437" si="98">1+(($D$37*D$33*$O421*$D$17)/(498*($D$6/$D$4)))</f>
        <v>-3.6343968950859633</v>
      </c>
      <c r="S421">
        <f t="shared" si="98"/>
        <v>-1.3171984475429817</v>
      </c>
      <c r="T421">
        <f t="shared" si="98"/>
        <v>3.3171984475429817</v>
      </c>
      <c r="U421">
        <f t="shared" si="96"/>
        <v>5.6343968950859633</v>
      </c>
      <c r="V421">
        <v>4.6800000000000104</v>
      </c>
      <c r="W421" s="69">
        <f t="shared" si="92"/>
        <v>2.9311688311688311</v>
      </c>
      <c r="X421" s="69">
        <f t="shared" si="93"/>
        <v>-1.1724675324675324</v>
      </c>
      <c r="Y421">
        <f t="shared" si="94"/>
        <v>-3.6343968950859633</v>
      </c>
      <c r="Z421">
        <f t="shared" si="95"/>
        <v>5.6343968950859633</v>
      </c>
    </row>
    <row r="422" spans="9:26">
      <c r="I422">
        <f t="shared" ref="I422:I437" si="99">$D$31</f>
        <v>197.721490063907</v>
      </c>
      <c r="J422">
        <f t="shared" ref="J422:J437" si="100">$D$29</f>
        <v>230</v>
      </c>
      <c r="K422">
        <f t="shared" ref="K422:K437" si="101">$D$30</f>
        <v>378</v>
      </c>
      <c r="L422">
        <f t="shared" ref="L422:L437" si="102">$D$24</f>
        <v>156.47269016040096</v>
      </c>
      <c r="M422">
        <f t="shared" ref="M422:M437" si="103">$D$15</f>
        <v>108.13895043686934</v>
      </c>
      <c r="N422" s="69">
        <f t="shared" ref="N422:N437" si="104">$D$14</f>
        <v>91.394094063596299</v>
      </c>
      <c r="O422">
        <v>385</v>
      </c>
      <c r="P422">
        <f t="shared" si="97"/>
        <v>28.162281612058486</v>
      </c>
      <c r="Q422">
        <f t="shared" ref="Q422:Q437" si="105">-0.003388*(O422^2*$D$4*ABS($D$13)/$D$6)</f>
        <v>-12.667067413509933</v>
      </c>
      <c r="R422">
        <f t="shared" si="98"/>
        <v>-3.6464656370002499</v>
      </c>
      <c r="S422">
        <f t="shared" si="98"/>
        <v>-1.323232818500125</v>
      </c>
      <c r="T422">
        <f t="shared" si="98"/>
        <v>3.323232818500125</v>
      </c>
      <c r="U422">
        <f t="shared" si="96"/>
        <v>5.6464656370002499</v>
      </c>
      <c r="V422">
        <v>4.7000000000000099</v>
      </c>
      <c r="W422" s="69">
        <f t="shared" ref="W422:W437" si="106">$D$20</f>
        <v>2.9311688311688311</v>
      </c>
      <c r="X422" s="69">
        <f t="shared" ref="X422:X437" si="107">$D$21</f>
        <v>-1.1724675324675324</v>
      </c>
      <c r="Y422">
        <f t="shared" ref="Y422:Y437" si="108">1+(($D$37*D$33*$O422*$D$17)/(498*($D$6/$D$4)))</f>
        <v>-3.6464656370002499</v>
      </c>
      <c r="Z422">
        <f t="shared" ref="Z422:Z437" si="109">1+(($D$37*G$33*$O422*$D$17)/(498*($D$6/$D$4)))</f>
        <v>5.6464656370002499</v>
      </c>
    </row>
    <row r="423" spans="9:26">
      <c r="I423">
        <f t="shared" si="99"/>
        <v>197.721490063907</v>
      </c>
      <c r="J423">
        <f t="shared" si="100"/>
        <v>230</v>
      </c>
      <c r="K423">
        <f t="shared" si="101"/>
        <v>378</v>
      </c>
      <c r="L423">
        <f t="shared" si="102"/>
        <v>156.47269016040096</v>
      </c>
      <c r="M423">
        <f t="shared" si="103"/>
        <v>108.13895043686934</v>
      </c>
      <c r="N423" s="69">
        <f t="shared" si="104"/>
        <v>91.394094063596299</v>
      </c>
      <c r="O423">
        <v>386</v>
      </c>
      <c r="P423">
        <f t="shared" si="97"/>
        <v>28.308769175714399</v>
      </c>
      <c r="Q423">
        <f t="shared" si="105"/>
        <v>-12.732955819486094</v>
      </c>
      <c r="R423">
        <f t="shared" si="98"/>
        <v>-3.6585343789145366</v>
      </c>
      <c r="S423">
        <f t="shared" si="98"/>
        <v>-1.3292671894572683</v>
      </c>
      <c r="T423">
        <f t="shared" si="98"/>
        <v>3.3292671894572683</v>
      </c>
      <c r="U423">
        <f t="shared" si="96"/>
        <v>5.6585343789145366</v>
      </c>
      <c r="V423">
        <v>4.7200000000000104</v>
      </c>
      <c r="W423" s="69">
        <f t="shared" si="106"/>
        <v>2.9311688311688311</v>
      </c>
      <c r="X423" s="69">
        <f t="shared" si="107"/>
        <v>-1.1724675324675324</v>
      </c>
      <c r="Y423">
        <f t="shared" si="108"/>
        <v>-3.6585343789145366</v>
      </c>
      <c r="Z423">
        <f t="shared" si="109"/>
        <v>5.6585343789145366</v>
      </c>
    </row>
    <row r="424" spans="9:26">
      <c r="I424">
        <f t="shared" si="99"/>
        <v>197.721490063907</v>
      </c>
      <c r="J424">
        <f t="shared" si="100"/>
        <v>230</v>
      </c>
      <c r="K424">
        <f t="shared" si="101"/>
        <v>378</v>
      </c>
      <c r="L424">
        <f t="shared" si="102"/>
        <v>156.47269016040096</v>
      </c>
      <c r="M424">
        <f t="shared" si="103"/>
        <v>108.13895043686934</v>
      </c>
      <c r="N424" s="69">
        <f t="shared" si="104"/>
        <v>91.394094063596299</v>
      </c>
      <c r="O424">
        <v>387</v>
      </c>
      <c r="P424">
        <f t="shared" si="97"/>
        <v>28.455636733050355</v>
      </c>
      <c r="Q424">
        <f t="shared" si="105"/>
        <v>-12.799015142209273</v>
      </c>
      <c r="R424">
        <f t="shared" si="98"/>
        <v>-3.6706031208288223</v>
      </c>
      <c r="S424">
        <f t="shared" si="98"/>
        <v>-1.3353015604144112</v>
      </c>
      <c r="T424">
        <f t="shared" si="98"/>
        <v>3.3353015604144112</v>
      </c>
      <c r="U424">
        <f t="shared" si="96"/>
        <v>5.6706031208288223</v>
      </c>
      <c r="V424">
        <v>4.74000000000001</v>
      </c>
      <c r="W424" s="69">
        <f t="shared" si="106"/>
        <v>2.9311688311688311</v>
      </c>
      <c r="X424" s="69">
        <f t="shared" si="107"/>
        <v>-1.1724675324675324</v>
      </c>
      <c r="Y424">
        <f t="shared" si="108"/>
        <v>-3.6706031208288223</v>
      </c>
      <c r="Z424">
        <f t="shared" si="109"/>
        <v>5.6706031208288223</v>
      </c>
    </row>
    <row r="425" spans="9:26">
      <c r="I425">
        <f t="shared" si="99"/>
        <v>197.721490063907</v>
      </c>
      <c r="J425">
        <f t="shared" si="100"/>
        <v>230</v>
      </c>
      <c r="K425">
        <f t="shared" si="101"/>
        <v>378</v>
      </c>
      <c r="L425">
        <f t="shared" si="102"/>
        <v>156.47269016040096</v>
      </c>
      <c r="M425">
        <f t="shared" si="103"/>
        <v>108.13895043686934</v>
      </c>
      <c r="N425" s="69">
        <f t="shared" si="104"/>
        <v>91.394094063596299</v>
      </c>
      <c r="O425">
        <v>388</v>
      </c>
      <c r="P425">
        <f t="shared" si="97"/>
        <v>28.602884284066345</v>
      </c>
      <c r="Q425">
        <f t="shared" si="105"/>
        <v>-12.865245381679472</v>
      </c>
      <c r="R425">
        <f t="shared" si="98"/>
        <v>-3.682671862743109</v>
      </c>
      <c r="S425">
        <f t="shared" si="98"/>
        <v>-1.3413359313715545</v>
      </c>
      <c r="T425">
        <f t="shared" si="98"/>
        <v>3.3413359313715545</v>
      </c>
      <c r="U425">
        <f t="shared" si="96"/>
        <v>5.682671862743109</v>
      </c>
      <c r="V425">
        <v>4.7600000000000096</v>
      </c>
      <c r="W425" s="69">
        <f t="shared" si="106"/>
        <v>2.9311688311688311</v>
      </c>
      <c r="X425" s="69">
        <f t="shared" si="107"/>
        <v>-1.1724675324675324</v>
      </c>
      <c r="Y425">
        <f t="shared" si="108"/>
        <v>-3.682671862743109</v>
      </c>
      <c r="Z425">
        <f t="shared" si="109"/>
        <v>5.682671862743109</v>
      </c>
    </row>
    <row r="426" spans="9:26">
      <c r="I426">
        <f t="shared" si="99"/>
        <v>197.721490063907</v>
      </c>
      <c r="J426">
        <f t="shared" si="100"/>
        <v>230</v>
      </c>
      <c r="K426">
        <f t="shared" si="101"/>
        <v>378</v>
      </c>
      <c r="L426">
        <f t="shared" si="102"/>
        <v>156.47269016040096</v>
      </c>
      <c r="M426">
        <f t="shared" si="103"/>
        <v>108.13895043686934</v>
      </c>
      <c r="N426" s="69">
        <f t="shared" si="104"/>
        <v>91.394094063596299</v>
      </c>
      <c r="O426">
        <v>389</v>
      </c>
      <c r="P426">
        <f t="shared" si="97"/>
        <v>28.750511828762374</v>
      </c>
      <c r="Q426">
        <f t="shared" si="105"/>
        <v>-12.93164653789669</v>
      </c>
      <c r="R426">
        <f t="shared" si="98"/>
        <v>-3.6947406046573947</v>
      </c>
      <c r="S426">
        <f t="shared" si="98"/>
        <v>-1.3473703023286974</v>
      </c>
      <c r="T426">
        <f t="shared" si="98"/>
        <v>3.3473703023286974</v>
      </c>
      <c r="U426">
        <f t="shared" si="96"/>
        <v>5.6947406046573947</v>
      </c>
      <c r="V426">
        <v>4.78000000000001</v>
      </c>
      <c r="W426" s="69">
        <f t="shared" si="106"/>
        <v>2.9311688311688311</v>
      </c>
      <c r="X426" s="69">
        <f t="shared" si="107"/>
        <v>-1.1724675324675324</v>
      </c>
      <c r="Y426">
        <f t="shared" si="108"/>
        <v>-3.6947406046573947</v>
      </c>
      <c r="Z426">
        <f t="shared" si="109"/>
        <v>5.6947406046573947</v>
      </c>
    </row>
    <row r="427" spans="9:26">
      <c r="I427">
        <f t="shared" si="99"/>
        <v>197.721490063907</v>
      </c>
      <c r="J427">
        <f t="shared" si="100"/>
        <v>230</v>
      </c>
      <c r="K427">
        <f t="shared" si="101"/>
        <v>378</v>
      </c>
      <c r="L427">
        <f t="shared" si="102"/>
        <v>156.47269016040096</v>
      </c>
      <c r="M427">
        <f t="shared" si="103"/>
        <v>108.13895043686934</v>
      </c>
      <c r="N427" s="69">
        <f t="shared" si="104"/>
        <v>91.394094063596299</v>
      </c>
      <c r="O427">
        <v>390</v>
      </c>
      <c r="P427">
        <f t="shared" si="97"/>
        <v>28.898519367138441</v>
      </c>
      <c r="Q427">
        <f t="shared" si="105"/>
        <v>-12.998218610860928</v>
      </c>
      <c r="R427">
        <f t="shared" si="98"/>
        <v>-3.7068093465716823</v>
      </c>
      <c r="S427">
        <f t="shared" si="98"/>
        <v>-1.3534046732858411</v>
      </c>
      <c r="T427">
        <f t="shared" si="98"/>
        <v>3.3534046732858411</v>
      </c>
      <c r="U427">
        <f t="shared" si="96"/>
        <v>5.7068093465716823</v>
      </c>
      <c r="V427">
        <v>4.8000000000000096</v>
      </c>
      <c r="W427" s="69">
        <f t="shared" si="106"/>
        <v>2.9311688311688311</v>
      </c>
      <c r="X427" s="69">
        <f t="shared" si="107"/>
        <v>-1.1724675324675324</v>
      </c>
      <c r="Y427">
        <f t="shared" si="108"/>
        <v>-3.7068093465716823</v>
      </c>
      <c r="Z427">
        <f t="shared" si="109"/>
        <v>5.7068093465716823</v>
      </c>
    </row>
    <row r="428" spans="9:26">
      <c r="I428">
        <f t="shared" si="99"/>
        <v>197.721490063907</v>
      </c>
      <c r="J428">
        <f t="shared" si="100"/>
        <v>230</v>
      </c>
      <c r="K428">
        <f t="shared" si="101"/>
        <v>378</v>
      </c>
      <c r="L428">
        <f t="shared" si="102"/>
        <v>156.47269016040096</v>
      </c>
      <c r="M428">
        <f t="shared" si="103"/>
        <v>108.13895043686934</v>
      </c>
      <c r="N428" s="69">
        <f t="shared" si="104"/>
        <v>91.394094063596299</v>
      </c>
      <c r="O428">
        <v>391</v>
      </c>
      <c r="P428">
        <f t="shared" si="97"/>
        <v>29.046906899194568</v>
      </c>
      <c r="Q428">
        <f t="shared" si="105"/>
        <v>-13.064961600572188</v>
      </c>
      <c r="R428">
        <f t="shared" si="98"/>
        <v>-3.7188780884859689</v>
      </c>
      <c r="S428">
        <f t="shared" si="98"/>
        <v>-1.3594390442429845</v>
      </c>
      <c r="T428">
        <f t="shared" si="98"/>
        <v>3.3594390442429845</v>
      </c>
      <c r="U428">
        <f t="shared" si="96"/>
        <v>5.7188780884859689</v>
      </c>
      <c r="V428">
        <v>4.8200000000000101</v>
      </c>
      <c r="W428" s="69">
        <f t="shared" si="106"/>
        <v>2.9311688311688311</v>
      </c>
      <c r="X428" s="69">
        <f t="shared" si="107"/>
        <v>-1.1724675324675324</v>
      </c>
      <c r="Y428">
        <f t="shared" si="108"/>
        <v>-3.7188780884859689</v>
      </c>
      <c r="Z428">
        <f t="shared" si="109"/>
        <v>5.7188780884859689</v>
      </c>
    </row>
    <row r="429" spans="9:26">
      <c r="I429">
        <f t="shared" si="99"/>
        <v>197.721490063907</v>
      </c>
      <c r="J429">
        <f t="shared" si="100"/>
        <v>230</v>
      </c>
      <c r="K429">
        <f t="shared" si="101"/>
        <v>378</v>
      </c>
      <c r="L429">
        <f t="shared" si="102"/>
        <v>156.47269016040096</v>
      </c>
      <c r="M429">
        <f t="shared" si="103"/>
        <v>108.13895043686934</v>
      </c>
      <c r="N429" s="69">
        <f t="shared" si="104"/>
        <v>91.394094063596299</v>
      </c>
      <c r="O429">
        <v>392</v>
      </c>
      <c r="P429">
        <f t="shared" si="97"/>
        <v>29.195674424930722</v>
      </c>
      <c r="Q429">
        <f t="shared" si="105"/>
        <v>-13.131875507030465</v>
      </c>
      <c r="R429">
        <f t="shared" si="98"/>
        <v>-3.7309468304002547</v>
      </c>
      <c r="S429">
        <f t="shared" si="98"/>
        <v>-1.3654734152001273</v>
      </c>
      <c r="T429">
        <f t="shared" si="98"/>
        <v>3.3654734152001273</v>
      </c>
      <c r="U429">
        <f t="shared" si="96"/>
        <v>5.7309468304002547</v>
      </c>
      <c r="V429">
        <v>4.8400000000000096</v>
      </c>
      <c r="W429" s="69">
        <f t="shared" si="106"/>
        <v>2.9311688311688311</v>
      </c>
      <c r="X429" s="69">
        <f t="shared" si="107"/>
        <v>-1.1724675324675324</v>
      </c>
      <c r="Y429">
        <f t="shared" si="108"/>
        <v>-3.7309468304002547</v>
      </c>
      <c r="Z429">
        <f t="shared" si="109"/>
        <v>5.7309468304002547</v>
      </c>
    </row>
    <row r="430" spans="9:26">
      <c r="I430">
        <f t="shared" si="99"/>
        <v>197.721490063907</v>
      </c>
      <c r="J430">
        <f t="shared" si="100"/>
        <v>230</v>
      </c>
      <c r="K430">
        <f t="shared" si="101"/>
        <v>378</v>
      </c>
      <c r="L430">
        <f t="shared" si="102"/>
        <v>156.47269016040096</v>
      </c>
      <c r="M430">
        <f t="shared" si="103"/>
        <v>108.13895043686934</v>
      </c>
      <c r="N430" s="69">
        <f t="shared" si="104"/>
        <v>91.394094063596299</v>
      </c>
      <c r="O430">
        <v>393</v>
      </c>
      <c r="P430">
        <f t="shared" si="97"/>
        <v>29.344821944346915</v>
      </c>
      <c r="Q430">
        <f t="shared" si="105"/>
        <v>-13.198960330235762</v>
      </c>
      <c r="R430">
        <f t="shared" si="98"/>
        <v>-3.7430155723145413</v>
      </c>
      <c r="S430">
        <f t="shared" si="98"/>
        <v>-1.3715077861572706</v>
      </c>
      <c r="T430">
        <f t="shared" si="98"/>
        <v>3.3715077861572706</v>
      </c>
      <c r="U430">
        <f t="shared" si="96"/>
        <v>5.7430155723145413</v>
      </c>
      <c r="V430">
        <v>4.8600000000000101</v>
      </c>
      <c r="W430" s="69">
        <f t="shared" si="106"/>
        <v>2.9311688311688311</v>
      </c>
      <c r="X430" s="69">
        <f t="shared" si="107"/>
        <v>-1.1724675324675324</v>
      </c>
      <c r="Y430">
        <f t="shared" si="108"/>
        <v>-3.7430155723145413</v>
      </c>
      <c r="Z430">
        <f t="shared" si="109"/>
        <v>5.7430155723145413</v>
      </c>
    </row>
    <row r="431" spans="9:26">
      <c r="I431">
        <f t="shared" si="99"/>
        <v>197.721490063907</v>
      </c>
      <c r="J431">
        <f t="shared" si="100"/>
        <v>230</v>
      </c>
      <c r="K431">
        <f t="shared" si="101"/>
        <v>378</v>
      </c>
      <c r="L431">
        <f t="shared" si="102"/>
        <v>156.47269016040096</v>
      </c>
      <c r="M431">
        <f t="shared" si="103"/>
        <v>108.13895043686934</v>
      </c>
      <c r="N431" s="69">
        <f t="shared" si="104"/>
        <v>91.394094063596299</v>
      </c>
      <c r="O431">
        <v>394</v>
      </c>
      <c r="P431">
        <f t="shared" si="97"/>
        <v>29.49434945744316</v>
      </c>
      <c r="Q431">
        <f t="shared" si="105"/>
        <v>-13.266216070188081</v>
      </c>
      <c r="R431">
        <f t="shared" si="98"/>
        <v>-3.755084314228827</v>
      </c>
      <c r="S431">
        <f t="shared" si="98"/>
        <v>-1.3775421571144135</v>
      </c>
      <c r="T431">
        <f t="shared" si="98"/>
        <v>3.3775421571144135</v>
      </c>
      <c r="U431">
        <f t="shared" si="96"/>
        <v>5.755084314228827</v>
      </c>
      <c r="V431">
        <v>4.8800000000000097</v>
      </c>
      <c r="W431" s="69">
        <f t="shared" si="106"/>
        <v>2.9311688311688311</v>
      </c>
      <c r="X431" s="69">
        <f t="shared" si="107"/>
        <v>-1.1724675324675324</v>
      </c>
      <c r="Y431">
        <f t="shared" si="108"/>
        <v>-3.755084314228827</v>
      </c>
      <c r="Z431">
        <f t="shared" si="109"/>
        <v>5.755084314228827</v>
      </c>
    </row>
    <row r="432" spans="9:26">
      <c r="I432">
        <f t="shared" si="99"/>
        <v>197.721490063907</v>
      </c>
      <c r="J432">
        <f t="shared" si="100"/>
        <v>230</v>
      </c>
      <c r="K432">
        <f t="shared" si="101"/>
        <v>378</v>
      </c>
      <c r="L432">
        <f t="shared" si="102"/>
        <v>156.47269016040096</v>
      </c>
      <c r="M432">
        <f t="shared" si="103"/>
        <v>108.13895043686934</v>
      </c>
      <c r="N432" s="69">
        <f t="shared" si="104"/>
        <v>91.394094063596299</v>
      </c>
      <c r="O432">
        <v>395</v>
      </c>
      <c r="P432">
        <f t="shared" si="97"/>
        <v>29.644256964219434</v>
      </c>
      <c r="Q432">
        <f t="shared" si="105"/>
        <v>-13.333642726887417</v>
      </c>
      <c r="R432">
        <f t="shared" si="98"/>
        <v>-3.7671530561431137</v>
      </c>
      <c r="S432">
        <f t="shared" si="98"/>
        <v>-1.3835765280715568</v>
      </c>
      <c r="T432">
        <f t="shared" si="98"/>
        <v>3.3835765280715568</v>
      </c>
      <c r="U432">
        <f t="shared" si="96"/>
        <v>5.7671530561431137</v>
      </c>
      <c r="V432">
        <v>4.9000000000000101</v>
      </c>
      <c r="W432" s="69">
        <f t="shared" si="106"/>
        <v>2.9311688311688311</v>
      </c>
      <c r="X432" s="69">
        <f t="shared" si="107"/>
        <v>-1.1724675324675324</v>
      </c>
      <c r="Y432">
        <f t="shared" si="108"/>
        <v>-3.7671530561431137</v>
      </c>
      <c r="Z432">
        <f t="shared" si="109"/>
        <v>5.7671530561431137</v>
      </c>
    </row>
    <row r="433" spans="9:26">
      <c r="I433">
        <f t="shared" si="99"/>
        <v>197.721490063907</v>
      </c>
      <c r="J433">
        <f t="shared" si="100"/>
        <v>230</v>
      </c>
      <c r="K433">
        <f t="shared" si="101"/>
        <v>378</v>
      </c>
      <c r="L433">
        <f t="shared" si="102"/>
        <v>156.47269016040096</v>
      </c>
      <c r="M433">
        <f t="shared" si="103"/>
        <v>108.13895043686934</v>
      </c>
      <c r="N433" s="69">
        <f t="shared" si="104"/>
        <v>91.394094063596299</v>
      </c>
      <c r="O433">
        <v>396</v>
      </c>
      <c r="P433">
        <f t="shared" si="97"/>
        <v>29.794544464675759</v>
      </c>
      <c r="Q433">
        <f t="shared" si="105"/>
        <v>-13.401240300333775</v>
      </c>
      <c r="R433">
        <f t="shared" si="98"/>
        <v>-3.7792217980574003</v>
      </c>
      <c r="S433">
        <f t="shared" si="98"/>
        <v>-1.3896108990287002</v>
      </c>
      <c r="T433">
        <f t="shared" si="98"/>
        <v>3.3896108990287002</v>
      </c>
      <c r="U433">
        <f t="shared" si="96"/>
        <v>5.7792217980574003</v>
      </c>
      <c r="V433">
        <v>4.9200000000000097</v>
      </c>
      <c r="W433" s="69">
        <f t="shared" si="106"/>
        <v>2.9311688311688311</v>
      </c>
      <c r="X433" s="69">
        <f t="shared" si="107"/>
        <v>-1.1724675324675324</v>
      </c>
      <c r="Y433">
        <f t="shared" si="108"/>
        <v>-3.7792217980574003</v>
      </c>
      <c r="Z433">
        <f t="shared" si="109"/>
        <v>5.7792217980574003</v>
      </c>
    </row>
    <row r="434" spans="9:26">
      <c r="I434">
        <f t="shared" si="99"/>
        <v>197.721490063907</v>
      </c>
      <c r="J434">
        <f t="shared" si="100"/>
        <v>230</v>
      </c>
      <c r="K434">
        <f t="shared" si="101"/>
        <v>378</v>
      </c>
      <c r="L434">
        <f t="shared" si="102"/>
        <v>156.47269016040096</v>
      </c>
      <c r="M434">
        <f t="shared" si="103"/>
        <v>108.13895043686934</v>
      </c>
      <c r="N434" s="69">
        <f t="shared" si="104"/>
        <v>91.394094063596299</v>
      </c>
      <c r="O434">
        <v>397</v>
      </c>
      <c r="P434">
        <f t="shared" si="97"/>
        <v>29.945211958812123</v>
      </c>
      <c r="Q434">
        <f t="shared" si="105"/>
        <v>-13.469008790527154</v>
      </c>
      <c r="R434">
        <f t="shared" si="98"/>
        <v>-3.7912905399716861</v>
      </c>
      <c r="S434">
        <f t="shared" si="98"/>
        <v>-1.395645269985843</v>
      </c>
      <c r="T434">
        <f t="shared" si="98"/>
        <v>3.395645269985843</v>
      </c>
      <c r="U434">
        <f t="shared" si="96"/>
        <v>5.7912905399716861</v>
      </c>
      <c r="V434">
        <v>4.9400000000000102</v>
      </c>
      <c r="W434" s="69">
        <f t="shared" si="106"/>
        <v>2.9311688311688311</v>
      </c>
      <c r="X434" s="69">
        <f t="shared" si="107"/>
        <v>-1.1724675324675324</v>
      </c>
      <c r="Y434">
        <f t="shared" si="108"/>
        <v>-3.7912905399716861</v>
      </c>
      <c r="Z434">
        <f t="shared" si="109"/>
        <v>5.7912905399716861</v>
      </c>
    </row>
    <row r="435" spans="9:26">
      <c r="I435">
        <f t="shared" si="99"/>
        <v>197.721490063907</v>
      </c>
      <c r="J435">
        <f t="shared" si="100"/>
        <v>230</v>
      </c>
      <c r="K435">
        <f t="shared" si="101"/>
        <v>378</v>
      </c>
      <c r="L435">
        <f t="shared" si="102"/>
        <v>156.47269016040096</v>
      </c>
      <c r="M435">
        <f t="shared" si="103"/>
        <v>108.13895043686934</v>
      </c>
      <c r="N435" s="69">
        <f t="shared" si="104"/>
        <v>91.394094063596299</v>
      </c>
      <c r="O435">
        <v>398</v>
      </c>
      <c r="P435">
        <f t="shared" si="97"/>
        <v>30.096259446628526</v>
      </c>
      <c r="Q435">
        <f t="shared" si="105"/>
        <v>-13.536948197467551</v>
      </c>
      <c r="R435">
        <f t="shared" si="98"/>
        <v>-3.8033592818859727</v>
      </c>
      <c r="S435">
        <f t="shared" si="98"/>
        <v>-1.4016796409429864</v>
      </c>
      <c r="T435">
        <f t="shared" si="98"/>
        <v>3.4016796409429864</v>
      </c>
      <c r="U435">
        <f t="shared" si="96"/>
        <v>5.8033592818859727</v>
      </c>
      <c r="V435">
        <v>4.9600000000000097</v>
      </c>
      <c r="W435" s="69">
        <f t="shared" si="106"/>
        <v>2.9311688311688311</v>
      </c>
      <c r="X435" s="69">
        <f t="shared" si="107"/>
        <v>-1.1724675324675324</v>
      </c>
      <c r="Y435">
        <f t="shared" si="108"/>
        <v>-3.8033592818859727</v>
      </c>
      <c r="Z435">
        <f t="shared" si="109"/>
        <v>5.8033592818859727</v>
      </c>
    </row>
    <row r="436" spans="9:26">
      <c r="I436">
        <f t="shared" si="99"/>
        <v>197.721490063907</v>
      </c>
      <c r="J436">
        <f t="shared" si="100"/>
        <v>230</v>
      </c>
      <c r="K436">
        <f t="shared" si="101"/>
        <v>378</v>
      </c>
      <c r="L436">
        <f t="shared" si="102"/>
        <v>156.47269016040096</v>
      </c>
      <c r="M436">
        <f t="shared" si="103"/>
        <v>108.13895043686934</v>
      </c>
      <c r="N436" s="69">
        <f t="shared" si="104"/>
        <v>91.394094063596299</v>
      </c>
      <c r="O436">
        <v>399</v>
      </c>
      <c r="P436">
        <f t="shared" si="97"/>
        <v>30.247686928124974</v>
      </c>
      <c r="Q436">
        <f t="shared" si="105"/>
        <v>-13.605058521154969</v>
      </c>
      <c r="R436">
        <f t="shared" si="98"/>
        <v>-3.8154280238002585</v>
      </c>
      <c r="S436">
        <f t="shared" si="98"/>
        <v>-1.4077140119001292</v>
      </c>
      <c r="T436">
        <f t="shared" si="98"/>
        <v>3.4077140119001292</v>
      </c>
      <c r="U436">
        <f t="shared" si="96"/>
        <v>5.8154280238002585</v>
      </c>
      <c r="V436">
        <v>4.9800000000000102</v>
      </c>
      <c r="W436" s="69">
        <f t="shared" si="106"/>
        <v>2.9311688311688311</v>
      </c>
      <c r="X436" s="69">
        <f t="shared" si="107"/>
        <v>-1.1724675324675324</v>
      </c>
      <c r="Y436">
        <f t="shared" si="108"/>
        <v>-3.8154280238002585</v>
      </c>
      <c r="Z436">
        <f t="shared" si="109"/>
        <v>5.8154280238002585</v>
      </c>
    </row>
    <row r="437" spans="9:26">
      <c r="I437">
        <f t="shared" si="99"/>
        <v>197.721490063907</v>
      </c>
      <c r="J437">
        <f t="shared" si="100"/>
        <v>230</v>
      </c>
      <c r="K437">
        <f t="shared" si="101"/>
        <v>378</v>
      </c>
      <c r="L437">
        <f t="shared" si="102"/>
        <v>156.47269016040096</v>
      </c>
      <c r="M437">
        <f t="shared" si="103"/>
        <v>108.13895043686934</v>
      </c>
      <c r="N437" s="69">
        <f t="shared" si="104"/>
        <v>91.394094063596299</v>
      </c>
      <c r="O437">
        <v>400</v>
      </c>
      <c r="P437">
        <f t="shared" si="97"/>
        <v>30.399494403301453</v>
      </c>
      <c r="Q437">
        <f t="shared" si="105"/>
        <v>-13.673339761589403</v>
      </c>
      <c r="R437">
        <f t="shared" si="98"/>
        <v>-3.8274967657145451</v>
      </c>
      <c r="S437">
        <f t="shared" si="98"/>
        <v>-1.4137483828572726</v>
      </c>
      <c r="T437">
        <f t="shared" si="98"/>
        <v>3.4137483828572726</v>
      </c>
      <c r="U437">
        <f t="shared" si="96"/>
        <v>5.8274967657145451</v>
      </c>
      <c r="V437">
        <v>5.0000000000000098</v>
      </c>
      <c r="W437" s="69">
        <f t="shared" si="106"/>
        <v>2.9311688311688311</v>
      </c>
      <c r="X437" s="69">
        <f t="shared" si="107"/>
        <v>-1.1724675324675324</v>
      </c>
      <c r="Y437">
        <f t="shared" si="108"/>
        <v>-3.8274967657145451</v>
      </c>
      <c r="Z437">
        <f t="shared" si="109"/>
        <v>5.8274967657145451</v>
      </c>
    </row>
  </sheetData>
  <mergeCells count="118">
    <mergeCell ref="AQ37:AR37"/>
    <mergeCell ref="AS37:AT37"/>
    <mergeCell ref="AU37:AV37"/>
    <mergeCell ref="AW37:AX37"/>
    <mergeCell ref="AY37:AZ37"/>
    <mergeCell ref="F7:H7"/>
    <mergeCell ref="A7:B7"/>
    <mergeCell ref="A2:B2"/>
    <mergeCell ref="F2:H2"/>
    <mergeCell ref="F3:H3"/>
    <mergeCell ref="F4:H4"/>
    <mergeCell ref="F5:H5"/>
    <mergeCell ref="F29:H29"/>
    <mergeCell ref="F22:H22"/>
    <mergeCell ref="F23:H23"/>
    <mergeCell ref="F24:H24"/>
    <mergeCell ref="F25:H25"/>
    <mergeCell ref="F26:H26"/>
    <mergeCell ref="F27:H27"/>
    <mergeCell ref="F28:H28"/>
    <mergeCell ref="F30:H30"/>
    <mergeCell ref="F31:H31"/>
    <mergeCell ref="F32:H32"/>
    <mergeCell ref="F35:H35"/>
    <mergeCell ref="A1:H1"/>
    <mergeCell ref="A3:B3"/>
    <mergeCell ref="A4:B4"/>
    <mergeCell ref="A5:B5"/>
    <mergeCell ref="A6:B6"/>
    <mergeCell ref="F6:H6"/>
    <mergeCell ref="A23:B23"/>
    <mergeCell ref="A16:B16"/>
    <mergeCell ref="A11:B11"/>
    <mergeCell ref="A12:B12"/>
    <mergeCell ref="A13:B13"/>
    <mergeCell ref="F11:H11"/>
    <mergeCell ref="A19:B19"/>
    <mergeCell ref="A20:B20"/>
    <mergeCell ref="A21:B21"/>
    <mergeCell ref="A22:B22"/>
    <mergeCell ref="F15:H15"/>
    <mergeCell ref="F16:H16"/>
    <mergeCell ref="F12:H12"/>
    <mergeCell ref="F13:H13"/>
    <mergeCell ref="F14:H14"/>
    <mergeCell ref="F19:H19"/>
    <mergeCell ref="F20:H20"/>
    <mergeCell ref="F21:H21"/>
    <mergeCell ref="F58:H58"/>
    <mergeCell ref="A35:B35"/>
    <mergeCell ref="A36:B36"/>
    <mergeCell ref="A37:B37"/>
    <mergeCell ref="A38:B38"/>
    <mergeCell ref="A39:B39"/>
    <mergeCell ref="A40:B40"/>
    <mergeCell ref="A41:B41"/>
    <mergeCell ref="F50:H50"/>
    <mergeCell ref="F51:H51"/>
    <mergeCell ref="F52:H52"/>
    <mergeCell ref="F53:H53"/>
    <mergeCell ref="F54:H54"/>
    <mergeCell ref="F55:H55"/>
    <mergeCell ref="F44:H44"/>
    <mergeCell ref="F45:H45"/>
    <mergeCell ref="A45:B45"/>
    <mergeCell ref="A46:B46"/>
    <mergeCell ref="A47:B47"/>
    <mergeCell ref="F56:H56"/>
    <mergeCell ref="F57:H57"/>
    <mergeCell ref="F46:H46"/>
    <mergeCell ref="BI37:BJ37"/>
    <mergeCell ref="F47:H47"/>
    <mergeCell ref="F48:H48"/>
    <mergeCell ref="A8:B8"/>
    <mergeCell ref="A9:B9"/>
    <mergeCell ref="A42:B42"/>
    <mergeCell ref="A43:B43"/>
    <mergeCell ref="A44:B44"/>
    <mergeCell ref="A30:B30"/>
    <mergeCell ref="A31:B31"/>
    <mergeCell ref="A32:B32"/>
    <mergeCell ref="A27:B27"/>
    <mergeCell ref="A28:B28"/>
    <mergeCell ref="A29:B29"/>
    <mergeCell ref="A14:B14"/>
    <mergeCell ref="A15:B15"/>
    <mergeCell ref="A24:B24"/>
    <mergeCell ref="A25:B25"/>
    <mergeCell ref="A26:B26"/>
    <mergeCell ref="F36:H36"/>
    <mergeCell ref="F37:H37"/>
    <mergeCell ref="F38:H38"/>
    <mergeCell ref="F39:H39"/>
    <mergeCell ref="F40:H40"/>
    <mergeCell ref="BQ37:BR37"/>
    <mergeCell ref="BM37:BN37"/>
    <mergeCell ref="BO37:BP37"/>
    <mergeCell ref="F49:H49"/>
    <mergeCell ref="A54:B54"/>
    <mergeCell ref="A48:B48"/>
    <mergeCell ref="A49:B49"/>
    <mergeCell ref="A50:B50"/>
    <mergeCell ref="A51:B51"/>
    <mergeCell ref="A52:B52"/>
    <mergeCell ref="A53:B53"/>
    <mergeCell ref="F43:H43"/>
    <mergeCell ref="F41:H41"/>
    <mergeCell ref="F42:H42"/>
    <mergeCell ref="AG37:AH37"/>
    <mergeCell ref="AI37:AJ37"/>
    <mergeCell ref="AK37:AL37"/>
    <mergeCell ref="AM37:AN37"/>
    <mergeCell ref="AO37:AP37"/>
    <mergeCell ref="BK37:BL37"/>
    <mergeCell ref="BA37:BB37"/>
    <mergeCell ref="BC37:BD37"/>
    <mergeCell ref="BE37:BF37"/>
    <mergeCell ref="BG37:BH37"/>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786D8-BD23-4026-819F-42CA2FE8B154}">
  <dimension ref="A1:AB107"/>
  <sheetViews>
    <sheetView topLeftCell="A13" workbookViewId="0">
      <selection activeCell="A56" sqref="A56:E56"/>
    </sheetView>
  </sheetViews>
  <sheetFormatPr defaultColWidth="11.42578125" defaultRowHeight="15"/>
  <cols>
    <col min="1" max="1" width="33.42578125" bestFit="1" customWidth="1"/>
    <col min="2" max="2" width="11.42578125" customWidth="1"/>
    <col min="4" max="4" width="14.42578125" customWidth="1"/>
    <col min="5" max="5" width="11.42578125" bestFit="1" customWidth="1"/>
    <col min="6" max="6" width="21.42578125" bestFit="1" customWidth="1"/>
    <col min="9" max="9" width="12.42578125" customWidth="1"/>
    <col min="10" max="20" width="6.42578125" customWidth="1"/>
    <col min="21" max="21" width="7.42578125" customWidth="1"/>
    <col min="22" max="22" width="6.42578125" customWidth="1"/>
    <col min="23" max="23" width="9.42578125" customWidth="1"/>
    <col min="24" max="24" width="7.42578125" customWidth="1"/>
    <col min="26" max="26" width="30.42578125" customWidth="1"/>
  </cols>
  <sheetData>
    <row r="1" spans="1:28">
      <c r="A1" s="326" t="s">
        <v>266</v>
      </c>
      <c r="B1" s="326"/>
      <c r="C1" s="326"/>
      <c r="D1" s="326"/>
      <c r="E1" s="326"/>
    </row>
    <row r="2" spans="1:28">
      <c r="A2" t="s">
        <v>267</v>
      </c>
      <c r="B2" s="5" t="s">
        <v>268</v>
      </c>
      <c r="H2" s="103"/>
      <c r="I2" s="323" t="s">
        <v>269</v>
      </c>
      <c r="J2" s="324"/>
      <c r="K2" s="324"/>
      <c r="L2" s="324"/>
      <c r="M2" s="324"/>
      <c r="N2" s="324"/>
      <c r="O2" s="324"/>
      <c r="P2" s="324"/>
      <c r="Q2" s="324"/>
      <c r="R2" s="324"/>
      <c r="S2" s="324"/>
      <c r="T2" s="324"/>
      <c r="U2" s="324"/>
      <c r="V2" s="324"/>
      <c r="W2" s="324"/>
      <c r="X2" s="325"/>
      <c r="Z2" t="s">
        <v>270</v>
      </c>
      <c r="AA2">
        <v>23</v>
      </c>
      <c r="AB2" t="s">
        <v>66</v>
      </c>
    </row>
    <row r="3" spans="1:28">
      <c r="A3" t="s">
        <v>271</v>
      </c>
      <c r="B3" s="5" t="s">
        <v>272</v>
      </c>
      <c r="H3" s="103"/>
      <c r="I3" s="133" t="s">
        <v>273</v>
      </c>
      <c r="J3" s="313" t="s">
        <v>274</v>
      </c>
      <c r="K3" s="312"/>
      <c r="L3" s="313" t="s">
        <v>275</v>
      </c>
      <c r="M3" s="322"/>
      <c r="N3" s="312" t="s">
        <v>276</v>
      </c>
      <c r="O3" s="328"/>
      <c r="P3" s="312" t="s">
        <v>277</v>
      </c>
      <c r="Q3" s="312"/>
      <c r="R3" s="313" t="s">
        <v>278</v>
      </c>
      <c r="S3" s="328"/>
      <c r="T3" s="312" t="s">
        <v>279</v>
      </c>
      <c r="U3" s="329"/>
      <c r="V3" s="312" t="s">
        <v>280</v>
      </c>
      <c r="W3" s="312"/>
      <c r="X3" s="328"/>
      <c r="Z3" t="s">
        <v>281</v>
      </c>
      <c r="AA3">
        <v>17</v>
      </c>
      <c r="AB3" t="s">
        <v>66</v>
      </c>
    </row>
    <row r="4" spans="1:28">
      <c r="A4" t="s">
        <v>282</v>
      </c>
      <c r="B4" s="5" t="s">
        <v>283</v>
      </c>
      <c r="H4" s="103"/>
      <c r="I4" s="109" t="s">
        <v>284</v>
      </c>
      <c r="J4" s="107" t="s">
        <v>285</v>
      </c>
      <c r="K4" s="108" t="s">
        <v>286</v>
      </c>
      <c r="L4" s="107" t="s">
        <v>285</v>
      </c>
      <c r="M4" s="120" t="s">
        <v>286</v>
      </c>
      <c r="N4" s="107" t="s">
        <v>199</v>
      </c>
      <c r="O4" s="108" t="s">
        <v>287</v>
      </c>
      <c r="P4" s="107" t="s">
        <v>199</v>
      </c>
      <c r="Q4" s="108" t="s">
        <v>287</v>
      </c>
      <c r="R4" s="107" t="s">
        <v>199</v>
      </c>
      <c r="S4" s="108" t="s">
        <v>287</v>
      </c>
      <c r="T4" s="107" t="s">
        <v>199</v>
      </c>
      <c r="U4" s="134" t="s">
        <v>287</v>
      </c>
      <c r="V4" s="107" t="s">
        <v>199</v>
      </c>
      <c r="W4" s="107" t="s">
        <v>288</v>
      </c>
      <c r="X4" s="108" t="s">
        <v>289</v>
      </c>
      <c r="Y4" s="25" t="s">
        <v>290</v>
      </c>
      <c r="Z4" t="s">
        <v>291</v>
      </c>
      <c r="AA4">
        <f>18.7+13.5</f>
        <v>32.200000000000003</v>
      </c>
      <c r="AB4" t="s">
        <v>66</v>
      </c>
    </row>
    <row r="5" spans="1:28">
      <c r="A5" t="s">
        <v>292</v>
      </c>
      <c r="B5" s="116">
        <f>General!C108</f>
        <v>15000</v>
      </c>
      <c r="C5" t="s">
        <v>66</v>
      </c>
      <c r="H5" s="103"/>
      <c r="I5" s="110">
        <v>1</v>
      </c>
      <c r="J5">
        <f t="shared" ref="J5:J20" si="0">$C$42+$C$47</f>
        <v>7000</v>
      </c>
      <c r="K5" s="103">
        <v>32.299999999999997</v>
      </c>
      <c r="L5">
        <f t="shared" ref="L5:L20" si="1">$C$43</f>
        <v>570</v>
      </c>
      <c r="M5" s="62">
        <f t="shared" ref="M5:M20" si="2">$AA$6</f>
        <v>8</v>
      </c>
      <c r="N5">
        <f>190*6</f>
        <v>1140</v>
      </c>
      <c r="O5" s="103">
        <f>$AA$3</f>
        <v>17</v>
      </c>
      <c r="P5">
        <f>190*6</f>
        <v>1140</v>
      </c>
      <c r="Q5" s="103">
        <f>$AA$4</f>
        <v>32.200000000000003</v>
      </c>
      <c r="R5">
        <f>SUM($C$44,$C$46)</f>
        <v>1750</v>
      </c>
      <c r="S5" s="103">
        <f>$AA$5</f>
        <v>15</v>
      </c>
      <c r="T5">
        <f>C48</f>
        <v>3300</v>
      </c>
      <c r="U5" s="135">
        <f t="shared" ref="U5:U20" si="3">$AA$2</f>
        <v>23</v>
      </c>
      <c r="V5">
        <f t="shared" ref="V5:V20" si="4">J5+L5+N5+P5+R5+T5</f>
        <v>14900</v>
      </c>
      <c r="W5">
        <f t="shared" ref="W5:W20" si="5">J5*K5+L5*M5+N5*O5+P5*Q5+R5*S5+T5*U5</f>
        <v>388898</v>
      </c>
      <c r="X5" s="126">
        <f>W5/V5</f>
        <v>26.100536912751679</v>
      </c>
      <c r="Y5" s="99">
        <f>(X5-26.7)/7.36</f>
        <v>-8.1448789028304436E-2</v>
      </c>
      <c r="Z5" t="s">
        <v>293</v>
      </c>
      <c r="AA5">
        <v>15</v>
      </c>
      <c r="AB5" t="s">
        <v>66</v>
      </c>
    </row>
    <row r="6" spans="1:28">
      <c r="A6" t="s">
        <v>294</v>
      </c>
      <c r="B6" s="65">
        <f>Drag!C8</f>
        <v>531.92740930825562</v>
      </c>
      <c r="C6" t="s">
        <v>183</v>
      </c>
      <c r="D6" s="6">
        <f>General!C105</f>
        <v>230</v>
      </c>
      <c r="E6" t="s">
        <v>173</v>
      </c>
      <c r="H6" s="103"/>
      <c r="I6" s="110">
        <v>2</v>
      </c>
      <c r="J6">
        <f t="shared" si="0"/>
        <v>7000</v>
      </c>
      <c r="K6" s="103">
        <v>32.299999999999997</v>
      </c>
      <c r="L6">
        <f t="shared" si="1"/>
        <v>570</v>
      </c>
      <c r="M6" s="62">
        <f t="shared" si="2"/>
        <v>8</v>
      </c>
      <c r="N6">
        <f>190*6</f>
        <v>1140</v>
      </c>
      <c r="O6" s="103">
        <f t="shared" ref="O6:O20" si="6">$AA$3</f>
        <v>17</v>
      </c>
      <c r="P6">
        <v>1140</v>
      </c>
      <c r="Q6" s="103">
        <f t="shared" ref="Q6:Q20" si="7">$AA$4</f>
        <v>32.200000000000003</v>
      </c>
      <c r="R6">
        <f>SUM($C$44,$C$46)</f>
        <v>1750</v>
      </c>
      <c r="S6" s="103">
        <f t="shared" ref="S6:S20" si="8">$AA$5</f>
        <v>15</v>
      </c>
      <c r="T6">
        <v>0</v>
      </c>
      <c r="U6" s="135">
        <f t="shared" si="3"/>
        <v>23</v>
      </c>
      <c r="V6">
        <f t="shared" si="4"/>
        <v>11600</v>
      </c>
      <c r="W6">
        <f t="shared" si="5"/>
        <v>312998</v>
      </c>
      <c r="X6" s="126">
        <f t="shared" ref="X6:X20" si="9">W6/V6</f>
        <v>26.982586206896553</v>
      </c>
      <c r="Y6" s="99">
        <f t="shared" ref="Y6:Y20" si="10">(X6-26.7)/7.36</f>
        <v>3.8394865067466498E-2</v>
      </c>
      <c r="Z6" t="s">
        <v>295</v>
      </c>
      <c r="AA6">
        <v>8</v>
      </c>
    </row>
    <row r="7" spans="1:28">
      <c r="H7" s="103"/>
      <c r="I7" s="122">
        <v>3</v>
      </c>
      <c r="J7" s="119">
        <f t="shared" si="0"/>
        <v>7000</v>
      </c>
      <c r="K7" s="124">
        <v>32.299999999999997</v>
      </c>
      <c r="L7" s="119">
        <f t="shared" si="1"/>
        <v>570</v>
      </c>
      <c r="M7" s="123">
        <f t="shared" si="2"/>
        <v>8</v>
      </c>
      <c r="N7" s="119">
        <v>1140</v>
      </c>
      <c r="O7" s="124">
        <f t="shared" si="6"/>
        <v>17</v>
      </c>
      <c r="P7" s="119">
        <v>0</v>
      </c>
      <c r="Q7" s="124">
        <f t="shared" si="7"/>
        <v>32.200000000000003</v>
      </c>
      <c r="R7" s="119">
        <f>SUM($C$44,$C$46)</f>
        <v>1750</v>
      </c>
      <c r="S7" s="124">
        <f t="shared" si="8"/>
        <v>15</v>
      </c>
      <c r="T7" s="119">
        <v>4000</v>
      </c>
      <c r="U7" s="136">
        <f t="shared" si="3"/>
        <v>23</v>
      </c>
      <c r="V7" s="119">
        <f t="shared" si="4"/>
        <v>14460</v>
      </c>
      <c r="W7" s="119">
        <f t="shared" si="5"/>
        <v>368290</v>
      </c>
      <c r="X7" s="127">
        <f>W7/V7</f>
        <v>25.469571230982019</v>
      </c>
      <c r="Y7" s="99">
        <f t="shared" si="10"/>
        <v>-0.1671778218774429</v>
      </c>
    </row>
    <row r="8" spans="1:28">
      <c r="H8" s="103"/>
      <c r="I8" s="110">
        <v>4</v>
      </c>
      <c r="J8">
        <f t="shared" si="0"/>
        <v>7000</v>
      </c>
      <c r="K8" s="103">
        <v>32.299999999999997</v>
      </c>
      <c r="L8">
        <f t="shared" si="1"/>
        <v>570</v>
      </c>
      <c r="M8" s="62">
        <f t="shared" si="2"/>
        <v>8</v>
      </c>
      <c r="N8">
        <v>1140</v>
      </c>
      <c r="O8" s="103">
        <f t="shared" si="6"/>
        <v>17</v>
      </c>
      <c r="P8">
        <v>0</v>
      </c>
      <c r="Q8" s="103">
        <f t="shared" si="7"/>
        <v>32.200000000000003</v>
      </c>
      <c r="R8">
        <f>SUM($C$44,$C$46)</f>
        <v>1750</v>
      </c>
      <c r="S8" s="103">
        <f t="shared" si="8"/>
        <v>15</v>
      </c>
      <c r="T8">
        <v>0</v>
      </c>
      <c r="U8" s="135">
        <f t="shared" si="3"/>
        <v>23</v>
      </c>
      <c r="V8">
        <f t="shared" si="4"/>
        <v>10460</v>
      </c>
      <c r="W8">
        <f t="shared" si="5"/>
        <v>276290</v>
      </c>
      <c r="X8" s="126">
        <f t="shared" si="9"/>
        <v>26.413957934990439</v>
      </c>
      <c r="Y8" s="99">
        <f t="shared" si="10"/>
        <v>-3.8864411006733768E-2</v>
      </c>
    </row>
    <row r="9" spans="1:28">
      <c r="H9" s="103"/>
      <c r="I9" s="110">
        <v>5</v>
      </c>
      <c r="J9">
        <f t="shared" si="0"/>
        <v>7000</v>
      </c>
      <c r="K9" s="103">
        <v>32.299999999999997</v>
      </c>
      <c r="L9">
        <f t="shared" si="1"/>
        <v>570</v>
      </c>
      <c r="M9" s="62">
        <f t="shared" si="2"/>
        <v>8</v>
      </c>
      <c r="N9">
        <v>1140</v>
      </c>
      <c r="O9" s="103">
        <f t="shared" si="6"/>
        <v>17</v>
      </c>
      <c r="P9">
        <v>0</v>
      </c>
      <c r="Q9" s="103">
        <f t="shared" si="7"/>
        <v>32.200000000000003</v>
      </c>
      <c r="R9">
        <v>1000</v>
      </c>
      <c r="S9" s="103">
        <f t="shared" si="8"/>
        <v>15</v>
      </c>
      <c r="T9">
        <v>4000</v>
      </c>
      <c r="U9" s="135">
        <f t="shared" si="3"/>
        <v>23</v>
      </c>
      <c r="V9">
        <f t="shared" si="4"/>
        <v>13710</v>
      </c>
      <c r="W9">
        <f t="shared" si="5"/>
        <v>357040</v>
      </c>
      <c r="X9" s="126">
        <f t="shared" si="9"/>
        <v>26.042304886943835</v>
      </c>
      <c r="Y9" s="99">
        <f t="shared" si="10"/>
        <v>-8.9360749056544009E-2</v>
      </c>
    </row>
    <row r="10" spans="1:28">
      <c r="A10" s="327" t="s">
        <v>296</v>
      </c>
      <c r="B10" s="327"/>
      <c r="C10" s="327"/>
      <c r="D10" s="327"/>
      <c r="E10" s="327"/>
      <c r="H10" s="103"/>
      <c r="I10" s="110">
        <v>6</v>
      </c>
      <c r="J10">
        <f t="shared" si="0"/>
        <v>7000</v>
      </c>
      <c r="K10" s="103">
        <v>32.299999999999997</v>
      </c>
      <c r="L10">
        <f t="shared" si="1"/>
        <v>570</v>
      </c>
      <c r="M10" s="62">
        <f t="shared" si="2"/>
        <v>8</v>
      </c>
      <c r="N10">
        <v>1140</v>
      </c>
      <c r="O10" s="103">
        <f t="shared" si="6"/>
        <v>17</v>
      </c>
      <c r="P10">
        <v>0</v>
      </c>
      <c r="Q10" s="103">
        <f t="shared" si="7"/>
        <v>32.200000000000003</v>
      </c>
      <c r="R10">
        <v>1000</v>
      </c>
      <c r="S10" s="103">
        <f t="shared" si="8"/>
        <v>15</v>
      </c>
      <c r="T10">
        <v>0</v>
      </c>
      <c r="U10" s="135">
        <f t="shared" si="3"/>
        <v>23</v>
      </c>
      <c r="V10">
        <f t="shared" si="4"/>
        <v>9710</v>
      </c>
      <c r="W10">
        <f t="shared" si="5"/>
        <v>265040</v>
      </c>
      <c r="X10" s="126">
        <f t="shared" si="9"/>
        <v>27.29557157569516</v>
      </c>
      <c r="Y10" s="99">
        <f t="shared" si="10"/>
        <v>8.0920051045538108E-2</v>
      </c>
    </row>
    <row r="11" spans="1:28">
      <c r="A11" s="7" t="s">
        <v>297</v>
      </c>
      <c r="B11" s="8"/>
      <c r="C11" s="8"/>
      <c r="D11" s="8"/>
      <c r="E11" s="8"/>
      <c r="H11" s="103"/>
      <c r="I11" s="110">
        <v>7</v>
      </c>
      <c r="J11">
        <f t="shared" si="0"/>
        <v>7000</v>
      </c>
      <c r="K11" s="103">
        <v>32.299999999999997</v>
      </c>
      <c r="L11">
        <f t="shared" si="1"/>
        <v>570</v>
      </c>
      <c r="M11" s="62">
        <f t="shared" si="2"/>
        <v>8</v>
      </c>
      <c r="N11">
        <v>1140</v>
      </c>
      <c r="O11" s="103">
        <f t="shared" si="6"/>
        <v>17</v>
      </c>
      <c r="P11">
        <v>1140</v>
      </c>
      <c r="Q11" s="103">
        <f t="shared" si="7"/>
        <v>32.200000000000003</v>
      </c>
      <c r="R11">
        <v>1000</v>
      </c>
      <c r="S11" s="103">
        <f t="shared" si="8"/>
        <v>15</v>
      </c>
      <c r="T11">
        <v>4000</v>
      </c>
      <c r="U11" s="135">
        <f t="shared" si="3"/>
        <v>23</v>
      </c>
      <c r="V11">
        <f t="shared" si="4"/>
        <v>14850</v>
      </c>
      <c r="W11">
        <f t="shared" si="5"/>
        <v>393748</v>
      </c>
      <c r="X11" s="126">
        <f t="shared" si="9"/>
        <v>26.515016835016834</v>
      </c>
      <c r="Y11" s="99">
        <f t="shared" si="10"/>
        <v>-2.5133582198799687E-2</v>
      </c>
    </row>
    <row r="12" spans="1:28">
      <c r="A12" s="72" t="s">
        <v>298</v>
      </c>
      <c r="H12" s="103"/>
      <c r="I12" s="110">
        <v>8</v>
      </c>
      <c r="J12">
        <f t="shared" si="0"/>
        <v>7000</v>
      </c>
      <c r="K12" s="103">
        <v>32.299999999999997</v>
      </c>
      <c r="L12">
        <f t="shared" si="1"/>
        <v>570</v>
      </c>
      <c r="M12" s="62">
        <f t="shared" si="2"/>
        <v>8</v>
      </c>
      <c r="N12">
        <v>1140</v>
      </c>
      <c r="O12" s="103">
        <f t="shared" si="6"/>
        <v>17</v>
      </c>
      <c r="P12">
        <v>1140</v>
      </c>
      <c r="Q12" s="103">
        <f t="shared" si="7"/>
        <v>32.200000000000003</v>
      </c>
      <c r="R12">
        <v>1000</v>
      </c>
      <c r="S12" s="103">
        <f t="shared" si="8"/>
        <v>15</v>
      </c>
      <c r="T12">
        <v>0</v>
      </c>
      <c r="U12" s="135">
        <f t="shared" si="3"/>
        <v>23</v>
      </c>
      <c r="V12">
        <f t="shared" si="4"/>
        <v>10850</v>
      </c>
      <c r="W12">
        <f t="shared" si="5"/>
        <v>301748</v>
      </c>
      <c r="X12" s="126">
        <f t="shared" si="9"/>
        <v>27.810875576036867</v>
      </c>
      <c r="Y12" s="99">
        <f t="shared" si="10"/>
        <v>0.15093418152674837</v>
      </c>
    </row>
    <row r="13" spans="1:28">
      <c r="A13" t="s">
        <v>299</v>
      </c>
      <c r="C13" s="5">
        <v>4415</v>
      </c>
      <c r="H13" s="103"/>
      <c r="I13" s="110">
        <v>9</v>
      </c>
      <c r="J13">
        <f t="shared" si="0"/>
        <v>7000</v>
      </c>
      <c r="K13" s="103">
        <v>32.299999999999997</v>
      </c>
      <c r="L13">
        <f t="shared" si="1"/>
        <v>570</v>
      </c>
      <c r="M13" s="62">
        <f t="shared" si="2"/>
        <v>8</v>
      </c>
      <c r="N13">
        <v>0</v>
      </c>
      <c r="O13" s="103">
        <f t="shared" si="6"/>
        <v>17</v>
      </c>
      <c r="P13">
        <v>1140</v>
      </c>
      <c r="Q13" s="103">
        <f t="shared" si="7"/>
        <v>32.200000000000003</v>
      </c>
      <c r="R13">
        <f>SUM($C$44,$C$46)</f>
        <v>1750</v>
      </c>
      <c r="S13" s="103">
        <f t="shared" si="8"/>
        <v>15</v>
      </c>
      <c r="T13">
        <v>4000</v>
      </c>
      <c r="U13" s="135">
        <f t="shared" si="3"/>
        <v>23</v>
      </c>
      <c r="V13">
        <f t="shared" si="4"/>
        <v>14460</v>
      </c>
      <c r="W13">
        <f t="shared" si="5"/>
        <v>385618</v>
      </c>
      <c r="X13" s="126">
        <f t="shared" si="9"/>
        <v>26.667911479944674</v>
      </c>
      <c r="Y13" s="99">
        <f t="shared" si="10"/>
        <v>-4.3598532683865382E-3</v>
      </c>
    </row>
    <row r="14" spans="1:28">
      <c r="A14" t="s">
        <v>300</v>
      </c>
      <c r="B14" t="s">
        <v>301</v>
      </c>
      <c r="C14" s="63">
        <f>Lift!C38</f>
        <v>0.29928226910060418</v>
      </c>
      <c r="H14" s="103"/>
      <c r="I14" s="110">
        <v>10</v>
      </c>
      <c r="J14">
        <f t="shared" si="0"/>
        <v>7000</v>
      </c>
      <c r="K14" s="103">
        <v>32.299999999999997</v>
      </c>
      <c r="L14">
        <f t="shared" si="1"/>
        <v>570</v>
      </c>
      <c r="M14" s="62">
        <f t="shared" si="2"/>
        <v>8</v>
      </c>
      <c r="N14">
        <v>0</v>
      </c>
      <c r="O14" s="103">
        <f t="shared" si="6"/>
        <v>17</v>
      </c>
      <c r="P14">
        <v>1140</v>
      </c>
      <c r="Q14" s="103">
        <f t="shared" si="7"/>
        <v>32.200000000000003</v>
      </c>
      <c r="R14">
        <f>SUM($C$44,$C$46)</f>
        <v>1750</v>
      </c>
      <c r="S14" s="103">
        <f t="shared" si="8"/>
        <v>15</v>
      </c>
      <c r="T14">
        <v>0</v>
      </c>
      <c r="U14" s="135">
        <f t="shared" si="3"/>
        <v>23</v>
      </c>
      <c r="V14">
        <f t="shared" si="4"/>
        <v>10460</v>
      </c>
      <c r="W14">
        <f t="shared" si="5"/>
        <v>293618</v>
      </c>
      <c r="X14" s="126">
        <f t="shared" si="9"/>
        <v>28.070554493307839</v>
      </c>
      <c r="Y14" s="99">
        <f t="shared" si="10"/>
        <v>0.18621664311247815</v>
      </c>
    </row>
    <row r="15" spans="1:28">
      <c r="A15" t="s">
        <v>302</v>
      </c>
      <c r="B15" t="s">
        <v>303</v>
      </c>
      <c r="C15" s="77">
        <f>Lift!D30</f>
        <v>6.0733526283867256</v>
      </c>
      <c r="D15" t="s">
        <v>167</v>
      </c>
      <c r="H15" s="103"/>
      <c r="I15" s="110">
        <v>11</v>
      </c>
      <c r="J15">
        <f t="shared" si="0"/>
        <v>7000</v>
      </c>
      <c r="K15" s="103">
        <v>32.299999999999997</v>
      </c>
      <c r="L15">
        <f t="shared" si="1"/>
        <v>570</v>
      </c>
      <c r="M15" s="62">
        <f t="shared" si="2"/>
        <v>8</v>
      </c>
      <c r="N15">
        <v>0</v>
      </c>
      <c r="O15" s="103">
        <f t="shared" si="6"/>
        <v>17</v>
      </c>
      <c r="P15">
        <v>1140</v>
      </c>
      <c r="Q15" s="103">
        <f t="shared" si="7"/>
        <v>32.200000000000003</v>
      </c>
      <c r="R15">
        <v>1000</v>
      </c>
      <c r="S15" s="103">
        <f t="shared" si="8"/>
        <v>15</v>
      </c>
      <c r="T15">
        <v>4000</v>
      </c>
      <c r="U15" s="135">
        <f t="shared" si="3"/>
        <v>23</v>
      </c>
      <c r="V15">
        <f t="shared" si="4"/>
        <v>13710</v>
      </c>
      <c r="W15">
        <f t="shared" si="5"/>
        <v>374368</v>
      </c>
      <c r="X15" s="126">
        <f>W15/V15</f>
        <v>27.306199854121079</v>
      </c>
      <c r="Y15" s="99">
        <f t="shared" si="10"/>
        <v>8.2364110614277147E-2</v>
      </c>
    </row>
    <row r="16" spans="1:28">
      <c r="C16" s="6">
        <f>'Airfoil Selection'!D8</f>
        <v>0.105</v>
      </c>
      <c r="D16" t="s">
        <v>304</v>
      </c>
      <c r="H16" s="103"/>
      <c r="I16" s="122">
        <v>12</v>
      </c>
      <c r="J16" s="119">
        <f t="shared" si="0"/>
        <v>7000</v>
      </c>
      <c r="K16" s="124">
        <v>32.299999999999997</v>
      </c>
      <c r="L16" s="119">
        <f t="shared" si="1"/>
        <v>570</v>
      </c>
      <c r="M16" s="123">
        <f t="shared" si="2"/>
        <v>8</v>
      </c>
      <c r="N16" s="119">
        <v>0</v>
      </c>
      <c r="O16" s="124">
        <f t="shared" si="6"/>
        <v>17</v>
      </c>
      <c r="P16" s="119">
        <v>1140</v>
      </c>
      <c r="Q16" s="124">
        <f t="shared" si="7"/>
        <v>32.200000000000003</v>
      </c>
      <c r="R16" s="119">
        <v>1000</v>
      </c>
      <c r="S16" s="124">
        <f t="shared" si="8"/>
        <v>15</v>
      </c>
      <c r="T16" s="119">
        <v>0</v>
      </c>
      <c r="U16" s="136">
        <f t="shared" si="3"/>
        <v>23</v>
      </c>
      <c r="V16" s="119">
        <f t="shared" si="4"/>
        <v>9710</v>
      </c>
      <c r="W16" s="119">
        <f t="shared" si="5"/>
        <v>282368</v>
      </c>
      <c r="X16" s="127">
        <f t="shared" si="9"/>
        <v>29.080123583934089</v>
      </c>
      <c r="Y16" s="99">
        <f t="shared" si="10"/>
        <v>0.32338635651278391</v>
      </c>
    </row>
    <row r="17" spans="1:25">
      <c r="H17" s="103"/>
      <c r="I17" s="110">
        <v>13</v>
      </c>
      <c r="J17">
        <f t="shared" si="0"/>
        <v>7000</v>
      </c>
      <c r="K17" s="103">
        <v>32.299999999999997</v>
      </c>
      <c r="L17">
        <f t="shared" si="1"/>
        <v>570</v>
      </c>
      <c r="M17" s="62">
        <f t="shared" si="2"/>
        <v>8</v>
      </c>
      <c r="N17">
        <v>0</v>
      </c>
      <c r="O17" s="103">
        <f t="shared" si="6"/>
        <v>17</v>
      </c>
      <c r="P17">
        <v>0</v>
      </c>
      <c r="Q17" s="103">
        <f t="shared" si="7"/>
        <v>32.200000000000003</v>
      </c>
      <c r="R17">
        <f>SUM($C$44,$C$46)</f>
        <v>1750</v>
      </c>
      <c r="S17" s="103">
        <f t="shared" si="8"/>
        <v>15</v>
      </c>
      <c r="T17">
        <v>4000</v>
      </c>
      <c r="U17" s="135">
        <f t="shared" si="3"/>
        <v>23</v>
      </c>
      <c r="V17">
        <f t="shared" si="4"/>
        <v>13320</v>
      </c>
      <c r="W17">
        <f t="shared" si="5"/>
        <v>348910</v>
      </c>
      <c r="X17" s="126">
        <f t="shared" si="9"/>
        <v>26.194444444444443</v>
      </c>
      <c r="Y17" s="99">
        <f t="shared" si="10"/>
        <v>-6.8689613526570159E-2</v>
      </c>
    </row>
    <row r="18" spans="1:25">
      <c r="A18" s="72" t="s">
        <v>305</v>
      </c>
      <c r="H18" s="103"/>
      <c r="I18" s="110">
        <v>14</v>
      </c>
      <c r="J18">
        <f t="shared" si="0"/>
        <v>7000</v>
      </c>
      <c r="K18" s="103">
        <v>32.299999999999997</v>
      </c>
      <c r="L18">
        <f t="shared" si="1"/>
        <v>570</v>
      </c>
      <c r="M18" s="62">
        <f t="shared" si="2"/>
        <v>8</v>
      </c>
      <c r="N18">
        <v>0</v>
      </c>
      <c r="O18" s="103">
        <f t="shared" si="6"/>
        <v>17</v>
      </c>
      <c r="P18">
        <v>0</v>
      </c>
      <c r="Q18" s="103">
        <f t="shared" si="7"/>
        <v>32.200000000000003</v>
      </c>
      <c r="R18">
        <f>SUM($C$44,$C$46)</f>
        <v>1750</v>
      </c>
      <c r="S18" s="103">
        <f t="shared" si="8"/>
        <v>15</v>
      </c>
      <c r="T18">
        <v>0</v>
      </c>
      <c r="U18" s="135">
        <f t="shared" si="3"/>
        <v>23</v>
      </c>
      <c r="V18">
        <f t="shared" si="4"/>
        <v>9320</v>
      </c>
      <c r="W18">
        <f t="shared" si="5"/>
        <v>256909.99999999997</v>
      </c>
      <c r="X18" s="126">
        <f t="shared" si="9"/>
        <v>27.565450643776821</v>
      </c>
      <c r="Y18" s="99">
        <f t="shared" si="10"/>
        <v>0.11758840268706809</v>
      </c>
    </row>
    <row r="19" spans="1:25">
      <c r="A19" t="s">
        <v>75</v>
      </c>
      <c r="B19" t="s">
        <v>306</v>
      </c>
      <c r="C19" s="6">
        <f>Lift!C18</f>
        <v>69</v>
      </c>
      <c r="D19" t="s">
        <v>66</v>
      </c>
      <c r="H19" s="103"/>
      <c r="I19" s="110">
        <v>15</v>
      </c>
      <c r="J19">
        <f t="shared" si="0"/>
        <v>7000</v>
      </c>
      <c r="K19" s="103">
        <v>32.299999999999997</v>
      </c>
      <c r="L19">
        <f t="shared" si="1"/>
        <v>570</v>
      </c>
      <c r="M19" s="62">
        <f t="shared" si="2"/>
        <v>8</v>
      </c>
      <c r="N19">
        <v>0</v>
      </c>
      <c r="O19" s="103">
        <f t="shared" si="6"/>
        <v>17</v>
      </c>
      <c r="P19">
        <v>0</v>
      </c>
      <c r="Q19" s="103">
        <f t="shared" si="7"/>
        <v>32.200000000000003</v>
      </c>
      <c r="R19">
        <v>1000</v>
      </c>
      <c r="S19" s="103">
        <f t="shared" si="8"/>
        <v>15</v>
      </c>
      <c r="T19">
        <v>4000</v>
      </c>
      <c r="U19" s="135">
        <f t="shared" si="3"/>
        <v>23</v>
      </c>
      <c r="V19">
        <f t="shared" si="4"/>
        <v>12570</v>
      </c>
      <c r="W19">
        <f t="shared" si="5"/>
        <v>337660</v>
      </c>
      <c r="X19" s="126">
        <f t="shared" si="9"/>
        <v>26.862370723945904</v>
      </c>
      <c r="Y19" s="99">
        <f t="shared" si="10"/>
        <v>2.2061239666563197E-2</v>
      </c>
    </row>
    <row r="20" spans="1:25">
      <c r="A20" t="s">
        <v>43</v>
      </c>
      <c r="B20" t="s">
        <v>307</v>
      </c>
      <c r="C20" s="6">
        <f>Lift!C3</f>
        <v>476.1</v>
      </c>
      <c r="D20" t="s">
        <v>196</v>
      </c>
      <c r="H20" s="103"/>
      <c r="I20" s="109">
        <v>16</v>
      </c>
      <c r="J20" s="104">
        <f t="shared" si="0"/>
        <v>7000</v>
      </c>
      <c r="K20" s="125">
        <v>32.299999999999997</v>
      </c>
      <c r="L20" s="104">
        <f t="shared" si="1"/>
        <v>570</v>
      </c>
      <c r="M20" s="121">
        <f t="shared" si="2"/>
        <v>8</v>
      </c>
      <c r="N20" s="104">
        <v>0</v>
      </c>
      <c r="O20" s="105">
        <f t="shared" si="6"/>
        <v>17</v>
      </c>
      <c r="P20" s="106">
        <v>0</v>
      </c>
      <c r="Q20" s="105">
        <f t="shared" si="7"/>
        <v>32.200000000000003</v>
      </c>
      <c r="R20" s="129">
        <v>1000</v>
      </c>
      <c r="S20" s="105">
        <f t="shared" si="8"/>
        <v>15</v>
      </c>
      <c r="T20" s="104">
        <v>0</v>
      </c>
      <c r="U20" s="137">
        <f t="shared" si="3"/>
        <v>23</v>
      </c>
      <c r="V20" s="104">
        <f t="shared" si="4"/>
        <v>8570</v>
      </c>
      <c r="W20" s="104">
        <f t="shared" si="5"/>
        <v>245659.99999999997</v>
      </c>
      <c r="X20" s="128">
        <f t="shared" si="9"/>
        <v>28.665110851808631</v>
      </c>
      <c r="Y20" s="99">
        <f t="shared" si="10"/>
        <v>0.26699875703921627</v>
      </c>
    </row>
    <row r="21" spans="1:25">
      <c r="A21" t="s">
        <v>308</v>
      </c>
      <c r="B21" t="s">
        <v>309</v>
      </c>
      <c r="C21" s="47">
        <f>C19^2/C20</f>
        <v>10</v>
      </c>
    </row>
    <row r="22" spans="1:25">
      <c r="A22" t="s">
        <v>310</v>
      </c>
      <c r="B22" t="s">
        <v>153</v>
      </c>
      <c r="C22" s="47">
        <f>1.78*(1-0.045*C21^0.68)-0.64</f>
        <v>0.75661729604956662</v>
      </c>
      <c r="D22" t="s">
        <v>311</v>
      </c>
    </row>
    <row r="23" spans="1:25">
      <c r="B23" t="s">
        <v>312</v>
      </c>
      <c r="C23" s="47">
        <f>C14/(1+(C14/(PI()*C22*C21)))</f>
        <v>0.29556090775637106</v>
      </c>
      <c r="D23" t="s">
        <v>313</v>
      </c>
    </row>
    <row r="25" spans="1:25">
      <c r="A25" s="7" t="s">
        <v>314</v>
      </c>
    </row>
    <row r="26" spans="1:25">
      <c r="A26" s="72" t="s">
        <v>315</v>
      </c>
    </row>
    <row r="27" spans="1:25">
      <c r="A27" t="s">
        <v>316</v>
      </c>
      <c r="B27" t="s">
        <v>312</v>
      </c>
      <c r="C27" s="75">
        <f>C23</f>
        <v>0.29556090775637106</v>
      </c>
    </row>
    <row r="28" spans="1:25">
      <c r="A28" t="s">
        <v>317</v>
      </c>
      <c r="B28" t="s">
        <v>318</v>
      </c>
      <c r="C28" s="67">
        <f>0.002378*(1-0.0000068756*B5)^4.2561</f>
        <v>1.4962894703458285E-3</v>
      </c>
      <c r="D28" t="s">
        <v>319</v>
      </c>
    </row>
    <row r="29" spans="1:25">
      <c r="A29" t="s">
        <v>320</v>
      </c>
      <c r="B29" t="s">
        <v>249</v>
      </c>
      <c r="C29" s="65">
        <f>B6</f>
        <v>531.92740930825562</v>
      </c>
      <c r="D29" t="s">
        <v>183</v>
      </c>
    </row>
    <row r="30" spans="1:25">
      <c r="A30" t="s">
        <v>321</v>
      </c>
      <c r="B30" t="s">
        <v>307</v>
      </c>
      <c r="C30" s="6">
        <f>C20</f>
        <v>476.1</v>
      </c>
      <c r="D30" t="s">
        <v>196</v>
      </c>
    </row>
    <row r="32" spans="1:25">
      <c r="A32" s="72" t="s">
        <v>314</v>
      </c>
    </row>
    <row r="33" spans="1:9">
      <c r="A33" t="s">
        <v>322</v>
      </c>
      <c r="B33" t="s">
        <v>323</v>
      </c>
      <c r="C33" s="65">
        <f>Lift!C42</f>
        <v>22636.24301224175</v>
      </c>
      <c r="D33" t="s">
        <v>324</v>
      </c>
    </row>
    <row r="35" spans="1:9">
      <c r="A35" s="72" t="s">
        <v>325</v>
      </c>
    </row>
    <row r="36" spans="1:9">
      <c r="A36" t="s">
        <v>326</v>
      </c>
      <c r="B36" t="s">
        <v>199</v>
      </c>
      <c r="C36" s="6">
        <f>General!C7</f>
        <v>18875</v>
      </c>
      <c r="D36" t="s">
        <v>327</v>
      </c>
    </row>
    <row r="37" spans="1:9">
      <c r="A37" t="s">
        <v>328</v>
      </c>
      <c r="B37" t="s">
        <v>329</v>
      </c>
      <c r="C37" s="65">
        <f>C33-C36</f>
        <v>3761.24301224175</v>
      </c>
      <c r="D37" t="s">
        <v>327</v>
      </c>
    </row>
    <row r="39" spans="1:9">
      <c r="A39" s="327" t="s">
        <v>330</v>
      </c>
      <c r="B39" s="327"/>
      <c r="C39" s="327"/>
      <c r="D39" s="327"/>
      <c r="E39" s="327"/>
    </row>
    <row r="40" spans="1:9">
      <c r="A40" s="7" t="s">
        <v>331</v>
      </c>
      <c r="B40" s="7" t="s">
        <v>190</v>
      </c>
      <c r="C40" s="7" t="s">
        <v>191</v>
      </c>
      <c r="D40" s="7" t="s">
        <v>332</v>
      </c>
    </row>
    <row r="41" spans="1:9">
      <c r="A41" s="72" t="s">
        <v>333</v>
      </c>
    </row>
    <row r="42" spans="1:9">
      <c r="A42" t="s">
        <v>20</v>
      </c>
      <c r="B42" t="s">
        <v>199</v>
      </c>
      <c r="C42" s="6">
        <f>4400+300</f>
        <v>4700</v>
      </c>
      <c r="D42" t="s">
        <v>14</v>
      </c>
      <c r="E42">
        <f>C42+C47</f>
        <v>7000</v>
      </c>
      <c r="G42" s="140" t="s">
        <v>334</v>
      </c>
      <c r="H42" s="64">
        <v>0.39402199999999998</v>
      </c>
      <c r="I42" s="140"/>
    </row>
    <row r="43" spans="1:9">
      <c r="A43" t="s">
        <v>29</v>
      </c>
      <c r="B43" t="s">
        <v>335</v>
      </c>
      <c r="C43" s="6">
        <f>General!C14</f>
        <v>570</v>
      </c>
      <c r="D43" t="s">
        <v>14</v>
      </c>
      <c r="G43" s="140"/>
      <c r="H43" s="64">
        <v>0.39402199999999998</v>
      </c>
      <c r="I43" s="140"/>
    </row>
    <row r="44" spans="1:9">
      <c r="A44" t="s">
        <v>26</v>
      </c>
      <c r="B44" t="s">
        <v>336</v>
      </c>
      <c r="C44" s="6">
        <f>15*50</f>
        <v>750</v>
      </c>
      <c r="D44" t="s">
        <v>14</v>
      </c>
      <c r="G44" s="140" t="s">
        <v>337</v>
      </c>
      <c r="H44" s="47">
        <v>18000</v>
      </c>
      <c r="I44" s="140"/>
    </row>
    <row r="45" spans="1:9">
      <c r="B45" t="s">
        <v>338</v>
      </c>
      <c r="C45" s="6">
        <f>190*12</f>
        <v>2280</v>
      </c>
      <c r="D45" t="s">
        <v>14</v>
      </c>
      <c r="G45" s="140" t="s">
        <v>339</v>
      </c>
      <c r="H45" s="47">
        <v>6000</v>
      </c>
      <c r="I45" s="140"/>
    </row>
    <row r="46" spans="1:9">
      <c r="B46" t="s">
        <v>340</v>
      </c>
      <c r="C46" s="6">
        <v>1000</v>
      </c>
      <c r="D46" t="s">
        <v>14</v>
      </c>
      <c r="E46" t="s">
        <v>341</v>
      </c>
      <c r="G46" s="140"/>
      <c r="H46" s="140"/>
      <c r="I46" s="64">
        <f>G52</f>
        <v>-0.1671778218774429</v>
      </c>
    </row>
    <row r="47" spans="1:9">
      <c r="A47" t="s">
        <v>342</v>
      </c>
      <c r="B47" t="s">
        <v>343</v>
      </c>
      <c r="C47" s="6">
        <f>2100+200</f>
        <v>2300</v>
      </c>
      <c r="D47" t="s">
        <v>14</v>
      </c>
      <c r="E47" t="s">
        <v>344</v>
      </c>
      <c r="G47" s="140" t="s">
        <v>345</v>
      </c>
      <c r="H47" s="141">
        <v>25.32</v>
      </c>
      <c r="I47" s="142">
        <f>G52</f>
        <v>-0.1671778218774429</v>
      </c>
    </row>
    <row r="48" spans="1:9">
      <c r="A48" t="s">
        <v>346</v>
      </c>
      <c r="B48" t="s">
        <v>347</v>
      </c>
      <c r="C48" s="6">
        <f>General!C12</f>
        <v>3300</v>
      </c>
      <c r="D48" t="s">
        <v>14</v>
      </c>
      <c r="G48" s="140" t="s">
        <v>348</v>
      </c>
      <c r="H48" s="140">
        <v>28.07</v>
      </c>
      <c r="I48" s="64">
        <f>G53</f>
        <v>0.32338635651278391</v>
      </c>
    </row>
    <row r="49" spans="1:10">
      <c r="A49" t="s">
        <v>349</v>
      </c>
      <c r="B49" t="s">
        <v>350</v>
      </c>
      <c r="C49" s="6">
        <f>SUM(C42:C48)</f>
        <v>14900</v>
      </c>
      <c r="D49" t="s">
        <v>14</v>
      </c>
      <c r="G49" s="140"/>
      <c r="H49" s="140"/>
      <c r="I49" s="64">
        <f>G53</f>
        <v>0.32338635651278391</v>
      </c>
    </row>
    <row r="50" spans="1:10">
      <c r="A50" s="72" t="s">
        <v>351</v>
      </c>
    </row>
    <row r="51" spans="1:10">
      <c r="A51" t="s">
        <v>352</v>
      </c>
      <c r="B51" t="s">
        <v>353</v>
      </c>
      <c r="C51" s="5">
        <v>0.47</v>
      </c>
      <c r="D51" t="s">
        <v>354</v>
      </c>
    </row>
    <row r="52" spans="1:10">
      <c r="A52" t="s">
        <v>355</v>
      </c>
      <c r="B52" t="s">
        <v>356</v>
      </c>
      <c r="C52" s="47">
        <f>MIN(X5:X20)</f>
        <v>25.469571230982019</v>
      </c>
      <c r="D52" t="s">
        <v>66</v>
      </c>
      <c r="E52" s="132">
        <f>C52/52</f>
        <v>0.4897994467496542</v>
      </c>
      <c r="F52" t="s">
        <v>357</v>
      </c>
      <c r="G52" s="132">
        <f>(C52-26.7)/7.36</f>
        <v>-0.1671778218774429</v>
      </c>
      <c r="H52" t="s">
        <v>290</v>
      </c>
      <c r="I52" t="s">
        <v>358</v>
      </c>
    </row>
    <row r="53" spans="1:10">
      <c r="B53" t="s">
        <v>359</v>
      </c>
      <c r="C53" s="47">
        <f>MAX(X5:X20)</f>
        <v>29.080123583934089</v>
      </c>
      <c r="D53" t="s">
        <v>66</v>
      </c>
      <c r="E53" s="132">
        <f>C53/52</f>
        <v>0.55923314584488637</v>
      </c>
      <c r="F53" t="s">
        <v>357</v>
      </c>
      <c r="G53" s="132">
        <f>(C53-26.7)/7.36</f>
        <v>0.32338635651278391</v>
      </c>
      <c r="H53" t="s">
        <v>290</v>
      </c>
      <c r="I53" t="s">
        <v>360</v>
      </c>
    </row>
    <row r="54" spans="1:10">
      <c r="E54" s="139"/>
      <c r="F54" s="9" t="s">
        <v>361</v>
      </c>
      <c r="G54" s="138">
        <f>H42</f>
        <v>0.39402199999999998</v>
      </c>
      <c r="H54" t="s">
        <v>362</v>
      </c>
      <c r="J54" t="s">
        <v>363</v>
      </c>
    </row>
    <row r="55" spans="1:10">
      <c r="E55" s="7"/>
    </row>
    <row r="56" spans="1:10">
      <c r="A56" s="327" t="s">
        <v>364</v>
      </c>
      <c r="B56" s="327"/>
      <c r="C56" s="327"/>
      <c r="D56" s="327"/>
      <c r="E56" s="327"/>
    </row>
    <row r="57" spans="1:10">
      <c r="A57" s="7" t="s">
        <v>365</v>
      </c>
      <c r="B57" s="7" t="s">
        <v>366</v>
      </c>
      <c r="C57" s="7" t="s">
        <v>191</v>
      </c>
      <c r="D57" s="7" t="s">
        <v>367</v>
      </c>
    </row>
    <row r="58" spans="1:10">
      <c r="A58" t="s">
        <v>368</v>
      </c>
      <c r="E58" t="e" vm="1">
        <v>#VALUE!</v>
      </c>
      <c r="F58" t="s">
        <v>369</v>
      </c>
      <c r="G58" t="s">
        <v>370</v>
      </c>
      <c r="H58">
        <v>5000</v>
      </c>
    </row>
    <row r="59" spans="1:10">
      <c r="A59" t="s">
        <v>371</v>
      </c>
      <c r="F59" t="s">
        <v>372</v>
      </c>
      <c r="G59" t="s">
        <v>373</v>
      </c>
      <c r="H59">
        <v>3200</v>
      </c>
    </row>
    <row r="60" spans="1:10">
      <c r="A60" t="s">
        <v>374</v>
      </c>
      <c r="C60">
        <f>(H58*H59)/5252</f>
        <v>3046.4584920030466</v>
      </c>
    </row>
    <row r="61" spans="1:10">
      <c r="A61" s="7" t="s">
        <v>375</v>
      </c>
    </row>
    <row r="62" spans="1:10">
      <c r="A62" t="s">
        <v>376</v>
      </c>
      <c r="B62" t="s">
        <v>377</v>
      </c>
      <c r="C62">
        <v>105</v>
      </c>
      <c r="D62" t="s">
        <v>378</v>
      </c>
      <c r="E62">
        <f>C62/12</f>
        <v>8.75</v>
      </c>
      <c r="F62" t="s">
        <v>66</v>
      </c>
    </row>
    <row r="63" spans="1:10">
      <c r="A63" t="s">
        <v>379</v>
      </c>
      <c r="B63" t="s">
        <v>380</v>
      </c>
      <c r="C63">
        <v>0.8</v>
      </c>
    </row>
    <row r="64" spans="1:10">
      <c r="A64" t="s">
        <v>381</v>
      </c>
      <c r="C64">
        <v>2739</v>
      </c>
      <c r="D64" t="s">
        <v>382</v>
      </c>
    </row>
    <row r="65" spans="1:6">
      <c r="A65" t="s">
        <v>383</v>
      </c>
      <c r="B65" t="s">
        <v>384</v>
      </c>
      <c r="C65">
        <f>C60</f>
        <v>3046.4584920030466</v>
      </c>
      <c r="D65" t="s">
        <v>382</v>
      </c>
      <c r="E65">
        <f>C64+C65</f>
        <v>5785.4584920030466</v>
      </c>
      <c r="F65" t="s">
        <v>385</v>
      </c>
    </row>
    <row r="66" spans="1:6">
      <c r="A66" t="s">
        <v>386</v>
      </c>
      <c r="B66" t="s">
        <v>387</v>
      </c>
      <c r="C66">
        <f>E65*550</f>
        <v>3182002.1706016758</v>
      </c>
      <c r="D66" t="s">
        <v>388</v>
      </c>
      <c r="E66">
        <v>737550</v>
      </c>
      <c r="F66" t="s">
        <v>389</v>
      </c>
    </row>
    <row r="67" spans="1:6">
      <c r="A67" t="s">
        <v>390</v>
      </c>
      <c r="B67" t="s">
        <v>391</v>
      </c>
      <c r="C67">
        <f>C63*(C66/B6)</f>
        <v>4785.6186613729215</v>
      </c>
      <c r="D67" t="s">
        <v>327</v>
      </c>
    </row>
    <row r="68" spans="1:6">
      <c r="A68" t="s">
        <v>392</v>
      </c>
      <c r="B68" t="s">
        <v>391</v>
      </c>
      <c r="C68">
        <v>2264.6999999999998</v>
      </c>
      <c r="D68" t="s">
        <v>327</v>
      </c>
      <c r="E68" t="e" vm="2">
        <v>#VALUE!</v>
      </c>
    </row>
    <row r="69" spans="1:6">
      <c r="A69" t="s">
        <v>393</v>
      </c>
      <c r="C69" s="69">
        <f>(3.1415*E62^2)/4</f>
        <v>60.130273437500001</v>
      </c>
      <c r="D69" t="s">
        <v>196</v>
      </c>
    </row>
    <row r="72" spans="1:6">
      <c r="A72" s="327" t="s">
        <v>394</v>
      </c>
      <c r="B72" s="327"/>
      <c r="C72" s="327"/>
      <c r="D72" s="327"/>
      <c r="E72" s="327"/>
    </row>
    <row r="73" spans="1:6">
      <c r="A73" s="7" t="s">
        <v>395</v>
      </c>
      <c r="B73" s="7" t="s">
        <v>190</v>
      </c>
      <c r="C73" s="7" t="s">
        <v>191</v>
      </c>
      <c r="D73" s="7" t="s">
        <v>367</v>
      </c>
      <c r="E73" s="7" t="s">
        <v>193</v>
      </c>
    </row>
    <row r="74" spans="1:6">
      <c r="A74" t="s">
        <v>396</v>
      </c>
      <c r="B74" s="9" t="s">
        <v>397</v>
      </c>
      <c r="C74" s="5">
        <v>0.02</v>
      </c>
      <c r="E74" t="s">
        <v>398</v>
      </c>
    </row>
    <row r="75" spans="1:6">
      <c r="A75" t="s">
        <v>399</v>
      </c>
      <c r="B75" s="9" t="s">
        <v>400</v>
      </c>
      <c r="C75" s="65">
        <f>General!C23</f>
        <v>476.1</v>
      </c>
      <c r="D75" t="s">
        <v>196</v>
      </c>
      <c r="E75" t="s">
        <v>401</v>
      </c>
    </row>
    <row r="76" spans="1:6">
      <c r="A76" t="s">
        <v>402</v>
      </c>
      <c r="B76" s="9" t="s">
        <v>403</v>
      </c>
      <c r="C76" s="65">
        <f>2*C75</f>
        <v>952.2</v>
      </c>
      <c r="D76" t="s">
        <v>196</v>
      </c>
      <c r="E76" t="s">
        <v>404</v>
      </c>
    </row>
    <row r="77" spans="1:6">
      <c r="B77" s="9"/>
    </row>
    <row r="78" spans="1:6">
      <c r="A78" t="s">
        <v>405</v>
      </c>
      <c r="B78" s="9" t="s">
        <v>406</v>
      </c>
      <c r="C78" s="47">
        <f>C74*C76/C75</f>
        <v>0.04</v>
      </c>
      <c r="E78" t="s">
        <v>407</v>
      </c>
    </row>
    <row r="79" spans="1:6">
      <c r="B79" s="9"/>
    </row>
    <row r="80" spans="1:6">
      <c r="A80" s="7" t="s">
        <v>408</v>
      </c>
      <c r="B80" s="9"/>
    </row>
    <row r="81" spans="1:5">
      <c r="A81" t="s">
        <v>409</v>
      </c>
      <c r="B81" s="9" t="s">
        <v>410</v>
      </c>
      <c r="C81" s="65">
        <f>General!C79</f>
        <v>68</v>
      </c>
      <c r="D81" t="s">
        <v>66</v>
      </c>
      <c r="E81" t="s">
        <v>401</v>
      </c>
    </row>
    <row r="82" spans="1:5">
      <c r="A82" t="s">
        <v>411</v>
      </c>
      <c r="B82" s="9" t="s">
        <v>412</v>
      </c>
      <c r="C82" s="65">
        <f>General!C78</f>
        <v>7.8333300000000001</v>
      </c>
      <c r="D82" t="s">
        <v>66</v>
      </c>
      <c r="E82" t="s">
        <v>401</v>
      </c>
    </row>
    <row r="83" spans="1:5">
      <c r="A83" t="s">
        <v>413</v>
      </c>
      <c r="B83" s="9" t="s">
        <v>414</v>
      </c>
      <c r="C83" s="65">
        <f>C81/C82</f>
        <v>8.6808547578105344</v>
      </c>
    </row>
    <row r="84" spans="1:5">
      <c r="B84" s="9"/>
    </row>
    <row r="85" spans="1:5">
      <c r="A85" t="s">
        <v>415</v>
      </c>
      <c r="B85" s="9" t="s">
        <v>416</v>
      </c>
      <c r="C85" s="65">
        <f>Drag!F29</f>
        <v>549.5101284139937</v>
      </c>
      <c r="D85" t="s">
        <v>196</v>
      </c>
      <c r="E85" t="s">
        <v>417</v>
      </c>
    </row>
    <row r="86" spans="1:5">
      <c r="B86" s="9"/>
    </row>
    <row r="87" spans="1:5">
      <c r="A87" t="s">
        <v>418</v>
      </c>
      <c r="B87" s="9" t="s">
        <v>419</v>
      </c>
      <c r="C87" s="100">
        <f>0.074*Drag!F38^(-1/5)</f>
        <v>1.6967613060715275E-3</v>
      </c>
    </row>
    <row r="88" spans="1:5">
      <c r="A88" t="s">
        <v>420</v>
      </c>
      <c r="B88" s="9" t="s">
        <v>421</v>
      </c>
      <c r="C88" s="100">
        <f>C87*C85/('Quick Pass Calcs'!C81*'Quick Pass Calcs'!C82)</f>
        <v>1.7504153691140383E-3</v>
      </c>
    </row>
    <row r="90" spans="1:5">
      <c r="A90" s="7" t="s">
        <v>422</v>
      </c>
      <c r="B90" s="7"/>
      <c r="C90" s="7" t="s">
        <v>423</v>
      </c>
    </row>
    <row r="91" spans="1:5">
      <c r="A91" t="s">
        <v>424</v>
      </c>
      <c r="B91" s="9" t="s">
        <v>425</v>
      </c>
      <c r="C91" s="5">
        <v>0.01</v>
      </c>
      <c r="E91" t="s">
        <v>426</v>
      </c>
    </row>
    <row r="92" spans="1:5">
      <c r="A92" t="s">
        <v>427</v>
      </c>
      <c r="B92" s="9" t="s">
        <v>428</v>
      </c>
      <c r="C92" s="5">
        <f>0.002+0.002</f>
        <v>4.0000000000000001E-3</v>
      </c>
      <c r="E92" t="s">
        <v>429</v>
      </c>
    </row>
    <row r="93" spans="1:5">
      <c r="A93" t="s">
        <v>430</v>
      </c>
      <c r="B93" s="9" t="s">
        <v>431</v>
      </c>
      <c r="C93" s="5">
        <f>0.003</f>
        <v>3.0000000000000001E-3</v>
      </c>
      <c r="E93" t="s">
        <v>429</v>
      </c>
    </row>
    <row r="94" spans="1:5">
      <c r="B94" s="9"/>
    </row>
    <row r="95" spans="1:5">
      <c r="A95" s="7" t="s">
        <v>432</v>
      </c>
      <c r="B95" s="17"/>
      <c r="C95" s="7" t="s">
        <v>191</v>
      </c>
    </row>
    <row r="96" spans="1:5">
      <c r="A96" t="s">
        <v>433</v>
      </c>
      <c r="B96" s="9" t="s">
        <v>434</v>
      </c>
      <c r="C96" s="100">
        <f>C27^2/(PI()*C22*General!C24)</f>
        <v>3.6750888727767172E-3</v>
      </c>
      <c r="E96" t="s">
        <v>435</v>
      </c>
    </row>
    <row r="97" spans="1:5">
      <c r="A97" t="s">
        <v>436</v>
      </c>
      <c r="B97" s="9" t="s">
        <v>437</v>
      </c>
      <c r="C97" s="64">
        <f>C78+C88+C91+C92+C93+C96</f>
        <v>6.2425504241890764E-2</v>
      </c>
    </row>
    <row r="98" spans="1:5">
      <c r="B98" s="9"/>
    </row>
    <row r="99" spans="1:5">
      <c r="A99" s="7" t="s">
        <v>438</v>
      </c>
      <c r="B99" s="9"/>
    </row>
    <row r="100" spans="1:5">
      <c r="A100" t="s">
        <v>317</v>
      </c>
      <c r="B100" s="9" t="s">
        <v>439</v>
      </c>
      <c r="C100" s="67">
        <f>Drag!C12</f>
        <v>1.4963533775013247E-3</v>
      </c>
      <c r="D100" t="s">
        <v>201</v>
      </c>
    </row>
    <row r="101" spans="1:5">
      <c r="A101" t="s">
        <v>440</v>
      </c>
      <c r="B101" s="9" t="s">
        <v>441</v>
      </c>
      <c r="C101" s="65">
        <f>B6</f>
        <v>531.92740930825562</v>
      </c>
      <c r="D101" t="s">
        <v>183</v>
      </c>
    </row>
    <row r="102" spans="1:5">
      <c r="A102" t="s">
        <v>442</v>
      </c>
      <c r="B102" s="9" t="s">
        <v>412</v>
      </c>
      <c r="C102" s="65">
        <f>0.5*C100*C101^2*C75*C97</f>
        <v>6291.7165925917689</v>
      </c>
      <c r="D102" t="s">
        <v>14</v>
      </c>
      <c r="E102" t="s">
        <v>443</v>
      </c>
    </row>
    <row r="103" spans="1:5">
      <c r="B103" s="9"/>
    </row>
    <row r="104" spans="1:5">
      <c r="B104" s="9"/>
    </row>
    <row r="105" spans="1:5">
      <c r="B105" s="9"/>
    </row>
    <row r="106" spans="1:5">
      <c r="B106" s="9"/>
    </row>
    <row r="107" spans="1:5">
      <c r="B107" s="9"/>
    </row>
  </sheetData>
  <mergeCells count="13">
    <mergeCell ref="L3:M3"/>
    <mergeCell ref="I2:X2"/>
    <mergeCell ref="A1:E1"/>
    <mergeCell ref="A10:E10"/>
    <mergeCell ref="A72:E72"/>
    <mergeCell ref="A39:E39"/>
    <mergeCell ref="A56:E56"/>
    <mergeCell ref="J3:K3"/>
    <mergeCell ref="N3:O3"/>
    <mergeCell ref="P3:Q3"/>
    <mergeCell ref="R3:S3"/>
    <mergeCell ref="T3:U3"/>
    <mergeCell ref="V3:X3"/>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77B04-C762-4278-9DD9-A62F5B6FBA19}">
  <dimension ref="A1:W69"/>
  <sheetViews>
    <sheetView topLeftCell="A21" workbookViewId="0">
      <selection activeCell="N4" sqref="N4"/>
    </sheetView>
  </sheetViews>
  <sheetFormatPr defaultColWidth="11.42578125" defaultRowHeight="15"/>
  <cols>
    <col min="1" max="1" width="23.42578125" customWidth="1"/>
    <col min="13" max="21" width="10.42578125" customWidth="1"/>
  </cols>
  <sheetData>
    <row r="1" spans="1:23">
      <c r="A1" s="310" t="s">
        <v>42</v>
      </c>
      <c r="B1" s="311"/>
      <c r="C1" s="311"/>
      <c r="D1" s="311"/>
      <c r="E1" s="311"/>
      <c r="F1" s="311"/>
      <c r="G1" s="311"/>
      <c r="H1" s="311"/>
      <c r="I1" s="311"/>
      <c r="J1" s="311"/>
      <c r="K1" s="311"/>
      <c r="M1" s="310" t="s">
        <v>444</v>
      </c>
      <c r="N1" s="310"/>
      <c r="O1" s="310"/>
      <c r="P1" s="310"/>
      <c r="Q1" s="310"/>
      <c r="R1" s="310"/>
      <c r="S1" s="310"/>
      <c r="T1" s="310"/>
      <c r="U1" s="310"/>
      <c r="V1" s="310"/>
      <c r="W1" s="310"/>
    </row>
    <row r="2" spans="1:23">
      <c r="A2" s="7" t="s">
        <v>7</v>
      </c>
      <c r="B2" s="22" t="s">
        <v>8</v>
      </c>
      <c r="C2" s="8" t="s">
        <v>9</v>
      </c>
      <c r="D2" s="23" t="s">
        <v>10</v>
      </c>
      <c r="E2" s="22" t="s">
        <v>11</v>
      </c>
      <c r="M2" s="22" t="s">
        <v>445</v>
      </c>
      <c r="N2" s="22" t="s">
        <v>446</v>
      </c>
      <c r="O2" s="22" t="s">
        <v>447</v>
      </c>
      <c r="P2" s="22" t="s">
        <v>448</v>
      </c>
      <c r="Q2" s="22" t="s">
        <v>449</v>
      </c>
      <c r="R2" s="22" t="s">
        <v>450</v>
      </c>
      <c r="S2" s="22" t="s">
        <v>451</v>
      </c>
      <c r="T2" s="22" t="s">
        <v>452</v>
      </c>
      <c r="U2" s="22" t="s">
        <v>453</v>
      </c>
    </row>
    <row r="3" spans="1:23" ht="18">
      <c r="A3" t="s">
        <v>43</v>
      </c>
      <c r="B3" s="10" t="s">
        <v>44</v>
      </c>
      <c r="C3" s="47">
        <f>C19^2/C4</f>
        <v>400.2</v>
      </c>
      <c r="D3" t="s">
        <v>39</v>
      </c>
      <c r="E3" t="s">
        <v>454</v>
      </c>
      <c r="M3" s="7">
        <v>0</v>
      </c>
      <c r="N3" s="5">
        <v>0</v>
      </c>
      <c r="O3" s="5">
        <v>0</v>
      </c>
      <c r="P3" s="5">
        <v>0</v>
      </c>
      <c r="Q3" s="5">
        <v>-0.36799999999999999</v>
      </c>
      <c r="R3" s="5"/>
      <c r="S3" s="5"/>
      <c r="T3" s="5"/>
      <c r="U3" s="5"/>
    </row>
    <row r="4" spans="1:23" ht="18" thickBot="1">
      <c r="A4" t="s">
        <v>45</v>
      </c>
      <c r="B4" s="59" t="s">
        <v>46</v>
      </c>
      <c r="C4" s="47">
        <f>C19/C15</f>
        <v>8.4057971014492754</v>
      </c>
      <c r="M4" s="7">
        <v>1</v>
      </c>
      <c r="N4" s="5">
        <v>1.75</v>
      </c>
      <c r="O4" s="5">
        <v>3</v>
      </c>
      <c r="P4" s="5">
        <v>3.5</v>
      </c>
      <c r="Q4" s="5">
        <v>-0.36799999999999999</v>
      </c>
      <c r="R4" s="5"/>
      <c r="S4" s="5"/>
      <c r="T4" s="5"/>
      <c r="U4" s="5"/>
    </row>
    <row r="5" spans="1:23" ht="18" thickBot="1">
      <c r="A5" t="s">
        <v>47</v>
      </c>
      <c r="B5" s="10" t="s">
        <v>48</v>
      </c>
      <c r="C5" s="6">
        <f>C17/C16</f>
        <v>0.38</v>
      </c>
      <c r="H5" s="330" t="s">
        <v>455</v>
      </c>
      <c r="I5" s="331"/>
      <c r="J5" s="331"/>
      <c r="K5" s="331"/>
      <c r="L5" s="332"/>
      <c r="M5" s="7">
        <v>2</v>
      </c>
      <c r="N5" s="5">
        <v>3.75</v>
      </c>
      <c r="O5" s="5">
        <v>3.87</v>
      </c>
      <c r="P5" s="5">
        <v>4.67</v>
      </c>
      <c r="Q5" s="5">
        <v>-0.24349999999999999</v>
      </c>
      <c r="R5" s="5"/>
      <c r="S5" s="5"/>
      <c r="T5" s="5"/>
      <c r="U5" s="5"/>
    </row>
    <row r="6" spans="1:23">
      <c r="A6" t="s">
        <v>49</v>
      </c>
      <c r="B6" s="10" t="s">
        <v>50</v>
      </c>
      <c r="C6" s="5">
        <v>15</v>
      </c>
      <c r="D6" t="s">
        <v>51</v>
      </c>
      <c r="E6" t="s">
        <v>52</v>
      </c>
      <c r="H6" s="10"/>
      <c r="M6" s="7">
        <v>3</v>
      </c>
      <c r="N6" s="5">
        <v>5.75</v>
      </c>
      <c r="O6" s="5">
        <v>4.5979999999999999</v>
      </c>
      <c r="P6" s="5">
        <v>5.6710000000000003</v>
      </c>
      <c r="Q6" s="5">
        <v>-0.14729999999999999</v>
      </c>
      <c r="R6" s="5"/>
      <c r="S6" s="5"/>
      <c r="T6" s="5"/>
      <c r="U6" s="5"/>
      <c r="V6" t="s">
        <v>456</v>
      </c>
    </row>
    <row r="7" spans="1:23" ht="17.100000000000001">
      <c r="A7" t="s">
        <v>53</v>
      </c>
      <c r="B7" s="59" t="s">
        <v>54</v>
      </c>
      <c r="C7" s="5">
        <v>10</v>
      </c>
      <c r="D7" s="11" t="s">
        <v>55</v>
      </c>
      <c r="M7" s="7">
        <v>4</v>
      </c>
      <c r="N7" s="5">
        <v>6.25</v>
      </c>
      <c r="O7" s="5">
        <v>5.0140000000000002</v>
      </c>
      <c r="P7" s="5">
        <v>5.8959999999999999</v>
      </c>
      <c r="Q7" s="5">
        <v>5.9999999999999995E-4</v>
      </c>
      <c r="R7" s="5"/>
      <c r="S7" s="5"/>
      <c r="T7" s="5"/>
      <c r="U7" s="5"/>
      <c r="V7" t="s">
        <v>457</v>
      </c>
    </row>
    <row r="8" spans="1:23" ht="17.100000000000001">
      <c r="B8" s="59" t="s">
        <v>54</v>
      </c>
      <c r="C8" s="47">
        <f>RADIANS(C7)</f>
        <v>0.17453292519943295</v>
      </c>
      <c r="D8" s="11" t="s">
        <v>56</v>
      </c>
      <c r="M8" s="7">
        <v>5</v>
      </c>
      <c r="N8" s="5">
        <v>8.5</v>
      </c>
      <c r="O8" s="5">
        <v>7.7229999999999999</v>
      </c>
      <c r="P8" s="5">
        <v>6.78</v>
      </c>
      <c r="Q8" s="5">
        <v>1.117</v>
      </c>
      <c r="R8" s="5"/>
      <c r="S8" s="5"/>
      <c r="T8" s="5"/>
      <c r="U8" s="5"/>
    </row>
    <row r="9" spans="1:23" ht="17.100000000000001">
      <c r="A9" t="s">
        <v>57</v>
      </c>
      <c r="B9" s="59" t="s">
        <v>58</v>
      </c>
      <c r="C9" s="47">
        <f>DEGREES(C10)</f>
        <v>7.0404311797322263</v>
      </c>
      <c r="D9" s="11" t="s">
        <v>59</v>
      </c>
      <c r="M9" s="7">
        <v>6</v>
      </c>
      <c r="N9" s="5">
        <v>10.75</v>
      </c>
      <c r="O9" s="5">
        <v>9.07</v>
      </c>
      <c r="P9" s="5">
        <v>7.4619999999999997</v>
      </c>
      <c r="Q9" s="5">
        <v>1.6052999999999999</v>
      </c>
      <c r="R9" s="5"/>
      <c r="S9" s="5"/>
      <c r="T9" s="5"/>
      <c r="U9" s="5"/>
    </row>
    <row r="10" spans="1:23" ht="17.100000000000001">
      <c r="B10" s="59" t="s">
        <v>58</v>
      </c>
      <c r="C10" s="47">
        <f>TAN(C8)+(C16/(2*C19))*(C5-1)</f>
        <v>0.12287870484639601</v>
      </c>
      <c r="D10" s="11" t="s">
        <v>56</v>
      </c>
      <c r="F10" s="9"/>
      <c r="M10" s="7">
        <v>7</v>
      </c>
      <c r="N10" s="5">
        <v>13</v>
      </c>
      <c r="O10" s="5">
        <v>9.6229999999999993</v>
      </c>
      <c r="P10" s="5">
        <v>7.9470000000000001</v>
      </c>
      <c r="Q10" s="5">
        <v>1.75</v>
      </c>
      <c r="R10" s="5"/>
      <c r="S10" s="5"/>
      <c r="T10" s="5"/>
      <c r="U10" s="5"/>
    </row>
    <row r="11" spans="1:23">
      <c r="A11" t="s">
        <v>60</v>
      </c>
      <c r="B11" s="59" t="s">
        <v>61</v>
      </c>
      <c r="C11" s="47">
        <f>TAN(C10)-(4/C4)*((0.5-0.25)*((1-C5)/(1+C5)))</f>
        <v>7.0052642956712582E-2</v>
      </c>
      <c r="D11" s="11" t="s">
        <v>56</v>
      </c>
      <c r="F11" s="9"/>
      <c r="M11" s="7">
        <v>8</v>
      </c>
      <c r="N11" s="5">
        <v>15.25</v>
      </c>
      <c r="O11" s="5">
        <v>9.7810000000000006</v>
      </c>
      <c r="P11" s="5">
        <v>8.2370000000000001</v>
      </c>
      <c r="Q11" s="5">
        <v>1.75</v>
      </c>
      <c r="R11" s="5"/>
      <c r="S11" s="5"/>
      <c r="T11" s="5"/>
      <c r="U11" s="5"/>
    </row>
    <row r="12" spans="1:23">
      <c r="B12" s="59" t="s">
        <v>61</v>
      </c>
      <c r="C12" s="47">
        <f>DEGREES(C11)</f>
        <v>4.0137207851564831</v>
      </c>
      <c r="D12" s="11" t="s">
        <v>55</v>
      </c>
      <c r="F12" s="9"/>
      <c r="M12" s="7">
        <v>9</v>
      </c>
      <c r="N12" s="5">
        <v>17.5</v>
      </c>
      <c r="O12" s="5">
        <v>9.8332999999999995</v>
      </c>
      <c r="P12" s="5">
        <v>8.3330000000000002</v>
      </c>
      <c r="Q12" s="5">
        <v>1.75</v>
      </c>
      <c r="R12" s="5"/>
      <c r="S12" s="5"/>
      <c r="T12" s="5"/>
      <c r="U12" s="5"/>
      <c r="V12" t="s">
        <v>458</v>
      </c>
    </row>
    <row r="13" spans="1:23" ht="17.100000000000001">
      <c r="A13" t="s">
        <v>62</v>
      </c>
      <c r="B13" s="59" t="s">
        <v>63</v>
      </c>
      <c r="C13" s="47">
        <f>ATAN(TAN(C8)-(4/C4)*((Drag!C58)*(1-C5)/(1+C5)))</f>
        <v>0.17406349081311775</v>
      </c>
      <c r="D13" s="11" t="s">
        <v>56</v>
      </c>
      <c r="E13" s="9"/>
      <c r="F13" s="9"/>
      <c r="M13" s="7">
        <v>10</v>
      </c>
      <c r="N13" s="5">
        <f t="shared" ref="N13:N23" si="0">N12+2.25</f>
        <v>19.75</v>
      </c>
      <c r="O13" s="5">
        <v>9.8332999999999995</v>
      </c>
      <c r="P13" s="5">
        <v>8.3330000000000002</v>
      </c>
      <c r="Q13" s="5">
        <v>1.75</v>
      </c>
      <c r="R13" s="5"/>
      <c r="S13" s="5"/>
      <c r="T13" s="5"/>
      <c r="U13" s="5"/>
    </row>
    <row r="14" spans="1:23" ht="17.100000000000001">
      <c r="B14" s="59" t="s">
        <v>63</v>
      </c>
      <c r="C14" s="47">
        <f>DEGREES(C13)</f>
        <v>9.9731033909058251</v>
      </c>
      <c r="D14" s="11" t="s">
        <v>55</v>
      </c>
      <c r="E14" s="9"/>
      <c r="F14" s="9"/>
      <c r="M14" s="7">
        <v>11</v>
      </c>
      <c r="N14" s="5">
        <f t="shared" si="0"/>
        <v>22</v>
      </c>
      <c r="O14" s="5">
        <v>9.8332999999999995</v>
      </c>
      <c r="P14" s="5">
        <v>8.3330000000000002</v>
      </c>
      <c r="Q14" s="5">
        <v>1.75</v>
      </c>
      <c r="R14" s="5"/>
      <c r="S14" s="5"/>
      <c r="T14" s="5"/>
      <c r="U14" s="5"/>
    </row>
    <row r="15" spans="1:23" ht="17.100000000000001">
      <c r="A15" t="s">
        <v>64</v>
      </c>
      <c r="B15" s="10" t="s">
        <v>65</v>
      </c>
      <c r="C15" s="47">
        <f>(C16+C17)/2</f>
        <v>6.9</v>
      </c>
      <c r="D15" t="s">
        <v>66</v>
      </c>
      <c r="E15" t="s">
        <v>67</v>
      </c>
      <c r="M15" s="7">
        <v>12</v>
      </c>
      <c r="N15" s="5">
        <f t="shared" si="0"/>
        <v>24.25</v>
      </c>
      <c r="O15" s="5">
        <v>9.8332999999999995</v>
      </c>
      <c r="P15" s="5">
        <v>8.3330000000000002</v>
      </c>
      <c r="Q15" s="5">
        <v>1.75</v>
      </c>
      <c r="R15" s="5"/>
      <c r="S15" s="5"/>
      <c r="T15" s="5"/>
      <c r="U15" s="5"/>
    </row>
    <row r="16" spans="1:23" ht="17.100000000000001">
      <c r="A16" t="s">
        <v>68</v>
      </c>
      <c r="B16" s="10" t="s">
        <v>69</v>
      </c>
      <c r="C16" s="5">
        <v>10</v>
      </c>
      <c r="D16" t="s">
        <v>66</v>
      </c>
      <c r="E16" t="s">
        <v>67</v>
      </c>
      <c r="M16" s="7">
        <v>13</v>
      </c>
      <c r="N16" s="5">
        <f t="shared" si="0"/>
        <v>26.5</v>
      </c>
      <c r="O16" s="5">
        <v>9.8332999999999995</v>
      </c>
      <c r="P16" s="5">
        <v>8.3330000000000002</v>
      </c>
      <c r="Q16" s="5">
        <v>1.75</v>
      </c>
      <c r="R16" s="5"/>
      <c r="S16" s="5"/>
      <c r="T16" s="5"/>
      <c r="U16" s="5"/>
    </row>
    <row r="17" spans="1:22" ht="17.100000000000001">
      <c r="A17" t="s">
        <v>70</v>
      </c>
      <c r="B17" s="10" t="s">
        <v>71</v>
      </c>
      <c r="C17" s="5">
        <v>3.8</v>
      </c>
      <c r="D17" t="s">
        <v>66</v>
      </c>
      <c r="E17" t="s">
        <v>67</v>
      </c>
      <c r="M17" s="7">
        <v>14</v>
      </c>
      <c r="N17" s="5">
        <f t="shared" si="0"/>
        <v>28.75</v>
      </c>
      <c r="O17" s="5">
        <v>9.8332999999999995</v>
      </c>
      <c r="P17" s="5">
        <v>8.3330000000000002</v>
      </c>
      <c r="Q17" s="5">
        <v>1.75</v>
      </c>
      <c r="R17" s="5"/>
      <c r="S17" s="5"/>
      <c r="T17" s="5"/>
      <c r="U17" s="5"/>
    </row>
    <row r="18" spans="1:22" ht="17.100000000000001">
      <c r="A18" t="s">
        <v>72</v>
      </c>
      <c r="B18" s="10" t="s">
        <v>73</v>
      </c>
      <c r="C18" s="47">
        <f>(2/3)*C16*(1+C5+C5^2)/(1+C5)</f>
        <v>7.3642512077294677</v>
      </c>
      <c r="D18" t="s">
        <v>66</v>
      </c>
      <c r="E18" t="s">
        <v>74</v>
      </c>
      <c r="M18" s="7">
        <v>15</v>
      </c>
      <c r="N18" s="5">
        <f t="shared" si="0"/>
        <v>31</v>
      </c>
      <c r="O18" s="5">
        <v>9.8332999999999995</v>
      </c>
      <c r="P18" s="5">
        <v>8.3330000000000002</v>
      </c>
      <c r="Q18" s="5">
        <v>1.75</v>
      </c>
      <c r="R18" s="5"/>
      <c r="S18" s="5"/>
      <c r="T18" s="5"/>
      <c r="U18" s="5"/>
    </row>
    <row r="19" spans="1:22" ht="17.100000000000001">
      <c r="A19" t="s">
        <v>75</v>
      </c>
      <c r="B19" s="10" t="s">
        <v>76</v>
      </c>
      <c r="C19" s="5">
        <v>58</v>
      </c>
      <c r="D19" t="s">
        <v>66</v>
      </c>
      <c r="E19" t="s">
        <v>77</v>
      </c>
      <c r="F19" t="s">
        <v>78</v>
      </c>
      <c r="M19" s="7">
        <v>16</v>
      </c>
      <c r="N19" s="5">
        <f t="shared" si="0"/>
        <v>33.25</v>
      </c>
      <c r="O19" s="5">
        <v>9.8332999999999995</v>
      </c>
      <c r="P19" s="5">
        <v>8.3330000000000002</v>
      </c>
      <c r="Q19" s="5">
        <v>1.75</v>
      </c>
    </row>
    <row r="20" spans="1:22" ht="17.100000000000001">
      <c r="A20" t="s">
        <v>79</v>
      </c>
      <c r="B20" s="10" t="s">
        <v>80</v>
      </c>
      <c r="C20" s="47">
        <f>C21*TAN(C8)</f>
        <v>2.1738476075748916</v>
      </c>
      <c r="D20" t="s">
        <v>66</v>
      </c>
      <c r="G20" s="69">
        <f>18.7+C20</f>
        <v>20.873847607574891</v>
      </c>
      <c r="M20" s="7">
        <v>17</v>
      </c>
      <c r="N20" s="5">
        <f t="shared" si="0"/>
        <v>35.5</v>
      </c>
      <c r="O20" s="5">
        <v>9.8332999999999995</v>
      </c>
      <c r="P20" s="5">
        <v>8.3330000000000002</v>
      </c>
      <c r="Q20" s="5">
        <v>1.75</v>
      </c>
    </row>
    <row r="21" spans="1:22">
      <c r="A21" t="s">
        <v>81</v>
      </c>
      <c r="B21" s="9" t="s">
        <v>82</v>
      </c>
      <c r="C21" s="47">
        <f>(C19/6)*((1+2*C5)/(1+C5))</f>
        <v>12.328502415458937</v>
      </c>
      <c r="M21" s="7">
        <v>18</v>
      </c>
      <c r="N21" s="5">
        <f t="shared" si="0"/>
        <v>37.75</v>
      </c>
      <c r="O21" s="5">
        <v>9.8332999999999995</v>
      </c>
      <c r="P21" s="5">
        <v>8.3330000000000002</v>
      </c>
      <c r="Q21" s="5">
        <v>1.75</v>
      </c>
    </row>
    <row r="22" spans="1:22">
      <c r="B22" s="9"/>
      <c r="C22" s="47"/>
      <c r="M22" s="7">
        <v>19</v>
      </c>
      <c r="N22" s="5">
        <f t="shared" si="0"/>
        <v>40</v>
      </c>
      <c r="O22" s="5">
        <v>9.8332999999999995</v>
      </c>
      <c r="P22" s="5">
        <v>8.3330000000000002</v>
      </c>
      <c r="Q22" s="5">
        <v>1.75</v>
      </c>
    </row>
    <row r="23" spans="1:22">
      <c r="B23" s="9"/>
      <c r="C23" s="47"/>
      <c r="M23" s="7">
        <v>20</v>
      </c>
      <c r="N23" s="5">
        <f t="shared" si="0"/>
        <v>42.25</v>
      </c>
      <c r="O23" s="5">
        <v>9.8332999999999995</v>
      </c>
      <c r="P23" s="5">
        <v>8.3330000000000002</v>
      </c>
      <c r="Q23" s="5">
        <v>1.75</v>
      </c>
      <c r="V23" t="s">
        <v>459</v>
      </c>
    </row>
    <row r="24" spans="1:22">
      <c r="B24" s="9"/>
      <c r="C24" s="69"/>
      <c r="M24" s="7">
        <v>21</v>
      </c>
      <c r="N24">
        <v>44.5</v>
      </c>
      <c r="O24" s="5">
        <v>9.8332999999999995</v>
      </c>
      <c r="P24" s="5">
        <v>8.3330000000000002</v>
      </c>
      <c r="Q24">
        <v>1.75</v>
      </c>
      <c r="V24" t="s">
        <v>460</v>
      </c>
    </row>
    <row r="25" spans="1:22">
      <c r="A25" s="309" t="s">
        <v>85</v>
      </c>
      <c r="B25" s="309"/>
      <c r="C25" s="309"/>
      <c r="D25" s="309"/>
      <c r="E25" s="309"/>
      <c r="F25" s="309"/>
      <c r="G25" s="309"/>
      <c r="H25" s="309"/>
      <c r="I25" s="309"/>
      <c r="J25" s="309"/>
      <c r="K25" s="309"/>
      <c r="M25" s="7">
        <v>22</v>
      </c>
      <c r="N25">
        <v>46.75</v>
      </c>
      <c r="O25" s="5">
        <v>9.734</v>
      </c>
      <c r="P25" s="5">
        <v>8.2240000000000002</v>
      </c>
      <c r="Q25">
        <v>1.7834000000000001</v>
      </c>
    </row>
    <row r="26" spans="1:22">
      <c r="A26" s="7" t="s">
        <v>7</v>
      </c>
      <c r="B26" s="7" t="s">
        <v>8</v>
      </c>
      <c r="C26" s="7" t="s">
        <v>9</v>
      </c>
      <c r="D26" s="7" t="s">
        <v>10</v>
      </c>
      <c r="E26" s="7" t="s">
        <v>11</v>
      </c>
      <c r="M26" s="7">
        <v>23</v>
      </c>
      <c r="N26">
        <v>49</v>
      </c>
      <c r="O26" s="5">
        <v>9.4329999999999998</v>
      </c>
      <c r="P26" s="5">
        <v>7.976</v>
      </c>
      <c r="Q26">
        <v>1.8842000000000001</v>
      </c>
    </row>
    <row r="27" spans="1:22" ht="18">
      <c r="A27" t="s">
        <v>86</v>
      </c>
      <c r="B27" s="9" t="s">
        <v>87</v>
      </c>
      <c r="C27" s="6">
        <f>C36*C33</f>
        <v>108.17099999999999</v>
      </c>
      <c r="D27" t="s">
        <v>39</v>
      </c>
      <c r="E27" t="s">
        <v>88</v>
      </c>
      <c r="M27" s="7">
        <v>24</v>
      </c>
      <c r="N27">
        <v>51.25</v>
      </c>
      <c r="O27" s="5">
        <v>8.9280000000000008</v>
      </c>
      <c r="P27" s="5">
        <v>7.5270000000000001</v>
      </c>
      <c r="Q27">
        <v>2.0545</v>
      </c>
    </row>
    <row r="28" spans="1:22" ht="17.100000000000001">
      <c r="A28" t="s">
        <v>89</v>
      </c>
      <c r="B28" s="9" t="s">
        <v>90</v>
      </c>
      <c r="C28" s="5">
        <v>2.5499999999999998</v>
      </c>
      <c r="M28" s="7">
        <v>25</v>
      </c>
      <c r="N28">
        <v>53.5</v>
      </c>
      <c r="O28" s="5">
        <v>8.2089999999999996</v>
      </c>
      <c r="P28" s="5">
        <v>6.8959999999999999</v>
      </c>
      <c r="Q28">
        <v>2.2980999999999998</v>
      </c>
    </row>
    <row r="29" spans="1:22">
      <c r="A29" t="s">
        <v>91</v>
      </c>
      <c r="B29" s="10" t="s">
        <v>92</v>
      </c>
      <c r="C29" s="63">
        <f>C35/C34</f>
        <v>0.72881355932203384</v>
      </c>
      <c r="M29" s="7">
        <v>26</v>
      </c>
      <c r="N29">
        <v>55.75</v>
      </c>
      <c r="O29" s="5">
        <v>7.2670000000000003</v>
      </c>
      <c r="P29" s="5">
        <v>6.0837199999999996</v>
      </c>
      <c r="Q29">
        <v>2.6202999999999999</v>
      </c>
    </row>
    <row r="30" spans="1:22">
      <c r="A30" t="s">
        <v>49</v>
      </c>
      <c r="B30" s="9" t="s">
        <v>50</v>
      </c>
      <c r="C30" s="5">
        <v>9</v>
      </c>
      <c r="D30" t="s">
        <v>51</v>
      </c>
      <c r="E30" s="58" t="s">
        <v>93</v>
      </c>
      <c r="F30" s="58"/>
      <c r="G30" s="58"/>
      <c r="H30" s="58"/>
      <c r="M30" s="7">
        <v>27</v>
      </c>
      <c r="N30">
        <v>58</v>
      </c>
      <c r="O30" s="5">
        <v>6.0839999999999996</v>
      </c>
      <c r="P30" s="5">
        <v>5.0739999999999998</v>
      </c>
      <c r="Q30">
        <v>3.0305</v>
      </c>
    </row>
    <row r="31" spans="1:22">
      <c r="A31" t="s">
        <v>94</v>
      </c>
      <c r="B31" s="10" t="s">
        <v>95</v>
      </c>
      <c r="C31" s="5">
        <v>30</v>
      </c>
      <c r="D31" s="11" t="s">
        <v>55</v>
      </c>
      <c r="M31" s="7">
        <v>28</v>
      </c>
      <c r="N31">
        <v>60</v>
      </c>
      <c r="O31" s="5">
        <v>4.8099999999999996</v>
      </c>
      <c r="P31" s="5">
        <v>4.0960000000000001</v>
      </c>
      <c r="Q31">
        <v>3.4775</v>
      </c>
    </row>
    <row r="32" spans="1:22" ht="17.100000000000001">
      <c r="A32" t="s">
        <v>96</v>
      </c>
      <c r="B32" s="59" t="s">
        <v>63</v>
      </c>
      <c r="C32" s="47">
        <f>(ATAN(TAN(RADIANS(C31))-(4/C28)*((Drag!D58)*(1-C29)/(1+C29))))</f>
        <v>0.52321362245119574</v>
      </c>
      <c r="D32" s="11" t="s">
        <v>56</v>
      </c>
      <c r="M32" s="7">
        <v>29</v>
      </c>
      <c r="N32">
        <v>62</v>
      </c>
      <c r="O32" s="5">
        <v>3.3039999999999998</v>
      </c>
      <c r="P32" s="5">
        <v>2.8</v>
      </c>
      <c r="Q32">
        <v>4.0147000000000004</v>
      </c>
    </row>
    <row r="33" spans="1:11" ht="17.100000000000001">
      <c r="A33" t="s">
        <v>97</v>
      </c>
      <c r="B33" s="9" t="s">
        <v>98</v>
      </c>
      <c r="C33" s="6">
        <f>AVERAGE(C34:C35)</f>
        <v>5.0999999999999996</v>
      </c>
      <c r="D33" t="s">
        <v>66</v>
      </c>
    </row>
    <row r="34" spans="1:11" ht="17.100000000000001">
      <c r="A34" t="s">
        <v>99</v>
      </c>
      <c r="B34" s="9" t="s">
        <v>100</v>
      </c>
      <c r="C34" s="5">
        <v>5.9</v>
      </c>
      <c r="D34" t="s">
        <v>66</v>
      </c>
    </row>
    <row r="35" spans="1:11" ht="17.100000000000001">
      <c r="A35" t="s">
        <v>101</v>
      </c>
      <c r="B35" s="9" t="s">
        <v>102</v>
      </c>
      <c r="C35" s="5">
        <v>4.3</v>
      </c>
      <c r="D35" t="s">
        <v>66</v>
      </c>
    </row>
    <row r="36" spans="1:11" ht="17.100000000000001">
      <c r="A36" t="s">
        <v>103</v>
      </c>
      <c r="B36" s="9" t="s">
        <v>104</v>
      </c>
      <c r="C36" s="5">
        <v>21.21</v>
      </c>
      <c r="D36" t="s">
        <v>66</v>
      </c>
    </row>
    <row r="37" spans="1:11">
      <c r="A37" s="57" t="s">
        <v>79</v>
      </c>
      <c r="B37" s="9" t="s">
        <v>105</v>
      </c>
      <c r="C37" s="47">
        <f>C38*TAN(C31)</f>
        <v>-32.188359197264361</v>
      </c>
      <c r="D37" t="s">
        <v>66</v>
      </c>
    </row>
    <row r="38" spans="1:11">
      <c r="A38" s="57" t="s">
        <v>81</v>
      </c>
      <c r="B38" s="9" t="s">
        <v>106</v>
      </c>
      <c r="C38" s="47">
        <f>(C36/6)*((1+2*C29)/(1+C29))</f>
        <v>5.0252450980392149</v>
      </c>
      <c r="D38" t="s">
        <v>66</v>
      </c>
    </row>
    <row r="40" spans="1:11">
      <c r="A40" s="309" t="s">
        <v>107</v>
      </c>
      <c r="B40" s="309"/>
      <c r="C40" s="309"/>
      <c r="D40" s="309"/>
      <c r="E40" s="309"/>
      <c r="F40" s="309"/>
      <c r="G40" s="309"/>
      <c r="H40" s="309"/>
      <c r="I40" s="309"/>
      <c r="J40" s="309"/>
      <c r="K40" s="309"/>
    </row>
    <row r="41" spans="1:11">
      <c r="A41" s="7" t="s">
        <v>7</v>
      </c>
      <c r="B41" s="7" t="s">
        <v>8</v>
      </c>
      <c r="C41" s="7" t="s">
        <v>9</v>
      </c>
      <c r="D41" s="7" t="s">
        <v>10</v>
      </c>
      <c r="E41" s="7" t="s">
        <v>11</v>
      </c>
    </row>
    <row r="42" spans="1:11" ht="18">
      <c r="A42" t="s">
        <v>108</v>
      </c>
      <c r="B42" s="9" t="s">
        <v>109</v>
      </c>
      <c r="C42" s="47">
        <f>C50*C47</f>
        <v>54.085499999999996</v>
      </c>
      <c r="D42" t="s">
        <v>39</v>
      </c>
      <c r="E42" t="s">
        <v>110</v>
      </c>
    </row>
    <row r="43" spans="1:11" ht="17.100000000000001">
      <c r="A43" t="s">
        <v>111</v>
      </c>
      <c r="B43" s="9" t="s">
        <v>112</v>
      </c>
      <c r="C43" s="6">
        <f>C28</f>
        <v>2.5499999999999998</v>
      </c>
    </row>
    <row r="44" spans="1:11">
      <c r="A44" t="s">
        <v>113</v>
      </c>
      <c r="B44" s="10" t="s">
        <v>114</v>
      </c>
      <c r="C44" s="64">
        <f>C29</f>
        <v>0.72881355932203384</v>
      </c>
    </row>
    <row r="45" spans="1:11">
      <c r="A45" t="s">
        <v>115</v>
      </c>
      <c r="B45" s="9" t="s">
        <v>50</v>
      </c>
      <c r="C45" s="6">
        <f>C30</f>
        <v>9</v>
      </c>
      <c r="D45" t="s">
        <v>51</v>
      </c>
    </row>
    <row r="46" spans="1:11">
      <c r="A46" t="s">
        <v>116</v>
      </c>
      <c r="B46" s="10" t="s">
        <v>117</v>
      </c>
      <c r="C46" s="6">
        <f>C31</f>
        <v>30</v>
      </c>
      <c r="D46" s="11" t="s">
        <v>55</v>
      </c>
    </row>
    <row r="47" spans="1:11" ht="17.100000000000001">
      <c r="A47" t="s">
        <v>64</v>
      </c>
      <c r="B47" s="9" t="s">
        <v>98</v>
      </c>
      <c r="C47" s="6">
        <f>C33</f>
        <v>5.0999999999999996</v>
      </c>
      <c r="D47" t="s">
        <v>66</v>
      </c>
    </row>
    <row r="48" spans="1:11" ht="17.100000000000001">
      <c r="A48" t="s">
        <v>118</v>
      </c>
      <c r="B48" s="9" t="s">
        <v>119</v>
      </c>
      <c r="C48" s="6">
        <f>C34</f>
        <v>5.9</v>
      </c>
      <c r="D48" t="s">
        <v>66</v>
      </c>
    </row>
    <row r="49" spans="1:11" ht="17.100000000000001">
      <c r="A49" t="s">
        <v>120</v>
      </c>
      <c r="B49" s="9" t="s">
        <v>121</v>
      </c>
      <c r="C49" s="6">
        <f>C35</f>
        <v>4.3</v>
      </c>
      <c r="D49" t="s">
        <v>66</v>
      </c>
    </row>
    <row r="50" spans="1:11" ht="17.100000000000001">
      <c r="A50" t="s">
        <v>122</v>
      </c>
      <c r="B50" s="9" t="s">
        <v>123</v>
      </c>
      <c r="C50" s="6">
        <f>C36/2</f>
        <v>10.605</v>
      </c>
      <c r="D50" t="s">
        <v>66</v>
      </c>
    </row>
    <row r="52" spans="1:11">
      <c r="A52" s="309" t="s">
        <v>124</v>
      </c>
      <c r="B52" s="309"/>
      <c r="C52" s="309"/>
      <c r="D52" s="309"/>
      <c r="E52" s="309"/>
      <c r="F52" s="309"/>
      <c r="G52" s="309"/>
      <c r="H52" s="309"/>
      <c r="I52" s="309"/>
      <c r="J52" s="309"/>
      <c r="K52" s="309"/>
    </row>
    <row r="53" spans="1:11">
      <c r="A53" s="7" t="s">
        <v>7</v>
      </c>
      <c r="B53" s="7" t="s">
        <v>8</v>
      </c>
      <c r="C53" s="7" t="s">
        <v>9</v>
      </c>
      <c r="D53" s="7" t="s">
        <v>10</v>
      </c>
      <c r="E53" s="7" t="s">
        <v>11</v>
      </c>
    </row>
    <row r="54" spans="1:11" ht="18">
      <c r="A54" t="s">
        <v>125</v>
      </c>
      <c r="B54" s="9" t="s">
        <v>126</v>
      </c>
      <c r="C54" s="47">
        <f>PI()*(C61/2*(40.6)+(C64/2)*(C64/2+SQRT((C64/2)^2+(52-40.6)^2)))</f>
        <v>670.61501427777375</v>
      </c>
      <c r="D54" t="s">
        <v>39</v>
      </c>
    </row>
    <row r="55" spans="1:11" ht="17.100000000000001">
      <c r="A55" t="s">
        <v>128</v>
      </c>
      <c r="B55" s="59" t="s">
        <v>461</v>
      </c>
      <c r="C55" s="47">
        <v>18.7</v>
      </c>
      <c r="D55" t="s">
        <v>462</v>
      </c>
    </row>
    <row r="56" spans="1:11" ht="17.100000000000001">
      <c r="A56" t="s">
        <v>130</v>
      </c>
      <c r="B56" s="59" t="s">
        <v>463</v>
      </c>
      <c r="C56" s="47">
        <v>41.43</v>
      </c>
      <c r="D56" t="s">
        <v>66</v>
      </c>
    </row>
    <row r="57" spans="1:11" ht="17.100000000000001">
      <c r="A57" t="s">
        <v>132</v>
      </c>
      <c r="B57" s="9" t="s">
        <v>133</v>
      </c>
      <c r="C57" s="47">
        <f>-(C55+C20+0.25*C18)+(C56+0.25*C34)</f>
        <v>20.190089590492743</v>
      </c>
      <c r="D57" t="s">
        <v>66</v>
      </c>
    </row>
    <row r="58" spans="1:11">
      <c r="A58" t="s">
        <v>464</v>
      </c>
      <c r="B58" s="9" t="s">
        <v>465</v>
      </c>
      <c r="C58" s="111">
        <v>15.8</v>
      </c>
      <c r="D58" t="s">
        <v>66</v>
      </c>
      <c r="E58" t="s">
        <v>466</v>
      </c>
    </row>
    <row r="59" spans="1:11">
      <c r="A59" t="s">
        <v>467</v>
      </c>
      <c r="B59" s="9" t="s">
        <v>468</v>
      </c>
      <c r="C59" s="111">
        <v>18</v>
      </c>
      <c r="D59" t="s">
        <v>66</v>
      </c>
      <c r="E59" t="s">
        <v>469</v>
      </c>
    </row>
    <row r="60" spans="1:11">
      <c r="A60" t="s">
        <v>470</v>
      </c>
      <c r="B60" s="9" t="s">
        <v>471</v>
      </c>
      <c r="C60" s="111">
        <v>18.2</v>
      </c>
      <c r="D60" t="s">
        <v>66</v>
      </c>
      <c r="E60" t="s">
        <v>472</v>
      </c>
    </row>
    <row r="61" spans="1:11" ht="17.100000000000001">
      <c r="A61" t="s">
        <v>473</v>
      </c>
      <c r="B61" s="9" t="s">
        <v>135</v>
      </c>
      <c r="C61" s="111">
        <v>8.33</v>
      </c>
      <c r="D61" t="s">
        <v>66</v>
      </c>
    </row>
    <row r="62" spans="1:11" ht="17.100000000000001">
      <c r="A62" t="s">
        <v>136</v>
      </c>
      <c r="B62" s="9" t="s">
        <v>137</v>
      </c>
      <c r="C62" s="47">
        <v>52</v>
      </c>
      <c r="D62" t="s">
        <v>66</v>
      </c>
    </row>
    <row r="63" spans="1:11" ht="17.100000000000001">
      <c r="A63" t="s">
        <v>138</v>
      </c>
      <c r="B63" s="9" t="s">
        <v>139</v>
      </c>
      <c r="C63" s="111">
        <f>C61-0.5</f>
        <v>7.83</v>
      </c>
      <c r="D63" t="s">
        <v>66</v>
      </c>
    </row>
    <row r="64" spans="1:11" ht="17.100000000000001">
      <c r="A64" t="s">
        <v>140</v>
      </c>
      <c r="B64" s="9" t="s">
        <v>141</v>
      </c>
      <c r="C64" s="111">
        <v>6</v>
      </c>
      <c r="D64" t="s">
        <v>66</v>
      </c>
    </row>
    <row r="69" spans="3:3">
      <c r="C69">
        <f>PI()*C73*((C73^2+16*'Geometry (1)'!C58^3))</f>
        <v>0</v>
      </c>
    </row>
  </sheetData>
  <mergeCells count="6">
    <mergeCell ref="A1:K1"/>
    <mergeCell ref="A25:K25"/>
    <mergeCell ref="A40:K40"/>
    <mergeCell ref="A52:K52"/>
    <mergeCell ref="M1:W1"/>
    <mergeCell ref="H5:L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BFE29-BB80-4749-8C93-C053F3639FC9}">
  <dimension ref="A1:AR75"/>
  <sheetViews>
    <sheetView workbookViewId="0">
      <selection activeCell="H79" sqref="H78:H79"/>
    </sheetView>
  </sheetViews>
  <sheetFormatPr defaultColWidth="11.42578125" defaultRowHeight="15"/>
  <cols>
    <col min="1" max="1" width="23.42578125" customWidth="1"/>
    <col min="13" max="13" width="12.42578125" bestFit="1" customWidth="1"/>
    <col min="14" max="21" width="10.42578125" customWidth="1"/>
  </cols>
  <sheetData>
    <row r="1" spans="1:44">
      <c r="A1" s="310" t="s">
        <v>42</v>
      </c>
      <c r="B1" s="311"/>
      <c r="C1" s="311"/>
      <c r="D1" s="311"/>
      <c r="E1" s="311"/>
      <c r="F1" s="311"/>
      <c r="G1" s="311"/>
      <c r="H1" s="311"/>
      <c r="I1" s="311"/>
      <c r="J1" s="311"/>
      <c r="K1" s="311"/>
      <c r="M1" s="310" t="s">
        <v>444</v>
      </c>
      <c r="N1" s="310"/>
      <c r="O1" s="310"/>
      <c r="P1" s="310"/>
      <c r="Q1" s="310"/>
      <c r="R1" s="310"/>
      <c r="S1" s="310"/>
      <c r="T1" s="310"/>
      <c r="U1" s="310"/>
      <c r="V1" s="310"/>
      <c r="W1" s="310"/>
    </row>
    <row r="2" spans="1:44">
      <c r="A2" s="7" t="s">
        <v>7</v>
      </c>
      <c r="B2" s="22" t="s">
        <v>8</v>
      </c>
      <c r="C2" s="8" t="s">
        <v>9</v>
      </c>
      <c r="D2" s="23" t="s">
        <v>10</v>
      </c>
      <c r="E2" s="22" t="s">
        <v>11</v>
      </c>
      <c r="H2" s="5" t="s">
        <v>474</v>
      </c>
      <c r="M2" s="22" t="s">
        <v>445</v>
      </c>
      <c r="N2" s="7">
        <v>0</v>
      </c>
      <c r="O2" s="7">
        <v>1</v>
      </c>
      <c r="P2" s="7">
        <v>2</v>
      </c>
      <c r="Q2" s="7">
        <v>3</v>
      </c>
      <c r="R2" s="7">
        <v>4</v>
      </c>
      <c r="S2" s="7">
        <v>5</v>
      </c>
      <c r="T2" s="7">
        <v>6</v>
      </c>
      <c r="U2" s="7">
        <v>7</v>
      </c>
      <c r="V2" s="7">
        <v>8</v>
      </c>
      <c r="W2" s="7">
        <v>9</v>
      </c>
      <c r="X2" s="7">
        <v>10</v>
      </c>
      <c r="Y2" s="7">
        <v>11</v>
      </c>
      <c r="Z2" s="7">
        <v>12</v>
      </c>
      <c r="AA2" s="7">
        <v>13</v>
      </c>
      <c r="AB2" s="7">
        <v>14</v>
      </c>
      <c r="AC2" s="7">
        <v>15</v>
      </c>
      <c r="AD2" s="7">
        <v>16</v>
      </c>
      <c r="AE2" s="7">
        <v>17</v>
      </c>
      <c r="AF2" s="7">
        <v>18</v>
      </c>
      <c r="AG2" s="7">
        <v>19</v>
      </c>
      <c r="AH2" s="7">
        <v>20</v>
      </c>
      <c r="AI2" s="7">
        <v>21</v>
      </c>
      <c r="AJ2" s="7">
        <v>22</v>
      </c>
      <c r="AK2" s="7"/>
      <c r="AL2" s="7"/>
      <c r="AM2" s="7"/>
      <c r="AN2" s="7"/>
      <c r="AO2" s="7"/>
      <c r="AP2" s="7"/>
      <c r="AQ2" s="7"/>
    </row>
    <row r="3" spans="1:44" ht="18">
      <c r="A3" t="s">
        <v>43</v>
      </c>
      <c r="B3" s="10" t="s">
        <v>44</v>
      </c>
      <c r="C3" s="47">
        <f>C21^2/C4</f>
        <v>476.1</v>
      </c>
      <c r="D3" t="s">
        <v>39</v>
      </c>
      <c r="E3" t="s">
        <v>454</v>
      </c>
      <c r="H3" s="47" t="s">
        <v>475</v>
      </c>
      <c r="M3" s="22" t="s">
        <v>446</v>
      </c>
      <c r="N3" s="5">
        <v>0</v>
      </c>
      <c r="O3" s="5">
        <v>3</v>
      </c>
      <c r="P3" s="5">
        <v>5</v>
      </c>
      <c r="Q3" s="5">
        <v>8</v>
      </c>
      <c r="R3" s="5">
        <v>10</v>
      </c>
      <c r="S3" s="5">
        <v>12</v>
      </c>
      <c r="T3" s="5">
        <v>14</v>
      </c>
      <c r="U3" s="5">
        <v>16</v>
      </c>
      <c r="V3" s="5">
        <v>18</v>
      </c>
      <c r="W3" s="5">
        <v>22</v>
      </c>
      <c r="X3" s="5">
        <v>26</v>
      </c>
      <c r="Y3" s="5">
        <v>30</v>
      </c>
      <c r="Z3" s="5">
        <v>34</v>
      </c>
      <c r="AA3" s="5">
        <v>38</v>
      </c>
      <c r="AB3" s="5">
        <v>42</v>
      </c>
      <c r="AC3" s="5">
        <v>46</v>
      </c>
      <c r="AD3" s="5">
        <v>50</v>
      </c>
      <c r="AE3" s="5">
        <v>53</v>
      </c>
      <c r="AF3" s="5">
        <v>56</v>
      </c>
      <c r="AG3" s="5">
        <v>59</v>
      </c>
      <c r="AH3" s="5">
        <v>62</v>
      </c>
      <c r="AI3">
        <v>65</v>
      </c>
      <c r="AJ3">
        <v>68</v>
      </c>
    </row>
    <row r="4" spans="1:44" ht="17.100000000000001">
      <c r="A4" t="s">
        <v>45</v>
      </c>
      <c r="B4" s="59" t="s">
        <v>46</v>
      </c>
      <c r="C4" s="47">
        <f>C21/C17</f>
        <v>10</v>
      </c>
      <c r="M4" s="22" t="s">
        <v>447</v>
      </c>
      <c r="N4" s="5">
        <v>0</v>
      </c>
      <c r="O4" s="5">
        <v>2.5</v>
      </c>
      <c r="P4" s="5">
        <v>3.29</v>
      </c>
      <c r="Q4" s="5">
        <v>4.3150000000000004</v>
      </c>
      <c r="R4" s="5">
        <v>4.8819999999999997</v>
      </c>
      <c r="S4" s="5">
        <v>6.5170000000000003</v>
      </c>
      <c r="T4" s="5">
        <v>7.5540000000000003</v>
      </c>
      <c r="U4" s="5">
        <v>8.141</v>
      </c>
      <c r="V4" s="5">
        <v>8.33</v>
      </c>
      <c r="W4" s="5">
        <v>8.33</v>
      </c>
      <c r="X4" s="5">
        <v>8.33</v>
      </c>
      <c r="Y4" s="5">
        <v>8.33</v>
      </c>
      <c r="Z4" s="5">
        <v>8.33</v>
      </c>
      <c r="AA4" s="5">
        <v>8.33</v>
      </c>
      <c r="AB4" s="5">
        <v>8.33</v>
      </c>
      <c r="AC4" s="5">
        <v>8.33</v>
      </c>
      <c r="AD4" s="5">
        <v>8.33</v>
      </c>
      <c r="AE4" s="5">
        <v>7.8460000000000001</v>
      </c>
      <c r="AF4" s="5">
        <v>7.016</v>
      </c>
      <c r="AG4" s="5">
        <v>6.0679999999999996</v>
      </c>
      <c r="AH4" s="5">
        <v>5</v>
      </c>
      <c r="AI4" s="5">
        <v>3.8119999999999998</v>
      </c>
      <c r="AJ4" s="5">
        <v>2.5</v>
      </c>
      <c r="AK4" s="5"/>
      <c r="AL4" s="5"/>
      <c r="AM4" s="5"/>
      <c r="AN4" s="5"/>
      <c r="AO4" s="5"/>
      <c r="AP4" s="5"/>
      <c r="AQ4" s="5"/>
    </row>
    <row r="5" spans="1:44">
      <c r="B5" s="59"/>
      <c r="C5" s="69"/>
      <c r="M5" s="22" t="s">
        <v>476</v>
      </c>
      <c r="N5" s="5">
        <f t="shared" ref="N5:AJ5" si="0">N4/2+N9</f>
        <v>0</v>
      </c>
      <c r="O5" s="5">
        <f t="shared" si="0"/>
        <v>1.7829999999999999</v>
      </c>
      <c r="P5" s="5">
        <f t="shared" si="0"/>
        <v>2.476</v>
      </c>
      <c r="Q5" s="5">
        <f t="shared" si="0"/>
        <v>3.3665000000000003</v>
      </c>
      <c r="R5" s="5">
        <f t="shared" si="0"/>
        <v>3.867</v>
      </c>
      <c r="S5" s="5">
        <f t="shared" si="0"/>
        <v>5.4495000000000005</v>
      </c>
      <c r="T5" s="5">
        <f t="shared" si="0"/>
        <v>6.45</v>
      </c>
      <c r="U5" s="5">
        <f t="shared" si="0"/>
        <v>7.0145</v>
      </c>
      <c r="V5" s="5">
        <f t="shared" si="0"/>
        <v>7.1980000000000004</v>
      </c>
      <c r="W5" s="5">
        <f t="shared" si="0"/>
        <v>7.1980000000000004</v>
      </c>
      <c r="X5" s="5">
        <f t="shared" si="0"/>
        <v>7.1980000000000004</v>
      </c>
      <c r="Y5" s="5">
        <f t="shared" si="0"/>
        <v>7.1980000000000004</v>
      </c>
      <c r="Z5" s="5">
        <f t="shared" si="0"/>
        <v>7.1980000000000004</v>
      </c>
      <c r="AA5" s="5">
        <f t="shared" si="0"/>
        <v>7.1980000000000004</v>
      </c>
      <c r="AB5" s="5">
        <f t="shared" si="0"/>
        <v>7.1980000000000004</v>
      </c>
      <c r="AC5" s="5">
        <f t="shared" si="0"/>
        <v>7.1980000000000004</v>
      </c>
      <c r="AD5" s="5">
        <f t="shared" si="0"/>
        <v>7.1980000000000004</v>
      </c>
      <c r="AE5" s="5">
        <f t="shared" si="0"/>
        <v>7.1880000000000006</v>
      </c>
      <c r="AF5" s="5">
        <f t="shared" si="0"/>
        <v>7.1280000000000001</v>
      </c>
      <c r="AG5" s="5">
        <f t="shared" si="0"/>
        <v>7.0149999999999997</v>
      </c>
      <c r="AH5" s="5">
        <f t="shared" si="0"/>
        <v>6.851</v>
      </c>
      <c r="AI5" s="5">
        <f t="shared" si="0"/>
        <v>6.6349999999999998</v>
      </c>
      <c r="AJ5" s="5">
        <f t="shared" si="0"/>
        <v>6.3660000000000005</v>
      </c>
      <c r="AK5" s="5"/>
      <c r="AL5" s="5"/>
      <c r="AM5" s="5"/>
      <c r="AN5" s="5"/>
      <c r="AO5" s="5"/>
      <c r="AP5" s="5"/>
      <c r="AQ5" s="5"/>
      <c r="AR5" s="5"/>
    </row>
    <row r="6" spans="1:44" ht="15.95" thickBot="1">
      <c r="B6" s="59"/>
      <c r="C6" s="69"/>
      <c r="M6" s="22" t="s">
        <v>477</v>
      </c>
      <c r="N6" s="5">
        <f t="shared" ref="N6:AJ6" si="1">-N4/2+N9</f>
        <v>0</v>
      </c>
      <c r="O6" s="5">
        <f t="shared" si="1"/>
        <v>-0.71699999999999997</v>
      </c>
      <c r="P6" s="5">
        <f t="shared" si="1"/>
        <v>-0.81400000000000006</v>
      </c>
      <c r="Q6" s="5">
        <f t="shared" si="1"/>
        <v>-0.94850000000000012</v>
      </c>
      <c r="R6" s="5">
        <f t="shared" si="1"/>
        <v>-1.0149999999999997</v>
      </c>
      <c r="S6" s="5">
        <f t="shared" si="1"/>
        <v>-1.0675000000000003</v>
      </c>
      <c r="T6" s="5">
        <f t="shared" si="1"/>
        <v>-1.1040000000000001</v>
      </c>
      <c r="U6" s="5">
        <f t="shared" si="1"/>
        <v>-1.1265000000000001</v>
      </c>
      <c r="V6" s="5">
        <f t="shared" si="1"/>
        <v>-1.1320000000000001</v>
      </c>
      <c r="W6" s="5">
        <f t="shared" si="1"/>
        <v>-1.1320000000000001</v>
      </c>
      <c r="X6" s="5">
        <f t="shared" si="1"/>
        <v>-1.1320000000000001</v>
      </c>
      <c r="Y6" s="5">
        <f t="shared" si="1"/>
        <v>-1.1320000000000001</v>
      </c>
      <c r="Z6" s="5">
        <f t="shared" si="1"/>
        <v>-1.1320000000000001</v>
      </c>
      <c r="AA6" s="5">
        <f t="shared" si="1"/>
        <v>-1.1320000000000001</v>
      </c>
      <c r="AB6" s="5">
        <f t="shared" si="1"/>
        <v>-1.1320000000000001</v>
      </c>
      <c r="AC6" s="5">
        <f t="shared" si="1"/>
        <v>-1.1320000000000001</v>
      </c>
      <c r="AD6" s="5">
        <f t="shared" si="1"/>
        <v>-1.1320000000000001</v>
      </c>
      <c r="AE6" s="5">
        <f t="shared" si="1"/>
        <v>-0.65799999999999992</v>
      </c>
      <c r="AF6" s="5">
        <f t="shared" si="1"/>
        <v>0.1120000000000001</v>
      </c>
      <c r="AG6" s="5">
        <f t="shared" si="1"/>
        <v>0.94700000000000006</v>
      </c>
      <c r="AH6" s="5">
        <f t="shared" si="1"/>
        <v>1.851</v>
      </c>
      <c r="AI6" s="5">
        <f t="shared" si="1"/>
        <v>2.8230000000000004</v>
      </c>
      <c r="AJ6" s="5">
        <f t="shared" si="1"/>
        <v>3.8660000000000005</v>
      </c>
      <c r="AK6" s="5"/>
      <c r="AL6" s="5"/>
      <c r="AM6" s="5"/>
      <c r="AN6" s="5"/>
      <c r="AO6" s="5"/>
      <c r="AP6" s="5"/>
      <c r="AQ6" s="5"/>
      <c r="AR6" s="5"/>
    </row>
    <row r="7" spans="1:44" ht="18" thickBot="1">
      <c r="A7" t="s">
        <v>47</v>
      </c>
      <c r="B7" s="10" t="s">
        <v>48</v>
      </c>
      <c r="C7" s="6">
        <f>C19/C18</f>
        <v>0.38</v>
      </c>
      <c r="H7" s="330" t="s">
        <v>455</v>
      </c>
      <c r="I7" s="331"/>
      <c r="J7" s="331"/>
      <c r="K7" s="331"/>
      <c r="L7" s="332"/>
      <c r="M7" s="22" t="s">
        <v>448</v>
      </c>
      <c r="N7" s="5">
        <v>0</v>
      </c>
      <c r="O7" s="5">
        <v>3</v>
      </c>
      <c r="P7" s="5">
        <v>3.988</v>
      </c>
      <c r="Q7" s="5">
        <v>5.3730000000000002</v>
      </c>
      <c r="R7" s="5">
        <v>6.1829999999999998</v>
      </c>
      <c r="S7" s="5">
        <v>6.8630000000000004</v>
      </c>
      <c r="T7" s="5">
        <v>7.3840000000000003</v>
      </c>
      <c r="U7" s="5">
        <v>7.7169999999999996</v>
      </c>
      <c r="V7" s="5">
        <v>7.8330000000000002</v>
      </c>
      <c r="W7" s="5">
        <v>8.3330000000000002</v>
      </c>
      <c r="X7" s="5">
        <v>8.3330000000000002</v>
      </c>
      <c r="Y7" s="5">
        <v>8.3330000000000002</v>
      </c>
      <c r="Z7" s="5">
        <v>8.3330000000000002</v>
      </c>
      <c r="AA7" s="5">
        <v>8.3330000000000002</v>
      </c>
      <c r="AB7" s="5">
        <v>8.3330000000000002</v>
      </c>
      <c r="AC7" s="5">
        <v>7.8330000000000002</v>
      </c>
      <c r="AD7" s="5">
        <v>7.7770000000000001</v>
      </c>
      <c r="AE7" s="5">
        <v>7.0990000000000002</v>
      </c>
      <c r="AF7" s="5">
        <v>6.3029999999999999</v>
      </c>
      <c r="AG7" s="5">
        <v>5.4459999999999997</v>
      </c>
      <c r="AH7" s="5">
        <v>4.5259999999999998</v>
      </c>
      <c r="AI7" s="5">
        <v>3.544</v>
      </c>
      <c r="AJ7" s="5">
        <v>2.5</v>
      </c>
      <c r="AK7" s="5"/>
      <c r="AL7" s="5"/>
      <c r="AM7" s="5"/>
      <c r="AN7" s="5"/>
      <c r="AO7" s="5"/>
      <c r="AP7" s="5"/>
      <c r="AQ7" s="5"/>
    </row>
    <row r="8" spans="1:44">
      <c r="A8" t="s">
        <v>49</v>
      </c>
      <c r="B8" s="10" t="s">
        <v>50</v>
      </c>
      <c r="C8" s="5">
        <v>15</v>
      </c>
      <c r="D8" t="s">
        <v>51</v>
      </c>
      <c r="E8" t="s">
        <v>52</v>
      </c>
      <c r="H8" s="10"/>
      <c r="N8" s="5">
        <v>-0.53300000000000003</v>
      </c>
      <c r="O8" s="5">
        <v>0</v>
      </c>
      <c r="P8" s="5">
        <v>0.29799999999999999</v>
      </c>
      <c r="Q8" s="5">
        <v>0.67600000000000005</v>
      </c>
      <c r="R8" s="5">
        <v>0.89300000000000002</v>
      </c>
      <c r="S8" s="5">
        <v>1.6579999999999999</v>
      </c>
      <c r="T8" s="5">
        <v>2.14</v>
      </c>
      <c r="U8" s="5">
        <v>2.411</v>
      </c>
      <c r="V8" s="5">
        <v>2.5</v>
      </c>
      <c r="W8" s="5">
        <v>2.5</v>
      </c>
      <c r="X8" s="5">
        <v>2.5</v>
      </c>
      <c r="Y8" s="5">
        <v>2.5</v>
      </c>
      <c r="Z8" s="5">
        <v>2.5</v>
      </c>
      <c r="AA8" s="5">
        <v>2.5</v>
      </c>
      <c r="AB8" s="5">
        <v>2.5</v>
      </c>
      <c r="AC8" s="5">
        <v>2.5</v>
      </c>
      <c r="AD8" s="5">
        <v>2.5</v>
      </c>
      <c r="AE8" s="5">
        <v>2.7320000000000002</v>
      </c>
      <c r="AF8" s="5">
        <v>3.0870000000000002</v>
      </c>
      <c r="AG8" s="5">
        <v>3.448</v>
      </c>
      <c r="AH8" s="5">
        <v>3.8180000000000001</v>
      </c>
      <c r="AI8">
        <v>4.1959999999999997</v>
      </c>
      <c r="AJ8">
        <v>4.5830000000000002</v>
      </c>
    </row>
    <row r="9" spans="1:44" ht="17.100000000000001">
      <c r="A9" t="s">
        <v>53</v>
      </c>
      <c r="B9" s="59" t="s">
        <v>54</v>
      </c>
      <c r="C9" s="5">
        <v>10</v>
      </c>
      <c r="D9" s="11" t="s">
        <v>55</v>
      </c>
      <c r="M9" s="22" t="s">
        <v>449</v>
      </c>
      <c r="N9">
        <f t="shared" ref="N9:AJ9" si="2">N8-$N$8</f>
        <v>0</v>
      </c>
      <c r="O9">
        <f t="shared" si="2"/>
        <v>0.53300000000000003</v>
      </c>
      <c r="P9">
        <f t="shared" si="2"/>
        <v>0.83099999999999996</v>
      </c>
      <c r="Q9">
        <f t="shared" si="2"/>
        <v>1.2090000000000001</v>
      </c>
      <c r="R9">
        <f t="shared" si="2"/>
        <v>1.4260000000000002</v>
      </c>
      <c r="S9">
        <f t="shared" si="2"/>
        <v>2.1909999999999998</v>
      </c>
      <c r="T9">
        <f t="shared" si="2"/>
        <v>2.673</v>
      </c>
      <c r="U9">
        <f t="shared" si="2"/>
        <v>2.944</v>
      </c>
      <c r="V9">
        <f t="shared" si="2"/>
        <v>3.0329999999999999</v>
      </c>
      <c r="W9">
        <f t="shared" si="2"/>
        <v>3.0329999999999999</v>
      </c>
      <c r="X9">
        <f t="shared" si="2"/>
        <v>3.0329999999999999</v>
      </c>
      <c r="Y9">
        <f t="shared" si="2"/>
        <v>3.0329999999999999</v>
      </c>
      <c r="Z9">
        <f t="shared" si="2"/>
        <v>3.0329999999999999</v>
      </c>
      <c r="AA9">
        <f t="shared" si="2"/>
        <v>3.0329999999999999</v>
      </c>
      <c r="AB9">
        <f t="shared" si="2"/>
        <v>3.0329999999999999</v>
      </c>
      <c r="AC9">
        <f t="shared" si="2"/>
        <v>3.0329999999999999</v>
      </c>
      <c r="AD9">
        <f t="shared" si="2"/>
        <v>3.0329999999999999</v>
      </c>
      <c r="AE9">
        <f t="shared" si="2"/>
        <v>3.2650000000000001</v>
      </c>
      <c r="AF9">
        <f t="shared" si="2"/>
        <v>3.62</v>
      </c>
      <c r="AG9">
        <f t="shared" si="2"/>
        <v>3.9809999999999999</v>
      </c>
      <c r="AH9">
        <f t="shared" si="2"/>
        <v>4.351</v>
      </c>
      <c r="AI9">
        <f t="shared" si="2"/>
        <v>4.7290000000000001</v>
      </c>
      <c r="AJ9">
        <f t="shared" si="2"/>
        <v>5.1160000000000005</v>
      </c>
    </row>
    <row r="10" spans="1:44" ht="17.100000000000001">
      <c r="B10" s="59" t="s">
        <v>54</v>
      </c>
      <c r="C10" s="47">
        <f>RADIANS(C9)</f>
        <v>0.17453292519943295</v>
      </c>
      <c r="D10" s="11" t="s">
        <v>56</v>
      </c>
      <c r="M10" s="22" t="s">
        <v>450</v>
      </c>
      <c r="N10" s="5"/>
      <c r="O10" s="5"/>
      <c r="P10" s="5"/>
      <c r="Q10" s="5"/>
      <c r="R10" s="5"/>
      <c r="S10" s="5"/>
      <c r="T10" s="5"/>
      <c r="U10" s="5"/>
      <c r="V10" s="5"/>
      <c r="W10" s="5"/>
      <c r="X10" s="5"/>
      <c r="Y10" s="5"/>
      <c r="Z10" s="5"/>
      <c r="AA10" s="5"/>
      <c r="AB10" s="5"/>
      <c r="AC10" s="5"/>
    </row>
    <row r="11" spans="1:44" ht="17.100000000000001">
      <c r="A11" t="s">
        <v>57</v>
      </c>
      <c r="B11" s="59" t="s">
        <v>58</v>
      </c>
      <c r="C11" s="47">
        <f>DEGREES(C12)</f>
        <v>7.528633598871683</v>
      </c>
      <c r="D11" s="11" t="s">
        <v>59</v>
      </c>
      <c r="M11" s="22" t="s">
        <v>451</v>
      </c>
      <c r="N11" s="5"/>
      <c r="O11" s="5"/>
      <c r="P11" s="5"/>
      <c r="Q11" s="5"/>
      <c r="R11" s="5"/>
      <c r="S11" s="5"/>
      <c r="T11" s="5"/>
      <c r="U11" s="5"/>
      <c r="V11" s="5"/>
      <c r="W11" s="5"/>
      <c r="X11" s="5"/>
      <c r="Y11" s="5"/>
      <c r="Z11" s="5"/>
      <c r="AA11" s="5"/>
      <c r="AB11" s="5"/>
      <c r="AC11" s="5"/>
    </row>
    <row r="12" spans="1:44" ht="17.100000000000001">
      <c r="B12" s="59" t="s">
        <v>58</v>
      </c>
      <c r="C12" s="47">
        <f>TAN(C10)+(C18/(2*C21))*(C7-1)</f>
        <v>0.13139944447658092</v>
      </c>
      <c r="D12" s="11" t="s">
        <v>56</v>
      </c>
      <c r="F12" s="9"/>
      <c r="M12" s="22" t="s">
        <v>452</v>
      </c>
      <c r="N12" s="5"/>
      <c r="O12" s="5"/>
      <c r="P12" s="5"/>
      <c r="Q12" s="5"/>
      <c r="R12" s="5"/>
      <c r="S12" s="5"/>
      <c r="T12" s="5"/>
      <c r="U12" s="5"/>
      <c r="V12" s="5"/>
      <c r="W12" s="5"/>
      <c r="X12" s="5"/>
      <c r="Y12" s="5"/>
      <c r="Z12" s="5"/>
      <c r="AA12" s="5"/>
      <c r="AB12" s="5"/>
      <c r="AC12" s="5"/>
    </row>
    <row r="13" spans="1:44">
      <c r="A13" t="s">
        <v>60</v>
      </c>
      <c r="B13" s="59" t="s">
        <v>61</v>
      </c>
      <c r="C13" s="47">
        <f>TAN(C12)-(4/C4)*((0.5-0.25)*((1-C7)/(1+C7)))</f>
        <v>8.7233407294205534E-2</v>
      </c>
      <c r="D13" s="11" t="s">
        <v>56</v>
      </c>
      <c r="F13" s="9"/>
      <c r="M13" s="22" t="s">
        <v>453</v>
      </c>
      <c r="N13" s="5"/>
      <c r="O13" s="5"/>
      <c r="P13" s="5"/>
      <c r="Q13" s="5"/>
      <c r="R13" s="5"/>
      <c r="S13" s="5"/>
      <c r="T13" s="5"/>
      <c r="U13" s="5"/>
      <c r="V13" s="5"/>
      <c r="W13" s="5"/>
      <c r="X13" s="5"/>
      <c r="Y13" s="5"/>
      <c r="Z13" s="5"/>
      <c r="AA13" s="5"/>
      <c r="AB13" s="5"/>
      <c r="AC13" s="5"/>
    </row>
    <row r="14" spans="1:44">
      <c r="B14" s="59" t="s">
        <v>61</v>
      </c>
      <c r="C14" s="47">
        <f>DEGREES(C13)</f>
        <v>4.9981060705037077</v>
      </c>
      <c r="D14" s="11" t="s">
        <v>55</v>
      </c>
      <c r="F14" s="9"/>
      <c r="Q14" t="s">
        <v>456</v>
      </c>
      <c r="R14" t="s">
        <v>457</v>
      </c>
      <c r="W14" t="s">
        <v>458</v>
      </c>
      <c r="AH14" t="s">
        <v>459</v>
      </c>
      <c r="AI14" t="s">
        <v>460</v>
      </c>
    </row>
    <row r="15" spans="1:44" ht="17.100000000000001">
      <c r="A15" t="s">
        <v>62</v>
      </c>
      <c r="B15" s="59" t="s">
        <v>63</v>
      </c>
      <c r="C15" s="47">
        <f>ATAN(TAN(C10)-(4/C4)*((Drag!C58)*(1-C7)/(1+C7)))</f>
        <v>0.17413833337751999</v>
      </c>
      <c r="D15" s="11" t="s">
        <v>56</v>
      </c>
      <c r="E15" s="9"/>
      <c r="F15" s="9"/>
    </row>
    <row r="16" spans="1:44" ht="17.100000000000001">
      <c r="B16" s="59" t="s">
        <v>63</v>
      </c>
      <c r="C16" s="47">
        <f>DEGREES(C15)</f>
        <v>9.9773915539740106</v>
      </c>
      <c r="D16" s="11" t="s">
        <v>55</v>
      </c>
      <c r="E16" s="9"/>
      <c r="F16" s="9"/>
    </row>
    <row r="17" spans="1:11" ht="17.100000000000001">
      <c r="A17" t="s">
        <v>64</v>
      </c>
      <c r="B17" s="10" t="s">
        <v>65</v>
      </c>
      <c r="C17" s="47">
        <f>(C18+C19)/2</f>
        <v>6.9</v>
      </c>
      <c r="D17" t="s">
        <v>66</v>
      </c>
      <c r="E17" t="s">
        <v>67</v>
      </c>
    </row>
    <row r="18" spans="1:11" ht="17.100000000000001">
      <c r="A18" t="s">
        <v>68</v>
      </c>
      <c r="B18" s="10" t="s">
        <v>69</v>
      </c>
      <c r="C18" s="5">
        <v>10</v>
      </c>
      <c r="D18" t="s">
        <v>66</v>
      </c>
      <c r="E18" t="s">
        <v>67</v>
      </c>
    </row>
    <row r="19" spans="1:11" ht="17.100000000000001">
      <c r="A19" t="s">
        <v>70</v>
      </c>
      <c r="B19" s="10" t="s">
        <v>71</v>
      </c>
      <c r="C19" s="5">
        <v>3.8</v>
      </c>
      <c r="D19" t="s">
        <v>66</v>
      </c>
      <c r="E19" t="s">
        <v>67</v>
      </c>
    </row>
    <row r="20" spans="1:11" ht="17.100000000000001">
      <c r="A20" t="s">
        <v>72</v>
      </c>
      <c r="B20" s="10" t="s">
        <v>73</v>
      </c>
      <c r="C20" s="47">
        <f>(2/3)*C18*(1+C7+C7^2)/(1+C7)</f>
        <v>7.3642512077294677</v>
      </c>
      <c r="D20" t="s">
        <v>66</v>
      </c>
      <c r="E20" t="s">
        <v>74</v>
      </c>
    </row>
    <row r="21" spans="1:11" ht="17.100000000000001">
      <c r="A21" t="s">
        <v>75</v>
      </c>
      <c r="B21" s="10" t="s">
        <v>76</v>
      </c>
      <c r="C21" s="5">
        <v>69</v>
      </c>
      <c r="D21" t="s">
        <v>66</v>
      </c>
      <c r="E21" t="s">
        <v>77</v>
      </c>
      <c r="F21" t="s">
        <v>78</v>
      </c>
    </row>
    <row r="22" spans="1:11" ht="17.100000000000001">
      <c r="A22" t="s">
        <v>79</v>
      </c>
      <c r="B22" s="10" t="s">
        <v>80</v>
      </c>
      <c r="C22" s="47">
        <f>C23*TAN(C10)</f>
        <v>2.5861290503908196</v>
      </c>
      <c r="D22" t="s">
        <v>66</v>
      </c>
      <c r="G22" s="69">
        <f>18.7+C22</f>
        <v>21.286129050390819</v>
      </c>
    </row>
    <row r="23" spans="1:11">
      <c r="A23" t="s">
        <v>81</v>
      </c>
      <c r="B23" s="9" t="s">
        <v>82</v>
      </c>
      <c r="C23" s="47">
        <f>(C21/6)*((1+2*C7)/(1+C7))</f>
        <v>14.666666666666668</v>
      </c>
    </row>
    <row r="24" spans="1:11">
      <c r="A24" t="s">
        <v>478</v>
      </c>
      <c r="B24" s="9"/>
      <c r="C24" s="63">
        <v>3</v>
      </c>
      <c r="D24" t="s">
        <v>479</v>
      </c>
    </row>
    <row r="25" spans="1:11">
      <c r="B25" s="9"/>
      <c r="C25" s="69"/>
    </row>
    <row r="26" spans="1:11">
      <c r="B26" s="9"/>
      <c r="C26" s="69"/>
    </row>
    <row r="27" spans="1:11">
      <c r="A27" s="309" t="s">
        <v>85</v>
      </c>
      <c r="B27" s="309"/>
      <c r="C27" s="309"/>
      <c r="D27" s="309"/>
      <c r="E27" s="309"/>
      <c r="F27" s="309"/>
      <c r="G27" s="309"/>
      <c r="H27" s="309"/>
      <c r="I27" s="309"/>
      <c r="J27" s="309"/>
      <c r="K27" s="309"/>
    </row>
    <row r="28" spans="1:11">
      <c r="A28" s="7" t="s">
        <v>7</v>
      </c>
      <c r="B28" s="7" t="s">
        <v>8</v>
      </c>
      <c r="C28" s="7" t="s">
        <v>9</v>
      </c>
      <c r="D28" s="7" t="s">
        <v>10</v>
      </c>
      <c r="E28" s="7" t="s">
        <v>11</v>
      </c>
    </row>
    <row r="29" spans="1:11" ht="18">
      <c r="A29" t="s">
        <v>86</v>
      </c>
      <c r="B29" s="9" t="s">
        <v>87</v>
      </c>
      <c r="C29" s="47">
        <f>C38*C35</f>
        <v>108.18733752154175</v>
      </c>
      <c r="D29" t="s">
        <v>39</v>
      </c>
      <c r="E29" t="s">
        <v>88</v>
      </c>
    </row>
    <row r="30" spans="1:11" ht="17.100000000000001">
      <c r="A30" t="s">
        <v>89</v>
      </c>
      <c r="B30" s="9" t="s">
        <v>90</v>
      </c>
      <c r="C30" s="47">
        <f>2*C38/(C36+C37)</f>
        <v>4.1594516540385147</v>
      </c>
    </row>
    <row r="31" spans="1:11">
      <c r="A31" t="s">
        <v>91</v>
      </c>
      <c r="B31" s="10" t="s">
        <v>92</v>
      </c>
      <c r="C31" s="47">
        <f>C37/C36</f>
        <v>0.72881355932203384</v>
      </c>
    </row>
    <row r="32" spans="1:11">
      <c r="A32" t="s">
        <v>49</v>
      </c>
      <c r="B32" s="9" t="s">
        <v>50</v>
      </c>
      <c r="C32" s="5">
        <v>9</v>
      </c>
      <c r="D32" t="s">
        <v>51</v>
      </c>
      <c r="E32" s="58" t="s">
        <v>93</v>
      </c>
      <c r="F32" s="58"/>
      <c r="G32" s="58"/>
      <c r="H32" s="58"/>
    </row>
    <row r="33" spans="1:36">
      <c r="A33" t="s">
        <v>94</v>
      </c>
      <c r="B33" s="10" t="s">
        <v>95</v>
      </c>
      <c r="C33" s="5">
        <v>30</v>
      </c>
      <c r="D33" s="11" t="s">
        <v>55</v>
      </c>
    </row>
    <row r="34" spans="1:36" ht="17.100000000000001">
      <c r="A34" t="s">
        <v>96</v>
      </c>
      <c r="B34" s="59" t="s">
        <v>63</v>
      </c>
      <c r="C34" s="47">
        <f>(ATAN(TAN(RADIANS(C33))-(4/C30)*((Drag!D58)*(1-C31)/(1+C31))))</f>
        <v>0.52336267330928932</v>
      </c>
      <c r="D34" s="11" t="s">
        <v>56</v>
      </c>
    </row>
    <row r="35" spans="1:36" ht="17.100000000000001">
      <c r="A35" t="s">
        <v>97</v>
      </c>
      <c r="B35" s="9" t="s">
        <v>98</v>
      </c>
      <c r="C35" s="6">
        <f>AVERAGE(C36:C37)</f>
        <v>5.0999999999999996</v>
      </c>
      <c r="D35" t="s">
        <v>66</v>
      </c>
    </row>
    <row r="36" spans="1:36" ht="17.100000000000001">
      <c r="A36" t="s">
        <v>99</v>
      </c>
      <c r="B36" s="9" t="s">
        <v>100</v>
      </c>
      <c r="C36" s="5">
        <v>5.9</v>
      </c>
      <c r="D36" t="s">
        <v>66</v>
      </c>
    </row>
    <row r="37" spans="1:36" ht="17.100000000000001">
      <c r="A37" t="s">
        <v>101</v>
      </c>
      <c r="B37" s="9" t="s">
        <v>102</v>
      </c>
      <c r="C37" s="5">
        <v>4.3</v>
      </c>
      <c r="D37" t="s">
        <v>66</v>
      </c>
    </row>
    <row r="38" spans="1:36" ht="17.100000000000001">
      <c r="A38" t="s">
        <v>103</v>
      </c>
      <c r="B38" s="9" t="s">
        <v>104</v>
      </c>
      <c r="C38" s="47">
        <f>SIN(RADIANS(45))*C41</f>
        <v>21.213203435596423</v>
      </c>
      <c r="D38" t="s">
        <v>66</v>
      </c>
    </row>
    <row r="39" spans="1:36">
      <c r="A39" s="57" t="s">
        <v>79</v>
      </c>
      <c r="B39" s="9" t="s">
        <v>105</v>
      </c>
      <c r="C39" s="47">
        <f>C40*TAN(RADIANS(C33))</f>
        <v>2.9017648096696131</v>
      </c>
      <c r="D39" t="s">
        <v>66</v>
      </c>
    </row>
    <row r="40" spans="1:36">
      <c r="A40" s="57" t="s">
        <v>81</v>
      </c>
      <c r="B40" s="9" t="s">
        <v>106</v>
      </c>
      <c r="C40" s="47">
        <f>(C38/6)*((1+2*C31)/(1+C31))</f>
        <v>5.0260040819632046</v>
      </c>
      <c r="D40" t="s">
        <v>66</v>
      </c>
    </row>
    <row r="41" spans="1:36" ht="17.100000000000001">
      <c r="A41" s="57" t="s">
        <v>480</v>
      </c>
      <c r="B41" s="59" t="s">
        <v>481</v>
      </c>
      <c r="C41" s="5">
        <v>30</v>
      </c>
      <c r="D41" t="s">
        <v>66</v>
      </c>
    </row>
    <row r="43" spans="1:36">
      <c r="A43" s="309" t="s">
        <v>107</v>
      </c>
      <c r="B43" s="309"/>
      <c r="C43" s="309"/>
      <c r="D43" s="309"/>
      <c r="E43" s="309"/>
      <c r="F43" s="309"/>
      <c r="G43" s="309"/>
      <c r="H43" s="309"/>
      <c r="I43" s="309"/>
      <c r="J43" s="309"/>
      <c r="K43" s="309"/>
      <c r="M43" s="310" t="s">
        <v>444</v>
      </c>
      <c r="N43" s="310"/>
      <c r="O43" s="310"/>
      <c r="P43" s="310"/>
      <c r="Q43" s="310"/>
      <c r="R43" s="310"/>
      <c r="S43" s="310"/>
      <c r="T43" s="310"/>
      <c r="U43" s="310"/>
      <c r="V43" s="310"/>
      <c r="W43" s="310"/>
    </row>
    <row r="44" spans="1:36">
      <c r="A44" s="7" t="s">
        <v>7</v>
      </c>
      <c r="B44" s="7" t="s">
        <v>8</v>
      </c>
      <c r="C44" s="7" t="s">
        <v>9</v>
      </c>
      <c r="D44" s="7" t="s">
        <v>10</v>
      </c>
      <c r="E44" s="7" t="s">
        <v>11</v>
      </c>
      <c r="M44" s="22" t="s">
        <v>445</v>
      </c>
      <c r="N44" s="7">
        <v>0</v>
      </c>
      <c r="O44" s="7">
        <v>1</v>
      </c>
      <c r="P44" s="7">
        <v>2</v>
      </c>
      <c r="Q44" s="7">
        <v>3</v>
      </c>
      <c r="R44" s="7">
        <v>4</v>
      </c>
      <c r="S44" s="7">
        <v>5</v>
      </c>
      <c r="T44" s="7">
        <v>6</v>
      </c>
      <c r="U44" s="7">
        <v>7</v>
      </c>
      <c r="V44" s="7">
        <v>8</v>
      </c>
      <c r="W44" s="7">
        <v>9</v>
      </c>
      <c r="X44" s="7">
        <v>10</v>
      </c>
      <c r="Y44" s="7">
        <v>11</v>
      </c>
      <c r="Z44" s="7">
        <v>12</v>
      </c>
      <c r="AA44" s="7">
        <v>13</v>
      </c>
      <c r="AB44" s="7">
        <v>14</v>
      </c>
      <c r="AC44" s="7">
        <v>15</v>
      </c>
      <c r="AD44" s="7">
        <v>16</v>
      </c>
      <c r="AE44" s="7">
        <v>17</v>
      </c>
      <c r="AF44" s="7">
        <v>18</v>
      </c>
      <c r="AG44" s="7">
        <v>19</v>
      </c>
      <c r="AH44" s="7">
        <v>20</v>
      </c>
      <c r="AI44" s="7">
        <v>21</v>
      </c>
      <c r="AJ44" s="7">
        <v>22</v>
      </c>
    </row>
    <row r="45" spans="1:36" ht="18">
      <c r="A45" t="s">
        <v>108</v>
      </c>
      <c r="B45" s="9" t="s">
        <v>109</v>
      </c>
      <c r="C45" s="47">
        <f>C53*C50</f>
        <v>54.093668760770875</v>
      </c>
      <c r="D45" t="s">
        <v>39</v>
      </c>
      <c r="E45" t="s">
        <v>110</v>
      </c>
      <c r="M45" s="22" t="s">
        <v>446</v>
      </c>
      <c r="N45" s="5">
        <v>0</v>
      </c>
      <c r="O45" s="5">
        <v>3</v>
      </c>
      <c r="P45" s="5">
        <v>5</v>
      </c>
      <c r="Q45" s="5">
        <v>8</v>
      </c>
      <c r="R45" s="5">
        <v>10</v>
      </c>
      <c r="S45" s="5">
        <v>12</v>
      </c>
      <c r="T45" s="5">
        <v>14</v>
      </c>
      <c r="U45" s="5">
        <v>16</v>
      </c>
      <c r="V45" s="5">
        <v>18</v>
      </c>
      <c r="W45" s="5">
        <v>22</v>
      </c>
      <c r="X45" s="5">
        <v>26</v>
      </c>
      <c r="Y45" s="5">
        <v>30</v>
      </c>
      <c r="Z45" s="5">
        <v>34</v>
      </c>
      <c r="AA45" s="5">
        <v>38</v>
      </c>
      <c r="AB45" s="5">
        <v>42</v>
      </c>
      <c r="AC45" s="5">
        <v>46</v>
      </c>
      <c r="AD45" s="5">
        <v>50</v>
      </c>
      <c r="AE45" s="5">
        <v>53</v>
      </c>
      <c r="AF45" s="5">
        <v>56</v>
      </c>
      <c r="AG45" s="5">
        <v>59</v>
      </c>
      <c r="AH45" s="5">
        <v>62</v>
      </c>
      <c r="AI45">
        <v>65</v>
      </c>
      <c r="AJ45">
        <v>68</v>
      </c>
    </row>
    <row r="46" spans="1:36" ht="17.100000000000001">
      <c r="A46" t="s">
        <v>111</v>
      </c>
      <c r="B46" s="9" t="s">
        <v>112</v>
      </c>
      <c r="C46" s="6">
        <f>C30</f>
        <v>4.1594516540385147</v>
      </c>
      <c r="M46" s="22" t="s">
        <v>6</v>
      </c>
      <c r="N46" s="5">
        <f>General!$C$9/23</f>
        <v>295.6521739130435</v>
      </c>
      <c r="O46" s="5">
        <f>General!$C$9/23</f>
        <v>295.6521739130435</v>
      </c>
      <c r="P46" s="5">
        <f>General!$C$9/23</f>
        <v>295.6521739130435</v>
      </c>
      <c r="Q46" s="5">
        <f>General!$C$9/23</f>
        <v>295.6521739130435</v>
      </c>
      <c r="R46" s="5">
        <f>General!$C$9/23+'Performance Electrical'!C6*2.2</f>
        <v>1395.6521739130435</v>
      </c>
      <c r="S46" s="5">
        <f>General!$C$9/23</f>
        <v>295.6521739130435</v>
      </c>
      <c r="T46" s="5">
        <f>General!$C$9/23</f>
        <v>295.6521739130435</v>
      </c>
      <c r="U46" s="5">
        <f>General!$C$9/23</f>
        <v>295.6521739130435</v>
      </c>
      <c r="V46" s="5">
        <f>General!$C$9/23</f>
        <v>295.6521739130435</v>
      </c>
      <c r="W46" s="5">
        <f>General!$C$9/23</f>
        <v>295.6521739130435</v>
      </c>
      <c r="X46" s="5">
        <f>General!$C$9/23</f>
        <v>295.6521739130435</v>
      </c>
      <c r="Y46" s="5">
        <f>General!$C$9/23</f>
        <v>295.6521739130435</v>
      </c>
      <c r="Z46" s="5">
        <f>General!$C$9/23</f>
        <v>295.6521739130435</v>
      </c>
      <c r="AA46" s="5">
        <f>General!$C$9/23</f>
        <v>295.6521739130435</v>
      </c>
      <c r="AB46" s="5">
        <f>General!$C$9/23</f>
        <v>295.6521739130435</v>
      </c>
      <c r="AC46" s="5">
        <f>General!$C$9/23</f>
        <v>295.6521739130435</v>
      </c>
      <c r="AD46" s="5">
        <f>General!$C$9/23</f>
        <v>295.6521739130435</v>
      </c>
      <c r="AE46" s="5">
        <f>General!$C$9/23</f>
        <v>295.6521739130435</v>
      </c>
      <c r="AF46" s="5">
        <f>General!$C$9/23</f>
        <v>295.6521739130435</v>
      </c>
      <c r="AG46" s="5">
        <f>General!$C$9/23</f>
        <v>295.6521739130435</v>
      </c>
      <c r="AH46" s="5">
        <f>General!$C$9/23</f>
        <v>295.6521739130435</v>
      </c>
      <c r="AI46" s="5">
        <f>General!$C$9/23</f>
        <v>295.6521739130435</v>
      </c>
      <c r="AJ46" s="5">
        <f>General!$C$9/23</f>
        <v>295.6521739130435</v>
      </c>
    </row>
    <row r="47" spans="1:36">
      <c r="A47" t="s">
        <v>113</v>
      </c>
      <c r="B47" s="10" t="s">
        <v>114</v>
      </c>
      <c r="C47" s="64">
        <f>C31</f>
        <v>0.72881355932203384</v>
      </c>
      <c r="M47" s="22" t="s">
        <v>482</v>
      </c>
      <c r="Z47">
        <v>0</v>
      </c>
      <c r="AA47">
        <v>0</v>
      </c>
      <c r="AB47">
        <v>0</v>
      </c>
      <c r="AC47">
        <v>0</v>
      </c>
      <c r="AI47">
        <f>AI5</f>
        <v>6.6349999999999998</v>
      </c>
      <c r="AJ47">
        <f>AJ5</f>
        <v>6.3660000000000005</v>
      </c>
    </row>
    <row r="48" spans="1:36">
      <c r="A48" t="s">
        <v>115</v>
      </c>
      <c r="B48" s="9" t="s">
        <v>50</v>
      </c>
      <c r="C48" s="6">
        <f>C32</f>
        <v>9</v>
      </c>
      <c r="D48" t="s">
        <v>51</v>
      </c>
      <c r="R48" t="s">
        <v>483</v>
      </c>
      <c r="Z48" t="s">
        <v>484</v>
      </c>
      <c r="AC48" t="s">
        <v>485</v>
      </c>
      <c r="AI48" t="s">
        <v>486</v>
      </c>
    </row>
    <row r="49" spans="1:11">
      <c r="A49" t="s">
        <v>116</v>
      </c>
      <c r="B49" s="10" t="s">
        <v>117</v>
      </c>
      <c r="C49" s="6">
        <f>C33</f>
        <v>30</v>
      </c>
      <c r="D49" s="11" t="s">
        <v>55</v>
      </c>
    </row>
    <row r="50" spans="1:11" ht="17.100000000000001">
      <c r="A50" t="s">
        <v>64</v>
      </c>
      <c r="B50" s="9" t="s">
        <v>98</v>
      </c>
      <c r="C50" s="6">
        <f>C35</f>
        <v>5.0999999999999996</v>
      </c>
      <c r="D50" t="s">
        <v>66</v>
      </c>
    </row>
    <row r="51" spans="1:11" ht="17.100000000000001">
      <c r="A51" t="s">
        <v>118</v>
      </c>
      <c r="B51" s="9" t="s">
        <v>119</v>
      </c>
      <c r="C51" s="6">
        <f>C36</f>
        <v>5.9</v>
      </c>
      <c r="D51" t="s">
        <v>66</v>
      </c>
    </row>
    <row r="52" spans="1:11" ht="17.100000000000001">
      <c r="A52" t="s">
        <v>120</v>
      </c>
      <c r="B52" s="9" t="s">
        <v>121</v>
      </c>
      <c r="C52" s="6">
        <f>C37</f>
        <v>4.3</v>
      </c>
      <c r="D52" t="s">
        <v>66</v>
      </c>
    </row>
    <row r="53" spans="1:11" ht="17.100000000000001">
      <c r="A53" t="s">
        <v>122</v>
      </c>
      <c r="B53" s="9" t="s">
        <v>123</v>
      </c>
      <c r="C53" s="6">
        <f>C38/2</f>
        <v>10.606601717798211</v>
      </c>
      <c r="D53" t="s">
        <v>66</v>
      </c>
    </row>
    <row r="55" spans="1:11">
      <c r="A55" s="309" t="s">
        <v>124</v>
      </c>
      <c r="B55" s="309"/>
      <c r="C55" s="309"/>
      <c r="D55" s="309"/>
      <c r="E55" s="309"/>
      <c r="F55" s="309"/>
      <c r="G55" s="309"/>
      <c r="H55" s="309"/>
      <c r="I55" s="309"/>
      <c r="J55" s="309"/>
      <c r="K55" s="309"/>
    </row>
    <row r="56" spans="1:11">
      <c r="A56" s="7" t="s">
        <v>7</v>
      </c>
      <c r="B56" s="7" t="s">
        <v>8</v>
      </c>
      <c r="C56" s="7" t="s">
        <v>9</v>
      </c>
      <c r="D56" s="7" t="s">
        <v>10</v>
      </c>
      <c r="E56" s="7" t="s">
        <v>11</v>
      </c>
    </row>
    <row r="57" spans="1:11" ht="18">
      <c r="A57" t="s">
        <v>125</v>
      </c>
      <c r="B57" s="9" t="s">
        <v>126</v>
      </c>
      <c r="C57" s="47">
        <f>PI()*(C64/2*(40.6)+(C67/2)*(C67/2+SQRT((C67/2)^2+(52-40.6)^2)))</f>
        <v>549.5101284139937</v>
      </c>
      <c r="D57" t="s">
        <v>39</v>
      </c>
    </row>
    <row r="58" spans="1:11" ht="17.100000000000001">
      <c r="A58" t="s">
        <v>128</v>
      </c>
      <c r="B58" s="59" t="s">
        <v>461</v>
      </c>
      <c r="C58" s="111">
        <v>35</v>
      </c>
      <c r="D58" t="s">
        <v>462</v>
      </c>
      <c r="E58" t="s">
        <v>487</v>
      </c>
    </row>
    <row r="59" spans="1:11" ht="17.100000000000001">
      <c r="A59" t="s">
        <v>130</v>
      </c>
      <c r="B59" s="59" t="s">
        <v>463</v>
      </c>
      <c r="C59" s="111">
        <v>59</v>
      </c>
      <c r="D59" t="s">
        <v>66</v>
      </c>
      <c r="E59" t="s">
        <v>488</v>
      </c>
    </row>
    <row r="60" spans="1:11" ht="17.100000000000001">
      <c r="A60" t="s">
        <v>132</v>
      </c>
      <c r="B60" s="9" t="s">
        <v>133</v>
      </c>
      <c r="C60" s="47">
        <f>-(C58+C22+0.25*C20)+(C59+0.25*C36)</f>
        <v>21.047808147676818</v>
      </c>
      <c r="D60" t="s">
        <v>66</v>
      </c>
    </row>
    <row r="61" spans="1:11">
      <c r="A61" t="s">
        <v>464</v>
      </c>
      <c r="B61" s="9" t="s">
        <v>465</v>
      </c>
      <c r="C61" s="111">
        <v>18</v>
      </c>
      <c r="D61" t="s">
        <v>66</v>
      </c>
      <c r="E61" t="s">
        <v>466</v>
      </c>
    </row>
    <row r="62" spans="1:11">
      <c r="A62" t="s">
        <v>467</v>
      </c>
      <c r="B62" s="9" t="s">
        <v>468</v>
      </c>
      <c r="C62" s="111">
        <v>32</v>
      </c>
      <c r="D62" t="s">
        <v>66</v>
      </c>
      <c r="E62" t="s">
        <v>469</v>
      </c>
    </row>
    <row r="63" spans="1:11">
      <c r="A63" t="s">
        <v>470</v>
      </c>
      <c r="B63" s="9" t="s">
        <v>471</v>
      </c>
      <c r="C63" s="111">
        <v>18</v>
      </c>
      <c r="D63" t="s">
        <v>66</v>
      </c>
      <c r="E63" t="s">
        <v>472</v>
      </c>
    </row>
    <row r="64" spans="1:11" ht="17.100000000000001">
      <c r="A64" t="s">
        <v>473</v>
      </c>
      <c r="B64" s="9" t="s">
        <v>135</v>
      </c>
      <c r="C64" s="111">
        <v>7.8333300000000001</v>
      </c>
      <c r="D64" t="s">
        <v>66</v>
      </c>
    </row>
    <row r="65" spans="1:5" ht="17.100000000000001">
      <c r="A65" t="s">
        <v>136</v>
      </c>
      <c r="B65" s="9" t="s">
        <v>137</v>
      </c>
      <c r="C65" s="47">
        <f>C61+C62+C63</f>
        <v>68</v>
      </c>
      <c r="D65" t="s">
        <v>66</v>
      </c>
    </row>
    <row r="66" spans="1:5" ht="17.100000000000001">
      <c r="A66" t="s">
        <v>138</v>
      </c>
      <c r="B66" s="9" t="s">
        <v>139</v>
      </c>
      <c r="C66" s="111">
        <f>C64-0.66666666</f>
        <v>7.1666633400000004</v>
      </c>
      <c r="D66" t="s">
        <v>66</v>
      </c>
    </row>
    <row r="67" spans="1:5" ht="17.100000000000001">
      <c r="A67" t="s">
        <v>140</v>
      </c>
      <c r="B67" s="9" t="s">
        <v>141</v>
      </c>
      <c r="C67" s="111">
        <v>2.5</v>
      </c>
      <c r="D67" t="s">
        <v>66</v>
      </c>
    </row>
    <row r="69" spans="1:5">
      <c r="A69" t="s">
        <v>489</v>
      </c>
      <c r="C69" s="111">
        <f>Lift!C37</f>
        <v>-1.704884253767885</v>
      </c>
      <c r="D69" t="s">
        <v>490</v>
      </c>
      <c r="E69" t="s">
        <v>491</v>
      </c>
    </row>
    <row r="70" spans="1:5">
      <c r="A70" t="s">
        <v>492</v>
      </c>
      <c r="C70" s="111">
        <v>-5</v>
      </c>
      <c r="D70" t="s">
        <v>490</v>
      </c>
      <c r="E70" t="s">
        <v>491</v>
      </c>
    </row>
    <row r="71" spans="1:5">
      <c r="A71" t="s">
        <v>493</v>
      </c>
      <c r="C71" s="111"/>
      <c r="D71" t="s">
        <v>66</v>
      </c>
    </row>
    <row r="72" spans="1:5">
      <c r="A72" t="s">
        <v>494</v>
      </c>
      <c r="C72" s="65">
        <f>PI()*C76*((C76^2+16*Geometry!C61^3))</f>
        <v>0</v>
      </c>
      <c r="D72" t="s">
        <v>66</v>
      </c>
      <c r="E72" t="s">
        <v>495</v>
      </c>
    </row>
    <row r="73" spans="1:5">
      <c r="A73" t="s">
        <v>496</v>
      </c>
      <c r="C73" s="111"/>
      <c r="D73" t="s">
        <v>66</v>
      </c>
      <c r="E73" t="s">
        <v>495</v>
      </c>
    </row>
    <row r="74" spans="1:5">
      <c r="A74" t="s">
        <v>497</v>
      </c>
      <c r="C74" s="111"/>
      <c r="D74" t="s">
        <v>66</v>
      </c>
    </row>
    <row r="75" spans="1:5">
      <c r="A75" t="s">
        <v>498</v>
      </c>
      <c r="C75" s="111"/>
      <c r="D75" t="s">
        <v>66</v>
      </c>
    </row>
  </sheetData>
  <mergeCells count="7">
    <mergeCell ref="A55:K55"/>
    <mergeCell ref="A1:K1"/>
    <mergeCell ref="M1:W1"/>
    <mergeCell ref="H7:L7"/>
    <mergeCell ref="A27:K27"/>
    <mergeCell ref="A43:K43"/>
    <mergeCell ref="M43:W4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46EF3-3141-4270-840A-04FCCE9A2085}">
  <dimension ref="A1:AQ312"/>
  <sheetViews>
    <sheetView topLeftCell="H1" zoomScale="75" zoomScaleNormal="90" workbookViewId="0">
      <selection activeCell="AE20" sqref="AE20"/>
    </sheetView>
  </sheetViews>
  <sheetFormatPr defaultColWidth="8.42578125" defaultRowHeight="15"/>
  <cols>
    <col min="1" max="1" width="23.7109375" customWidth="1"/>
    <col min="2" max="3" width="13" customWidth="1"/>
    <col min="4" max="4" width="9.42578125" bestFit="1" customWidth="1"/>
    <col min="5" max="5" width="10.42578125" customWidth="1"/>
    <col min="6" max="6" width="9.42578125" customWidth="1"/>
    <col min="11" max="11" width="8.42578125" bestFit="1" customWidth="1"/>
    <col min="28" max="28" width="11.42578125" bestFit="1" customWidth="1"/>
    <col min="36" max="36" width="13.28515625" bestFit="1" customWidth="1"/>
    <col min="37" max="37" width="12.7109375" bestFit="1" customWidth="1"/>
    <col min="41" max="41" width="13.42578125" bestFit="1" customWidth="1"/>
    <col min="42" max="42" width="15" bestFit="1" customWidth="1"/>
  </cols>
  <sheetData>
    <row r="1" spans="1:14">
      <c r="A1" s="309" t="s">
        <v>499</v>
      </c>
      <c r="B1" s="309"/>
      <c r="C1" s="309"/>
      <c r="D1" s="309"/>
      <c r="E1" s="309"/>
      <c r="F1" s="309"/>
      <c r="G1" s="309"/>
      <c r="H1" s="309"/>
      <c r="I1" s="309"/>
      <c r="J1" s="309"/>
      <c r="K1" s="309"/>
      <c r="L1" s="309"/>
    </row>
    <row r="2" spans="1:14">
      <c r="A2" s="7"/>
    </row>
    <row r="3" spans="1:14">
      <c r="A3" s="7"/>
    </row>
    <row r="4" spans="1:14">
      <c r="A4" t="s">
        <v>500</v>
      </c>
      <c r="C4" s="9" t="s">
        <v>501</v>
      </c>
      <c r="D4" s="202">
        <f>General!C7</f>
        <v>18875</v>
      </c>
      <c r="E4" t="s">
        <v>14</v>
      </c>
      <c r="F4" t="s">
        <v>502</v>
      </c>
      <c r="I4" s="9" t="s">
        <v>503</v>
      </c>
      <c r="J4" s="63">
        <f>Lift!$C$156</f>
        <v>0.38974047295225855</v>
      </c>
    </row>
    <row r="5" spans="1:14">
      <c r="A5" s="394" t="s">
        <v>504</v>
      </c>
      <c r="B5" s="394"/>
      <c r="C5" s="9" t="s">
        <v>505</v>
      </c>
      <c r="D5" s="5">
        <v>3300</v>
      </c>
      <c r="E5" t="s">
        <v>14</v>
      </c>
      <c r="F5" t="s">
        <v>164</v>
      </c>
      <c r="I5" s="9" t="s">
        <v>506</v>
      </c>
      <c r="J5" s="63">
        <f>Lift!$C$157*180/PI()</f>
        <v>6.8042247117882937</v>
      </c>
      <c r="K5" t="s">
        <v>167</v>
      </c>
      <c r="L5" s="208">
        <f>2*PI()*D9/(2+SQRT(4+D9^2))</f>
        <v>5.1509798363297206</v>
      </c>
    </row>
    <row r="6" spans="1:14">
      <c r="A6" t="s">
        <v>507</v>
      </c>
      <c r="C6" s="9" t="s">
        <v>508</v>
      </c>
      <c r="D6" s="5">
        <f>D4-D5</f>
        <v>15575</v>
      </c>
      <c r="E6" t="s">
        <v>14</v>
      </c>
      <c r="F6" t="s">
        <v>509</v>
      </c>
      <c r="I6" s="9" t="s">
        <v>510</v>
      </c>
      <c r="J6" s="63">
        <v>0.1</v>
      </c>
      <c r="K6" t="s">
        <v>511</v>
      </c>
    </row>
    <row r="7" spans="1:14">
      <c r="A7" s="394" t="s">
        <v>43</v>
      </c>
      <c r="B7" s="394"/>
      <c r="C7" s="9" t="s">
        <v>512</v>
      </c>
      <c r="D7" s="63">
        <f>General!C23</f>
        <v>476.1</v>
      </c>
      <c r="E7" t="s">
        <v>66</v>
      </c>
      <c r="F7" t="s">
        <v>513</v>
      </c>
      <c r="I7" s="9" t="s">
        <v>514</v>
      </c>
      <c r="J7" s="201">
        <f>Drag!C92</f>
        <v>1.5047746178408776E-2</v>
      </c>
      <c r="N7" t="s">
        <v>515</v>
      </c>
    </row>
    <row r="8" spans="1:14">
      <c r="A8" s="394" t="s">
        <v>75</v>
      </c>
      <c r="B8" s="394"/>
      <c r="C8" s="9" t="s">
        <v>516</v>
      </c>
      <c r="D8" s="63">
        <f>General!C39</f>
        <v>69</v>
      </c>
      <c r="E8" t="s">
        <v>66</v>
      </c>
      <c r="F8" t="s">
        <v>517</v>
      </c>
      <c r="I8" s="9" t="s">
        <v>518</v>
      </c>
      <c r="J8" s="207">
        <f>1.78*(1-0.045*D9^0.68)-0.64</f>
        <v>0.75661729604956662</v>
      </c>
    </row>
    <row r="9" spans="1:14">
      <c r="A9" s="394" t="s">
        <v>45</v>
      </c>
      <c r="B9" s="394"/>
      <c r="C9" s="9" t="s">
        <v>519</v>
      </c>
      <c r="D9" s="39">
        <f>(D8^2)/D7</f>
        <v>10</v>
      </c>
      <c r="F9" t="s">
        <v>520</v>
      </c>
      <c r="I9" s="9" t="s">
        <v>521</v>
      </c>
      <c r="J9" s="207">
        <f>1/(PI()*D9*J8)</f>
        <v>4.2070130810614975E-2</v>
      </c>
    </row>
    <row r="12" spans="1:14">
      <c r="A12" t="s">
        <v>522</v>
      </c>
      <c r="C12" s="9" t="s">
        <v>523</v>
      </c>
      <c r="D12" s="39">
        <f>Envelope!A5</f>
        <v>40000</v>
      </c>
      <c r="E12" t="s">
        <v>66</v>
      </c>
      <c r="F12" t="s">
        <v>524</v>
      </c>
      <c r="I12" s="9" t="s">
        <v>525</v>
      </c>
      <c r="J12" s="5">
        <f>Thrust!B6</f>
        <v>0.34</v>
      </c>
      <c r="K12" t="s">
        <v>526</v>
      </c>
    </row>
    <row r="13" spans="1:14">
      <c r="A13" t="s">
        <v>527</v>
      </c>
      <c r="C13" s="9" t="s">
        <v>528</v>
      </c>
      <c r="D13" s="206">
        <f>(1-6.875*(10^-6)*D12)^5.2561</f>
        <v>0.18446866141163795</v>
      </c>
      <c r="F13" t="s">
        <v>376</v>
      </c>
      <c r="I13" s="9" t="s">
        <v>529</v>
      </c>
      <c r="J13" s="5">
        <f>Thrust!C26/12</f>
        <v>8.75</v>
      </c>
      <c r="K13" t="s">
        <v>66</v>
      </c>
    </row>
    <row r="14" spans="1:14">
      <c r="A14" t="s">
        <v>530</v>
      </c>
      <c r="C14" s="9" t="s">
        <v>531</v>
      </c>
      <c r="D14" s="39">
        <f>0.002378*D13</f>
        <v>4.3866647683687504E-4</v>
      </c>
      <c r="E14" t="s">
        <v>319</v>
      </c>
      <c r="F14" t="s">
        <v>532</v>
      </c>
      <c r="I14" s="9" t="s">
        <v>533</v>
      </c>
      <c r="J14" s="202">
        <f>Thrust!C25</f>
        <v>1340.4417364813405</v>
      </c>
      <c r="K14" t="s">
        <v>384</v>
      </c>
    </row>
    <row r="15" spans="1:14">
      <c r="A15" t="s">
        <v>534</v>
      </c>
      <c r="C15" s="9" t="s">
        <v>535</v>
      </c>
      <c r="D15" s="209">
        <f>(1-6.8756*(10^-6)*D12)*518.67</f>
        <v>376.02330191999999</v>
      </c>
      <c r="E15" t="s">
        <v>536</v>
      </c>
      <c r="F15" t="s">
        <v>537</v>
      </c>
      <c r="I15" s="9" t="s">
        <v>538</v>
      </c>
      <c r="J15" s="206">
        <f>(1.132*D13-0.132)</f>
        <v>7.6818524717974124E-2</v>
      </c>
    </row>
    <row r="16" spans="1:14">
      <c r="A16" t="s">
        <v>539</v>
      </c>
      <c r="C16" s="9" t="s">
        <v>540</v>
      </c>
      <c r="D16" s="210">
        <f>SQRT(1.4*1716*D15)</f>
        <v>950.45167185533842</v>
      </c>
      <c r="E16" t="s">
        <v>183</v>
      </c>
      <c r="F16" t="s">
        <v>541</v>
      </c>
      <c r="I16" s="9" t="s">
        <v>542</v>
      </c>
      <c r="J16" s="209">
        <v>1341</v>
      </c>
      <c r="K16" t="s">
        <v>384</v>
      </c>
    </row>
    <row r="17" spans="1:43">
      <c r="F17" t="s">
        <v>543</v>
      </c>
      <c r="I17" s="9" t="s">
        <v>544</v>
      </c>
      <c r="J17" s="5">
        <f>Thrust!B16</f>
        <v>3200</v>
      </c>
    </row>
    <row r="18" spans="1:43">
      <c r="A18" t="s">
        <v>545</v>
      </c>
      <c r="C18" s="9" t="s">
        <v>546</v>
      </c>
      <c r="D18">
        <f>2*D4/(0.002378*(J18*1.688)^2*D7)</f>
        <v>1.4009601273889036</v>
      </c>
      <c r="F18" t="s">
        <v>547</v>
      </c>
      <c r="I18" s="9" t="s">
        <v>212</v>
      </c>
      <c r="J18" s="69">
        <f>'V-N Diagram'!D14</f>
        <v>91.394094063596299</v>
      </c>
      <c r="K18" t="s">
        <v>173</v>
      </c>
    </row>
    <row r="19" spans="1:43">
      <c r="A19" t="s">
        <v>548</v>
      </c>
      <c r="C19" s="9" t="s">
        <v>179</v>
      </c>
      <c r="D19">
        <f>Y21</f>
        <v>65</v>
      </c>
      <c r="E19" t="s">
        <v>173</v>
      </c>
      <c r="I19" s="9" t="s">
        <v>549</v>
      </c>
    </row>
    <row r="20" spans="1:43">
      <c r="I20" s="9" t="s">
        <v>550</v>
      </c>
      <c r="Y20" t="s">
        <v>179</v>
      </c>
      <c r="Z20" t="s">
        <v>551</v>
      </c>
      <c r="AA20" t="s">
        <v>552</v>
      </c>
      <c r="AB20" t="s">
        <v>553</v>
      </c>
      <c r="AC20" t="s">
        <v>554</v>
      </c>
      <c r="AD20" t="s">
        <v>555</v>
      </c>
      <c r="AE20" t="s">
        <v>556</v>
      </c>
    </row>
    <row r="21" spans="1:43">
      <c r="C21" s="9" t="s">
        <v>557</v>
      </c>
      <c r="D21">
        <f>Thrust!B3</f>
        <v>3600</v>
      </c>
      <c r="I21" s="9" t="s">
        <v>558</v>
      </c>
      <c r="P21" t="s">
        <v>559</v>
      </c>
      <c r="S21">
        <f>INDEX($A27:$A312,MATCH(S23,S27:S312,0))</f>
        <v>139</v>
      </c>
      <c r="V21">
        <f>INDEX($A27:$A312,MATCH(V23,V27:V312,0))</f>
        <v>111</v>
      </c>
      <c r="Y21">
        <f>INDEX($A27:$A312,MATCH(Y23,Y27:Y312,0))</f>
        <v>65</v>
      </c>
      <c r="Z21">
        <f t="shared" ref="Z21:AE21" si="0">INDEX($A27:$A312,MATCH(Z22,Z27:Z312,0))</f>
        <v>111</v>
      </c>
      <c r="AA21">
        <f t="shared" si="0"/>
        <v>139</v>
      </c>
      <c r="AB21">
        <f t="shared" si="0"/>
        <v>142</v>
      </c>
      <c r="AC21">
        <f t="shared" si="0"/>
        <v>98</v>
      </c>
      <c r="AD21">
        <f t="shared" si="0"/>
        <v>109</v>
      </c>
      <c r="AE21">
        <f t="shared" si="0"/>
        <v>127</v>
      </c>
    </row>
    <row r="22" spans="1:43">
      <c r="I22" s="9"/>
      <c r="M22">
        <f>MAX(M27:M312)</f>
        <v>23.470885367621477</v>
      </c>
      <c r="P22" t="s">
        <v>560</v>
      </c>
      <c r="S22">
        <f>MAX(S27:S312)</f>
        <v>2972.752006197868</v>
      </c>
      <c r="V22">
        <f>MAX(V27:V312)</f>
        <v>4088734.8383954423</v>
      </c>
      <c r="Y22">
        <f t="shared" ref="Y22:AE22" si="1">MAX(Y27:Y312)</f>
        <v>6416493.8168472741</v>
      </c>
      <c r="Z22">
        <f t="shared" si="1"/>
        <v>-1251.9270430442245</v>
      </c>
      <c r="AA22">
        <f t="shared" si="1"/>
        <v>-2.4418818180664701</v>
      </c>
      <c r="AB22">
        <f t="shared" si="1"/>
        <v>3594.2197143210901</v>
      </c>
      <c r="AC22">
        <f t="shared" si="1"/>
        <v>7.2982740075706474</v>
      </c>
      <c r="AD22">
        <f t="shared" si="1"/>
        <v>12.770901335808707</v>
      </c>
      <c r="AE22">
        <f t="shared" si="1"/>
        <v>3514.9269216651496</v>
      </c>
    </row>
    <row r="23" spans="1:43">
      <c r="P23" t="s">
        <v>561</v>
      </c>
      <c r="S23">
        <f>MIN(S27:S312)</f>
        <v>804.18781415201386</v>
      </c>
      <c r="V23">
        <f>MIN(V27:V312)</f>
        <v>393835.38229099562</v>
      </c>
      <c r="Y23">
        <f t="shared" ref="Y23:AE23" si="2">MIN(Y27:Y312)</f>
        <v>60.653502183384262</v>
      </c>
      <c r="Z23">
        <f t="shared" si="2"/>
        <v>-12997.302797548426</v>
      </c>
      <c r="AA23">
        <f t="shared" si="2"/>
        <v>-9.061631001878478</v>
      </c>
      <c r="AB23">
        <f t="shared" si="2"/>
        <v>-12475.524125565284</v>
      </c>
      <c r="AC23">
        <f t="shared" si="2"/>
        <v>-8.6949713229660475</v>
      </c>
      <c r="AD23">
        <f t="shared" si="2"/>
        <v>-4.529621262918651</v>
      </c>
      <c r="AE23">
        <f t="shared" si="2"/>
        <v>-3691.209006657677</v>
      </c>
    </row>
    <row r="24" spans="1:43">
      <c r="M24" t="s">
        <v>552</v>
      </c>
    </row>
    <row r="25" spans="1:43">
      <c r="A25" s="205" t="s">
        <v>562</v>
      </c>
      <c r="B25" s="205" t="s">
        <v>563</v>
      </c>
      <c r="C25" s="205"/>
      <c r="D25" s="205" t="s">
        <v>564</v>
      </c>
      <c r="E25" s="205" t="s">
        <v>565</v>
      </c>
      <c r="F25" s="205" t="s">
        <v>185</v>
      </c>
      <c r="G25" s="205" t="s">
        <v>157</v>
      </c>
      <c r="H25" s="205" t="s">
        <v>312</v>
      </c>
      <c r="I25" s="205" t="s">
        <v>566</v>
      </c>
      <c r="J25" s="205" t="s">
        <v>514</v>
      </c>
      <c r="K25" s="205" t="s">
        <v>567</v>
      </c>
      <c r="L25" s="205" t="s">
        <v>568</v>
      </c>
      <c r="M25" s="205" t="s">
        <v>569</v>
      </c>
      <c r="N25" s="205" t="s">
        <v>570</v>
      </c>
      <c r="O25" s="205" t="s">
        <v>571</v>
      </c>
      <c r="P25" s="205" t="s">
        <v>572</v>
      </c>
      <c r="Q25" s="205" t="s">
        <v>573</v>
      </c>
      <c r="R25" s="205" t="s">
        <v>574</v>
      </c>
      <c r="S25" s="205" t="s">
        <v>575</v>
      </c>
      <c r="T25" s="205" t="s">
        <v>576</v>
      </c>
      <c r="U25" s="205" t="s">
        <v>577</v>
      </c>
      <c r="V25" s="205" t="s">
        <v>578</v>
      </c>
      <c r="W25" s="205" t="s">
        <v>579</v>
      </c>
      <c r="X25" s="205" t="s">
        <v>580</v>
      </c>
      <c r="Y25" s="205" t="s">
        <v>581</v>
      </c>
      <c r="Z25" s="205" t="s">
        <v>582</v>
      </c>
      <c r="AA25" s="205" t="s">
        <v>583</v>
      </c>
      <c r="AB25" s="205" t="s">
        <v>584</v>
      </c>
      <c r="AC25" s="205" t="s">
        <v>585</v>
      </c>
      <c r="AD25" s="205" t="s">
        <v>586</v>
      </c>
      <c r="AE25" s="205" t="s">
        <v>587</v>
      </c>
      <c r="AF25" s="205" t="s">
        <v>588</v>
      </c>
      <c r="AG25" s="205" t="s">
        <v>589</v>
      </c>
      <c r="AH25" s="205" t="s">
        <v>590</v>
      </c>
      <c r="AI25" s="205" t="s">
        <v>591</v>
      </c>
      <c r="AJ25" s="205" t="s">
        <v>592</v>
      </c>
      <c r="AK25" s="205" t="s">
        <v>593</v>
      </c>
      <c r="AL25" s="205" t="s">
        <v>594</v>
      </c>
    </row>
    <row r="26" spans="1:43">
      <c r="A26" s="205" t="s">
        <v>173</v>
      </c>
      <c r="B26" s="205" t="s">
        <v>595</v>
      </c>
      <c r="C26" s="205"/>
      <c r="D26" s="205" t="s">
        <v>596</v>
      </c>
      <c r="E26" s="205" t="s">
        <v>183</v>
      </c>
      <c r="F26" s="205"/>
      <c r="G26" s="205" t="s">
        <v>597</v>
      </c>
      <c r="H26" s="205"/>
      <c r="I26" s="205" t="s">
        <v>598</v>
      </c>
      <c r="J26" s="205"/>
      <c r="K26" s="205"/>
      <c r="L26" s="205"/>
      <c r="M26" s="205"/>
      <c r="N26" s="205"/>
      <c r="O26" s="205"/>
      <c r="P26" s="205"/>
      <c r="Q26" s="205"/>
      <c r="R26" s="205" t="s">
        <v>324</v>
      </c>
      <c r="S26" s="205" t="s">
        <v>324</v>
      </c>
      <c r="T26" s="205" t="s">
        <v>324</v>
      </c>
      <c r="U26" s="205" t="s">
        <v>324</v>
      </c>
      <c r="V26" s="205" t="s">
        <v>599</v>
      </c>
      <c r="W26" s="205" t="s">
        <v>599</v>
      </c>
      <c r="X26" s="205" t="s">
        <v>599</v>
      </c>
      <c r="Y26" s="205"/>
      <c r="Z26" s="205" t="s">
        <v>600</v>
      </c>
      <c r="AA26" s="205" t="s">
        <v>490</v>
      </c>
      <c r="AB26" s="205" t="s">
        <v>600</v>
      </c>
      <c r="AC26" s="205" t="s">
        <v>490</v>
      </c>
      <c r="AD26" s="205" t="s">
        <v>601</v>
      </c>
      <c r="AE26" s="205" t="s">
        <v>602</v>
      </c>
      <c r="AF26" s="205" t="s">
        <v>596</v>
      </c>
      <c r="AG26" s="205"/>
      <c r="AJ26" t="s">
        <v>327</v>
      </c>
      <c r="AM26" t="s">
        <v>603</v>
      </c>
      <c r="AO26" t="s">
        <v>326</v>
      </c>
      <c r="AP26" t="s">
        <v>604</v>
      </c>
      <c r="AQ26" t="s">
        <v>605</v>
      </c>
    </row>
    <row r="27" spans="1:43">
      <c r="A27">
        <v>65</v>
      </c>
      <c r="B27">
        <f t="shared" ref="B27:B90" si="3">A27</f>
        <v>65</v>
      </c>
      <c r="D27" s="43">
        <f t="shared" ref="D27:D90" si="4">A27/SQRT(D$13)</f>
        <v>151.3394176474396</v>
      </c>
      <c r="E27" s="43">
        <f t="shared" ref="E27:E90" si="5">D27*1.68780986</f>
        <v>255.43216131200657</v>
      </c>
      <c r="F27" s="69">
        <f t="shared" ref="F27:F90" si="6">E27/SQRT(1716.46*1.4*$D$15)</f>
        <v>0.26871217076159298</v>
      </c>
      <c r="G27" s="98">
        <f t="shared" ref="G27:G90" si="7">0.5*$D$14*E27^2</f>
        <v>14.310526335021748</v>
      </c>
      <c r="H27" s="69">
        <f t="shared" ref="H27:H90" si="8">2*$D$4/($D$14*E27^2*$D$7)</f>
        <v>2.7703406309496459</v>
      </c>
      <c r="I27" s="69">
        <f t="shared" ref="I27:I90" si="9">DEGREES((H27-$J$4)/$J$5)</f>
        <v>20.046125391055597</v>
      </c>
      <c r="J27" s="99">
        <f t="shared" ref="J27:J90" si="10">$J$7</f>
        <v>1.5047746178408776E-2</v>
      </c>
      <c r="K27" s="69">
        <f t="shared" ref="K27:K90" si="11">$J$9*(H27-$J$6)^2</f>
        <v>0.29999028469234301</v>
      </c>
      <c r="L27" s="99">
        <f t="shared" ref="L27:L90" si="12">SUM(J27:K27)</f>
        <v>0.31503803087075177</v>
      </c>
      <c r="M27" s="69">
        <f t="shared" ref="M27:M90" si="13">H27/L27</f>
        <v>8.7936704762042268</v>
      </c>
      <c r="N27" s="69">
        <f t="shared" ref="N27:N90" si="14">H27^1.5/L27</f>
        <v>14.636484364706295</v>
      </c>
      <c r="O27" s="69">
        <f t="shared" ref="O27:O90" si="15">H27^0.5/L27</f>
        <v>5.2832796809138411</v>
      </c>
      <c r="P27" s="69">
        <f t="shared" ref="P27:P90" si="16">60*E27/($J$17*$J$13)</f>
        <v>0.54735463138287122</v>
      </c>
      <c r="Q27" s="69">
        <f t="shared" ref="Q27:Q90" si="17">0.096574+1.703049*P27-0.952281*P27^2</f>
        <v>0.7434451387825185</v>
      </c>
      <c r="R27" s="43">
        <f t="shared" ref="R27:R90" si="18">Q27*550*$J$16/E27</f>
        <v>2146.6676682082807</v>
      </c>
      <c r="S27" s="43">
        <f t="shared" ref="S27:S90" si="19">$D$7*G27*L27</f>
        <v>2146.430213762952</v>
      </c>
      <c r="T27" s="43">
        <f>R27+Thrust!C$33*0.8</f>
        <v>3958.4276682082809</v>
      </c>
      <c r="U27" s="43">
        <f>T27-R27</f>
        <v>1811.7600000000002</v>
      </c>
      <c r="V27">
        <f t="shared" ref="V27:V90" si="20">S27*E27</f>
        <v>548267.30860686314</v>
      </c>
      <c r="W27">
        <f t="shared" ref="W27:W90" si="21">R27*E27</f>
        <v>548327.96210904652</v>
      </c>
      <c r="X27">
        <f t="shared" ref="X27:X90" si="22">W27-V27</f>
        <v>60.653502183384262</v>
      </c>
      <c r="Y27">
        <f t="shared" ref="Y27:Y90" si="23">SQRT(X27^2)</f>
        <v>60.653502183384262</v>
      </c>
      <c r="Z27">
        <f t="shared" ref="Z27:Z90" si="24">-(E27/M27)*60</f>
        <v>-1742.8364776906908</v>
      </c>
      <c r="AA27">
        <f t="shared" ref="AA27:AA90" si="25">ASIN((Z27/60)/E27)*180/PI()</f>
        <v>-6.5296958366689299</v>
      </c>
      <c r="AB27">
        <f t="shared" ref="AB27:AB90" si="26">60*(((T27*E27)-(S27*E27))/$D$4)</f>
        <v>1471.2871822436803</v>
      </c>
      <c r="AC27">
        <f t="shared" ref="AC27:AC90" si="27">ASIN((AB27/60)/E27)*180/PI()</f>
        <v>5.5088709082205964</v>
      </c>
      <c r="AD27">
        <f t="shared" ref="AD27:AD90" si="28">((325.9*Q27)/($J$12*D27))*M27*LN($D$4/$D$6)</f>
        <v>7.9572109070276831</v>
      </c>
      <c r="AE27">
        <f t="shared" ref="AE27:AE90" si="29">((325.9*Q27)/($J$12))*M27*LN($D$4/$D$6)</f>
        <v>1204.2396647674243</v>
      </c>
      <c r="AH27">
        <v>6.5125969056745312</v>
      </c>
      <c r="AI27">
        <v>993.81829981465944</v>
      </c>
      <c r="AJ27">
        <f t="shared" ref="AJ27:AJ90" si="30">($J$12*T27)*AD27</f>
        <v>10709.334897490013</v>
      </c>
      <c r="AK27">
        <f t="shared" ref="AK27:AK90" si="31">$J$12*T27</f>
        <v>1345.8654071908156</v>
      </c>
      <c r="AM27">
        <v>0</v>
      </c>
      <c r="AO27" s="43">
        <f>$D$4-2280</f>
        <v>16595</v>
      </c>
      <c r="AP27" s="43">
        <f t="shared" ref="AP27:AP39" si="32">AO27-$D$5</f>
        <v>13295</v>
      </c>
      <c r="AQ27">
        <f t="shared" ref="AQ27:AQ39" si="33">((325.9*Q212)/($J$12))*M212*LN(AO27/AP27)</f>
        <v>-1394.7597401309649</v>
      </c>
    </row>
    <row r="28" spans="1:43">
      <c r="A28">
        <v>66</v>
      </c>
      <c r="B28">
        <f t="shared" si="3"/>
        <v>66</v>
      </c>
      <c r="D28" s="43">
        <f t="shared" si="4"/>
        <v>153.66771638047715</v>
      </c>
      <c r="E28" s="43">
        <f t="shared" si="5"/>
        <v>259.36188687065282</v>
      </c>
      <c r="F28" s="69">
        <f t="shared" si="6"/>
        <v>0.27284620415792521</v>
      </c>
      <c r="G28" s="98">
        <f t="shared" si="7"/>
        <v>14.754237329078043</v>
      </c>
      <c r="H28" s="69">
        <f t="shared" si="8"/>
        <v>2.6870268975579097</v>
      </c>
      <c r="I28" s="69">
        <f t="shared" si="9"/>
        <v>19.344572238268839</v>
      </c>
      <c r="J28" s="99">
        <f t="shared" si="10"/>
        <v>1.5047746178408776E-2</v>
      </c>
      <c r="K28" s="69">
        <f t="shared" si="11"/>
        <v>0.28156310813397989</v>
      </c>
      <c r="L28" s="99">
        <f t="shared" si="12"/>
        <v>0.29661085431238865</v>
      </c>
      <c r="M28" s="69">
        <f t="shared" si="13"/>
        <v>9.0590983387544881</v>
      </c>
      <c r="N28" s="69">
        <f t="shared" si="14"/>
        <v>14.849812871346595</v>
      </c>
      <c r="O28" s="69">
        <f t="shared" si="15"/>
        <v>5.5264846380372195</v>
      </c>
      <c r="P28" s="69">
        <f t="shared" si="16"/>
        <v>0.55577547186568466</v>
      </c>
      <c r="Q28" s="69">
        <f t="shared" si="17"/>
        <v>0.74894023539256827</v>
      </c>
      <c r="R28" s="43">
        <f t="shared" si="18"/>
        <v>2129.7688618731722</v>
      </c>
      <c r="S28" s="43">
        <f t="shared" si="19"/>
        <v>2083.5406896129434</v>
      </c>
      <c r="T28" s="43">
        <f>R28+Thrust!C$33*0.8</f>
        <v>3941.528861873172</v>
      </c>
      <c r="U28" s="43"/>
      <c r="V28">
        <f t="shared" si="20"/>
        <v>540391.0446297942</v>
      </c>
      <c r="W28">
        <f t="shared" si="21"/>
        <v>552380.87061378872</v>
      </c>
      <c r="X28">
        <f t="shared" si="22"/>
        <v>11989.825983994524</v>
      </c>
      <c r="Y28">
        <f t="shared" si="23"/>
        <v>11989.825983994524</v>
      </c>
      <c r="Z28">
        <f t="shared" si="24"/>
        <v>-1717.7993471675579</v>
      </c>
      <c r="AA28">
        <f t="shared" si="25"/>
        <v>-6.3375823350579621</v>
      </c>
      <c r="AB28">
        <f t="shared" si="26"/>
        <v>1531.8399517057542</v>
      </c>
      <c r="AC28">
        <f t="shared" si="27"/>
        <v>5.6491419657081101</v>
      </c>
      <c r="AD28">
        <f t="shared" si="28"/>
        <v>8.1328603279394613</v>
      </c>
      <c r="AE28">
        <f t="shared" si="29"/>
        <v>1249.7580742358355</v>
      </c>
      <c r="AH28">
        <v>6.6378691250703943</v>
      </c>
      <c r="AI28">
        <v>1028.4322811299191</v>
      </c>
      <c r="AJ28">
        <f t="shared" si="30"/>
        <v>10899.007262133278</v>
      </c>
      <c r="AK28">
        <f t="shared" si="31"/>
        <v>1340.1198130368787</v>
      </c>
      <c r="AM28">
        <v>1</v>
      </c>
      <c r="AN28">
        <f t="shared" ref="AN28:AN39" si="34">AM28*190</f>
        <v>190</v>
      </c>
      <c r="AO28" s="43">
        <f t="shared" ref="AO28:AO39" si="35">$D$4-(2280-AN28)</f>
        <v>16785</v>
      </c>
      <c r="AP28" s="43">
        <f t="shared" si="32"/>
        <v>13485</v>
      </c>
      <c r="AQ28">
        <f t="shared" si="33"/>
        <v>-1416.595944225603</v>
      </c>
    </row>
    <row r="29" spans="1:43">
      <c r="A29">
        <v>67</v>
      </c>
      <c r="B29">
        <f t="shared" si="3"/>
        <v>67</v>
      </c>
      <c r="D29" s="43">
        <f t="shared" si="4"/>
        <v>155.99601511351466</v>
      </c>
      <c r="E29" s="43">
        <f t="shared" si="5"/>
        <v>263.29161242929905</v>
      </c>
      <c r="F29" s="69">
        <f t="shared" si="6"/>
        <v>0.27698023755425738</v>
      </c>
      <c r="G29" s="98">
        <f t="shared" si="7"/>
        <v>15.20472253678405</v>
      </c>
      <c r="H29" s="69">
        <f t="shared" si="8"/>
        <v>2.6074157197064509</v>
      </c>
      <c r="I29" s="69">
        <f t="shared" si="9"/>
        <v>18.674196892632267</v>
      </c>
      <c r="J29" s="99">
        <f t="shared" si="10"/>
        <v>1.5047746178408776E-2</v>
      </c>
      <c r="K29" s="69">
        <f t="shared" si="11"/>
        <v>0.26450053261531448</v>
      </c>
      <c r="L29" s="99">
        <f t="shared" si="12"/>
        <v>0.27954827879372324</v>
      </c>
      <c r="M29" s="69">
        <f t="shared" si="13"/>
        <v>9.327246552751788</v>
      </c>
      <c r="N29" s="69">
        <f t="shared" si="14"/>
        <v>15.061166048810149</v>
      </c>
      <c r="O29" s="69">
        <f t="shared" si="15"/>
        <v>5.7762810644195133</v>
      </c>
      <c r="P29" s="69">
        <f t="shared" si="16"/>
        <v>0.56419631234849799</v>
      </c>
      <c r="Q29" s="69">
        <f t="shared" si="17"/>
        <v>0.75430027845523839</v>
      </c>
      <c r="R29" s="43">
        <f t="shared" si="18"/>
        <v>2112.9961765267094</v>
      </c>
      <c r="S29" s="43">
        <f t="shared" si="19"/>
        <v>2023.6411563958679</v>
      </c>
      <c r="T29" s="43">
        <f>R29+Thrust!C$33*0.8</f>
        <v>3924.7561765267092</v>
      </c>
      <c r="U29" s="43"/>
      <c r="V29">
        <f t="shared" si="20"/>
        <v>532807.74304575939</v>
      </c>
      <c r="W29">
        <f t="shared" si="21"/>
        <v>556334.1703746611</v>
      </c>
      <c r="X29">
        <f t="shared" si="22"/>
        <v>23526.427328901715</v>
      </c>
      <c r="Y29">
        <f t="shared" si="23"/>
        <v>23526.427328901715</v>
      </c>
      <c r="Z29">
        <f t="shared" si="24"/>
        <v>-1693.6934878275795</v>
      </c>
      <c r="AA29">
        <f t="shared" si="25"/>
        <v>-6.1546691211458624</v>
      </c>
      <c r="AB29">
        <f t="shared" si="26"/>
        <v>1591.1448129180667</v>
      </c>
      <c r="AC29">
        <f t="shared" si="27"/>
        <v>5.7807091124621035</v>
      </c>
      <c r="AD29">
        <f t="shared" si="28"/>
        <v>8.3076470012653072</v>
      </c>
      <c r="AE29">
        <f t="shared" si="29"/>
        <v>1295.9598271671277</v>
      </c>
      <c r="AH29">
        <v>6.7560776766415778</v>
      </c>
      <c r="AI29">
        <v>1062.5211276443006</v>
      </c>
      <c r="AJ29">
        <f t="shared" si="30"/>
        <v>11085.866219410669</v>
      </c>
      <c r="AK29">
        <f t="shared" si="31"/>
        <v>1334.4171000190813</v>
      </c>
      <c r="AM29">
        <v>2</v>
      </c>
      <c r="AN29">
        <f t="shared" si="34"/>
        <v>380</v>
      </c>
      <c r="AO29" s="43">
        <f t="shared" si="35"/>
        <v>16975</v>
      </c>
      <c r="AP29" s="43">
        <f t="shared" si="32"/>
        <v>13675</v>
      </c>
      <c r="AQ29">
        <f t="shared" si="33"/>
        <v>-1437.6043403683484</v>
      </c>
    </row>
    <row r="30" spans="1:43">
      <c r="A30">
        <v>68</v>
      </c>
      <c r="B30">
        <f t="shared" si="3"/>
        <v>68</v>
      </c>
      <c r="D30" s="43">
        <f t="shared" si="4"/>
        <v>158.3243138465522</v>
      </c>
      <c r="E30" s="43">
        <f t="shared" si="5"/>
        <v>267.22133798794533</v>
      </c>
      <c r="F30" s="69">
        <f t="shared" si="6"/>
        <v>0.28111427095058961</v>
      </c>
      <c r="G30" s="98">
        <f t="shared" si="7"/>
        <v>15.661981958139776</v>
      </c>
      <c r="H30" s="69">
        <f t="shared" si="8"/>
        <v>2.5312909095506608</v>
      </c>
      <c r="I30" s="69">
        <f t="shared" si="9"/>
        <v>18.033178918813018</v>
      </c>
      <c r="J30" s="99">
        <f t="shared" si="10"/>
        <v>1.5047746178408776E-2</v>
      </c>
      <c r="K30" s="69">
        <f t="shared" si="11"/>
        <v>0.24868392597685565</v>
      </c>
      <c r="L30" s="99">
        <f t="shared" si="12"/>
        <v>0.26373167215526444</v>
      </c>
      <c r="M30" s="69">
        <f t="shared" si="13"/>
        <v>9.5979784637335328</v>
      </c>
      <c r="N30" s="69">
        <f t="shared" si="14"/>
        <v>15.270413626296826</v>
      </c>
      <c r="O30" s="69">
        <f t="shared" si="15"/>
        <v>6.0326585019054715</v>
      </c>
      <c r="P30" s="69">
        <f t="shared" si="16"/>
        <v>0.57261715283131143</v>
      </c>
      <c r="Q30" s="69">
        <f t="shared" si="17"/>
        <v>0.75952526797052888</v>
      </c>
      <c r="R30" s="43">
        <f t="shared" si="18"/>
        <v>2096.3440480076274</v>
      </c>
      <c r="S30" s="43">
        <f t="shared" si="19"/>
        <v>1966.5599450259429</v>
      </c>
      <c r="T30" s="43">
        <f>R30+Thrust!C$33*0.8</f>
        <v>3908.1040480076272</v>
      </c>
      <c r="U30" s="43"/>
      <c r="V30">
        <f t="shared" si="20"/>
        <v>525506.77974333265</v>
      </c>
      <c r="W30">
        <f t="shared" si="21"/>
        <v>560187.86139166367</v>
      </c>
      <c r="X30">
        <f t="shared" si="22"/>
        <v>34681.081648331019</v>
      </c>
      <c r="Y30">
        <f t="shared" si="23"/>
        <v>34681.081648331019</v>
      </c>
      <c r="Z30">
        <f t="shared" si="24"/>
        <v>-1670.4851276609252</v>
      </c>
      <c r="AA30">
        <f t="shared" si="25"/>
        <v>-5.9804207254853488</v>
      </c>
      <c r="AB30">
        <f t="shared" si="26"/>
        <v>1649.2355378904504</v>
      </c>
      <c r="AC30">
        <f t="shared" si="27"/>
        <v>5.9040739509087725</v>
      </c>
      <c r="AD30">
        <f t="shared" si="28"/>
        <v>8.481412725360105</v>
      </c>
      <c r="AE30">
        <f t="shared" si="29"/>
        <v>1342.8138501920548</v>
      </c>
      <c r="AH30">
        <v>6.8676276948273509</v>
      </c>
      <c r="AI30">
        <v>1096.100191835902</v>
      </c>
      <c r="AJ30">
        <f t="shared" si="30"/>
        <v>11269.722757633099</v>
      </c>
      <c r="AK30">
        <f t="shared" si="31"/>
        <v>1328.7553763225933</v>
      </c>
      <c r="AM30">
        <v>3</v>
      </c>
      <c r="AN30">
        <f t="shared" si="34"/>
        <v>570</v>
      </c>
      <c r="AO30" s="43">
        <f t="shared" si="35"/>
        <v>17165</v>
      </c>
      <c r="AP30" s="43">
        <f t="shared" si="32"/>
        <v>13865</v>
      </c>
      <c r="AQ30">
        <f t="shared" si="33"/>
        <v>-1457.8172051449533</v>
      </c>
    </row>
    <row r="31" spans="1:43">
      <c r="A31">
        <v>69</v>
      </c>
      <c r="B31">
        <f t="shared" si="3"/>
        <v>69</v>
      </c>
      <c r="D31" s="43">
        <f t="shared" si="4"/>
        <v>160.65261257958974</v>
      </c>
      <c r="E31" s="43">
        <f t="shared" si="5"/>
        <v>271.15106354659162</v>
      </c>
      <c r="F31" s="69">
        <f t="shared" si="6"/>
        <v>0.28524830434692183</v>
      </c>
      <c r="G31" s="98">
        <f t="shared" si="7"/>
        <v>16.126015593145219</v>
      </c>
      <c r="H31" s="69">
        <f t="shared" si="8"/>
        <v>2.4584518306578982</v>
      </c>
      <c r="I31" s="69">
        <f t="shared" si="9"/>
        <v>17.41982883398331</v>
      </c>
      <c r="J31" s="99">
        <f t="shared" si="10"/>
        <v>1.5047746178408776E-2</v>
      </c>
      <c r="K31" s="69">
        <f t="shared" si="11"/>
        <v>0.23400647983627271</v>
      </c>
      <c r="L31" s="99">
        <f t="shared" si="12"/>
        <v>0.2490542260146815</v>
      </c>
      <c r="M31" s="69">
        <f t="shared" si="13"/>
        <v>9.8711508332846964</v>
      </c>
      <c r="N31" s="69">
        <f t="shared" si="14"/>
        <v>15.477422561661017</v>
      </c>
      <c r="O31" s="69">
        <f t="shared" si="15"/>
        <v>6.2955972407721132</v>
      </c>
      <c r="P31" s="69">
        <f t="shared" si="16"/>
        <v>0.58103799331412487</v>
      </c>
      <c r="Q31" s="69">
        <f t="shared" si="17"/>
        <v>0.76461520393843974</v>
      </c>
      <c r="R31" s="43">
        <f t="shared" si="18"/>
        <v>2079.8072347147354</v>
      </c>
      <c r="S31" s="43">
        <f t="shared" si="19"/>
        <v>1912.1377353849236</v>
      </c>
      <c r="T31" s="43">
        <f>R31+Thrust!C$33*0.8</f>
        <v>3891.5672347147356</v>
      </c>
      <c r="U31" s="43"/>
      <c r="V31">
        <f t="shared" si="20"/>
        <v>518478.18059719319</v>
      </c>
      <c r="W31">
        <f t="shared" si="21"/>
        <v>563941.94366479618</v>
      </c>
      <c r="X31">
        <f t="shared" si="22"/>
        <v>45463.763067602995</v>
      </c>
      <c r="Y31">
        <f t="shared" si="23"/>
        <v>45463.763067602995</v>
      </c>
      <c r="Z31">
        <f t="shared" si="24"/>
        <v>-1648.1425608387597</v>
      </c>
      <c r="AA31">
        <f t="shared" si="25"/>
        <v>-5.8143410085104303</v>
      </c>
      <c r="AB31">
        <f t="shared" si="26"/>
        <v>1706.143832451738</v>
      </c>
      <c r="AC31">
        <f t="shared" si="27"/>
        <v>6.0197019382099946</v>
      </c>
      <c r="AD31">
        <f t="shared" si="28"/>
        <v>8.6539969799973555</v>
      </c>
      <c r="AE31">
        <f t="shared" si="29"/>
        <v>1390.2872240924548</v>
      </c>
      <c r="AH31">
        <v>6.9728950719574065</v>
      </c>
      <c r="AI31">
        <v>1129.1838623841938</v>
      </c>
      <c r="AJ31">
        <f t="shared" si="30"/>
        <v>11450.387772870514</v>
      </c>
      <c r="AK31">
        <f t="shared" si="31"/>
        <v>1323.1328598030102</v>
      </c>
      <c r="AM31">
        <v>4</v>
      </c>
      <c r="AN31">
        <f t="shared" si="34"/>
        <v>760</v>
      </c>
      <c r="AO31" s="43">
        <f t="shared" si="35"/>
        <v>17355</v>
      </c>
      <c r="AP31" s="43">
        <f t="shared" si="32"/>
        <v>14055</v>
      </c>
      <c r="AQ31">
        <f t="shared" si="33"/>
        <v>-1477.2652723767442</v>
      </c>
    </row>
    <row r="32" spans="1:43">
      <c r="A32">
        <v>70</v>
      </c>
      <c r="B32">
        <f t="shared" si="3"/>
        <v>70</v>
      </c>
      <c r="D32" s="43">
        <f t="shared" si="4"/>
        <v>162.98091131262726</v>
      </c>
      <c r="E32" s="43">
        <f t="shared" si="5"/>
        <v>275.08078910523784</v>
      </c>
      <c r="F32" s="69">
        <f t="shared" si="6"/>
        <v>0.289382337743254</v>
      </c>
      <c r="G32" s="98">
        <f t="shared" si="7"/>
        <v>16.596823441800368</v>
      </c>
      <c r="H32" s="69">
        <f t="shared" si="8"/>
        <v>2.3887120746453583</v>
      </c>
      <c r="I32" s="69">
        <f t="shared" si="9"/>
        <v>16.832576964293008</v>
      </c>
      <c r="J32" s="99">
        <f t="shared" si="10"/>
        <v>1.5047746178408776E-2</v>
      </c>
      <c r="K32" s="69">
        <f t="shared" si="11"/>
        <v>0.22037188376614786</v>
      </c>
      <c r="L32" s="99">
        <f t="shared" si="12"/>
        <v>0.23541962994455665</v>
      </c>
      <c r="M32" s="69">
        <f t="shared" si="13"/>
        <v>10.146613836781244</v>
      </c>
      <c r="N32" s="69">
        <f t="shared" si="14"/>
        <v>15.682057235877206</v>
      </c>
      <c r="O32" s="69">
        <f t="shared" si="15"/>
        <v>6.5650680139863455</v>
      </c>
      <c r="P32" s="69">
        <f t="shared" si="16"/>
        <v>0.5894588337969382</v>
      </c>
      <c r="Q32" s="69">
        <f t="shared" si="17"/>
        <v>0.76957008635897095</v>
      </c>
      <c r="R32" s="43">
        <f t="shared" si="18"/>
        <v>2063.3807945669128</v>
      </c>
      <c r="S32" s="43">
        <f t="shared" si="19"/>
        <v>1860.2265054750144</v>
      </c>
      <c r="T32" s="43">
        <f>R32+Thrust!C$33*0.8</f>
        <v>3875.1407945669125</v>
      </c>
      <c r="U32" s="43"/>
      <c r="V32">
        <f t="shared" si="20"/>
        <v>511712.57504054601</v>
      </c>
      <c r="W32">
        <f t="shared" si="21"/>
        <v>567596.417194059</v>
      </c>
      <c r="X32">
        <f t="shared" si="22"/>
        <v>55883.842153512989</v>
      </c>
      <c r="Y32">
        <f t="shared" si="23"/>
        <v>55883.842153512989</v>
      </c>
      <c r="Z32">
        <f t="shared" si="24"/>
        <v>-1626.6360001288879</v>
      </c>
      <c r="AA32">
        <f t="shared" si="25"/>
        <v>-5.6559697113238405</v>
      </c>
      <c r="AB32">
        <f t="shared" si="26"/>
        <v>1761.899483834125</v>
      </c>
      <c r="AC32">
        <f t="shared" si="27"/>
        <v>6.1280254758175552</v>
      </c>
      <c r="AD32">
        <f t="shared" si="28"/>
        <v>8.8252371142545716</v>
      </c>
      <c r="AE32">
        <f t="shared" si="29"/>
        <v>1438.3451874312307</v>
      </c>
      <c r="AH32">
        <v>7.0722289553195417</v>
      </c>
      <c r="AI32">
        <v>1161.7856330127786</v>
      </c>
      <c r="AJ32">
        <f t="shared" si="30"/>
        <v>11627.672363479116</v>
      </c>
      <c r="AK32">
        <f t="shared" si="31"/>
        <v>1317.5478701527504</v>
      </c>
      <c r="AM32">
        <v>5</v>
      </c>
      <c r="AN32">
        <f t="shared" si="34"/>
        <v>950</v>
      </c>
      <c r="AO32" s="43">
        <f t="shared" si="35"/>
        <v>17545</v>
      </c>
      <c r="AP32" s="43">
        <f t="shared" si="32"/>
        <v>14245</v>
      </c>
      <c r="AQ32">
        <f t="shared" si="33"/>
        <v>-1495.9778240071253</v>
      </c>
    </row>
    <row r="33" spans="1:43">
      <c r="A33">
        <v>71</v>
      </c>
      <c r="B33">
        <f t="shared" si="3"/>
        <v>71</v>
      </c>
      <c r="D33" s="43">
        <f t="shared" si="4"/>
        <v>165.3092100456648</v>
      </c>
      <c r="E33" s="43">
        <f t="shared" si="5"/>
        <v>279.01051466388412</v>
      </c>
      <c r="F33" s="69">
        <f t="shared" si="6"/>
        <v>0.29351637113958623</v>
      </c>
      <c r="G33" s="98">
        <f t="shared" si="7"/>
        <v>17.074405504105243</v>
      </c>
      <c r="H33" s="69">
        <f t="shared" si="8"/>
        <v>2.3218982673600972</v>
      </c>
      <c r="I33" s="69">
        <f t="shared" si="9"/>
        <v>16.269963392167202</v>
      </c>
      <c r="J33" s="99">
        <f t="shared" si="10"/>
        <v>1.5047746178408776E-2</v>
      </c>
      <c r="K33" s="69">
        <f t="shared" si="11"/>
        <v>0.20769316426466075</v>
      </c>
      <c r="L33" s="99">
        <f t="shared" si="12"/>
        <v>0.22274091044306954</v>
      </c>
      <c r="M33" s="69">
        <f t="shared" si="13"/>
        <v>10.424211083367878</v>
      </c>
      <c r="N33" s="69">
        <f t="shared" si="14"/>
        <v>15.884179664952045</v>
      </c>
      <c r="O33" s="69">
        <f t="shared" si="15"/>
        <v>6.8410317059290042</v>
      </c>
      <c r="P33" s="69">
        <f t="shared" si="16"/>
        <v>0.59787967427975164</v>
      </c>
      <c r="Q33" s="69">
        <f t="shared" si="17"/>
        <v>0.77438991523212253</v>
      </c>
      <c r="R33" s="43">
        <f t="shared" si="18"/>
        <v>2047.0600639101408</v>
      </c>
      <c r="S33" s="43">
        <f t="shared" si="19"/>
        <v>1810.6885834378004</v>
      </c>
      <c r="T33" s="43">
        <f>R33+Thrust!C$33*0.8</f>
        <v>3858.8200639101406</v>
      </c>
      <c r="U33" s="43"/>
      <c r="V33">
        <f t="shared" si="20"/>
        <v>505201.15356099996</v>
      </c>
      <c r="W33">
        <f t="shared" si="21"/>
        <v>571151.28197945189</v>
      </c>
      <c r="X33">
        <f t="shared" si="22"/>
        <v>65950.128418451932</v>
      </c>
      <c r="Y33">
        <f t="shared" si="23"/>
        <v>65950.128418451932</v>
      </c>
      <c r="Z33">
        <f t="shared" si="24"/>
        <v>-1605.9374417833112</v>
      </c>
      <c r="AA33">
        <f t="shared" si="25"/>
        <v>-5.5048793583168383</v>
      </c>
      <c r="AB33">
        <f t="shared" si="26"/>
        <v>1816.5304957856122</v>
      </c>
      <c r="AC33">
        <f t="shared" si="27"/>
        <v>6.2294466934594022</v>
      </c>
      <c r="AD33">
        <f t="shared" si="28"/>
        <v>8.9949685524962515</v>
      </c>
      <c r="AE33">
        <f t="shared" si="29"/>
        <v>1486.9511457987521</v>
      </c>
      <c r="AH33">
        <v>7.1659539982652589</v>
      </c>
      <c r="AI33">
        <v>1193.9181655144534</v>
      </c>
      <c r="AJ33">
        <f t="shared" si="30"/>
        <v>11801.38814236852</v>
      </c>
      <c r="AK33">
        <f t="shared" si="31"/>
        <v>1311.9988217294479</v>
      </c>
      <c r="AM33">
        <v>6</v>
      </c>
      <c r="AN33">
        <f t="shared" si="34"/>
        <v>1140</v>
      </c>
      <c r="AO33" s="43">
        <f t="shared" si="35"/>
        <v>17735</v>
      </c>
      <c r="AP33" s="43">
        <f t="shared" si="32"/>
        <v>14435</v>
      </c>
      <c r="AQ33">
        <f t="shared" si="33"/>
        <v>-1513.982774545786</v>
      </c>
    </row>
    <row r="34" spans="1:43">
      <c r="A34">
        <v>72</v>
      </c>
      <c r="B34">
        <f t="shared" si="3"/>
        <v>72</v>
      </c>
      <c r="D34" s="43">
        <f t="shared" si="4"/>
        <v>167.63750877870234</v>
      </c>
      <c r="E34" s="43">
        <f t="shared" si="5"/>
        <v>282.94024022253035</v>
      </c>
      <c r="F34" s="69">
        <f t="shared" si="6"/>
        <v>0.2976504045359184</v>
      </c>
      <c r="G34" s="98">
        <f t="shared" si="7"/>
        <v>17.558761780059818</v>
      </c>
      <c r="H34" s="69">
        <f t="shared" si="8"/>
        <v>2.257848990309077</v>
      </c>
      <c r="I34" s="69">
        <f t="shared" si="9"/>
        <v>15.730628874080264</v>
      </c>
      <c r="J34" s="99">
        <f t="shared" si="10"/>
        <v>1.5047746178408776E-2</v>
      </c>
      <c r="K34" s="69">
        <f t="shared" si="11"/>
        <v>0.19589166608269126</v>
      </c>
      <c r="L34" s="99">
        <f t="shared" si="12"/>
        <v>0.21093941226110005</v>
      </c>
      <c r="M34" s="69">
        <f t="shared" si="13"/>
        <v>10.703779659319045</v>
      </c>
      <c r="N34" s="69">
        <f t="shared" si="14"/>
        <v>16.083649729313095</v>
      </c>
      <c r="O34" s="69">
        <f t="shared" si="15"/>
        <v>7.1234390777885492</v>
      </c>
      <c r="P34" s="69">
        <f t="shared" si="16"/>
        <v>0.60630051476256497</v>
      </c>
      <c r="Q34" s="69">
        <f t="shared" si="17"/>
        <v>0.77907469055789447</v>
      </c>
      <c r="R34" s="43">
        <f t="shared" si="18"/>
        <v>2030.8406381822938</v>
      </c>
      <c r="S34" s="43">
        <f t="shared" si="19"/>
        <v>1763.3957910901909</v>
      </c>
      <c r="T34" s="43">
        <f>R34+Thrust!C$33*0.8</f>
        <v>3842.6006381822936</v>
      </c>
      <c r="U34" s="43"/>
      <c r="V34">
        <f t="shared" si="20"/>
        <v>498935.62873845757</v>
      </c>
      <c r="W34">
        <f t="shared" si="21"/>
        <v>574606.53802097507</v>
      </c>
      <c r="X34">
        <f t="shared" si="22"/>
        <v>75670.909282517503</v>
      </c>
      <c r="Y34">
        <f t="shared" si="23"/>
        <v>75670.909282517503</v>
      </c>
      <c r="Z34">
        <f t="shared" si="24"/>
        <v>-1586.0205416851632</v>
      </c>
      <c r="AA34">
        <f t="shared" si="25"/>
        <v>-5.3606724706629194</v>
      </c>
      <c r="AB34">
        <f t="shared" si="26"/>
        <v>1870.0632124230644</v>
      </c>
      <c r="AC34">
        <f t="shared" si="27"/>
        <v>6.3243399619055145</v>
      </c>
      <c r="AD34">
        <f t="shared" si="28"/>
        <v>9.1630250184867261</v>
      </c>
      <c r="AE34">
        <f t="shared" si="29"/>
        <v>1536.066686976038</v>
      </c>
      <c r="AH34">
        <v>7.2543723927910309</v>
      </c>
      <c r="AI34">
        <v>1225.5933475241818</v>
      </c>
      <c r="AJ34">
        <f t="shared" si="30"/>
        <v>11971.347566463923</v>
      </c>
      <c r="AK34">
        <f t="shared" si="31"/>
        <v>1306.4842169819799</v>
      </c>
      <c r="AM34">
        <v>7</v>
      </c>
      <c r="AN34">
        <f t="shared" si="34"/>
        <v>1330</v>
      </c>
      <c r="AO34" s="43">
        <f t="shared" si="35"/>
        <v>17925</v>
      </c>
      <c r="AP34" s="43">
        <f t="shared" si="32"/>
        <v>14625</v>
      </c>
      <c r="AQ34">
        <f t="shared" si="33"/>
        <v>-1531.3067496043191</v>
      </c>
    </row>
    <row r="35" spans="1:43">
      <c r="A35">
        <v>73</v>
      </c>
      <c r="B35">
        <f t="shared" si="3"/>
        <v>73</v>
      </c>
      <c r="D35" s="43">
        <f t="shared" si="4"/>
        <v>169.96580751173985</v>
      </c>
      <c r="E35" s="43">
        <f t="shared" si="5"/>
        <v>286.86996578117657</v>
      </c>
      <c r="F35" s="69">
        <f t="shared" si="6"/>
        <v>0.30178443793225057</v>
      </c>
      <c r="G35" s="98">
        <f t="shared" si="7"/>
        <v>18.04989226966411</v>
      </c>
      <c r="H35" s="69">
        <f t="shared" si="8"/>
        <v>2.1964138047968214</v>
      </c>
      <c r="I35" s="69">
        <f t="shared" si="9"/>
        <v>15.213306623191464</v>
      </c>
      <c r="J35" s="99">
        <f t="shared" si="10"/>
        <v>1.5047746178408776E-2</v>
      </c>
      <c r="K35" s="69">
        <f t="shared" si="11"/>
        <v>0.18489615678468105</v>
      </c>
      <c r="L35" s="99">
        <f t="shared" si="12"/>
        <v>0.19994390296308984</v>
      </c>
      <c r="M35" s="69">
        <f t="shared" si="13"/>
        <v>10.985150195864112</v>
      </c>
      <c r="N35" s="69">
        <f t="shared" si="14"/>
        <v>16.280325420600313</v>
      </c>
      <c r="O35" s="69">
        <f t="shared" si="15"/>
        <v>7.4122305118667384</v>
      </c>
      <c r="P35" s="69">
        <f t="shared" si="16"/>
        <v>0.61472135524537841</v>
      </c>
      <c r="Q35" s="69">
        <f t="shared" si="17"/>
        <v>0.78362441233628677</v>
      </c>
      <c r="R35" s="43">
        <f t="shared" si="18"/>
        <v>2014.7183541671138</v>
      </c>
      <c r="S35" s="43">
        <f t="shared" si="19"/>
        <v>1718.2286690177802</v>
      </c>
      <c r="T35" s="43">
        <f>R35+Thrust!C$33*0.8</f>
        <v>3826.478354167114</v>
      </c>
      <c r="U35" s="43"/>
      <c r="V35">
        <f t="shared" si="20"/>
        <v>492908.19948536716</v>
      </c>
      <c r="W35">
        <f t="shared" si="21"/>
        <v>577962.18531862833</v>
      </c>
      <c r="X35">
        <f t="shared" si="22"/>
        <v>85053.985833261162</v>
      </c>
      <c r="Y35">
        <f t="shared" si="23"/>
        <v>85053.985833261162</v>
      </c>
      <c r="Z35">
        <f t="shared" si="24"/>
        <v>-1566.8605016753395</v>
      </c>
      <c r="AA35">
        <f t="shared" si="25"/>
        <v>-5.2229790550906614</v>
      </c>
      <c r="AB35">
        <f t="shared" si="26"/>
        <v>1922.5224319055865</v>
      </c>
      <c r="AC35">
        <f t="shared" si="27"/>
        <v>6.4130541645322792</v>
      </c>
      <c r="AD35">
        <f t="shared" si="28"/>
        <v>9.3292387775580572</v>
      </c>
      <c r="AE35">
        <f t="shared" si="29"/>
        <v>1585.6516022974918</v>
      </c>
      <c r="AH35">
        <v>7.3377657076145129</v>
      </c>
      <c r="AI35">
        <v>1256.8223455436021</v>
      </c>
      <c r="AJ35">
        <f t="shared" si="30"/>
        <v>12137.364282682007</v>
      </c>
      <c r="AK35">
        <f t="shared" si="31"/>
        <v>1301.0026404168188</v>
      </c>
      <c r="AM35">
        <v>8</v>
      </c>
      <c r="AN35">
        <f t="shared" si="34"/>
        <v>1520</v>
      </c>
      <c r="AO35" s="43">
        <f t="shared" si="35"/>
        <v>18115</v>
      </c>
      <c r="AP35" s="43">
        <f t="shared" si="32"/>
        <v>14815</v>
      </c>
      <c r="AQ35">
        <f t="shared" si="33"/>
        <v>-1547.9751590066003</v>
      </c>
    </row>
    <row r="36" spans="1:43">
      <c r="A36">
        <v>74</v>
      </c>
      <c r="B36">
        <f t="shared" si="3"/>
        <v>74</v>
      </c>
      <c r="D36" s="43">
        <f t="shared" si="4"/>
        <v>172.2941062447774</v>
      </c>
      <c r="E36" s="43">
        <f t="shared" si="5"/>
        <v>290.79969133982286</v>
      </c>
      <c r="F36" s="69">
        <f t="shared" si="6"/>
        <v>0.3059184713285828</v>
      </c>
      <c r="G36" s="98">
        <f t="shared" si="7"/>
        <v>18.547796972918125</v>
      </c>
      <c r="H36" s="69">
        <f t="shared" si="8"/>
        <v>2.1374523677432902</v>
      </c>
      <c r="I36" s="69">
        <f t="shared" si="9"/>
        <v>14.716814863984744</v>
      </c>
      <c r="J36" s="99">
        <f t="shared" si="10"/>
        <v>1.5047746178408776E-2</v>
      </c>
      <c r="K36" s="69">
        <f t="shared" si="11"/>
        <v>0.17464203820772697</v>
      </c>
      <c r="L36" s="99">
        <f t="shared" si="12"/>
        <v>0.18968978438613576</v>
      </c>
      <c r="M36" s="69">
        <f t="shared" si="13"/>
        <v>11.268146962475615</v>
      </c>
      <c r="N36" s="69">
        <f t="shared" si="14"/>
        <v>16.474063105674524</v>
      </c>
      <c r="O36" s="69">
        <f t="shared" si="15"/>
        <v>7.7073357770623669</v>
      </c>
      <c r="P36" s="69">
        <f t="shared" si="16"/>
        <v>0.62314219572819185</v>
      </c>
      <c r="Q36" s="69">
        <f t="shared" si="17"/>
        <v>0.78803908056729954</v>
      </c>
      <c r="R36" s="43">
        <f t="shared" si="18"/>
        <v>1998.68927368706</v>
      </c>
      <c r="S36" s="43">
        <f t="shared" si="19"/>
        <v>1675.0757744690575</v>
      </c>
      <c r="T36" s="43">
        <f>R36+Thrust!C$33*0.8</f>
        <v>3810.4492736870598</v>
      </c>
      <c r="U36" s="43"/>
      <c r="V36">
        <f t="shared" si="20"/>
        <v>487111.51818641665</v>
      </c>
      <c r="W36">
        <f t="shared" si="21"/>
        <v>581218.22387241176</v>
      </c>
      <c r="X36">
        <f t="shared" si="22"/>
        <v>94106.705685995112</v>
      </c>
      <c r="Y36">
        <f t="shared" si="23"/>
        <v>94106.705685995112</v>
      </c>
      <c r="Z36">
        <f t="shared" si="24"/>
        <v>-1548.4339650958941</v>
      </c>
      <c r="AA36">
        <f t="shared" si="25"/>
        <v>-5.0914543369236842</v>
      </c>
      <c r="AB36">
        <f t="shared" si="26"/>
        <v>1973.9315108911226</v>
      </c>
      <c r="AC36">
        <f t="shared" si="27"/>
        <v>6.4959147539804327</v>
      </c>
      <c r="AD36">
        <f t="shared" si="28"/>
        <v>9.4934408966433903</v>
      </c>
      <c r="AE36">
        <f t="shared" si="29"/>
        <v>1635.6639144747908</v>
      </c>
      <c r="AH36">
        <v>7.4163965528168925</v>
      </c>
      <c r="AI36">
        <v>1287.6156536662534</v>
      </c>
      <c r="AJ36">
        <f t="shared" si="30"/>
        <v>12299.253489597984</v>
      </c>
      <c r="AK36">
        <f t="shared" si="31"/>
        <v>1295.5527530536003</v>
      </c>
      <c r="AM36">
        <v>9</v>
      </c>
      <c r="AN36">
        <f t="shared" si="34"/>
        <v>1710</v>
      </c>
      <c r="AO36" s="43">
        <f t="shared" si="35"/>
        <v>18305</v>
      </c>
      <c r="AP36" s="43">
        <f t="shared" si="32"/>
        <v>15005</v>
      </c>
      <c r="AQ36">
        <f t="shared" si="33"/>
        <v>-1564.0122649121306</v>
      </c>
    </row>
    <row r="37" spans="1:43">
      <c r="A37">
        <v>75</v>
      </c>
      <c r="B37">
        <f t="shared" si="3"/>
        <v>75</v>
      </c>
      <c r="D37" s="43">
        <f t="shared" si="4"/>
        <v>174.62240497781494</v>
      </c>
      <c r="E37" s="43">
        <f t="shared" si="5"/>
        <v>294.72941689846914</v>
      </c>
      <c r="F37" s="69">
        <f t="shared" si="6"/>
        <v>0.31005250472491502</v>
      </c>
      <c r="G37" s="98">
        <f t="shared" si="7"/>
        <v>19.052475889821856</v>
      </c>
      <c r="H37" s="69">
        <f t="shared" si="8"/>
        <v>2.0808336294688448</v>
      </c>
      <c r="I37" s="69">
        <f t="shared" si="9"/>
        <v>14.240050077122063</v>
      </c>
      <c r="J37" s="99">
        <f t="shared" si="10"/>
        <v>1.5047746178408776E-2</v>
      </c>
      <c r="K37" s="69">
        <f t="shared" si="11"/>
        <v>0.16507065083324679</v>
      </c>
      <c r="L37" s="99">
        <f t="shared" si="12"/>
        <v>0.18011839701165558</v>
      </c>
      <c r="M37" s="69">
        <f t="shared" si="13"/>
        <v>11.552587986524179</v>
      </c>
      <c r="N37" s="69">
        <f t="shared" si="14"/>
        <v>16.664717807539418</v>
      </c>
      <c r="O37" s="69">
        <f t="shared" si="15"/>
        <v>8.0086738178069865</v>
      </c>
      <c r="P37" s="69">
        <f t="shared" si="16"/>
        <v>0.63156303621100529</v>
      </c>
      <c r="Q37" s="69">
        <f t="shared" si="17"/>
        <v>0.79231869525093268</v>
      </c>
      <c r="R37" s="43">
        <f t="shared" si="18"/>
        <v>1982.7496686007275</v>
      </c>
      <c r="S37" s="43">
        <f t="shared" si="19"/>
        <v>1633.8330443375321</v>
      </c>
      <c r="T37" s="43">
        <f>R37+Thrust!C$33*0.8</f>
        <v>3794.5096686007273</v>
      </c>
      <c r="U37" s="43"/>
      <c r="V37">
        <f t="shared" si="20"/>
        <v>481538.66046705149</v>
      </c>
      <c r="W37">
        <f t="shared" si="21"/>
        <v>584374.65368232538</v>
      </c>
      <c r="X37">
        <f t="shared" si="22"/>
        <v>102835.99321527389</v>
      </c>
      <c r="Y37">
        <f t="shared" si="23"/>
        <v>102835.99321527389</v>
      </c>
      <c r="Z37">
        <f t="shared" si="24"/>
        <v>-1530.7189206899652</v>
      </c>
      <c r="AA37">
        <f t="shared" si="25"/>
        <v>-4.9657767103025643</v>
      </c>
      <c r="AB37">
        <f t="shared" si="26"/>
        <v>2024.3124606365382</v>
      </c>
      <c r="AC37">
        <f t="shared" si="27"/>
        <v>6.573225616990177</v>
      </c>
      <c r="AD37">
        <f t="shared" si="28"/>
        <v>9.655461521865341</v>
      </c>
      <c r="AE37">
        <f t="shared" si="29"/>
        <v>1686.0599121188786</v>
      </c>
      <c r="AH37">
        <v>7.4905100895743546</v>
      </c>
      <c r="AI37">
        <v>1317.98313840478</v>
      </c>
      <c r="AJ37">
        <f t="shared" si="30"/>
        <v>12456.832313836914</v>
      </c>
      <c r="AK37">
        <f t="shared" si="31"/>
        <v>1290.1332873242475</v>
      </c>
      <c r="AM37">
        <v>10</v>
      </c>
      <c r="AN37">
        <f t="shared" si="34"/>
        <v>1900</v>
      </c>
      <c r="AO37" s="43">
        <f t="shared" si="35"/>
        <v>18495</v>
      </c>
      <c r="AP37" s="43">
        <f t="shared" si="32"/>
        <v>15195</v>
      </c>
      <c r="AQ37">
        <f t="shared" si="33"/>
        <v>-1579.4412453502493</v>
      </c>
    </row>
    <row r="38" spans="1:43">
      <c r="A38">
        <v>76</v>
      </c>
      <c r="B38">
        <f t="shared" si="3"/>
        <v>76</v>
      </c>
      <c r="D38" s="43">
        <f t="shared" si="4"/>
        <v>176.95070371085245</v>
      </c>
      <c r="E38" s="43">
        <f t="shared" si="5"/>
        <v>298.65914245711537</v>
      </c>
      <c r="F38" s="69">
        <f t="shared" si="6"/>
        <v>0.31418653812124719</v>
      </c>
      <c r="G38" s="98">
        <f t="shared" si="7"/>
        <v>19.563929020375291</v>
      </c>
      <c r="H38" s="69">
        <f t="shared" si="8"/>
        <v>2.0264351048757367</v>
      </c>
      <c r="I38" s="69">
        <f t="shared" si="9"/>
        <v>13.781980862340863</v>
      </c>
      <c r="J38" s="99">
        <f t="shared" si="10"/>
        <v>1.5047746178408776E-2</v>
      </c>
      <c r="K38" s="69">
        <f t="shared" si="11"/>
        <v>0.15612865907153292</v>
      </c>
      <c r="L38" s="99">
        <f t="shared" si="12"/>
        <v>0.17117640524994171</v>
      </c>
      <c r="M38" s="69">
        <f t="shared" si="13"/>
        <v>11.838285200094344</v>
      </c>
      <c r="N38" s="69">
        <f t="shared" si="14"/>
        <v>16.852143502749783</v>
      </c>
      <c r="O38" s="69">
        <f t="shared" si="15"/>
        <v>8.3161525687165661</v>
      </c>
      <c r="P38" s="69">
        <f t="shared" si="16"/>
        <v>0.63998387669381862</v>
      </c>
      <c r="Q38" s="69">
        <f t="shared" si="17"/>
        <v>0.79646325638718629</v>
      </c>
      <c r="R38" s="43">
        <f t="shared" si="18"/>
        <v>1966.8960069846812</v>
      </c>
      <c r="S38" s="43">
        <f t="shared" si="19"/>
        <v>1594.4032164261066</v>
      </c>
      <c r="T38" s="43">
        <f>R38+Thrust!C$33*0.8</f>
        <v>3778.656006984681</v>
      </c>
      <c r="U38" s="43"/>
      <c r="V38">
        <f t="shared" si="20"/>
        <v>476183.09734868753</v>
      </c>
      <c r="W38">
        <f t="shared" si="21"/>
        <v>587431.47474836931</v>
      </c>
      <c r="X38">
        <f t="shared" si="22"/>
        <v>111248.37739968178</v>
      </c>
      <c r="Y38">
        <f t="shared" si="23"/>
        <v>111248.37739968178</v>
      </c>
      <c r="Z38">
        <f t="shared" si="24"/>
        <v>-1513.6946140885434</v>
      </c>
      <c r="AA38">
        <f t="shared" si="25"/>
        <v>-4.845645881877914</v>
      </c>
      <c r="AB38">
        <f t="shared" si="26"/>
        <v>2073.6860355108402</v>
      </c>
      <c r="AC38">
        <f t="shared" si="27"/>
        <v>6.6452707677201914</v>
      </c>
      <c r="AD38">
        <f t="shared" si="28"/>
        <v>9.8151301732418457</v>
      </c>
      <c r="AE38">
        <f t="shared" si="29"/>
        <v>1736.7941911687656</v>
      </c>
      <c r="AH38">
        <v>7.5603354012934396</v>
      </c>
      <c r="AI38">
        <v>1347.9340799791528</v>
      </c>
      <c r="AJ38">
        <f t="shared" si="30"/>
        <v>12609.920200075345</v>
      </c>
      <c r="AK38">
        <f t="shared" si="31"/>
        <v>1284.7430423747917</v>
      </c>
      <c r="AM38">
        <v>11</v>
      </c>
      <c r="AN38">
        <f t="shared" si="34"/>
        <v>2090</v>
      </c>
      <c r="AO38" s="43">
        <f t="shared" si="35"/>
        <v>18685</v>
      </c>
      <c r="AP38" s="43">
        <f t="shared" si="32"/>
        <v>15385</v>
      </c>
      <c r="AQ38">
        <f t="shared" si="33"/>
        <v>-1594.2842535268305</v>
      </c>
    </row>
    <row r="39" spans="1:43">
      <c r="A39">
        <v>77</v>
      </c>
      <c r="B39">
        <f t="shared" si="3"/>
        <v>77</v>
      </c>
      <c r="D39" s="43">
        <f t="shared" si="4"/>
        <v>179.27900244388999</v>
      </c>
      <c r="E39" s="43">
        <f t="shared" si="5"/>
        <v>302.58886801576165</v>
      </c>
      <c r="F39" s="69">
        <f t="shared" si="6"/>
        <v>0.31832057151757942</v>
      </c>
      <c r="G39" s="98">
        <f t="shared" si="7"/>
        <v>20.082156364578449</v>
      </c>
      <c r="H39" s="69">
        <f t="shared" si="8"/>
        <v>1.9741422104507091</v>
      </c>
      <c r="I39" s="69">
        <f t="shared" si="9"/>
        <v>13.341642355606005</v>
      </c>
      <c r="J39" s="99">
        <f t="shared" si="10"/>
        <v>1.5047746178408776E-2</v>
      </c>
      <c r="K39" s="69">
        <f t="shared" si="11"/>
        <v>0.14776750714184306</v>
      </c>
      <c r="L39" s="99">
        <f t="shared" si="12"/>
        <v>0.16281525332025185</v>
      </c>
      <c r="M39" s="69">
        <f t="shared" si="13"/>
        <v>12.125044614632275</v>
      </c>
      <c r="N39" s="69">
        <f t="shared" si="14"/>
        <v>17.036193434750022</v>
      </c>
      <c r="O39" s="69">
        <f t="shared" si="15"/>
        <v>8.6296687971939736</v>
      </c>
      <c r="P39" s="69">
        <f t="shared" si="16"/>
        <v>0.64840471717663217</v>
      </c>
      <c r="Q39" s="69">
        <f t="shared" si="17"/>
        <v>0.80047276397606026</v>
      </c>
      <c r="R39" s="43">
        <f t="shared" si="18"/>
        <v>1951.1249403920247</v>
      </c>
      <c r="S39" s="43">
        <f t="shared" si="19"/>
        <v>1556.6953029782676</v>
      </c>
      <c r="T39" s="43">
        <f>R39+Thrust!C$33*0.8</f>
        <v>3762.8849403920249</v>
      </c>
      <c r="U39" s="43"/>
      <c r="V39">
        <f t="shared" si="20"/>
        <v>471038.66957364709</v>
      </c>
      <c r="W39">
        <f t="shared" si="21"/>
        <v>590388.68707054318</v>
      </c>
      <c r="X39">
        <f t="shared" si="22"/>
        <v>119350.01749689609</v>
      </c>
      <c r="Y39">
        <f t="shared" si="23"/>
        <v>119350.01749689609</v>
      </c>
      <c r="Z39">
        <f t="shared" si="24"/>
        <v>-1497.3414661943748</v>
      </c>
      <c r="AA39">
        <f t="shared" si="25"/>
        <v>-4.7307811871714138</v>
      </c>
      <c r="AB39">
        <f t="shared" si="26"/>
        <v>2122.0718146112822</v>
      </c>
      <c r="AC39">
        <f t="shared" si="27"/>
        <v>6.7123158874506199</v>
      </c>
      <c r="AD39">
        <f t="shared" si="28"/>
        <v>9.9722760559397123</v>
      </c>
      <c r="AE39">
        <f t="shared" si="29"/>
        <v>1787.8197034039617</v>
      </c>
      <c r="AH39">
        <v>7.6260867405477013</v>
      </c>
      <c r="AI39">
        <v>1377.4772103876153</v>
      </c>
      <c r="AJ39">
        <f t="shared" si="30"/>
        <v>12758.339313391358</v>
      </c>
      <c r="AK39">
        <f t="shared" si="31"/>
        <v>1279.3808797332886</v>
      </c>
      <c r="AM39">
        <v>12</v>
      </c>
      <c r="AN39">
        <f t="shared" si="34"/>
        <v>2280</v>
      </c>
      <c r="AO39" s="43">
        <f t="shared" si="35"/>
        <v>18875</v>
      </c>
      <c r="AP39" s="43">
        <f t="shared" si="32"/>
        <v>15575</v>
      </c>
      <c r="AQ39">
        <f t="shared" si="33"/>
        <v>-1608.5624732326446</v>
      </c>
    </row>
    <row r="40" spans="1:43">
      <c r="A40">
        <v>78</v>
      </c>
      <c r="B40">
        <f t="shared" si="3"/>
        <v>78</v>
      </c>
      <c r="D40" s="43">
        <f t="shared" si="4"/>
        <v>181.60730117692754</v>
      </c>
      <c r="E40" s="43">
        <f t="shared" si="5"/>
        <v>306.51859357440787</v>
      </c>
      <c r="F40" s="69">
        <f t="shared" si="6"/>
        <v>0.32245460491391159</v>
      </c>
      <c r="G40" s="98">
        <f t="shared" si="7"/>
        <v>20.607157922431316</v>
      </c>
      <c r="H40" s="69">
        <f t="shared" si="8"/>
        <v>1.9238476603816985</v>
      </c>
      <c r="I40" s="69">
        <f t="shared" si="9"/>
        <v>12.918131144038986</v>
      </c>
      <c r="J40" s="99">
        <f t="shared" si="10"/>
        <v>1.5047746178408776E-2</v>
      </c>
      <c r="K40" s="69">
        <f t="shared" si="11"/>
        <v>0.13994293665901456</v>
      </c>
      <c r="L40" s="99">
        <f t="shared" si="12"/>
        <v>0.15499068283742334</v>
      </c>
      <c r="M40" s="69">
        <f t="shared" si="13"/>
        <v>12.412666523959432</v>
      </c>
      <c r="N40" s="69">
        <f t="shared" si="14"/>
        <v>17.216720442454189</v>
      </c>
      <c r="O40" s="69">
        <f t="shared" si="15"/>
        <v>8.9491079761680972</v>
      </c>
      <c r="P40" s="69">
        <f t="shared" si="16"/>
        <v>0.6568255576594455</v>
      </c>
      <c r="Q40" s="69">
        <f t="shared" si="17"/>
        <v>0.80434721801755449</v>
      </c>
      <c r="R40" s="43">
        <f t="shared" si="18"/>
        <v>1935.4332920910911</v>
      </c>
      <c r="S40" s="43">
        <f t="shared" si="19"/>
        <v>1520.6241111502277</v>
      </c>
      <c r="T40" s="43">
        <f>R40+Thrust!C$33*0.8</f>
        <v>3747.1932920910913</v>
      </c>
      <c r="U40" s="43"/>
      <c r="V40">
        <f t="shared" si="20"/>
        <v>466099.56390510185</v>
      </c>
      <c r="W40">
        <f t="shared" si="21"/>
        <v>593246.29064884735</v>
      </c>
      <c r="X40">
        <f t="shared" si="22"/>
        <v>127146.7267437455</v>
      </c>
      <c r="Y40">
        <f t="shared" si="23"/>
        <v>127146.7267437455</v>
      </c>
      <c r="Z40">
        <f t="shared" si="24"/>
        <v>-1481.6409978440327</v>
      </c>
      <c r="AA40">
        <f t="shared" si="25"/>
        <v>-4.6209200613131687</v>
      </c>
      <c r="AB40">
        <f t="shared" si="26"/>
        <v>2169.4882771012922</v>
      </c>
      <c r="AC40">
        <f t="shared" si="27"/>
        <v>6.7746097264791674</v>
      </c>
      <c r="AD40">
        <f t="shared" si="28"/>
        <v>10.126728387369935</v>
      </c>
      <c r="AE40">
        <f t="shared" si="29"/>
        <v>1839.0878121820335</v>
      </c>
      <c r="AH40">
        <v>7.6879646645444151</v>
      </c>
      <c r="AI40">
        <v>1406.6207485491077</v>
      </c>
      <c r="AJ40">
        <f t="shared" si="30"/>
        <v>12901.914952553561</v>
      </c>
      <c r="AK40">
        <f t="shared" si="31"/>
        <v>1274.0457193109712</v>
      </c>
      <c r="AO40" s="43"/>
      <c r="AP40" s="43"/>
    </row>
    <row r="41" spans="1:43">
      <c r="A41">
        <v>79</v>
      </c>
      <c r="B41">
        <f t="shared" si="3"/>
        <v>79</v>
      </c>
      <c r="D41" s="43">
        <f t="shared" si="4"/>
        <v>183.93559990996505</v>
      </c>
      <c r="E41" s="43">
        <f t="shared" si="5"/>
        <v>310.4483191330541</v>
      </c>
      <c r="F41" s="69">
        <f t="shared" si="6"/>
        <v>0.32658863831024376</v>
      </c>
      <c r="G41" s="98">
        <f t="shared" si="7"/>
        <v>21.138933693933893</v>
      </c>
      <c r="H41" s="69">
        <f t="shared" si="8"/>
        <v>1.8754509158407722</v>
      </c>
      <c r="I41" s="69">
        <f t="shared" si="9"/>
        <v>12.510600628539725</v>
      </c>
      <c r="J41" s="99">
        <f t="shared" si="10"/>
        <v>1.5047746178408776E-2</v>
      </c>
      <c r="K41" s="69">
        <f t="shared" si="11"/>
        <v>0.13261455825294799</v>
      </c>
      <c r="L41" s="99">
        <f t="shared" si="12"/>
        <v>0.14766230443135678</v>
      </c>
      <c r="M41" s="69">
        <f t="shared" si="13"/>
        <v>12.700945736036552</v>
      </c>
      <c r="N41" s="69">
        <f t="shared" si="14"/>
        <v>17.393577303243184</v>
      </c>
      <c r="O41" s="69">
        <f t="shared" si="15"/>
        <v>9.2743441890856264</v>
      </c>
      <c r="P41" s="69">
        <f t="shared" si="16"/>
        <v>0.66524639814225883</v>
      </c>
      <c r="Q41" s="69">
        <f t="shared" si="17"/>
        <v>0.80808661851166907</v>
      </c>
      <c r="R41" s="43">
        <f t="shared" si="18"/>
        <v>1919.8180461973827</v>
      </c>
      <c r="S41" s="43">
        <f t="shared" si="19"/>
        <v>1486.1098057009824</v>
      </c>
      <c r="T41" s="43">
        <f>R41+Thrust!C$33*0.8</f>
        <v>3731.5780461973827</v>
      </c>
      <c r="U41" s="43"/>
      <c r="V41">
        <f t="shared" si="20"/>
        <v>461360.29122701962</v>
      </c>
      <c r="W41">
        <f t="shared" si="21"/>
        <v>596004.28548328148</v>
      </c>
      <c r="X41">
        <f t="shared" si="22"/>
        <v>134643.99425626185</v>
      </c>
      <c r="Y41">
        <f t="shared" si="23"/>
        <v>134643.99425626185</v>
      </c>
      <c r="Z41">
        <f t="shared" si="24"/>
        <v>-1466.5757601918503</v>
      </c>
      <c r="AA41">
        <f t="shared" si="25"/>
        <v>-4.5158166480387019</v>
      </c>
      <c r="AB41">
        <f t="shared" si="26"/>
        <v>2215.9528718265342</v>
      </c>
      <c r="AC41">
        <f t="shared" si="27"/>
        <v>6.8323853821990852</v>
      </c>
      <c r="AD41">
        <f t="shared" si="28"/>
        <v>10.278316739279539</v>
      </c>
      <c r="AE41">
        <f t="shared" si="29"/>
        <v>1890.5483555040173</v>
      </c>
      <c r="AH41">
        <v>7.7461570703946423</v>
      </c>
      <c r="AI41">
        <v>1435.3724327766383</v>
      </c>
      <c r="AJ41">
        <f t="shared" si="30"/>
        <v>13040.475972693925</v>
      </c>
      <c r="AK41">
        <f t="shared" si="31"/>
        <v>1268.7365357071103</v>
      </c>
      <c r="AO41" s="43"/>
      <c r="AP41" s="43"/>
    </row>
    <row r="42" spans="1:43">
      <c r="A42">
        <v>80</v>
      </c>
      <c r="B42">
        <f t="shared" si="3"/>
        <v>80</v>
      </c>
      <c r="D42" s="43">
        <f t="shared" si="4"/>
        <v>186.26389864300259</v>
      </c>
      <c r="E42" s="43">
        <f t="shared" si="5"/>
        <v>314.37804469170038</v>
      </c>
      <c r="F42" s="69">
        <f t="shared" si="6"/>
        <v>0.33072267170657599</v>
      </c>
      <c r="G42" s="98">
        <f t="shared" si="7"/>
        <v>21.677483679086198</v>
      </c>
      <c r="H42" s="69">
        <f t="shared" si="8"/>
        <v>1.8288576821503522</v>
      </c>
      <c r="I42" s="69">
        <f t="shared" si="9"/>
        <v>12.118256789615247</v>
      </c>
      <c r="J42" s="99">
        <f t="shared" si="10"/>
        <v>1.5047746178408776E-2</v>
      </c>
      <c r="K42" s="69">
        <f t="shared" si="11"/>
        <v>0.125745470583673</v>
      </c>
      <c r="L42" s="99">
        <f t="shared" si="12"/>
        <v>0.14079321676208179</v>
      </c>
      <c r="M42" s="69">
        <f t="shared" si="13"/>
        <v>12.989671833699429</v>
      </c>
      <c r="N42" s="69">
        <f t="shared" si="14"/>
        <v>17.566617089417299</v>
      </c>
      <c r="O42" s="69">
        <f t="shared" si="15"/>
        <v>9.6052400691794944</v>
      </c>
      <c r="P42" s="69">
        <f t="shared" si="16"/>
        <v>0.67366723862507216</v>
      </c>
      <c r="Q42" s="69">
        <f t="shared" si="17"/>
        <v>0.81169096545840402</v>
      </c>
      <c r="R42" s="43">
        <f t="shared" si="18"/>
        <v>1904.2763376206299</v>
      </c>
      <c r="S42" s="43">
        <f t="shared" si="19"/>
        <v>1453.0775097052194</v>
      </c>
      <c r="T42" s="43">
        <f>R42+Thrust!C$33*0.8</f>
        <v>3716.0363376206296</v>
      </c>
      <c r="U42" s="43"/>
      <c r="V42">
        <f t="shared" si="20"/>
        <v>456815.66628661216</v>
      </c>
      <c r="W42">
        <f t="shared" si="21"/>
        <v>598662.6715738459</v>
      </c>
      <c r="X42">
        <f t="shared" si="22"/>
        <v>141847.00528723374</v>
      </c>
      <c r="Y42">
        <f t="shared" si="23"/>
        <v>141847.00528723374</v>
      </c>
      <c r="Z42">
        <f t="shared" si="24"/>
        <v>-1452.1292703150586</v>
      </c>
      <c r="AA42">
        <f t="shared" si="25"/>
        <v>-4.4152405327170694</v>
      </c>
      <c r="AB42">
        <f t="shared" si="26"/>
        <v>2261.4820817097816</v>
      </c>
      <c r="AC42">
        <f t="shared" si="27"/>
        <v>6.8858614657595316</v>
      </c>
      <c r="AD42">
        <f t="shared" si="28"/>
        <v>10.426871393853538</v>
      </c>
      <c r="AE42">
        <f t="shared" si="29"/>
        <v>1942.1497164683587</v>
      </c>
      <c r="AH42">
        <v>7.8008401401883631</v>
      </c>
      <c r="AI42">
        <v>1463.7395508151546</v>
      </c>
      <c r="AJ42">
        <f t="shared" si="30"/>
        <v>13173.855215667318</v>
      </c>
      <c r="AK42">
        <f t="shared" si="31"/>
        <v>1263.4523547910142</v>
      </c>
      <c r="AO42" s="43"/>
      <c r="AP42" s="43"/>
    </row>
    <row r="43" spans="1:43">
      <c r="A43">
        <v>81</v>
      </c>
      <c r="B43">
        <f t="shared" si="3"/>
        <v>81</v>
      </c>
      <c r="D43" s="43">
        <f t="shared" si="4"/>
        <v>188.59219737604013</v>
      </c>
      <c r="E43" s="43">
        <f t="shared" si="5"/>
        <v>318.30777025034666</v>
      </c>
      <c r="F43" s="69">
        <f t="shared" si="6"/>
        <v>0.33485670510290821</v>
      </c>
      <c r="G43" s="98">
        <f t="shared" si="7"/>
        <v>22.222807877888211</v>
      </c>
      <c r="H43" s="69">
        <f t="shared" si="8"/>
        <v>1.7839794491330978</v>
      </c>
      <c r="I43" s="69">
        <f t="shared" si="9"/>
        <v>11.740354316841456</v>
      </c>
      <c r="J43" s="99">
        <f t="shared" si="10"/>
        <v>1.5047746178408776E-2</v>
      </c>
      <c r="K43" s="69">
        <f t="shared" si="11"/>
        <v>0.11930192100028014</v>
      </c>
      <c r="L43" s="99">
        <f t="shared" si="12"/>
        <v>0.13434966717868893</v>
      </c>
      <c r="M43" s="69">
        <f t="shared" si="13"/>
        <v>13.278629464413587</v>
      </c>
      <c r="N43" s="69">
        <f t="shared" si="14"/>
        <v>17.735693537004199</v>
      </c>
      <c r="O43" s="69">
        <f t="shared" si="15"/>
        <v>9.9416467749236865</v>
      </c>
      <c r="P43" s="69">
        <f t="shared" si="16"/>
        <v>0.68208807910788571</v>
      </c>
      <c r="Q43" s="69">
        <f t="shared" si="17"/>
        <v>0.81516025885775956</v>
      </c>
      <c r="R43" s="43">
        <f t="shared" si="18"/>
        <v>1888.8054427565007</v>
      </c>
      <c r="S43" s="43">
        <f t="shared" si="19"/>
        <v>1421.4569395572453</v>
      </c>
      <c r="T43" s="43">
        <f>R43+Thrust!C$33*0.8</f>
        <v>3700.5654427565005</v>
      </c>
      <c r="U43" s="43"/>
      <c r="V43">
        <f t="shared" si="20"/>
        <v>452460.78893734852</v>
      </c>
      <c r="W43">
        <f t="shared" si="21"/>
        <v>601221.44892054051</v>
      </c>
      <c r="X43">
        <f t="shared" si="22"/>
        <v>148760.65998319199</v>
      </c>
      <c r="Y43">
        <f t="shared" si="23"/>
        <v>148760.65998319199</v>
      </c>
      <c r="Z43">
        <f t="shared" si="24"/>
        <v>-1438.2859515889224</v>
      </c>
      <c r="AA43">
        <f t="shared" si="25"/>
        <v>-4.318975586824207</v>
      </c>
      <c r="AB43">
        <f t="shared" si="26"/>
        <v>2306.091483375767</v>
      </c>
      <c r="AC43">
        <f t="shared" si="27"/>
        <v>6.9352431683196745</v>
      </c>
      <c r="AD43">
        <f t="shared" si="28"/>
        <v>10.572223712699001</v>
      </c>
      <c r="AE43">
        <f t="shared" si="29"/>
        <v>1993.8389011289819</v>
      </c>
      <c r="AH43">
        <v>7.8521792047629511</v>
      </c>
      <c r="AI43">
        <v>1491.7289676543876</v>
      </c>
      <c r="AJ43">
        <f t="shared" si="30"/>
        <v>13301.889946263616</v>
      </c>
      <c r="AK43">
        <f t="shared" si="31"/>
        <v>1258.1922505372102</v>
      </c>
      <c r="AO43" s="43"/>
      <c r="AP43" s="43"/>
    </row>
    <row r="44" spans="1:43">
      <c r="A44">
        <v>82</v>
      </c>
      <c r="B44">
        <f t="shared" si="3"/>
        <v>82</v>
      </c>
      <c r="D44" s="43">
        <f t="shared" si="4"/>
        <v>190.92049610907765</v>
      </c>
      <c r="E44" s="43">
        <f t="shared" si="5"/>
        <v>322.23749580899289</v>
      </c>
      <c r="F44" s="69">
        <f t="shared" si="6"/>
        <v>0.33899073849924038</v>
      </c>
      <c r="G44" s="98">
        <f t="shared" si="7"/>
        <v>22.774906290339935</v>
      </c>
      <c r="H44" s="69">
        <f t="shared" si="8"/>
        <v>1.7407330704583959</v>
      </c>
      <c r="I44" s="69">
        <f t="shared" si="9"/>
        <v>11.376193066700473</v>
      </c>
      <c r="J44" s="99">
        <f t="shared" si="10"/>
        <v>1.5047746178408776E-2</v>
      </c>
      <c r="K44" s="69">
        <f t="shared" si="11"/>
        <v>0.11325300285025046</v>
      </c>
      <c r="L44" s="99">
        <f t="shared" si="12"/>
        <v>0.12830074902865923</v>
      </c>
      <c r="M44" s="69">
        <f t="shared" si="13"/>
        <v>13.567598658910081</v>
      </c>
      <c r="N44" s="69">
        <f t="shared" si="14"/>
        <v>17.900661425685712</v>
      </c>
      <c r="O44" s="69">
        <f t="shared" si="15"/>
        <v>10.283404003447719</v>
      </c>
      <c r="P44" s="69">
        <f t="shared" si="16"/>
        <v>0.69050891959069904</v>
      </c>
      <c r="Q44" s="69">
        <f t="shared" si="17"/>
        <v>0.81849449870973534</v>
      </c>
      <c r="R44" s="43">
        <f t="shared" si="18"/>
        <v>1873.4027708594115</v>
      </c>
      <c r="S44" s="43">
        <f t="shared" si="19"/>
        <v>1391.1820709410838</v>
      </c>
      <c r="T44" s="43">
        <f>R44+Thrust!C$33*0.8</f>
        <v>3685.1627708594115</v>
      </c>
      <c r="U44" s="43"/>
      <c r="V44">
        <f t="shared" si="20"/>
        <v>448291.02675442351</v>
      </c>
      <c r="W44">
        <f t="shared" si="21"/>
        <v>603680.6175233653</v>
      </c>
      <c r="X44">
        <f t="shared" si="22"/>
        <v>155389.59076894179</v>
      </c>
      <c r="Y44">
        <f t="shared" si="23"/>
        <v>155389.59076894179</v>
      </c>
      <c r="Z44">
        <f t="shared" si="24"/>
        <v>-1425.0310784246578</v>
      </c>
      <c r="AA44">
        <f t="shared" si="25"/>
        <v>-4.2268189127079001</v>
      </c>
      <c r="AB44">
        <f t="shared" si="26"/>
        <v>2349.7958024132745</v>
      </c>
      <c r="AC44">
        <f t="shared" si="27"/>
        <v>6.9807232366915981</v>
      </c>
      <c r="AD44">
        <f t="shared" si="28"/>
        <v>10.714206517442637</v>
      </c>
      <c r="AE44">
        <f t="shared" si="29"/>
        <v>2045.5616237252616</v>
      </c>
      <c r="AH44">
        <v>7.9003295340763504</v>
      </c>
      <c r="AI44">
        <v>1519.347151306604</v>
      </c>
      <c r="AJ44">
        <f t="shared" si="30"/>
        <v>13424.422292308818</v>
      </c>
      <c r="AK44">
        <f t="shared" si="31"/>
        <v>1252.9553420922</v>
      </c>
      <c r="AO44" s="43"/>
      <c r="AP44" s="43"/>
    </row>
    <row r="45" spans="1:43">
      <c r="A45">
        <v>83</v>
      </c>
      <c r="B45">
        <f t="shared" si="3"/>
        <v>83</v>
      </c>
      <c r="D45" s="43">
        <f t="shared" si="4"/>
        <v>193.24879484211519</v>
      </c>
      <c r="E45" s="43">
        <f t="shared" si="5"/>
        <v>326.16722136763917</v>
      </c>
      <c r="F45" s="69">
        <f t="shared" si="6"/>
        <v>0.34312477189557261</v>
      </c>
      <c r="G45" s="98">
        <f t="shared" si="7"/>
        <v>23.333778916441378</v>
      </c>
      <c r="H45" s="69">
        <f t="shared" si="8"/>
        <v>1.6990403782497101</v>
      </c>
      <c r="I45" s="69">
        <f t="shared" si="9"/>
        <v>11.025114817336213</v>
      </c>
      <c r="J45" s="99">
        <f t="shared" si="10"/>
        <v>1.5047746178408776E-2</v>
      </c>
      <c r="K45" s="69">
        <f t="shared" si="11"/>
        <v>0.10757038509625701</v>
      </c>
      <c r="L45" s="99">
        <f t="shared" si="12"/>
        <v>0.12261813127466578</v>
      </c>
      <c r="M45" s="69">
        <f t="shared" si="13"/>
        <v>13.856355178369531</v>
      </c>
      <c r="N45" s="69">
        <f t="shared" si="14"/>
        <v>18.06137696847194</v>
      </c>
      <c r="O45" s="69">
        <f t="shared" si="15"/>
        <v>10.63034004352393</v>
      </c>
      <c r="P45" s="69">
        <f t="shared" si="16"/>
        <v>0.69892976007351248</v>
      </c>
      <c r="Q45" s="69">
        <f t="shared" si="17"/>
        <v>0.8216936850143316</v>
      </c>
      <c r="R45" s="43">
        <f t="shared" si="18"/>
        <v>1858.065856038987</v>
      </c>
      <c r="S45" s="43">
        <f t="shared" si="19"/>
        <v>1362.1908328003044</v>
      </c>
      <c r="T45" s="43">
        <f>R45+Thrust!C$33*0.8</f>
        <v>3669.8258560389868</v>
      </c>
      <c r="U45" s="43"/>
      <c r="V45">
        <f t="shared" si="20"/>
        <v>444301.99890694564</v>
      </c>
      <c r="W45">
        <f t="shared" si="21"/>
        <v>606040.17738232028</v>
      </c>
      <c r="X45">
        <f t="shared" si="22"/>
        <v>161738.17847537465</v>
      </c>
      <c r="Y45">
        <f t="shared" si="23"/>
        <v>161738.17847537465</v>
      </c>
      <c r="Z45">
        <f t="shared" si="24"/>
        <v>-1412.3507250022112</v>
      </c>
      <c r="AA45">
        <f t="shared" si="25"/>
        <v>-4.1385798787425498</v>
      </c>
      <c r="AB45">
        <f t="shared" si="26"/>
        <v>2392.6089646423584</v>
      </c>
      <c r="AC45">
        <f t="shared" si="27"/>
        <v>7.0224828670985104</v>
      </c>
      <c r="AD45">
        <f t="shared" si="28"/>
        <v>10.852654480534976</v>
      </c>
      <c r="AE45">
        <f t="shared" si="29"/>
        <v>2097.2623992012664</v>
      </c>
      <c r="AH45">
        <v>7.9454370612382803</v>
      </c>
      <c r="AI45">
        <v>1546.6001967209193</v>
      </c>
      <c r="AJ45">
        <f t="shared" si="30"/>
        <v>13541.29968657037</v>
      </c>
      <c r="AK45">
        <f t="shared" si="31"/>
        <v>1247.7407910532556</v>
      </c>
      <c r="AO45" s="43"/>
      <c r="AP45" s="43"/>
    </row>
    <row r="46" spans="1:43">
      <c r="A46">
        <v>84</v>
      </c>
      <c r="B46">
        <f t="shared" si="3"/>
        <v>84</v>
      </c>
      <c r="D46" s="43">
        <f t="shared" si="4"/>
        <v>195.57709357515273</v>
      </c>
      <c r="E46" s="43">
        <f t="shared" si="5"/>
        <v>330.09694692628545</v>
      </c>
      <c r="F46" s="69">
        <f t="shared" si="6"/>
        <v>0.34725880529190484</v>
      </c>
      <c r="G46" s="98">
        <f t="shared" si="7"/>
        <v>23.899425756192539</v>
      </c>
      <c r="H46" s="69">
        <f t="shared" si="8"/>
        <v>1.6588278296148316</v>
      </c>
      <c r="I46" s="69">
        <f t="shared" si="9"/>
        <v>10.686500292120519</v>
      </c>
      <c r="J46" s="99">
        <f t="shared" si="10"/>
        <v>1.5047746178408776E-2</v>
      </c>
      <c r="K46" s="69">
        <f t="shared" si="11"/>
        <v>0.10222807045669299</v>
      </c>
      <c r="L46" s="99">
        <f t="shared" si="12"/>
        <v>0.11727581663510177</v>
      </c>
      <c r="M46" s="69">
        <f t="shared" si="13"/>
        <v>14.144670889619102</v>
      </c>
      <c r="N46" s="69">
        <f t="shared" si="14"/>
        <v>18.217698209620874</v>
      </c>
      <c r="O46" s="69">
        <f t="shared" si="15"/>
        <v>10.982271869559181</v>
      </c>
      <c r="P46" s="69">
        <f t="shared" si="16"/>
        <v>0.70735060055632593</v>
      </c>
      <c r="Q46" s="69">
        <f t="shared" si="17"/>
        <v>0.82475781777154811</v>
      </c>
      <c r="R46" s="43">
        <f t="shared" si="18"/>
        <v>1842.7923498282034</v>
      </c>
      <c r="S46" s="43">
        <f t="shared" si="19"/>
        <v>1334.42482665698</v>
      </c>
      <c r="T46" s="43">
        <f>R46+Thrust!C$33*0.8</f>
        <v>3654.5523498282037</v>
      </c>
      <c r="U46" s="43"/>
      <c r="V46">
        <f t="shared" si="20"/>
        <v>440489.56118210679</v>
      </c>
      <c r="W46">
        <f t="shared" si="21"/>
        <v>608300.12849740533</v>
      </c>
      <c r="X46">
        <f t="shared" si="22"/>
        <v>167810.56731529854</v>
      </c>
      <c r="Y46">
        <f t="shared" si="23"/>
        <v>167810.56731529854</v>
      </c>
      <c r="Z46">
        <f t="shared" si="24"/>
        <v>-1400.2317176649753</v>
      </c>
      <c r="AA46">
        <f t="shared" si="25"/>
        <v>-4.0540792360676861</v>
      </c>
      <c r="AB46">
        <f t="shared" si="26"/>
        <v>2434.5441437196255</v>
      </c>
      <c r="AC46">
        <f t="shared" si="27"/>
        <v>7.0606925248359103</v>
      </c>
      <c r="AD46">
        <f t="shared" si="28"/>
        <v>10.987404524720374</v>
      </c>
      <c r="AE46">
        <f t="shared" si="29"/>
        <v>2148.8846428792931</v>
      </c>
      <c r="AH46">
        <v>7.9876390464966862</v>
      </c>
      <c r="AI46">
        <v>1573.4938479894297</v>
      </c>
      <c r="AJ46">
        <f t="shared" si="30"/>
        <v>13652.375308272158</v>
      </c>
      <c r="AK46">
        <f t="shared" si="31"/>
        <v>1242.5477989415892</v>
      </c>
      <c r="AO46" s="43"/>
      <c r="AP46" s="43"/>
    </row>
    <row r="47" spans="1:43">
      <c r="A47">
        <v>85</v>
      </c>
      <c r="B47">
        <f t="shared" si="3"/>
        <v>85</v>
      </c>
      <c r="D47" s="43">
        <f t="shared" si="4"/>
        <v>197.90539230819024</v>
      </c>
      <c r="E47" s="43">
        <f t="shared" si="5"/>
        <v>334.02667248493162</v>
      </c>
      <c r="F47" s="69">
        <f t="shared" si="6"/>
        <v>0.35139283868823695</v>
      </c>
      <c r="G47" s="98">
        <f t="shared" si="7"/>
        <v>24.471846809593398</v>
      </c>
      <c r="H47" s="69">
        <f t="shared" si="8"/>
        <v>1.6200261821124231</v>
      </c>
      <c r="I47" s="69">
        <f t="shared" si="9"/>
        <v>10.35976642688078</v>
      </c>
      <c r="J47" s="99">
        <f t="shared" si="10"/>
        <v>1.5047746178408776E-2</v>
      </c>
      <c r="K47" s="69">
        <f t="shared" si="11"/>
        <v>9.7202178767763436E-2</v>
      </c>
      <c r="L47" s="99">
        <f t="shared" si="12"/>
        <v>0.11224992494617221</v>
      </c>
      <c r="M47" s="69">
        <f t="shared" si="13"/>
        <v>14.432314167597731</v>
      </c>
      <c r="N47" s="69">
        <f t="shared" si="14"/>
        <v>18.369485429176702</v>
      </c>
      <c r="O47" s="69">
        <f t="shared" si="15"/>
        <v>11.339005277818366</v>
      </c>
      <c r="P47" s="69">
        <f t="shared" si="16"/>
        <v>0.71577144103913914</v>
      </c>
      <c r="Q47" s="69">
        <f t="shared" si="17"/>
        <v>0.82768689698138487</v>
      </c>
      <c r="R47" s="43">
        <f t="shared" si="18"/>
        <v>1827.5800142761327</v>
      </c>
      <c r="S47" s="43">
        <f t="shared" si="19"/>
        <v>1307.8290689082025</v>
      </c>
      <c r="T47" s="43">
        <f>R47+Thrust!C$33*0.8</f>
        <v>3639.3400142761329</v>
      </c>
      <c r="U47" s="43"/>
      <c r="V47">
        <f t="shared" si="20"/>
        <v>436849.79206647322</v>
      </c>
      <c r="W47">
        <f t="shared" si="21"/>
        <v>610460.47086862044</v>
      </c>
      <c r="X47">
        <f t="shared" si="22"/>
        <v>173610.67880214722</v>
      </c>
      <c r="Y47">
        <f t="shared" si="23"/>
        <v>173610.67880214722</v>
      </c>
      <c r="Z47">
        <f t="shared" si="24"/>
        <v>-1388.6615906748818</v>
      </c>
      <c r="AA47">
        <f t="shared" si="25"/>
        <v>-3.9731483090657709</v>
      </c>
      <c r="AB47">
        <f t="shared" si="26"/>
        <v>2475.6138053831428</v>
      </c>
      <c r="AC47">
        <f t="shared" si="27"/>
        <v>7.0955126967955229</v>
      </c>
      <c r="AD47">
        <f t="shared" si="28"/>
        <v>11.118296229503555</v>
      </c>
      <c r="AE47">
        <f t="shared" si="29"/>
        <v>2200.3707770985729</v>
      </c>
      <c r="AH47">
        <v>8.0270646868106699</v>
      </c>
      <c r="AI47">
        <v>1600.0335189858688</v>
      </c>
      <c r="AJ47">
        <f t="shared" si="30"/>
        <v>13757.508521926633</v>
      </c>
      <c r="AK47">
        <f t="shared" si="31"/>
        <v>1237.3756048538853</v>
      </c>
      <c r="AO47" s="43"/>
      <c r="AP47" s="43"/>
    </row>
    <row r="48" spans="1:43">
      <c r="A48">
        <v>86</v>
      </c>
      <c r="B48">
        <f t="shared" si="3"/>
        <v>86</v>
      </c>
      <c r="D48" s="43">
        <f t="shared" si="4"/>
        <v>200.23369104122779</v>
      </c>
      <c r="E48" s="43">
        <f t="shared" si="5"/>
        <v>337.95639804357791</v>
      </c>
      <c r="F48" s="69">
        <f t="shared" si="6"/>
        <v>0.35552687208456918</v>
      </c>
      <c r="G48" s="98">
        <f t="shared" si="7"/>
        <v>25.051042076643984</v>
      </c>
      <c r="H48" s="69">
        <f t="shared" si="8"/>
        <v>1.5825701954789422</v>
      </c>
      <c r="I48" s="69">
        <f t="shared" si="9"/>
        <v>10.044363858256196</v>
      </c>
      <c r="J48" s="99">
        <f t="shared" si="10"/>
        <v>1.5047746178408776E-2</v>
      </c>
      <c r="K48" s="69">
        <f t="shared" si="11"/>
        <v>9.2470752680473625E-2</v>
      </c>
      <c r="L48" s="99">
        <f t="shared" si="12"/>
        <v>0.1075184988588824</v>
      </c>
      <c r="M48" s="69">
        <f t="shared" si="13"/>
        <v>14.719050324131285</v>
      </c>
      <c r="N48" s="69">
        <f t="shared" si="14"/>
        <v>18.51660155238239</v>
      </c>
      <c r="O48" s="69">
        <f t="shared" si="15"/>
        <v>11.700335065882246</v>
      </c>
      <c r="P48" s="69">
        <f t="shared" si="16"/>
        <v>0.7241922815219527</v>
      </c>
      <c r="Q48" s="69">
        <f t="shared" si="17"/>
        <v>0.83048092264384221</v>
      </c>
      <c r="R48" s="43">
        <f t="shared" si="18"/>
        <v>1812.4267155225866</v>
      </c>
      <c r="S48" s="43">
        <f t="shared" si="19"/>
        <v>1282.3517539752688</v>
      </c>
      <c r="T48" s="43">
        <f>R48+Thrust!C$33*0.8</f>
        <v>3624.1867155225864</v>
      </c>
      <c r="U48" s="43"/>
      <c r="V48">
        <f t="shared" si="20"/>
        <v>433378.97979834623</v>
      </c>
      <c r="W48">
        <f t="shared" si="21"/>
        <v>612521.20449596585</v>
      </c>
      <c r="X48">
        <f t="shared" si="22"/>
        <v>179142.22469761962</v>
      </c>
      <c r="Y48">
        <f t="shared" si="23"/>
        <v>179142.22469761962</v>
      </c>
      <c r="Z48">
        <f t="shared" si="24"/>
        <v>-1377.6285450543455</v>
      </c>
      <c r="AA48">
        <f t="shared" si="25"/>
        <v>-3.895628252580011</v>
      </c>
      <c r="AB48">
        <f t="shared" si="26"/>
        <v>2515.8297486104966</v>
      </c>
      <c r="AC48">
        <f t="shared" si="27"/>
        <v>7.1270945830816821</v>
      </c>
      <c r="AD48">
        <f t="shared" si="28"/>
        <v>11.245172242822836</v>
      </c>
      <c r="AE48">
        <f t="shared" si="29"/>
        <v>2251.6623445747782</v>
      </c>
      <c r="AH48">
        <v>8.0638356760521113</v>
      </c>
      <c r="AI48">
        <v>1626.2243125643406</v>
      </c>
      <c r="AJ48">
        <f t="shared" si="30"/>
        <v>13856.565311108629</v>
      </c>
      <c r="AK48">
        <f t="shared" si="31"/>
        <v>1232.2234832776794</v>
      </c>
      <c r="AO48" s="43"/>
      <c r="AP48" s="43"/>
    </row>
    <row r="49" spans="1:42">
      <c r="A49">
        <v>87</v>
      </c>
      <c r="B49">
        <f t="shared" si="3"/>
        <v>87</v>
      </c>
      <c r="D49" s="43">
        <f t="shared" si="4"/>
        <v>202.56198977426533</v>
      </c>
      <c r="E49" s="43">
        <f t="shared" si="5"/>
        <v>341.88612360222419</v>
      </c>
      <c r="F49" s="69">
        <f t="shared" si="6"/>
        <v>0.3596609054809014</v>
      </c>
      <c r="G49" s="98">
        <f t="shared" si="7"/>
        <v>25.637011557344287</v>
      </c>
      <c r="H49" s="69">
        <f t="shared" si="8"/>
        <v>1.5463983572152535</v>
      </c>
      <c r="I49" s="69">
        <f t="shared" si="9"/>
        <v>9.7397746129673717</v>
      </c>
      <c r="J49" s="99">
        <f t="shared" si="10"/>
        <v>1.5047746178408776E-2</v>
      </c>
      <c r="K49" s="69">
        <f t="shared" si="11"/>
        <v>8.8013583164980994E-2</v>
      </c>
      <c r="L49" s="99">
        <f t="shared" si="12"/>
        <v>0.10306132934338977</v>
      </c>
      <c r="M49" s="69">
        <f t="shared" si="13"/>
        <v>15.004642061842739</v>
      </c>
      <c r="N49" s="69">
        <f t="shared" si="14"/>
        <v>18.658912562113489</v>
      </c>
      <c r="O49" s="69">
        <f t="shared" si="15"/>
        <v>12.066045256097119</v>
      </c>
      <c r="P49" s="69">
        <f t="shared" si="16"/>
        <v>0.73261312200476614</v>
      </c>
      <c r="Q49" s="69">
        <f t="shared" si="17"/>
        <v>0.83313989475891992</v>
      </c>
      <c r="R49" s="43">
        <f t="shared" si="18"/>
        <v>1797.3304178158921</v>
      </c>
      <c r="S49" s="43">
        <f t="shared" si="19"/>
        <v>1257.9440363992219</v>
      </c>
      <c r="T49" s="43">
        <f>R49+Thrust!C$33*0.8</f>
        <v>3609.0904178158921</v>
      </c>
      <c r="U49" s="43"/>
      <c r="V49">
        <f t="shared" si="20"/>
        <v>430073.61031306518</v>
      </c>
      <c r="W49">
        <f t="shared" si="21"/>
        <v>614482.32937944133</v>
      </c>
      <c r="X49">
        <f t="shared" si="22"/>
        <v>184408.71906637616</v>
      </c>
      <c r="Y49">
        <f t="shared" si="23"/>
        <v>184408.71906637616</v>
      </c>
      <c r="Z49">
        <f t="shared" si="24"/>
        <v>-1367.1214102666972</v>
      </c>
      <c r="AA49">
        <f t="shared" si="25"/>
        <v>-3.8213693696172202</v>
      </c>
      <c r="AB49">
        <f t="shared" si="26"/>
        <v>2555.2031439383586</v>
      </c>
      <c r="AC49">
        <f t="shared" si="27"/>
        <v>7.1555807333040429</v>
      </c>
      <c r="AD49">
        <f t="shared" si="28"/>
        <v>11.367878696028253</v>
      </c>
      <c r="AE49">
        <f t="shared" si="29"/>
        <v>2302.7001281799639</v>
      </c>
      <c r="AH49">
        <v>8.0980667203576111</v>
      </c>
      <c r="AI49">
        <v>1652.0710384340171</v>
      </c>
      <c r="AJ49">
        <f t="shared" si="30"/>
        <v>13949.418704727856</v>
      </c>
      <c r="AK49">
        <f t="shared" si="31"/>
        <v>1227.0907420574033</v>
      </c>
      <c r="AO49" s="43"/>
      <c r="AP49" s="43"/>
    </row>
    <row r="50" spans="1:42">
      <c r="A50">
        <v>88</v>
      </c>
      <c r="B50">
        <f t="shared" si="3"/>
        <v>88</v>
      </c>
      <c r="D50" s="43">
        <f t="shared" si="4"/>
        <v>204.89028850730284</v>
      </c>
      <c r="E50" s="43">
        <f t="shared" si="5"/>
        <v>345.81584916087041</v>
      </c>
      <c r="F50" s="69">
        <f t="shared" si="6"/>
        <v>0.36379493887723358</v>
      </c>
      <c r="G50" s="98">
        <f t="shared" si="7"/>
        <v>26.229755251694296</v>
      </c>
      <c r="H50" s="69">
        <f t="shared" si="8"/>
        <v>1.5114526298763242</v>
      </c>
      <c r="I50" s="69">
        <f t="shared" si="9"/>
        <v>9.4455099798392652</v>
      </c>
      <c r="J50" s="99">
        <f t="shared" si="10"/>
        <v>1.5047746178408776E-2</v>
      </c>
      <c r="K50" s="69">
        <f t="shared" si="11"/>
        <v>8.3812052605722581E-2</v>
      </c>
      <c r="L50" s="99">
        <f t="shared" si="12"/>
        <v>9.8859798784131356E-2</v>
      </c>
      <c r="M50" s="69">
        <f t="shared" si="13"/>
        <v>15.288849951806068</v>
      </c>
      <c r="N50" s="69">
        <f t="shared" si="14"/>
        <v>18.796287912382173</v>
      </c>
      <c r="O50" s="69">
        <f t="shared" si="15"/>
        <v>12.435909363510911</v>
      </c>
      <c r="P50" s="69">
        <f t="shared" si="16"/>
        <v>0.74103396248757947</v>
      </c>
      <c r="Q50" s="69">
        <f t="shared" si="17"/>
        <v>0.83566381332661821</v>
      </c>
      <c r="R50" s="43">
        <f t="shared" si="18"/>
        <v>1782.2891779385443</v>
      </c>
      <c r="S50" s="43">
        <f t="shared" si="19"/>
        <v>1234.5598301702412</v>
      </c>
      <c r="T50" s="43">
        <f>R50+Thrust!C$33*0.8</f>
        <v>3594.0491779385443</v>
      </c>
      <c r="U50" s="43"/>
      <c r="V50">
        <f t="shared" si="20"/>
        <v>426930.35601022193</v>
      </c>
      <c r="W50">
        <f t="shared" si="21"/>
        <v>616343.84551904735</v>
      </c>
      <c r="X50">
        <f t="shared" si="22"/>
        <v>189413.48950882541</v>
      </c>
      <c r="Y50">
        <f t="shared" si="23"/>
        <v>189413.48950882541</v>
      </c>
      <c r="Z50">
        <f t="shared" si="24"/>
        <v>-1357.1296085093149</v>
      </c>
      <c r="AA50">
        <f t="shared" si="25"/>
        <v>-3.7502304839374219</v>
      </c>
      <c r="AB50">
        <f t="shared" si="26"/>
        <v>2593.7445691693483</v>
      </c>
      <c r="AC50">
        <f t="shared" si="27"/>
        <v>7.1811056325588289</v>
      </c>
      <c r="AD50">
        <f t="shared" si="28"/>
        <v>11.486265620162412</v>
      </c>
      <c r="AE50">
        <f t="shared" si="29"/>
        <v>2353.4242767865903</v>
      </c>
      <c r="AH50">
        <v>8.1298660126907158</v>
      </c>
      <c r="AI50">
        <v>1677.5782298150971</v>
      </c>
      <c r="AJ50">
        <f t="shared" si="30"/>
        <v>14035.949193307684</v>
      </c>
      <c r="AK50">
        <f t="shared" si="31"/>
        <v>1221.9767204991051</v>
      </c>
      <c r="AO50" s="43"/>
      <c r="AP50" s="43"/>
    </row>
    <row r="51" spans="1:42">
      <c r="A51">
        <v>89</v>
      </c>
      <c r="B51">
        <f t="shared" si="3"/>
        <v>89</v>
      </c>
      <c r="D51" s="43">
        <f t="shared" si="4"/>
        <v>207.21858724034038</v>
      </c>
      <c r="E51" s="43">
        <f t="shared" si="5"/>
        <v>349.7455747195167</v>
      </c>
      <c r="F51" s="69">
        <f t="shared" si="6"/>
        <v>0.3679289722735658</v>
      </c>
      <c r="G51" s="98">
        <f t="shared" si="7"/>
        <v>26.829273159694029</v>
      </c>
      <c r="H51" s="69">
        <f t="shared" si="8"/>
        <v>1.4776782181242587</v>
      </c>
      <c r="I51" s="69">
        <f t="shared" si="9"/>
        <v>9.1611085482437158</v>
      </c>
      <c r="J51" s="99">
        <f t="shared" si="10"/>
        <v>1.5047746178408776E-2</v>
      </c>
      <c r="K51" s="69">
        <f t="shared" si="11"/>
        <v>7.9848993540428403E-2</v>
      </c>
      <c r="L51" s="99">
        <f t="shared" si="12"/>
        <v>9.4896739718837178E-2</v>
      </c>
      <c r="M51" s="69">
        <f t="shared" si="13"/>
        <v>15.571432933337507</v>
      </c>
      <c r="N51" s="69">
        <f t="shared" si="14"/>
        <v>18.92860094087477</v>
      </c>
      <c r="O51" s="69">
        <f t="shared" si="15"/>
        <v>12.809690708510567</v>
      </c>
      <c r="P51" s="69">
        <f t="shared" si="16"/>
        <v>0.74945480297039302</v>
      </c>
      <c r="Q51" s="69">
        <f t="shared" si="17"/>
        <v>0.83805267834693642</v>
      </c>
      <c r="R51" s="43">
        <f t="shared" si="18"/>
        <v>1767.3011400086518</v>
      </c>
      <c r="S51" s="43">
        <f t="shared" si="19"/>
        <v>1212.1556237505768</v>
      </c>
      <c r="T51" s="43">
        <f>R51+Thrust!C$33*0.8</f>
        <v>3579.0611400086518</v>
      </c>
      <c r="U51" s="43"/>
      <c r="V51">
        <f t="shared" si="20"/>
        <v>423946.06527813972</v>
      </c>
      <c r="W51">
        <f t="shared" si="21"/>
        <v>618105.75291478296</v>
      </c>
      <c r="X51">
        <f t="shared" si="22"/>
        <v>194159.68763664324</v>
      </c>
      <c r="Y51">
        <f t="shared" si="23"/>
        <v>194159.68763664324</v>
      </c>
      <c r="Z51">
        <f t="shared" si="24"/>
        <v>-1347.6431214139541</v>
      </c>
      <c r="AA51">
        <f t="shared" si="25"/>
        <v>-3.6820783625121853</v>
      </c>
      <c r="AB51">
        <f t="shared" si="26"/>
        <v>2631.4640426717083</v>
      </c>
      <c r="AC51">
        <f t="shared" si="27"/>
        <v>7.2037962416037944</v>
      </c>
      <c r="AD51">
        <f t="shared" si="28"/>
        <v>11.600187361453502</v>
      </c>
      <c r="AE51">
        <f t="shared" si="29"/>
        <v>2403.774436763646</v>
      </c>
      <c r="AH51">
        <v>8.1593356702647739</v>
      </c>
      <c r="AI51">
        <v>1702.7501589718975</v>
      </c>
      <c r="AJ51">
        <f t="shared" si="30"/>
        <v>14116.045132747226</v>
      </c>
      <c r="AK51">
        <f t="shared" si="31"/>
        <v>1216.8807876029416</v>
      </c>
      <c r="AO51" s="43"/>
      <c r="AP51" s="43"/>
    </row>
    <row r="52" spans="1:42">
      <c r="A52">
        <v>90</v>
      </c>
      <c r="B52">
        <f t="shared" si="3"/>
        <v>90</v>
      </c>
      <c r="D52" s="43">
        <f t="shared" si="4"/>
        <v>209.54688597337793</v>
      </c>
      <c r="E52" s="43">
        <f t="shared" si="5"/>
        <v>353.67530027816298</v>
      </c>
      <c r="F52" s="69">
        <f t="shared" si="6"/>
        <v>0.37206300566989803</v>
      </c>
      <c r="G52" s="98">
        <f t="shared" si="7"/>
        <v>27.435565281343475</v>
      </c>
      <c r="H52" s="69">
        <f t="shared" si="8"/>
        <v>1.445023353797809</v>
      </c>
      <c r="I52" s="69">
        <f t="shared" si="9"/>
        <v>8.8861343982518122</v>
      </c>
      <c r="J52" s="99">
        <f t="shared" si="10"/>
        <v>1.5047746178408776E-2</v>
      </c>
      <c r="K52" s="69">
        <f t="shared" si="11"/>
        <v>7.6108561330432131E-2</v>
      </c>
      <c r="L52" s="99">
        <f t="shared" si="12"/>
        <v>9.1156307508840906E-2</v>
      </c>
      <c r="M52" s="69">
        <f t="shared" si="13"/>
        <v>15.85214883410741</v>
      </c>
      <c r="N52" s="69">
        <f t="shared" si="14"/>
        <v>19.055729278413992</v>
      </c>
      <c r="O52" s="69">
        <f t="shared" si="15"/>
        <v>13.187142774081636</v>
      </c>
      <c r="P52" s="69">
        <f t="shared" si="16"/>
        <v>0.75787564345320635</v>
      </c>
      <c r="Q52" s="69">
        <f t="shared" si="17"/>
        <v>0.84030648981987532</v>
      </c>
      <c r="R52" s="43">
        <f t="shared" si="18"/>
        <v>1752.3645306279689</v>
      </c>
      <c r="S52" s="43">
        <f t="shared" si="19"/>
        <v>1190.6903094038985</v>
      </c>
      <c r="T52" s="43">
        <f>R52+Thrust!C$33*0.8</f>
        <v>3564.1245306279689</v>
      </c>
      <c r="U52" s="43"/>
      <c r="V52">
        <f t="shared" si="20"/>
        <v>421117.75271672261</v>
      </c>
      <c r="W52">
        <f t="shared" si="21"/>
        <v>619768.051566649</v>
      </c>
      <c r="X52">
        <f t="shared" si="22"/>
        <v>198650.29884992639</v>
      </c>
      <c r="Y52">
        <f t="shared" si="23"/>
        <v>198650.29884992639</v>
      </c>
      <c r="Z52">
        <f t="shared" si="24"/>
        <v>-1338.6524589670651</v>
      </c>
      <c r="AA52">
        <f t="shared" si="25"/>
        <v>-3.6167871833474869</v>
      </c>
      <c r="AB52">
        <f t="shared" si="26"/>
        <v>2668.3710544589903</v>
      </c>
      <c r="AC52">
        <f t="shared" si="27"/>
        <v>7.2237724952816205</v>
      </c>
      <c r="AD52">
        <f t="shared" si="28"/>
        <v>11.709502993856004</v>
      </c>
      <c r="AE52">
        <f t="shared" si="29"/>
        <v>2453.6898886584718</v>
      </c>
      <c r="AH52">
        <v>8.1865721381127408</v>
      </c>
      <c r="AI52">
        <v>1727.5908517103996</v>
      </c>
      <c r="AJ52">
        <f t="shared" si="30"/>
        <v>14189.603133033701</v>
      </c>
      <c r="AK52">
        <f t="shared" si="31"/>
        <v>1211.8023404135095</v>
      </c>
      <c r="AO52" s="43"/>
      <c r="AP52" s="43"/>
    </row>
    <row r="53" spans="1:42">
      <c r="A53">
        <v>91</v>
      </c>
      <c r="B53">
        <f t="shared" si="3"/>
        <v>91</v>
      </c>
      <c r="D53" s="43">
        <f t="shared" si="4"/>
        <v>211.87518470641544</v>
      </c>
      <c r="E53" s="43">
        <f t="shared" si="5"/>
        <v>357.6050258368092</v>
      </c>
      <c r="F53" s="69">
        <f t="shared" si="6"/>
        <v>0.3761970390662302</v>
      </c>
      <c r="G53" s="98">
        <f t="shared" si="7"/>
        <v>28.048631616642627</v>
      </c>
      <c r="H53" s="69">
        <f t="shared" si="8"/>
        <v>1.4134390974232887</v>
      </c>
      <c r="I53" s="69">
        <f t="shared" si="9"/>
        <v>8.6201754292330506</v>
      </c>
      <c r="J53" s="99">
        <f t="shared" si="10"/>
        <v>1.5047746178408776E-2</v>
      </c>
      <c r="K53" s="69">
        <f t="shared" si="11"/>
        <v>7.2576119253573212E-2</v>
      </c>
      <c r="L53" s="99">
        <f t="shared" si="12"/>
        <v>8.7623865431981987E-2</v>
      </c>
      <c r="M53" s="69">
        <f t="shared" si="13"/>
        <v>16.130754908552518</v>
      </c>
      <c r="N53" s="69">
        <f t="shared" si="14"/>
        <v>19.177555253180667</v>
      </c>
      <c r="O53" s="69">
        <f t="shared" si="15"/>
        <v>13.568009607305694</v>
      </c>
      <c r="P53" s="69">
        <f t="shared" si="16"/>
        <v>0.76629648393601968</v>
      </c>
      <c r="Q53" s="69">
        <f t="shared" si="17"/>
        <v>0.84242524774543448</v>
      </c>
      <c r="R53" s="43">
        <f t="shared" si="18"/>
        <v>1737.4776543498176</v>
      </c>
      <c r="S53" s="43">
        <f t="shared" si="19"/>
        <v>1170.125025580327</v>
      </c>
      <c r="T53" s="43">
        <f>R53+Thrust!C$33*0.8</f>
        <v>3549.2376543498176</v>
      </c>
      <c r="U53" s="43"/>
      <c r="V53">
        <f t="shared" si="20"/>
        <v>418442.59000494989</v>
      </c>
      <c r="W53">
        <f t="shared" si="21"/>
        <v>621330.74147464521</v>
      </c>
      <c r="X53">
        <f t="shared" si="22"/>
        <v>202888.15146969532</v>
      </c>
      <c r="Y53">
        <f t="shared" si="23"/>
        <v>202888.15146969532</v>
      </c>
      <c r="Z53">
        <f t="shared" si="24"/>
        <v>-1330.1486304793109</v>
      </c>
      <c r="AA53">
        <f t="shared" si="25"/>
        <v>-3.5542380446222936</v>
      </c>
      <c r="AB53">
        <f t="shared" si="26"/>
        <v>2704.4745952205335</v>
      </c>
      <c r="AC53">
        <f t="shared" si="27"/>
        <v>7.2411477628457064</v>
      </c>
      <c r="AD53">
        <f t="shared" si="28"/>
        <v>11.814076726416175</v>
      </c>
      <c r="AE53">
        <f t="shared" si="29"/>
        <v>2503.1096885451907</v>
      </c>
      <c r="AH53">
        <v>8.2116665617661582</v>
      </c>
      <c r="AI53">
        <v>1752.1041009199173</v>
      </c>
      <c r="AJ53">
        <f t="shared" si="30"/>
        <v>14256.528429383201</v>
      </c>
      <c r="AK53">
        <f t="shared" si="31"/>
        <v>1206.7408024789381</v>
      </c>
      <c r="AO53" s="43"/>
      <c r="AP53" s="43"/>
    </row>
    <row r="54" spans="1:42">
      <c r="A54">
        <v>92</v>
      </c>
      <c r="B54">
        <f t="shared" si="3"/>
        <v>92</v>
      </c>
      <c r="D54" s="43">
        <f t="shared" si="4"/>
        <v>214.20348343945298</v>
      </c>
      <c r="E54" s="43">
        <f t="shared" si="5"/>
        <v>361.53475139545543</v>
      </c>
      <c r="F54" s="69">
        <f t="shared" si="6"/>
        <v>0.38033107246256237</v>
      </c>
      <c r="G54" s="98">
        <f t="shared" si="7"/>
        <v>28.668472165591496</v>
      </c>
      <c r="H54" s="69">
        <f t="shared" si="8"/>
        <v>1.3828791547450678</v>
      </c>
      <c r="I54" s="69">
        <f t="shared" si="9"/>
        <v>8.3628418149286574</v>
      </c>
      <c r="J54" s="99">
        <f t="shared" si="10"/>
        <v>1.5047746178408776E-2</v>
      </c>
      <c r="K54" s="69">
        <f t="shared" si="11"/>
        <v>6.9238134688686559E-2</v>
      </c>
      <c r="L54" s="99">
        <f t="shared" si="12"/>
        <v>8.4285880867095334E-2</v>
      </c>
      <c r="M54" s="69">
        <f t="shared" si="13"/>
        <v>16.407008392373996</v>
      </c>
      <c r="N54" s="69">
        <f t="shared" si="14"/>
        <v>19.293966287489436</v>
      </c>
      <c r="O54" s="69">
        <f t="shared" si="15"/>
        <v>13.952026264396368</v>
      </c>
      <c r="P54" s="69">
        <f t="shared" si="16"/>
        <v>0.77471732441883301</v>
      </c>
      <c r="Q54" s="69">
        <f t="shared" si="17"/>
        <v>0.844408952123614</v>
      </c>
      <c r="R54" s="43">
        <f t="shared" si="18"/>
        <v>1722.6388894425936</v>
      </c>
      <c r="S54" s="43">
        <f t="shared" si="19"/>
        <v>1150.4230112281243</v>
      </c>
      <c r="T54" s="43">
        <f>R54+Thrust!C$33*0.8</f>
        <v>3534.3988894425938</v>
      </c>
      <c r="U54" s="43"/>
      <c r="V54">
        <f t="shared" si="20"/>
        <v>415917.89736397116</v>
      </c>
      <c r="W54">
        <f t="shared" si="21"/>
        <v>622793.8226387715</v>
      </c>
      <c r="X54">
        <f t="shared" si="22"/>
        <v>206875.92527480033</v>
      </c>
      <c r="Y54">
        <f t="shared" si="23"/>
        <v>206875.92527480033</v>
      </c>
      <c r="Z54">
        <f t="shared" si="24"/>
        <v>-1322.1231174483853</v>
      </c>
      <c r="AA54">
        <f t="shared" si="25"/>
        <v>-3.4943185114986801</v>
      </c>
      <c r="AB54">
        <f t="shared" si="26"/>
        <v>2739.7831834586409</v>
      </c>
      <c r="AC54">
        <f t="shared" si="27"/>
        <v>7.2560292734854457</v>
      </c>
      <c r="AD54">
        <f t="shared" si="28"/>
        <v>11.913778303198059</v>
      </c>
      <c r="AE54">
        <f t="shared" si="29"/>
        <v>2551.9728134704001</v>
      </c>
      <c r="AH54">
        <v>8.234705131716705</v>
      </c>
      <c r="AI54">
        <v>1776.2934792316114</v>
      </c>
      <c r="AJ54">
        <f t="shared" si="30"/>
        <v>14316.735233322088</v>
      </c>
      <c r="AK54">
        <f t="shared" si="31"/>
        <v>1201.695622410482</v>
      </c>
      <c r="AO54" s="43"/>
      <c r="AP54" s="43"/>
    </row>
    <row r="55" spans="1:42">
      <c r="A55">
        <v>93</v>
      </c>
      <c r="B55">
        <f t="shared" si="3"/>
        <v>93</v>
      </c>
      <c r="D55" s="43">
        <f t="shared" si="4"/>
        <v>216.53178217249052</v>
      </c>
      <c r="E55" s="43">
        <f t="shared" si="5"/>
        <v>365.46447695410171</v>
      </c>
      <c r="F55" s="69">
        <f t="shared" si="6"/>
        <v>0.3844651058588946</v>
      </c>
      <c r="G55" s="98">
        <f t="shared" si="7"/>
        <v>29.295086928190081</v>
      </c>
      <c r="H55" s="69">
        <f t="shared" si="8"/>
        <v>1.353299706990664</v>
      </c>
      <c r="I55" s="69">
        <f t="shared" si="9"/>
        <v>8.1137645741786759</v>
      </c>
      <c r="J55" s="99">
        <f t="shared" si="10"/>
        <v>1.5047746178408776E-2</v>
      </c>
      <c r="K55" s="69">
        <f t="shared" si="11"/>
        <v>6.6082085215791064E-2</v>
      </c>
      <c r="L55" s="99">
        <f t="shared" si="12"/>
        <v>8.1129831394199839E-2</v>
      </c>
      <c r="M55" s="69">
        <f t="shared" si="13"/>
        <v>16.680667070724549</v>
      </c>
      <c r="N55" s="69">
        <f t="shared" si="14"/>
        <v>19.404855284890623</v>
      </c>
      <c r="O55" s="69">
        <f t="shared" si="15"/>
        <v>14.338919298254522</v>
      </c>
      <c r="P55" s="69">
        <f t="shared" si="16"/>
        <v>0.78313816490164645</v>
      </c>
      <c r="Q55" s="69">
        <f t="shared" si="17"/>
        <v>0.84625760295441399</v>
      </c>
      <c r="R55" s="43">
        <f t="shared" si="18"/>
        <v>1707.8466839265895</v>
      </c>
      <c r="S55" s="43">
        <f t="shared" si="19"/>
        <v>1131.5494710116611</v>
      </c>
      <c r="T55" s="43">
        <f>R55+Thrust!C$33*0.8</f>
        <v>3519.6066839265895</v>
      </c>
      <c r="U55" s="43"/>
      <c r="V55">
        <f t="shared" si="20"/>
        <v>413541.13557096722</v>
      </c>
      <c r="W55">
        <f t="shared" si="21"/>
        <v>624157.29505902808</v>
      </c>
      <c r="X55">
        <f t="shared" si="22"/>
        <v>210616.15948806086</v>
      </c>
      <c r="Y55">
        <f t="shared" si="23"/>
        <v>210616.15948806086</v>
      </c>
      <c r="Z55">
        <f t="shared" si="24"/>
        <v>-1314.5678481726111</v>
      </c>
      <c r="AA55">
        <f t="shared" si="25"/>
        <v>-3.43692219731905</v>
      </c>
      <c r="AB55">
        <f t="shared" si="26"/>
        <v>2774.3048908749911</v>
      </c>
      <c r="AC55">
        <f t="shared" si="27"/>
        <v>7.268518510029641</v>
      </c>
      <c r="AD55">
        <f t="shared" si="28"/>
        <v>12.008483393482713</v>
      </c>
      <c r="AE55">
        <f t="shared" si="29"/>
        <v>2600.2183103795687</v>
      </c>
      <c r="AH55">
        <v>8.255769402075849</v>
      </c>
      <c r="AI55">
        <v>1800.1623508603261</v>
      </c>
      <c r="AJ55">
        <f t="shared" si="30"/>
        <v>14370.147061277892</v>
      </c>
      <c r="AK55">
        <f t="shared" si="31"/>
        <v>1196.6662725350404</v>
      </c>
      <c r="AO55" s="43"/>
      <c r="AP55" s="43"/>
    </row>
    <row r="56" spans="1:42">
      <c r="A56">
        <v>94</v>
      </c>
      <c r="B56">
        <f t="shared" si="3"/>
        <v>94</v>
      </c>
      <c r="D56" s="43">
        <f t="shared" si="4"/>
        <v>218.86008090552804</v>
      </c>
      <c r="E56" s="43">
        <f t="shared" si="5"/>
        <v>369.39420251274794</v>
      </c>
      <c r="F56" s="69">
        <f t="shared" si="6"/>
        <v>0.38859913925522677</v>
      </c>
      <c r="G56" s="98">
        <f t="shared" si="7"/>
        <v>29.928475904438375</v>
      </c>
      <c r="H56" s="69">
        <f t="shared" si="8"/>
        <v>1.3246592537078152</v>
      </c>
      <c r="I56" s="69">
        <f t="shared" si="9"/>
        <v>7.8725942475129722</v>
      </c>
      <c r="J56" s="99">
        <f t="shared" si="10"/>
        <v>1.5047746178408776E-2</v>
      </c>
      <c r="K56" s="69">
        <f t="shared" si="11"/>
        <v>6.3096373591699992E-2</v>
      </c>
      <c r="L56" s="99">
        <f t="shared" si="12"/>
        <v>7.8144119770108766E-2</v>
      </c>
      <c r="M56" s="69">
        <f t="shared" si="13"/>
        <v>16.951489857519849</v>
      </c>
      <c r="N56" s="69">
        <f t="shared" si="14"/>
        <v>19.510121005366955</v>
      </c>
      <c r="O56" s="69">
        <f t="shared" si="15"/>
        <v>14.728407287199891</v>
      </c>
      <c r="P56" s="69">
        <f t="shared" si="16"/>
        <v>0.79155900538445989</v>
      </c>
      <c r="Q56" s="69">
        <f t="shared" si="17"/>
        <v>0.84797120023783423</v>
      </c>
      <c r="R56" s="43">
        <f t="shared" si="18"/>
        <v>1693.0995518637874</v>
      </c>
      <c r="S56" s="43">
        <f t="shared" si="19"/>
        <v>1113.4714505124668</v>
      </c>
      <c r="T56" s="43">
        <f>R56+Thrust!C$33*0.8</f>
        <v>3504.8595518637876</v>
      </c>
      <c r="U56" s="43"/>
      <c r="V56">
        <f t="shared" si="20"/>
        <v>411309.89848276536</v>
      </c>
      <c r="W56">
        <f t="shared" si="21"/>
        <v>625421.15873541462</v>
      </c>
      <c r="X56">
        <f t="shared" si="22"/>
        <v>214111.26025264926</v>
      </c>
      <c r="Y56">
        <f t="shared" si="23"/>
        <v>214111.26025264926</v>
      </c>
      <c r="Z56">
        <f t="shared" si="24"/>
        <v>-1307.4751739849498</v>
      </c>
      <c r="AA56">
        <f t="shared" si="25"/>
        <v>-3.3819483762265294</v>
      </c>
      <c r="AB56">
        <f t="shared" si="26"/>
        <v>2808.0473661366218</v>
      </c>
      <c r="AC56">
        <f t="shared" si="27"/>
        <v>7.2787115735219832</v>
      </c>
      <c r="AD56">
        <f t="shared" si="28"/>
        <v>12.098073969948969</v>
      </c>
      <c r="AE56">
        <f t="shared" si="29"/>
        <v>2647.7854478640943</v>
      </c>
      <c r="AH56">
        <v>8.2749365856177519</v>
      </c>
      <c r="AI56">
        <v>1823.7138826905621</v>
      </c>
      <c r="AJ56">
        <f t="shared" si="30"/>
        <v>14416.697038328302</v>
      </c>
      <c r="AK56">
        <f t="shared" si="31"/>
        <v>1191.6522476336879</v>
      </c>
      <c r="AO56" s="43"/>
      <c r="AP56" s="43"/>
    </row>
    <row r="57" spans="1:42">
      <c r="A57">
        <v>95</v>
      </c>
      <c r="B57">
        <f t="shared" si="3"/>
        <v>95</v>
      </c>
      <c r="D57" s="43">
        <f t="shared" si="4"/>
        <v>221.18837963856558</v>
      </c>
      <c r="E57" s="43">
        <f t="shared" si="5"/>
        <v>373.32392807139422</v>
      </c>
      <c r="F57" s="69">
        <f t="shared" si="6"/>
        <v>0.39273317265155899</v>
      </c>
      <c r="G57" s="98">
        <f t="shared" si="7"/>
        <v>30.568639094336397</v>
      </c>
      <c r="H57" s="69">
        <f t="shared" si="8"/>
        <v>1.2969184671204714</v>
      </c>
      <c r="I57" s="69">
        <f t="shared" si="9"/>
        <v>7.6389996707385981</v>
      </c>
      <c r="J57" s="99">
        <f t="shared" si="10"/>
        <v>1.5047746178408776E-2</v>
      </c>
      <c r="K57" s="69">
        <f t="shared" si="11"/>
        <v>6.0270250679508586E-2</v>
      </c>
      <c r="L57" s="99">
        <f t="shared" si="12"/>
        <v>7.531799685791736E-2</v>
      </c>
      <c r="M57" s="69">
        <f t="shared" si="13"/>
        <v>17.219237383158585</v>
      </c>
      <c r="N57" s="69">
        <f t="shared" si="14"/>
        <v>19.609668426409563</v>
      </c>
      <c r="O57" s="69">
        <f t="shared" si="15"/>
        <v>15.120201403214356</v>
      </c>
      <c r="P57" s="69">
        <f t="shared" si="16"/>
        <v>0.79997984586727333</v>
      </c>
      <c r="Q57" s="69">
        <f t="shared" si="17"/>
        <v>0.84954974397387517</v>
      </c>
      <c r="R57" s="43">
        <f t="shared" si="18"/>
        <v>1678.3960698819817</v>
      </c>
      <c r="S57" s="43">
        <f t="shared" si="19"/>
        <v>1096.1577205771523</v>
      </c>
      <c r="T57" s="43">
        <f>R57+Thrust!C$33*0.8</f>
        <v>3490.1560698819817</v>
      </c>
      <c r="U57" s="43"/>
      <c r="V57">
        <f t="shared" si="20"/>
        <v>409221.90603164828</v>
      </c>
      <c r="W57">
        <f t="shared" si="21"/>
        <v>626585.41366793169</v>
      </c>
      <c r="X57">
        <f t="shared" si="22"/>
        <v>217363.50763628341</v>
      </c>
      <c r="Y57">
        <f t="shared" si="23"/>
        <v>217363.50763628341</v>
      </c>
      <c r="Z57">
        <f t="shared" si="24"/>
        <v>-1300.8378469880206</v>
      </c>
      <c r="AA57">
        <f t="shared" si="25"/>
        <v>-3.32930162453051</v>
      </c>
      <c r="AB57">
        <f t="shared" si="26"/>
        <v>2841.0178571409137</v>
      </c>
      <c r="AC57">
        <f t="shared" si="27"/>
        <v>7.2866995211082068</v>
      </c>
      <c r="AD57">
        <f t="shared" si="28"/>
        <v>12.182438672560583</v>
      </c>
      <c r="AE57">
        <f t="shared" si="29"/>
        <v>2694.6138700298729</v>
      </c>
      <c r="AH57">
        <v>8.292279827184375</v>
      </c>
      <c r="AI57">
        <v>1846.9510546622842</v>
      </c>
      <c r="AJ57">
        <f t="shared" si="30"/>
        <v>14456.328174860788</v>
      </c>
      <c r="AK57">
        <f t="shared" si="31"/>
        <v>1186.6530637598739</v>
      </c>
      <c r="AO57" s="43"/>
      <c r="AP57" s="43"/>
    </row>
    <row r="58" spans="1:42">
      <c r="A58">
        <v>96</v>
      </c>
      <c r="B58">
        <f t="shared" si="3"/>
        <v>96</v>
      </c>
      <c r="D58" s="43">
        <f t="shared" si="4"/>
        <v>223.51667837160312</v>
      </c>
      <c r="E58" s="43">
        <f t="shared" si="5"/>
        <v>377.2536536300405</v>
      </c>
      <c r="F58" s="69">
        <f t="shared" si="6"/>
        <v>0.39686720604789122</v>
      </c>
      <c r="G58" s="98">
        <f t="shared" si="7"/>
        <v>31.215576497884133</v>
      </c>
      <c r="H58" s="69">
        <f t="shared" si="8"/>
        <v>1.2700400570488555</v>
      </c>
      <c r="I58" s="69">
        <f t="shared" si="9"/>
        <v>7.4126668374831883</v>
      </c>
      <c r="J58" s="99">
        <f t="shared" si="10"/>
        <v>1.5047746178408776E-2</v>
      </c>
      <c r="K58" s="69">
        <f t="shared" si="11"/>
        <v>5.7593745514522635E-2</v>
      </c>
      <c r="L58" s="99">
        <f t="shared" si="12"/>
        <v>7.2641491692931409E-2</v>
      </c>
      <c r="M58" s="69">
        <f t="shared" si="13"/>
        <v>17.483672587803429</v>
      </c>
      <c r="N58" s="69">
        <f t="shared" si="14"/>
        <v>19.703409087793638</v>
      </c>
      <c r="O58" s="69">
        <f t="shared" si="15"/>
        <v>15.514006017713893</v>
      </c>
      <c r="P58" s="69">
        <f t="shared" si="16"/>
        <v>0.80840068635008677</v>
      </c>
      <c r="Q58" s="69">
        <f t="shared" si="17"/>
        <v>0.85099323416253625</v>
      </c>
      <c r="R58" s="43">
        <f t="shared" si="18"/>
        <v>1663.73487391614</v>
      </c>
      <c r="S58" s="43">
        <f t="shared" si="19"/>
        <v>1079.578670053977</v>
      </c>
      <c r="T58" s="43">
        <f>R58+Thrust!C$33*0.8</f>
        <v>3475.49487391614</v>
      </c>
      <c r="U58" s="43"/>
      <c r="V58">
        <f t="shared" si="20"/>
        <v>407274.9976589228</v>
      </c>
      <c r="W58">
        <f t="shared" si="21"/>
        <v>627650.05985657859</v>
      </c>
      <c r="X58">
        <f t="shared" si="22"/>
        <v>220375.06219765579</v>
      </c>
      <c r="Y58">
        <f t="shared" si="23"/>
        <v>220375.06219765579</v>
      </c>
      <c r="Z58">
        <f t="shared" si="24"/>
        <v>-1294.6489991806818</v>
      </c>
      <c r="AA58">
        <f t="shared" si="25"/>
        <v>-3.2788914883947236</v>
      </c>
      <c r="AB58">
        <f t="shared" si="26"/>
        <v>2873.2232318890105</v>
      </c>
      <c r="AC58">
        <f t="shared" si="27"/>
        <v>7.2925686794464424</v>
      </c>
      <c r="AD58">
        <f t="shared" si="28"/>
        <v>12.261473155920722</v>
      </c>
      <c r="AE58">
        <f t="shared" si="29"/>
        <v>2740.6437517539775</v>
      </c>
      <c r="AH58">
        <v>8.3078684572469079</v>
      </c>
      <c r="AI58">
        <v>1869.8766695076185</v>
      </c>
      <c r="AJ58">
        <f t="shared" si="30"/>
        <v>14488.993614021363</v>
      </c>
      <c r="AK58">
        <f t="shared" si="31"/>
        <v>1181.6682571314877</v>
      </c>
      <c r="AO58" s="43"/>
      <c r="AP58" s="43"/>
    </row>
    <row r="59" spans="1:42">
      <c r="A59">
        <v>97</v>
      </c>
      <c r="B59">
        <f t="shared" si="3"/>
        <v>97</v>
      </c>
      <c r="D59" s="43">
        <f t="shared" si="4"/>
        <v>225.84497710464063</v>
      </c>
      <c r="E59" s="43">
        <f t="shared" si="5"/>
        <v>381.18337918868673</v>
      </c>
      <c r="F59" s="69">
        <f t="shared" si="6"/>
        <v>0.40100123944422339</v>
      </c>
      <c r="G59" s="98">
        <f t="shared" si="7"/>
        <v>31.869288115081567</v>
      </c>
      <c r="H59" s="69">
        <f t="shared" si="8"/>
        <v>1.2439886455268632</v>
      </c>
      <c r="I59" s="69">
        <f t="shared" si="9"/>
        <v>7.1932978433959329</v>
      </c>
      <c r="J59" s="99">
        <f t="shared" si="10"/>
        <v>1.5047746178408776E-2</v>
      </c>
      <c r="K59" s="69">
        <f t="shared" si="11"/>
        <v>5.5057601780603531E-2</v>
      </c>
      <c r="L59" s="99">
        <f t="shared" si="12"/>
        <v>7.0105347959012312E-2</v>
      </c>
      <c r="M59" s="69">
        <f t="shared" si="13"/>
        <v>17.74456131726458</v>
      </c>
      <c r="N59" s="69">
        <f t="shared" si="14"/>
        <v>19.791261417930553</v>
      </c>
      <c r="O59" s="69">
        <f t="shared" si="15"/>
        <v>15.90951934255671</v>
      </c>
      <c r="P59" s="69">
        <f t="shared" si="16"/>
        <v>0.8168215268329001</v>
      </c>
      <c r="Q59" s="69">
        <f t="shared" si="17"/>
        <v>0.85230167080381769</v>
      </c>
      <c r="R59" s="43">
        <f t="shared" si="18"/>
        <v>1649.1146561513369</v>
      </c>
      <c r="S59" s="43">
        <f t="shared" si="19"/>
        <v>1063.7062062298244</v>
      </c>
      <c r="T59" s="43">
        <f>R59+Thrust!C$33*0.8</f>
        <v>3460.8746561513371</v>
      </c>
      <c r="U59" s="43"/>
      <c r="V59">
        <f t="shared" si="20"/>
        <v>405467.12615466258</v>
      </c>
      <c r="W59">
        <f t="shared" si="21"/>
        <v>628615.0973013558</v>
      </c>
      <c r="X59">
        <f t="shared" si="22"/>
        <v>223147.97114669322</v>
      </c>
      <c r="Y59">
        <f t="shared" si="23"/>
        <v>223147.97114669322</v>
      </c>
      <c r="Z59">
        <f t="shared" si="24"/>
        <v>-1288.9021228757483</v>
      </c>
      <c r="AA59">
        <f t="shared" si="25"/>
        <v>-3.2306321756536489</v>
      </c>
      <c r="AB59">
        <f t="shared" si="26"/>
        <v>2904.669998068096</v>
      </c>
      <c r="AC59">
        <f t="shared" si="27"/>
        <v>7.2964009356478003</v>
      </c>
      <c r="AD59">
        <f t="shared" si="28"/>
        <v>12.335080417912563</v>
      </c>
      <c r="AE59">
        <f t="shared" si="29"/>
        <v>2785.8159545673634</v>
      </c>
      <c r="AH59">
        <v>8.3217682272519138</v>
      </c>
      <c r="AI59">
        <v>1892.4933618852733</v>
      </c>
      <c r="AJ59">
        <f t="shared" si="30"/>
        <v>14514.656847980359</v>
      </c>
      <c r="AK59">
        <f t="shared" si="31"/>
        <v>1176.6973830914546</v>
      </c>
      <c r="AO59" s="43"/>
      <c r="AP59" s="43"/>
    </row>
    <row r="60" spans="1:42">
      <c r="A60">
        <v>98</v>
      </c>
      <c r="B60">
        <f t="shared" si="3"/>
        <v>98</v>
      </c>
      <c r="D60" s="43">
        <f t="shared" si="4"/>
        <v>228.17327583767818</v>
      </c>
      <c r="E60" s="43">
        <f t="shared" si="5"/>
        <v>385.11310474733301</v>
      </c>
      <c r="F60" s="69">
        <f t="shared" si="6"/>
        <v>0.40513527284055562</v>
      </c>
      <c r="G60" s="98">
        <f t="shared" si="7"/>
        <v>32.529773945928731</v>
      </c>
      <c r="H60" s="69">
        <f t="shared" si="8"/>
        <v>1.2187306503292641</v>
      </c>
      <c r="I60" s="69">
        <f t="shared" si="9"/>
        <v>6.980609905374588</v>
      </c>
      <c r="J60" s="99">
        <f t="shared" si="10"/>
        <v>1.5047746178408776E-2</v>
      </c>
      <c r="K60" s="69">
        <f t="shared" si="11"/>
        <v>5.2653220051283534E-2</v>
      </c>
      <c r="L60" s="99">
        <f t="shared" si="12"/>
        <v>6.7700966229692308E-2</v>
      </c>
      <c r="M60" s="69">
        <f t="shared" si="13"/>
        <v>18.001672918439869</v>
      </c>
      <c r="N60" s="69">
        <f t="shared" si="14"/>
        <v>19.873151039749676</v>
      </c>
      <c r="O60" s="69">
        <f t="shared" si="15"/>
        <v>16.306434103696787</v>
      </c>
      <c r="P60" s="69">
        <f t="shared" si="16"/>
        <v>0.82524236731571365</v>
      </c>
      <c r="Q60" s="69">
        <f t="shared" si="17"/>
        <v>0.8534750538977196</v>
      </c>
      <c r="R60" s="43">
        <f t="shared" si="18"/>
        <v>1634.5341621528457</v>
      </c>
      <c r="S60" s="43">
        <f t="shared" si="19"/>
        <v>1048.513662342212</v>
      </c>
      <c r="T60" s="43">
        <f>R60+Thrust!C$33*0.8</f>
        <v>3446.2941621528457</v>
      </c>
      <c r="U60" s="43"/>
      <c r="V60">
        <f t="shared" si="20"/>
        <v>403796.35187460604</v>
      </c>
      <c r="W60">
        <f t="shared" si="21"/>
        <v>629480.52600226307</v>
      </c>
      <c r="X60">
        <f t="shared" si="22"/>
        <v>225684.17412765702</v>
      </c>
      <c r="Y60">
        <f t="shared" si="23"/>
        <v>225684.17412765702</v>
      </c>
      <c r="Z60">
        <f t="shared" si="24"/>
        <v>-1283.5910523166283</v>
      </c>
      <c r="AA60">
        <f t="shared" si="25"/>
        <v>-3.1844422697677257</v>
      </c>
      <c r="AB60">
        <f t="shared" si="26"/>
        <v>2935.3643214347608</v>
      </c>
      <c r="AC60">
        <f t="shared" si="27"/>
        <v>7.2982740075706474</v>
      </c>
      <c r="AD60">
        <f t="shared" si="28"/>
        <v>12.403171107522775</v>
      </c>
      <c r="AE60">
        <f t="shared" si="29"/>
        <v>2830.0721823787144</v>
      </c>
      <c r="AH60">
        <v>8.3340415282317224</v>
      </c>
      <c r="AI60">
        <v>1914.8036069557174</v>
      </c>
      <c r="AJ60">
        <f t="shared" si="30"/>
        <v>14533.291901213119</v>
      </c>
      <c r="AK60">
        <f t="shared" si="31"/>
        <v>1171.7400151319675</v>
      </c>
      <c r="AO60" s="43"/>
      <c r="AP60" s="43"/>
    </row>
    <row r="61" spans="1:42">
      <c r="A61">
        <v>99</v>
      </c>
      <c r="B61">
        <f t="shared" si="3"/>
        <v>99</v>
      </c>
      <c r="D61" s="43">
        <f t="shared" si="4"/>
        <v>230.50157457071572</v>
      </c>
      <c r="E61" s="43">
        <f t="shared" si="5"/>
        <v>389.04283030597924</v>
      </c>
      <c r="F61" s="69">
        <f t="shared" si="6"/>
        <v>0.40926930623688779</v>
      </c>
      <c r="G61" s="98">
        <f t="shared" si="7"/>
        <v>33.197033990425595</v>
      </c>
      <c r="H61" s="69">
        <f t="shared" si="8"/>
        <v>1.1942341766924043</v>
      </c>
      <c r="I61" s="69">
        <f t="shared" si="9"/>
        <v>6.7743344497868385</v>
      </c>
      <c r="J61" s="99">
        <f t="shared" si="10"/>
        <v>1.5047746178408776E-2</v>
      </c>
      <c r="K61" s="69">
        <f t="shared" si="11"/>
        <v>5.037260522077739E-2</v>
      </c>
      <c r="L61" s="99">
        <f t="shared" si="12"/>
        <v>6.5420351399186172E-2</v>
      </c>
      <c r="M61" s="69">
        <f t="shared" si="13"/>
        <v>18.254780831202638</v>
      </c>
      <c r="N61" s="69">
        <f t="shared" si="14"/>
        <v>19.949011054160028</v>
      </c>
      <c r="O61" s="69">
        <f t="shared" si="15"/>
        <v>16.704438244609239</v>
      </c>
      <c r="P61" s="69">
        <f t="shared" si="16"/>
        <v>0.83366320779852698</v>
      </c>
      <c r="Q61" s="69">
        <f t="shared" si="17"/>
        <v>0.85451338344424177</v>
      </c>
      <c r="R61" s="43">
        <f t="shared" si="18"/>
        <v>1619.9921881701728</v>
      </c>
      <c r="S61" s="43">
        <f t="shared" si="19"/>
        <v>1033.9757115975467</v>
      </c>
      <c r="T61" s="43">
        <f>R61+Thrust!C$33*0.8</f>
        <v>3431.7521881701728</v>
      </c>
      <c r="U61" s="43"/>
      <c r="V61">
        <f t="shared" si="20"/>
        <v>402260.8373075485</v>
      </c>
      <c r="W61">
        <f t="shared" si="21"/>
        <v>630246.34595930052</v>
      </c>
      <c r="X61">
        <f t="shared" si="22"/>
        <v>227985.50865175202</v>
      </c>
      <c r="Y61">
        <f t="shared" si="23"/>
        <v>227985.50865175202</v>
      </c>
      <c r="Z61">
        <f t="shared" si="24"/>
        <v>-1278.7099464081011</v>
      </c>
      <c r="AA61">
        <f t="shared" si="25"/>
        <v>-3.1402444641113703</v>
      </c>
      <c r="AB61">
        <f t="shared" si="26"/>
        <v>2965.3120430842264</v>
      </c>
      <c r="AC61">
        <f t="shared" si="27"/>
        <v>7.2982616951269135</v>
      </c>
      <c r="AD61">
        <f t="shared" si="28"/>
        <v>12.4656638098439</v>
      </c>
      <c r="AE61">
        <f t="shared" si="29"/>
        <v>2873.3551362382063</v>
      </c>
      <c r="AH61">
        <v>8.3447475940246072</v>
      </c>
      <c r="AI61">
        <v>1936.8097284366436</v>
      </c>
      <c r="AJ61">
        <f t="shared" si="30"/>
        <v>14544.883479184682</v>
      </c>
      <c r="AK61">
        <f t="shared" si="31"/>
        <v>1166.7957439778588</v>
      </c>
      <c r="AO61" s="43"/>
      <c r="AP61" s="43"/>
    </row>
    <row r="62" spans="1:42">
      <c r="A62">
        <v>100</v>
      </c>
      <c r="B62">
        <f t="shared" si="3"/>
        <v>100</v>
      </c>
      <c r="D62" s="43">
        <f t="shared" si="4"/>
        <v>232.82987330375323</v>
      </c>
      <c r="E62" s="43">
        <f t="shared" si="5"/>
        <v>392.97255586462546</v>
      </c>
      <c r="F62" s="69">
        <f t="shared" si="6"/>
        <v>0.41340333963321996</v>
      </c>
      <c r="G62" s="98">
        <f t="shared" si="7"/>
        <v>33.871068248572179</v>
      </c>
      <c r="H62" s="69">
        <f t="shared" si="8"/>
        <v>1.1704689165762256</v>
      </c>
      <c r="I62" s="69">
        <f t="shared" si="9"/>
        <v>6.5742162641942068</v>
      </c>
      <c r="J62" s="99">
        <f t="shared" si="10"/>
        <v>1.5047746178408776E-2</v>
      </c>
      <c r="K62" s="69">
        <f t="shared" si="11"/>
        <v>4.8208318612409672E-2</v>
      </c>
      <c r="L62" s="99">
        <f t="shared" si="12"/>
        <v>6.3256064790818453E-2</v>
      </c>
      <c r="M62" s="69">
        <f t="shared" si="13"/>
        <v>18.503663173592138</v>
      </c>
      <c r="N62" s="69">
        <f t="shared" si="14"/>
        <v>20.018782299258294</v>
      </c>
      <c r="O62" s="69">
        <f t="shared" si="15"/>
        <v>17.103215656350656</v>
      </c>
      <c r="P62" s="69">
        <f t="shared" si="16"/>
        <v>0.84208404828134031</v>
      </c>
      <c r="Q62" s="69">
        <f t="shared" si="17"/>
        <v>0.8554166594433843</v>
      </c>
      <c r="R62" s="43">
        <f t="shared" si="18"/>
        <v>1605.4875786028435</v>
      </c>
      <c r="S62" s="43">
        <f t="shared" si="19"/>
        <v>1020.0682871777424</v>
      </c>
      <c r="T62" s="43">
        <f>R62+Thrust!C$33*0.8</f>
        <v>3417.2475786028435</v>
      </c>
      <c r="U62" s="43"/>
      <c r="V62">
        <f t="shared" si="20"/>
        <v>400858.84196868818</v>
      </c>
      <c r="W62">
        <f t="shared" si="21"/>
        <v>630912.55717246816</v>
      </c>
      <c r="X62">
        <f t="shared" si="22"/>
        <v>230053.71520377998</v>
      </c>
      <c r="Y62">
        <f t="shared" si="23"/>
        <v>230053.71520377998</v>
      </c>
      <c r="Z62">
        <f t="shared" si="24"/>
        <v>-1274.2532724832472</v>
      </c>
      <c r="AA62">
        <f t="shared" si="25"/>
        <v>-3.0979653149525417</v>
      </c>
      <c r="AB62">
        <f t="shared" si="26"/>
        <v>2994.5186956834136</v>
      </c>
      <c r="AC62">
        <f t="shared" si="27"/>
        <v>7.2964341141101823</v>
      </c>
      <c r="AD62">
        <f t="shared" si="28"/>
        <v>12.522485306370681</v>
      </c>
      <c r="AE62">
        <f t="shared" si="29"/>
        <v>2915.6086673303967</v>
      </c>
      <c r="AH62">
        <v>8.3539426903298075</v>
      </c>
      <c r="AI62">
        <v>1958.5139061751072</v>
      </c>
      <c r="AJ62">
        <f t="shared" si="30"/>
        <v>14549.427081036867</v>
      </c>
      <c r="AK62">
        <f t="shared" si="31"/>
        <v>1161.8641767249669</v>
      </c>
      <c r="AO62" s="43"/>
      <c r="AP62" s="43"/>
    </row>
    <row r="63" spans="1:42">
      <c r="A63">
        <v>101</v>
      </c>
      <c r="B63">
        <f t="shared" si="3"/>
        <v>101</v>
      </c>
      <c r="D63" s="43">
        <f t="shared" si="4"/>
        <v>235.15817203679077</v>
      </c>
      <c r="E63" s="43">
        <f t="shared" si="5"/>
        <v>396.90228142327175</v>
      </c>
      <c r="F63" s="69">
        <f t="shared" si="6"/>
        <v>0.41753737302955218</v>
      </c>
      <c r="G63" s="98">
        <f t="shared" si="7"/>
        <v>34.55187672036849</v>
      </c>
      <c r="H63" s="69">
        <f t="shared" si="8"/>
        <v>1.1474060548732725</v>
      </c>
      <c r="I63" s="69">
        <f t="shared" si="9"/>
        <v>6.3800127075738935</v>
      </c>
      <c r="J63" s="99">
        <f t="shared" si="10"/>
        <v>1.5047746178408776E-2</v>
      </c>
      <c r="K63" s="69">
        <f t="shared" si="11"/>
        <v>4.6153434307063555E-2</v>
      </c>
      <c r="L63" s="99">
        <f t="shared" si="12"/>
        <v>6.120118048547233E-2</v>
      </c>
      <c r="M63" s="69">
        <f t="shared" si="13"/>
        <v>18.748103317151518</v>
      </c>
      <c r="N63" s="69">
        <f t="shared" si="14"/>
        <v>20.082413583584781</v>
      </c>
      <c r="O63" s="69">
        <f t="shared" si="15"/>
        <v>17.502446930875593</v>
      </c>
      <c r="P63" s="69">
        <f t="shared" si="16"/>
        <v>0.85050488876415364</v>
      </c>
      <c r="Q63" s="69">
        <f t="shared" si="17"/>
        <v>0.85618488189514741</v>
      </c>
      <c r="R63" s="43">
        <f t="shared" si="18"/>
        <v>1591.0192236167384</v>
      </c>
      <c r="S63" s="43">
        <f t="shared" si="19"/>
        <v>1006.7685077632569</v>
      </c>
      <c r="T63" s="43">
        <f>R63+Thrust!C$33*0.8</f>
        <v>3402.7792236167384</v>
      </c>
      <c r="U63" s="43"/>
      <c r="V63">
        <f t="shared" si="20"/>
        <v>399588.71759633953</v>
      </c>
      <c r="W63">
        <f t="shared" si="21"/>
        <v>631479.15964176599</v>
      </c>
      <c r="X63">
        <f t="shared" si="22"/>
        <v>231890.44204542646</v>
      </c>
      <c r="Y63">
        <f t="shared" si="23"/>
        <v>231890.44204542646</v>
      </c>
      <c r="Z63">
        <f t="shared" si="24"/>
        <v>-1270.2157910347216</v>
      </c>
      <c r="AA63">
        <f t="shared" si="25"/>
        <v>-3.0575350116308937</v>
      </c>
      <c r="AB63">
        <f t="shared" si="26"/>
        <v>3022.9895187396664</v>
      </c>
      <c r="AC63">
        <f t="shared" si="27"/>
        <v>7.2928579139213818</v>
      </c>
      <c r="AD63">
        <f t="shared" si="28"/>
        <v>12.57357080884355</v>
      </c>
      <c r="AE63">
        <f t="shared" si="29"/>
        <v>2956.7779273828023</v>
      </c>
      <c r="AH63">
        <v>8.3616802907138652</v>
      </c>
      <c r="AI63">
        <v>1979.9181832698387</v>
      </c>
      <c r="AJ63">
        <f t="shared" si="30"/>
        <v>14546.929075102295</v>
      </c>
      <c r="AK63">
        <f t="shared" si="31"/>
        <v>1156.9449360296912</v>
      </c>
      <c r="AO63" s="43"/>
      <c r="AP63" s="43"/>
    </row>
    <row r="64" spans="1:42">
      <c r="A64">
        <v>102</v>
      </c>
      <c r="B64">
        <f t="shared" si="3"/>
        <v>102</v>
      </c>
      <c r="D64" s="43">
        <f t="shared" si="4"/>
        <v>237.48647076982832</v>
      </c>
      <c r="E64" s="43">
        <f t="shared" si="5"/>
        <v>400.83200698191803</v>
      </c>
      <c r="F64" s="69">
        <f t="shared" si="6"/>
        <v>0.42167140642588441</v>
      </c>
      <c r="G64" s="98">
        <f t="shared" si="7"/>
        <v>35.2394594058145</v>
      </c>
      <c r="H64" s="69">
        <f t="shared" si="8"/>
        <v>1.1250181820225158</v>
      </c>
      <c r="I64" s="69">
        <f t="shared" si="9"/>
        <v>6.1914929744731397</v>
      </c>
      <c r="J64" s="99">
        <f t="shared" si="10"/>
        <v>1.5047746178408776E-2</v>
      </c>
      <c r="K64" s="69">
        <f t="shared" si="11"/>
        <v>4.4201499282944715E-2</v>
      </c>
      <c r="L64" s="99">
        <f t="shared" si="12"/>
        <v>5.9249245461353489E-2</v>
      </c>
      <c r="M64" s="69">
        <f t="shared" si="13"/>
        <v>18.987890449277224</v>
      </c>
      <c r="N64" s="69">
        <f t="shared" si="14"/>
        <v>20.139861891881832</v>
      </c>
      <c r="O64" s="69">
        <f t="shared" si="15"/>
        <v>17.901810134015026</v>
      </c>
      <c r="P64" s="69">
        <f t="shared" si="16"/>
        <v>0.8589257292469672</v>
      </c>
      <c r="Q64" s="69">
        <f t="shared" si="17"/>
        <v>0.85681805079953088</v>
      </c>
      <c r="R64" s="43">
        <f t="shared" si="18"/>
        <v>1576.5860569006452</v>
      </c>
      <c r="S64" s="43">
        <f t="shared" si="19"/>
        <v>994.05460814202672</v>
      </c>
      <c r="T64" s="43">
        <f>R64+Thrust!C$33*0.8</f>
        <v>3388.3460569006452</v>
      </c>
      <c r="U64" s="43"/>
      <c r="V64">
        <f t="shared" si="20"/>
        <v>398448.90363119263</v>
      </c>
      <c r="W64">
        <f t="shared" si="21"/>
        <v>631946.153367194</v>
      </c>
      <c r="X64">
        <f t="shared" si="22"/>
        <v>233497.24973600137</v>
      </c>
      <c r="Y64">
        <f t="shared" si="23"/>
        <v>233497.24973600137</v>
      </c>
      <c r="Z64">
        <f t="shared" si="24"/>
        <v>-1266.5925413441885</v>
      </c>
      <c r="AA64">
        <f t="shared" si="25"/>
        <v>-3.0188871625748428</v>
      </c>
      <c r="AB64">
        <f t="shared" si="26"/>
        <v>3050.7294729713203</v>
      </c>
      <c r="AC64">
        <f t="shared" si="27"/>
        <v>7.2875964804471121</v>
      </c>
      <c r="AD64">
        <f t="shared" si="28"/>
        <v>12.618864165049494</v>
      </c>
      <c r="AE64">
        <f t="shared" si="29"/>
        <v>2996.8095156814607</v>
      </c>
      <c r="AH64">
        <v>8.3680112405864708</v>
      </c>
      <c r="AI64">
        <v>2001.024472774588</v>
      </c>
      <c r="AJ64">
        <f t="shared" si="30"/>
        <v>14537.406736311506</v>
      </c>
      <c r="AK64">
        <f t="shared" si="31"/>
        <v>1152.0376593462195</v>
      </c>
      <c r="AO64" s="43"/>
      <c r="AP64" s="43"/>
    </row>
    <row r="65" spans="1:42">
      <c r="A65">
        <v>103</v>
      </c>
      <c r="B65">
        <f t="shared" si="3"/>
        <v>103</v>
      </c>
      <c r="D65" s="43">
        <f t="shared" si="4"/>
        <v>239.81476950286583</v>
      </c>
      <c r="E65" s="43">
        <f t="shared" si="5"/>
        <v>404.76173254056425</v>
      </c>
      <c r="F65" s="69">
        <f t="shared" si="6"/>
        <v>0.42580543982221658</v>
      </c>
      <c r="G65" s="98">
        <f t="shared" si="7"/>
        <v>35.933816304910231</v>
      </c>
      <c r="H65" s="69">
        <f t="shared" si="8"/>
        <v>1.1032792125329678</v>
      </c>
      <c r="I65" s="69">
        <f t="shared" si="9"/>
        <v>6.0084374089276853</v>
      </c>
      <c r="J65" s="99">
        <f t="shared" si="10"/>
        <v>1.5047746178408776E-2</v>
      </c>
      <c r="K65" s="69">
        <f t="shared" si="11"/>
        <v>4.2346497001046694E-2</v>
      </c>
      <c r="L65" s="99">
        <f t="shared" si="12"/>
        <v>5.7394243179455469E-2</v>
      </c>
      <c r="M65" s="69">
        <f t="shared" si="13"/>
        <v>19.222820119490514</v>
      </c>
      <c r="N65" s="69">
        <f t="shared" si="14"/>
        <v>20.191092561978554</v>
      </c>
      <c r="O65" s="69">
        <f t="shared" si="15"/>
        <v>18.300981594335273</v>
      </c>
      <c r="P65" s="69">
        <f t="shared" si="16"/>
        <v>0.86734656972978053</v>
      </c>
      <c r="Q65" s="69">
        <f t="shared" si="17"/>
        <v>0.85731616615653461</v>
      </c>
      <c r="R65" s="43">
        <f t="shared" si="18"/>
        <v>1562.1870535534956</v>
      </c>
      <c r="S65" s="43">
        <f t="shared" si="19"/>
        <v>981.90587451120928</v>
      </c>
      <c r="T65" s="43">
        <f>R65+Thrust!C$33*0.8</f>
        <v>3373.9470535534956</v>
      </c>
      <c r="U65" s="43"/>
      <c r="V65">
        <f t="shared" si="20"/>
        <v>397437.92295891495</v>
      </c>
      <c r="W65">
        <f t="shared" si="21"/>
        <v>632313.53834875207</v>
      </c>
      <c r="X65">
        <f t="shared" si="22"/>
        <v>234875.61538983713</v>
      </c>
      <c r="Y65">
        <f t="shared" si="23"/>
        <v>234875.61538983713</v>
      </c>
      <c r="Z65">
        <f t="shared" si="24"/>
        <v>-1263.3788279488685</v>
      </c>
      <c r="AA65">
        <f t="shared" si="25"/>
        <v>-2.9819585959181292</v>
      </c>
      <c r="AB65">
        <f t="shared" si="26"/>
        <v>3077.7432538411549</v>
      </c>
      <c r="AC65">
        <f t="shared" si="27"/>
        <v>7.2807101252365518</v>
      </c>
      <c r="AD65">
        <f t="shared" si="28"/>
        <v>12.658318035163397</v>
      </c>
      <c r="AE65">
        <f t="shared" si="29"/>
        <v>3035.6516218966799</v>
      </c>
      <c r="AH65">
        <v>8.3729839100757975</v>
      </c>
      <c r="AI65">
        <v>2021.8345640109937</v>
      </c>
      <c r="AJ65">
        <f t="shared" si="30"/>
        <v>14520.888244812091</v>
      </c>
      <c r="AK65">
        <f t="shared" si="31"/>
        <v>1147.1419982081886</v>
      </c>
      <c r="AO65" s="43"/>
      <c r="AP65" s="43"/>
    </row>
    <row r="66" spans="1:42">
      <c r="A66">
        <v>104</v>
      </c>
      <c r="B66">
        <f t="shared" si="3"/>
        <v>104</v>
      </c>
      <c r="D66" s="43">
        <f t="shared" si="4"/>
        <v>242.14306823590337</v>
      </c>
      <c r="E66" s="43">
        <f t="shared" si="5"/>
        <v>408.69145809921054</v>
      </c>
      <c r="F66" s="69">
        <f t="shared" si="6"/>
        <v>0.42993947321854881</v>
      </c>
      <c r="G66" s="98">
        <f t="shared" si="7"/>
        <v>36.634947417655681</v>
      </c>
      <c r="H66" s="69">
        <f t="shared" si="8"/>
        <v>1.0821643089647053</v>
      </c>
      <c r="I66" s="69">
        <f t="shared" si="9"/>
        <v>5.8306368643349709</v>
      </c>
      <c r="J66" s="99">
        <f t="shared" si="10"/>
        <v>1.5047746178408776E-2</v>
      </c>
      <c r="K66" s="69">
        <f t="shared" si="11"/>
        <v>4.0582814108891169E-2</v>
      </c>
      <c r="L66" s="99">
        <f t="shared" si="12"/>
        <v>5.5630560287299943E-2</v>
      </c>
      <c r="M66" s="69">
        <f t="shared" si="13"/>
        <v>19.452694766616535</v>
      </c>
      <c r="N66" s="69">
        <f t="shared" si="14"/>
        <v>20.236079431609351</v>
      </c>
      <c r="O66" s="69">
        <f t="shared" si="15"/>
        <v>18.699636703939149</v>
      </c>
      <c r="P66" s="69">
        <f t="shared" si="16"/>
        <v>0.87576741021259397</v>
      </c>
      <c r="Q66" s="69">
        <f t="shared" si="17"/>
        <v>0.8576792279661587</v>
      </c>
      <c r="R66" s="43">
        <f t="shared" si="18"/>
        <v>1547.8212280934929</v>
      </c>
      <c r="S66" s="43">
        <f t="shared" si="19"/>
        <v>970.30258411251384</v>
      </c>
      <c r="T66" s="43">
        <f>R66+Thrust!C$33*0.8</f>
        <v>3359.5812280934929</v>
      </c>
      <c r="U66" s="43"/>
      <c r="V66">
        <f t="shared" si="20"/>
        <v>396554.37789837515</v>
      </c>
      <c r="W66">
        <f t="shared" si="21"/>
        <v>632581.31458644033</v>
      </c>
      <c r="X66">
        <f t="shared" si="22"/>
        <v>236026.93668806518</v>
      </c>
      <c r="Y66">
        <f t="shared" si="23"/>
        <v>236026.93668806518</v>
      </c>
      <c r="Z66">
        <f t="shared" si="24"/>
        <v>-1260.5702078888746</v>
      </c>
      <c r="AA66">
        <f t="shared" si="25"/>
        <v>-2.9466891735849625</v>
      </c>
      <c r="AB66">
        <f t="shared" si="26"/>
        <v>3104.0353043090577</v>
      </c>
      <c r="AC66">
        <f t="shared" si="27"/>
        <v>7.2722562620241158</v>
      </c>
      <c r="AD66">
        <f t="shared" si="28"/>
        <v>12.691894037401784</v>
      </c>
      <c r="AE66">
        <f t="shared" si="29"/>
        <v>3073.2541639414358</v>
      </c>
      <c r="AH66">
        <v>8.3766443366528556</v>
      </c>
      <c r="AI66">
        <v>2042.3501285172345</v>
      </c>
      <c r="AJ66">
        <f t="shared" si="30"/>
        <v>14497.412645382303</v>
      </c>
      <c r="AK66">
        <f t="shared" si="31"/>
        <v>1142.2576175517877</v>
      </c>
      <c r="AO66" s="43"/>
      <c r="AP66" s="43"/>
    </row>
    <row r="67" spans="1:42">
      <c r="A67">
        <v>105</v>
      </c>
      <c r="B67">
        <f t="shared" si="3"/>
        <v>105</v>
      </c>
      <c r="D67" s="43">
        <f t="shared" si="4"/>
        <v>244.47136696894091</v>
      </c>
      <c r="E67" s="43">
        <f t="shared" si="5"/>
        <v>412.62118365785676</v>
      </c>
      <c r="F67" s="69">
        <f t="shared" si="6"/>
        <v>0.43407350661488098</v>
      </c>
      <c r="G67" s="98">
        <f t="shared" si="7"/>
        <v>37.34285274405083</v>
      </c>
      <c r="H67" s="69">
        <f t="shared" si="8"/>
        <v>1.0616498109534926</v>
      </c>
      <c r="I67" s="69">
        <f t="shared" si="9"/>
        <v>5.6578921057975817</v>
      </c>
      <c r="J67" s="99">
        <f t="shared" si="10"/>
        <v>1.5047746178408776E-2</v>
      </c>
      <c r="K67" s="69">
        <f t="shared" si="11"/>
        <v>3.8905209968992147E-2</v>
      </c>
      <c r="L67" s="99">
        <f t="shared" si="12"/>
        <v>5.3952956147400921E-2</v>
      </c>
      <c r="M67" s="69">
        <f t="shared" si="13"/>
        <v>19.677324223959793</v>
      </c>
      <c r="N67" s="69">
        <f t="shared" si="14"/>
        <v>20.274804954171131</v>
      </c>
      <c r="O67" s="69">
        <f t="shared" si="15"/>
        <v>19.097450727148768</v>
      </c>
      <c r="P67" s="69">
        <f t="shared" si="16"/>
        <v>0.8841882506954073</v>
      </c>
      <c r="Q67" s="69">
        <f t="shared" si="17"/>
        <v>0.85790723622840315</v>
      </c>
      <c r="R67" s="43">
        <f t="shared" si="18"/>
        <v>1533.4876325810048</v>
      </c>
      <c r="S67" s="43">
        <f t="shared" si="19"/>
        <v>959.22594887251717</v>
      </c>
      <c r="T67" s="43">
        <f>R67+Thrust!C$33*0.8</f>
        <v>3345.2476325810048</v>
      </c>
      <c r="U67" s="43"/>
      <c r="V67">
        <f t="shared" si="20"/>
        <v>395796.94641910883</v>
      </c>
      <c r="W67">
        <f t="shared" si="21"/>
        <v>632749.48208025878</v>
      </c>
      <c r="X67">
        <f t="shared" si="22"/>
        <v>236952.53566114994</v>
      </c>
      <c r="Y67">
        <f t="shared" si="23"/>
        <v>236952.53566114994</v>
      </c>
      <c r="Z67">
        <f t="shared" si="24"/>
        <v>-1258.1624786832599</v>
      </c>
      <c r="AA67">
        <f t="shared" si="25"/>
        <v>-2.9130216178107395</v>
      </c>
      <c r="AB67">
        <f t="shared" si="26"/>
        <v>3129.609826855974</v>
      </c>
      <c r="AC67">
        <f t="shared" si="27"/>
        <v>7.2622895715559483</v>
      </c>
      <c r="AD67">
        <f t="shared" si="28"/>
        <v>12.719562861962503</v>
      </c>
      <c r="AE67">
        <f t="shared" si="29"/>
        <v>3109.5689201113473</v>
      </c>
      <c r="AH67">
        <v>8.3790363582823151</v>
      </c>
      <c r="AI67">
        <v>2062.572725656772</v>
      </c>
      <c r="AJ67">
        <f t="shared" si="30"/>
        <v>14467.029767491415</v>
      </c>
      <c r="AK67">
        <f t="shared" si="31"/>
        <v>1137.3841950775418</v>
      </c>
      <c r="AO67" s="43"/>
      <c r="AP67" s="43"/>
    </row>
    <row r="68" spans="1:42">
      <c r="A68">
        <v>106</v>
      </c>
      <c r="B68">
        <f t="shared" si="3"/>
        <v>106</v>
      </c>
      <c r="D68" s="43">
        <f t="shared" si="4"/>
        <v>246.79966570197843</v>
      </c>
      <c r="E68" s="43">
        <f t="shared" si="5"/>
        <v>416.55090921650299</v>
      </c>
      <c r="F68" s="69">
        <f t="shared" si="6"/>
        <v>0.43820754001121315</v>
      </c>
      <c r="G68" s="98">
        <f t="shared" si="7"/>
        <v>38.0575322840957</v>
      </c>
      <c r="H68" s="69">
        <f t="shared" si="8"/>
        <v>1.0417131689001653</v>
      </c>
      <c r="I68" s="69">
        <f t="shared" si="9"/>
        <v>5.4900132517468503</v>
      </c>
      <c r="J68" s="99">
        <f t="shared" si="10"/>
        <v>1.5047746178408776E-2</v>
      </c>
      <c r="K68" s="69">
        <f t="shared" si="11"/>
        <v>3.7308788748585821E-2</v>
      </c>
      <c r="L68" s="99">
        <f t="shared" si="12"/>
        <v>5.2356534926994595E-2</v>
      </c>
      <c r="M68" s="69">
        <f t="shared" si="13"/>
        <v>19.896526199694446</v>
      </c>
      <c r="N68" s="69">
        <f t="shared" si="14"/>
        <v>20.307260282631326</v>
      </c>
      <c r="O68" s="69">
        <f t="shared" si="15"/>
        <v>19.494099612920913</v>
      </c>
      <c r="P68" s="69">
        <f t="shared" si="16"/>
        <v>0.89260909117822074</v>
      </c>
      <c r="Q68" s="69">
        <f t="shared" si="17"/>
        <v>0.85800019094326807</v>
      </c>
      <c r="R68" s="43">
        <f t="shared" si="18"/>
        <v>1519.1853548477054</v>
      </c>
      <c r="S68" s="43">
        <f t="shared" si="19"/>
        <v>948.65806274714771</v>
      </c>
      <c r="T68" s="43">
        <f>R68+Thrust!C$33*0.8</f>
        <v>3330.9453548477054</v>
      </c>
      <c r="U68" s="43"/>
      <c r="V68">
        <f t="shared" si="20"/>
        <v>395164.37857289071</v>
      </c>
      <c r="W68">
        <f t="shared" si="21"/>
        <v>632818.04083020741</v>
      </c>
      <c r="X68">
        <f t="shared" si="22"/>
        <v>237653.6622573167</v>
      </c>
      <c r="Y68">
        <f t="shared" si="23"/>
        <v>237653.6622573167</v>
      </c>
      <c r="Z68">
        <f t="shared" si="24"/>
        <v>-1256.1516669866724</v>
      </c>
      <c r="AA68">
        <f t="shared" si="25"/>
        <v>-2.8809013491539845</v>
      </c>
      <c r="AB68">
        <f t="shared" si="26"/>
        <v>3154.4707948272571</v>
      </c>
      <c r="AC68">
        <f t="shared" si="27"/>
        <v>7.250862155597277</v>
      </c>
      <c r="AD68">
        <f t="shared" si="28"/>
        <v>12.741304352436927</v>
      </c>
      <c r="AE68">
        <f t="shared" si="29"/>
        <v>3144.5496547885964</v>
      </c>
      <c r="AH68">
        <v>8.380201737811193</v>
      </c>
      <c r="AI68">
        <v>2082.5038079096084</v>
      </c>
      <c r="AJ68">
        <f t="shared" si="30"/>
        <v>14429.800106133216</v>
      </c>
      <c r="AK68">
        <f t="shared" si="31"/>
        <v>1132.5214206482199</v>
      </c>
      <c r="AO68" s="43"/>
      <c r="AP68" s="43"/>
    </row>
    <row r="69" spans="1:42">
      <c r="A69">
        <v>107</v>
      </c>
      <c r="B69">
        <f t="shared" si="3"/>
        <v>107</v>
      </c>
      <c r="D69" s="43">
        <f t="shared" si="4"/>
        <v>249.12796443501597</v>
      </c>
      <c r="E69" s="43">
        <f t="shared" si="5"/>
        <v>420.48063477514927</v>
      </c>
      <c r="F69" s="69">
        <f t="shared" si="6"/>
        <v>0.44234157340754537</v>
      </c>
      <c r="G69" s="98">
        <f t="shared" si="7"/>
        <v>38.77898603779029</v>
      </c>
      <c r="H69" s="69">
        <f t="shared" si="8"/>
        <v>1.0223328819776623</v>
      </c>
      <c r="I69" s="69">
        <f t="shared" si="9"/>
        <v>5.3268192519237365</v>
      </c>
      <c r="J69" s="99">
        <f t="shared" si="10"/>
        <v>1.5047746178408776E-2</v>
      </c>
      <c r="K69" s="69">
        <f t="shared" si="11"/>
        <v>3.5788973833927026E-2</v>
      </c>
      <c r="L69" s="99">
        <f t="shared" si="12"/>
        <v>5.0836720012335801E-2</v>
      </c>
      <c r="M69" s="69">
        <f t="shared" si="13"/>
        <v>20.110126729843856</v>
      </c>
      <c r="N69" s="69">
        <f t="shared" si="14"/>
        <v>20.333445321015738</v>
      </c>
      <c r="O69" s="69">
        <f t="shared" si="15"/>
        <v>19.889260806794649</v>
      </c>
      <c r="P69" s="69">
        <f t="shared" si="16"/>
        <v>0.90102993166103418</v>
      </c>
      <c r="Q69" s="69">
        <f t="shared" si="17"/>
        <v>0.85795809211075325</v>
      </c>
      <c r="R69" s="43">
        <f t="shared" si="18"/>
        <v>1504.9135168250186</v>
      </c>
      <c r="S69" s="43">
        <f t="shared" si="19"/>
        <v>938.58185249469852</v>
      </c>
      <c r="T69" s="43">
        <f>R69+Thrust!C$33*0.8</f>
        <v>3316.6735168250189</v>
      </c>
      <c r="U69" s="43"/>
      <c r="V69">
        <f t="shared" si="20"/>
        <v>394655.49312540633</v>
      </c>
      <c r="W69">
        <f t="shared" si="21"/>
        <v>632786.9908362861</v>
      </c>
      <c r="X69">
        <f t="shared" si="22"/>
        <v>238131.49771087978</v>
      </c>
      <c r="Y69">
        <f t="shared" si="23"/>
        <v>238131.49771087978</v>
      </c>
      <c r="Z69">
        <f t="shared" si="24"/>
        <v>-1254.5340178820863</v>
      </c>
      <c r="AA69">
        <f t="shared" si="25"/>
        <v>-2.8502763351353311</v>
      </c>
      <c r="AB69">
        <f t="shared" si="26"/>
        <v>3178.6219631399345</v>
      </c>
      <c r="AC69">
        <f t="shared" si="27"/>
        <v>7.2380236809243419</v>
      </c>
      <c r="AD69">
        <f t="shared" si="28"/>
        <v>12.757107554103094</v>
      </c>
      <c r="AE69">
        <f t="shared" si="29"/>
        <v>3178.1522370322687</v>
      </c>
      <c r="AH69">
        <v>8.380180279247524</v>
      </c>
      <c r="AI69">
        <v>2102.1447258668391</v>
      </c>
      <c r="AJ69">
        <f t="shared" si="30"/>
        <v>14385.794663833922</v>
      </c>
      <c r="AK69">
        <f t="shared" si="31"/>
        <v>1127.6689957205065</v>
      </c>
      <c r="AO69" s="43"/>
      <c r="AP69" s="43"/>
    </row>
    <row r="70" spans="1:42">
      <c r="A70">
        <v>108</v>
      </c>
      <c r="B70">
        <f t="shared" si="3"/>
        <v>108</v>
      </c>
      <c r="D70" s="43">
        <f t="shared" si="4"/>
        <v>251.45626316805351</v>
      </c>
      <c r="E70" s="43">
        <f t="shared" si="5"/>
        <v>424.41036033379555</v>
      </c>
      <c r="F70" s="69">
        <f t="shared" si="6"/>
        <v>0.44647560680387766</v>
      </c>
      <c r="G70" s="98">
        <f t="shared" si="7"/>
        <v>39.5072140051346</v>
      </c>
      <c r="H70" s="69">
        <f t="shared" si="8"/>
        <v>1.0034884401373674</v>
      </c>
      <c r="I70" s="69">
        <f t="shared" si="9"/>
        <v>5.1681373990363602</v>
      </c>
      <c r="J70" s="99">
        <f t="shared" si="10"/>
        <v>1.5047746178408776E-2</v>
      </c>
      <c r="K70" s="69">
        <f t="shared" si="11"/>
        <v>3.4341484356275161E-2</v>
      </c>
      <c r="L70" s="99">
        <f t="shared" si="12"/>
        <v>4.9389230534683935E-2</v>
      </c>
      <c r="M70" s="69">
        <f t="shared" si="13"/>
        <v>20.317960601403996</v>
      </c>
      <c r="N70" s="69">
        <f t="shared" si="14"/>
        <v>20.353368743127703</v>
      </c>
      <c r="O70" s="69">
        <f t="shared" si="15"/>
        <v>20.282614058156497</v>
      </c>
      <c r="P70" s="69">
        <f t="shared" si="16"/>
        <v>0.90945077214384762</v>
      </c>
      <c r="Q70" s="69">
        <f t="shared" si="17"/>
        <v>0.85778093973085889</v>
      </c>
      <c r="R70" s="43">
        <f t="shared" si="18"/>
        <v>1490.671272965428</v>
      </c>
      <c r="S70" s="43">
        <f t="shared" si="19"/>
        <v>928.9810316245871</v>
      </c>
      <c r="T70" s="43">
        <f>R70+Thrust!C$33*0.8</f>
        <v>3302.431272965428</v>
      </c>
      <c r="U70" s="43"/>
      <c r="V70">
        <f t="shared" si="20"/>
        <v>394269.17437505216</v>
      </c>
      <c r="W70">
        <f t="shared" si="21"/>
        <v>632656.33209849498</v>
      </c>
      <c r="X70">
        <f t="shared" si="22"/>
        <v>238387.15772344283</v>
      </c>
      <c r="Y70">
        <f t="shared" si="23"/>
        <v>238387.15772344283</v>
      </c>
      <c r="Z70">
        <f t="shared" si="24"/>
        <v>-1253.3059847683776</v>
      </c>
      <c r="AA70">
        <f t="shared" si="25"/>
        <v>-2.8210969487120283</v>
      </c>
      <c r="AB70">
        <f t="shared" si="26"/>
        <v>3202.0668783951264</v>
      </c>
      <c r="AC70">
        <f t="shared" si="27"/>
        <v>7.2238215140380655</v>
      </c>
      <c r="AD70">
        <f t="shared" si="28"/>
        <v>12.766970728736629</v>
      </c>
      <c r="AE70">
        <f t="shared" si="29"/>
        <v>3210.3347514240336</v>
      </c>
      <c r="AH70">
        <v>8.3790099365269519</v>
      </c>
      <c r="AI70">
        <v>2121.4967329477358</v>
      </c>
      <c r="AJ70">
        <f t="shared" si="30"/>
        <v>14335.094754508784</v>
      </c>
      <c r="AK70">
        <f t="shared" si="31"/>
        <v>1122.8266328082457</v>
      </c>
      <c r="AO70" s="43"/>
      <c r="AP70" s="43"/>
    </row>
    <row r="71" spans="1:42">
      <c r="A71">
        <v>109</v>
      </c>
      <c r="B71">
        <f t="shared" si="3"/>
        <v>109</v>
      </c>
      <c r="D71" s="43">
        <f t="shared" si="4"/>
        <v>253.78456190109102</v>
      </c>
      <c r="E71" s="43">
        <f t="shared" si="5"/>
        <v>428.34008589244178</v>
      </c>
      <c r="F71" s="69">
        <f t="shared" si="6"/>
        <v>0.45060964020020977</v>
      </c>
      <c r="G71" s="98">
        <f t="shared" si="7"/>
        <v>40.242216186128609</v>
      </c>
      <c r="H71" s="69">
        <f t="shared" si="8"/>
        <v>0.9851602698225953</v>
      </c>
      <c r="I71" s="69">
        <f t="shared" si="9"/>
        <v>5.0138028716339864</v>
      </c>
      <c r="J71" s="99">
        <f t="shared" si="10"/>
        <v>1.5047746178408776E-2</v>
      </c>
      <c r="K71" s="69">
        <f t="shared" si="11"/>
        <v>3.2962313637925594E-2</v>
      </c>
      <c r="L71" s="99">
        <f t="shared" si="12"/>
        <v>4.8010059816334369E-2</v>
      </c>
      <c r="M71" s="69">
        <f t="shared" si="13"/>
        <v>20.519871743367755</v>
      </c>
      <c r="N71" s="69">
        <f t="shared" si="14"/>
        <v>20.367047978376853</v>
      </c>
      <c r="O71" s="69">
        <f t="shared" si="15"/>
        <v>20.673842218631584</v>
      </c>
      <c r="P71" s="69">
        <f t="shared" si="16"/>
        <v>0.91787161262666095</v>
      </c>
      <c r="Q71" s="69">
        <f t="shared" si="17"/>
        <v>0.85746873380358501</v>
      </c>
      <c r="R71" s="43">
        <f t="shared" si="18"/>
        <v>1476.4578087506832</v>
      </c>
      <c r="S71" s="43">
        <f t="shared" si="19"/>
        <v>919.84005728986131</v>
      </c>
      <c r="T71" s="43">
        <f>R71+Thrust!C$33*0.8</f>
        <v>3288.2178087506832</v>
      </c>
      <c r="U71" s="43"/>
      <c r="V71">
        <f t="shared" si="20"/>
        <v>394004.36914684775</v>
      </c>
      <c r="W71">
        <f t="shared" si="21"/>
        <v>632426.06461683405</v>
      </c>
      <c r="X71">
        <f t="shared" si="22"/>
        <v>238421.6954699863</v>
      </c>
      <c r="Y71">
        <f t="shared" si="23"/>
        <v>238421.6954699863</v>
      </c>
      <c r="Z71">
        <f t="shared" si="24"/>
        <v>-1252.464219804549</v>
      </c>
      <c r="AA71">
        <f t="shared" si="25"/>
        <v>-2.7933158358623995</v>
      </c>
      <c r="AB71">
        <f t="shared" si="26"/>
        <v>3224.8088884338331</v>
      </c>
      <c r="AC71">
        <f t="shared" si="27"/>
        <v>7.2083008472761172</v>
      </c>
      <c r="AD71">
        <f t="shared" si="28"/>
        <v>12.770901335808707</v>
      </c>
      <c r="AE71">
        <f t="shared" si="29"/>
        <v>3241.0576005902708</v>
      </c>
      <c r="AH71">
        <v>8.3767269153160484</v>
      </c>
      <c r="AI71">
        <v>2140.5609898571656</v>
      </c>
      <c r="AJ71">
        <f t="shared" si="30"/>
        <v>14277.791770109388</v>
      </c>
      <c r="AK71">
        <f t="shared" si="31"/>
        <v>1117.9940549752323</v>
      </c>
      <c r="AO71" s="43"/>
      <c r="AP71" s="43"/>
    </row>
    <row r="72" spans="1:42">
      <c r="A72">
        <v>110</v>
      </c>
      <c r="B72">
        <f t="shared" si="3"/>
        <v>110</v>
      </c>
      <c r="D72" s="43">
        <f t="shared" si="4"/>
        <v>256.11286063412854</v>
      </c>
      <c r="E72" s="43">
        <f t="shared" si="5"/>
        <v>432.269811451088</v>
      </c>
      <c r="F72" s="69">
        <f t="shared" si="6"/>
        <v>0.45474367359654194</v>
      </c>
      <c r="G72" s="98">
        <f t="shared" si="7"/>
        <v>40.98399258077233</v>
      </c>
      <c r="H72" s="69">
        <f t="shared" si="8"/>
        <v>0.96732968312084777</v>
      </c>
      <c r="I72" s="69">
        <f t="shared" si="9"/>
        <v>4.8636583059375775</v>
      </c>
      <c r="J72" s="99">
        <f t="shared" si="10"/>
        <v>1.5047746178408776E-2</v>
      </c>
      <c r="K72" s="69">
        <f t="shared" si="11"/>
        <v>3.1647709385586156E-2</v>
      </c>
      <c r="L72" s="99">
        <f t="shared" si="12"/>
        <v>4.6695455563994931E-2</v>
      </c>
      <c r="M72" s="69">
        <f t="shared" si="13"/>
        <v>20.715713583630148</v>
      </c>
      <c r="N72" s="69">
        <f t="shared" si="14"/>
        <v>20.374509164823682</v>
      </c>
      <c r="O72" s="69">
        <f t="shared" si="15"/>
        <v>21.062632027470112</v>
      </c>
      <c r="P72" s="69">
        <f t="shared" si="16"/>
        <v>0.92629245310947439</v>
      </c>
      <c r="Q72" s="69">
        <f t="shared" si="17"/>
        <v>0.8570214743289315</v>
      </c>
      <c r="R72" s="43">
        <f t="shared" si="18"/>
        <v>1462.2723392813798</v>
      </c>
      <c r="S72" s="43">
        <f t="shared" si="19"/>
        <v>911.14408991034202</v>
      </c>
      <c r="T72" s="43">
        <f>R72+Thrust!C$33*0.8</f>
        <v>3274.0323392813798</v>
      </c>
      <c r="U72" s="43"/>
      <c r="V72">
        <f t="shared" si="20"/>
        <v>393860.08395031671</v>
      </c>
      <c r="W72">
        <f t="shared" si="21"/>
        <v>632096.18839130341</v>
      </c>
      <c r="X72">
        <f t="shared" si="22"/>
        <v>238236.1044409867</v>
      </c>
      <c r="Y72">
        <f t="shared" si="23"/>
        <v>238236.1044409867</v>
      </c>
      <c r="Z72">
        <f t="shared" si="24"/>
        <v>-1252.0055648751788</v>
      </c>
      <c r="AA72">
        <f t="shared" si="25"/>
        <v>-2.7668877916145158</v>
      </c>
      <c r="AB72">
        <f t="shared" si="26"/>
        <v>3246.8511513714752</v>
      </c>
      <c r="AC72">
        <f t="shared" si="27"/>
        <v>7.1915048169448585</v>
      </c>
      <c r="AD72">
        <f t="shared" si="28"/>
        <v>12.768915980174043</v>
      </c>
      <c r="AE72">
        <f t="shared" si="29"/>
        <v>3270.2835988792108</v>
      </c>
      <c r="AH72">
        <v>8.373365768356491</v>
      </c>
      <c r="AI72">
        <v>2159.3385687998843</v>
      </c>
      <c r="AJ72">
        <f t="shared" si="30"/>
        <v>14213.98691126325</v>
      </c>
      <c r="AK72">
        <f t="shared" si="31"/>
        <v>1113.1709953556692</v>
      </c>
      <c r="AO72" s="43"/>
      <c r="AP72" s="43"/>
    </row>
    <row r="73" spans="1:42">
      <c r="A73">
        <v>111</v>
      </c>
      <c r="B73">
        <f t="shared" si="3"/>
        <v>111</v>
      </c>
      <c r="D73" s="43">
        <f t="shared" si="4"/>
        <v>258.44115936716611</v>
      </c>
      <c r="E73" s="43">
        <f t="shared" si="5"/>
        <v>436.19953700973434</v>
      </c>
      <c r="F73" s="69">
        <f t="shared" si="6"/>
        <v>0.45887770699287428</v>
      </c>
      <c r="G73" s="98">
        <f t="shared" si="7"/>
        <v>41.732543189065794</v>
      </c>
      <c r="H73" s="69">
        <f t="shared" si="8"/>
        <v>0.94997883010812856</v>
      </c>
      <c r="I73" s="69">
        <f t="shared" si="9"/>
        <v>4.7175533945494612</v>
      </c>
      <c r="J73" s="99">
        <f t="shared" si="10"/>
        <v>1.5047746178408776E-2</v>
      </c>
      <c r="K73" s="69">
        <f t="shared" si="11"/>
        <v>3.0394155475319182E-2</v>
      </c>
      <c r="L73" s="99">
        <f t="shared" si="12"/>
        <v>4.544190165372796E-2</v>
      </c>
      <c r="M73" s="69">
        <f t="shared" si="13"/>
        <v>20.905349369994823</v>
      </c>
      <c r="N73" s="69">
        <f t="shared" si="14"/>
        <v>20.375787069772944</v>
      </c>
      <c r="O73" s="69">
        <f t="shared" si="15"/>
        <v>21.448674879895723</v>
      </c>
      <c r="P73" s="69">
        <f t="shared" si="16"/>
        <v>0.93471329359228783</v>
      </c>
      <c r="Q73" s="69">
        <f t="shared" si="17"/>
        <v>0.85643916130689823</v>
      </c>
      <c r="R73" s="43">
        <f t="shared" si="18"/>
        <v>1448.1141079427746</v>
      </c>
      <c r="S73" s="43">
        <f t="shared" si="19"/>
        <v>902.87895533049743</v>
      </c>
      <c r="T73" s="43">
        <f>R73+Thrust!C$33*0.8</f>
        <v>3259.8741079427746</v>
      </c>
      <c r="U73" s="43"/>
      <c r="V73">
        <f t="shared" si="20"/>
        <v>393835.38229099562</v>
      </c>
      <c r="W73">
        <f t="shared" si="21"/>
        <v>631666.70342190273</v>
      </c>
      <c r="X73">
        <f t="shared" si="22"/>
        <v>237831.3211309071</v>
      </c>
      <c r="Y73">
        <f t="shared" si="23"/>
        <v>237831.3211309071</v>
      </c>
      <c r="Z73">
        <f t="shared" si="24"/>
        <v>-1251.9270430442245</v>
      </c>
      <c r="AA73">
        <f t="shared" si="25"/>
        <v>-2.7417696439077406</v>
      </c>
      <c r="AB73">
        <f t="shared" si="26"/>
        <v>3268.1966441440959</v>
      </c>
      <c r="AC73">
        <f t="shared" si="27"/>
        <v>7.1734746140427692</v>
      </c>
      <c r="AD73">
        <f t="shared" si="28"/>
        <v>12.761040326584663</v>
      </c>
      <c r="AE73">
        <f t="shared" si="29"/>
        <v>3297.9780567337002</v>
      </c>
      <c r="AH73">
        <v>8.36895948481361</v>
      </c>
      <c r="AI73">
        <v>2177.8304574670278</v>
      </c>
      <c r="AJ73">
        <f t="shared" si="30"/>
        <v>14143.790883355965</v>
      </c>
      <c r="AK73">
        <f t="shared" si="31"/>
        <v>1108.3571967005435</v>
      </c>
      <c r="AO73" s="43"/>
      <c r="AP73" s="43"/>
    </row>
    <row r="74" spans="1:42">
      <c r="A74">
        <v>112</v>
      </c>
      <c r="B74">
        <f t="shared" si="3"/>
        <v>112</v>
      </c>
      <c r="D74" s="43">
        <f t="shared" si="4"/>
        <v>260.76945810020362</v>
      </c>
      <c r="E74" s="43">
        <f t="shared" si="5"/>
        <v>440.12926256838051</v>
      </c>
      <c r="F74" s="69">
        <f t="shared" si="6"/>
        <v>0.46301174038920634</v>
      </c>
      <c r="G74" s="98">
        <f t="shared" si="7"/>
        <v>42.487868011008942</v>
      </c>
      <c r="H74" s="69">
        <f t="shared" si="8"/>
        <v>0.93309065415834302</v>
      </c>
      <c r="I74" s="69">
        <f t="shared" si="9"/>
        <v>4.5753445101308365</v>
      </c>
      <c r="J74" s="99">
        <f t="shared" si="10"/>
        <v>1.5047746178408776E-2</v>
      </c>
      <c r="K74" s="69">
        <f t="shared" si="11"/>
        <v>2.91983551883984E-2</v>
      </c>
      <c r="L74" s="99">
        <f t="shared" si="12"/>
        <v>4.4246101366807178E-2</v>
      </c>
      <c r="M74" s="69">
        <f t="shared" si="13"/>
        <v>21.088652453757991</v>
      </c>
      <c r="N74" s="69">
        <f t="shared" si="14"/>
        <v>20.370924978472029</v>
      </c>
      <c r="O74" s="69">
        <f t="shared" si="15"/>
        <v>21.831667574515368</v>
      </c>
      <c r="P74" s="69">
        <f t="shared" si="16"/>
        <v>0.94313413407510105</v>
      </c>
      <c r="Q74" s="69">
        <f t="shared" si="17"/>
        <v>0.85572179473748533</v>
      </c>
      <c r="R74" s="43">
        <f t="shared" si="18"/>
        <v>1433.9823851420826</v>
      </c>
      <c r="S74" s="43">
        <f t="shared" si="19"/>
        <v>895.03110933180938</v>
      </c>
      <c r="T74" s="43">
        <f>R74+Thrust!C$33*0.8</f>
        <v>3245.7423851420826</v>
      </c>
      <c r="U74" s="43"/>
      <c r="V74">
        <f t="shared" si="20"/>
        <v>393929.38212596881</v>
      </c>
      <c r="W74">
        <f t="shared" si="21"/>
        <v>631137.60970863223</v>
      </c>
      <c r="X74">
        <f t="shared" si="22"/>
        <v>237208.22758266341</v>
      </c>
      <c r="Y74">
        <f t="shared" si="23"/>
        <v>237208.22758266341</v>
      </c>
      <c r="Z74">
        <f t="shared" si="24"/>
        <v>-1252.2258504666559</v>
      </c>
      <c r="AA74">
        <f t="shared" si="25"/>
        <v>-2.7179201447253125</v>
      </c>
      <c r="AB74">
        <f t="shared" si="26"/>
        <v>3288.8481705967233</v>
      </c>
      <c r="AC74">
        <f t="shared" si="27"/>
        <v>7.1542495881011572</v>
      </c>
      <c r="AD74">
        <f t="shared" si="28"/>
        <v>12.747308981593967</v>
      </c>
      <c r="AE74">
        <f t="shared" si="29"/>
        <v>3324.108855366117</v>
      </c>
      <c r="AH74">
        <v>8.3635395740556593</v>
      </c>
      <c r="AI74">
        <v>2196.0375628090387</v>
      </c>
      <c r="AJ74">
        <f t="shared" si="30"/>
        <v>14067.323559741044</v>
      </c>
      <c r="AK74">
        <f t="shared" si="31"/>
        <v>1103.5524109483081</v>
      </c>
      <c r="AO74" s="43"/>
      <c r="AP74" s="43"/>
    </row>
    <row r="75" spans="1:42">
      <c r="A75">
        <v>113</v>
      </c>
      <c r="B75">
        <f t="shared" si="3"/>
        <v>113</v>
      </c>
      <c r="D75" s="43">
        <f t="shared" si="4"/>
        <v>263.09775683324114</v>
      </c>
      <c r="E75" s="43">
        <f t="shared" si="5"/>
        <v>444.05898812702674</v>
      </c>
      <c r="F75" s="69">
        <f t="shared" si="6"/>
        <v>0.46714577378553851</v>
      </c>
      <c r="G75" s="98">
        <f t="shared" si="7"/>
        <v>43.24996704660181</v>
      </c>
      <c r="H75" s="69">
        <f t="shared" si="8"/>
        <v>0.91664885000879148</v>
      </c>
      <c r="I75" s="69">
        <f t="shared" si="9"/>
        <v>4.4368943522872994</v>
      </c>
      <c r="J75" s="99">
        <f t="shared" si="10"/>
        <v>1.5047746178408776E-2</v>
      </c>
      <c r="K75" s="69">
        <f t="shared" si="11"/>
        <v>2.8057215770970392E-2</v>
      </c>
      <c r="L75" s="99">
        <f t="shared" si="12"/>
        <v>4.310496194937917E-2</v>
      </c>
      <c r="M75" s="69">
        <f t="shared" si="13"/>
        <v>21.265506534613557</v>
      </c>
      <c r="N75" s="69">
        <f t="shared" si="14"/>
        <v>20.359974551687362</v>
      </c>
      <c r="O75" s="69">
        <f t="shared" si="15"/>
        <v>22.211313036057472</v>
      </c>
      <c r="P75" s="69">
        <f t="shared" si="16"/>
        <v>0.95155497455791438</v>
      </c>
      <c r="Q75" s="69">
        <f t="shared" si="17"/>
        <v>0.85486937462069301</v>
      </c>
      <c r="R75" s="43">
        <f t="shared" si="18"/>
        <v>1419.8764671128104</v>
      </c>
      <c r="S75" s="43">
        <f t="shared" si="19"/>
        <v>887.58760433368639</v>
      </c>
      <c r="T75" s="43">
        <f>R75+Thrust!C$33*0.8</f>
        <v>3231.6364671128104</v>
      </c>
      <c r="U75" s="43"/>
      <c r="V75">
        <f t="shared" si="20"/>
        <v>394141.25345450855</v>
      </c>
      <c r="W75">
        <f t="shared" si="21"/>
        <v>630508.90725149214</v>
      </c>
      <c r="X75">
        <f t="shared" si="22"/>
        <v>236367.65379698359</v>
      </c>
      <c r="Y75">
        <f t="shared" si="23"/>
        <v>236367.65379698359</v>
      </c>
      <c r="Z75">
        <f t="shared" si="24"/>
        <v>-1252.8993487295636</v>
      </c>
      <c r="AA75">
        <f t="shared" si="25"/>
        <v>-2.6952998679811615</v>
      </c>
      <c r="AB75">
        <f t="shared" si="26"/>
        <v>3308.8083691422698</v>
      </c>
      <c r="AC75">
        <f t="shared" si="27"/>
        <v>7.1338673446263465</v>
      </c>
      <c r="AD75">
        <f t="shared" si="28"/>
        <v>12.727765343638209</v>
      </c>
      <c r="AE75">
        <f t="shared" si="29"/>
        <v>3348.6465114110797</v>
      </c>
      <c r="AH75">
        <v>8.357136144256442</v>
      </c>
      <c r="AI75">
        <v>2213.9607146082681</v>
      </c>
      <c r="AJ75">
        <f t="shared" si="30"/>
        <v>13984.713613980988</v>
      </c>
      <c r="AK75">
        <f t="shared" si="31"/>
        <v>1098.7563988183556</v>
      </c>
      <c r="AO75" s="43"/>
      <c r="AP75" s="43"/>
    </row>
    <row r="76" spans="1:42">
      <c r="A76">
        <v>114</v>
      </c>
      <c r="B76">
        <f t="shared" si="3"/>
        <v>114</v>
      </c>
      <c r="D76" s="43">
        <f t="shared" si="4"/>
        <v>265.42605556627871</v>
      </c>
      <c r="E76" s="43">
        <f t="shared" si="5"/>
        <v>447.98871368567308</v>
      </c>
      <c r="F76" s="69">
        <f t="shared" si="6"/>
        <v>0.47127980718187085</v>
      </c>
      <c r="G76" s="98">
        <f t="shared" si="7"/>
        <v>44.018840295844413</v>
      </c>
      <c r="H76" s="69">
        <f t="shared" si="8"/>
        <v>0.90063782438921614</v>
      </c>
      <c r="I76" s="69">
        <f t="shared" si="9"/>
        <v>4.3020716160410712</v>
      </c>
      <c r="J76" s="99">
        <f t="shared" si="10"/>
        <v>1.5047746178408776E-2</v>
      </c>
      <c r="K76" s="69">
        <f t="shared" si="11"/>
        <v>2.6967834202543797E-2</v>
      </c>
      <c r="L76" s="99">
        <f t="shared" si="12"/>
        <v>4.2015580380952572E-2</v>
      </c>
      <c r="M76" s="69">
        <f t="shared" si="13"/>
        <v>21.435805865900001</v>
      </c>
      <c r="N76" s="69">
        <f t="shared" si="14"/>
        <v>20.342995653140342</v>
      </c>
      <c r="O76" s="69">
        <f t="shared" si="15"/>
        <v>22.587321009903523</v>
      </c>
      <c r="P76" s="69">
        <f t="shared" si="16"/>
        <v>0.95997581504072804</v>
      </c>
      <c r="Q76" s="69">
        <f t="shared" si="17"/>
        <v>0.85388190095652072</v>
      </c>
      <c r="R76" s="43">
        <f t="shared" si="18"/>
        <v>1405.7956747820244</v>
      </c>
      <c r="S76" s="43">
        <f t="shared" si="19"/>
        <v>880.53605813002252</v>
      </c>
      <c r="T76" s="43">
        <f>R76+Thrust!C$33*0.8</f>
        <v>3217.5556747820247</v>
      </c>
      <c r="U76" s="43"/>
      <c r="V76">
        <f t="shared" si="20"/>
        <v>394470.21603552182</v>
      </c>
      <c r="W76">
        <f t="shared" si="21"/>
        <v>629780.59605048189</v>
      </c>
      <c r="X76">
        <f t="shared" si="22"/>
        <v>235310.38001496007</v>
      </c>
      <c r="Y76">
        <f t="shared" si="23"/>
        <v>235310.38001496007</v>
      </c>
      <c r="Z76">
        <f t="shared" si="24"/>
        <v>-1253.9450575963608</v>
      </c>
      <c r="AA76">
        <f t="shared" si="25"/>
        <v>-2.673871113685236</v>
      </c>
      <c r="AB76">
        <f t="shared" si="26"/>
        <v>3328.0797200173206</v>
      </c>
      <c r="AC76">
        <f t="shared" si="27"/>
        <v>7.112363836589628</v>
      </c>
      <c r="AD76">
        <f t="shared" si="28"/>
        <v>12.702461422296439</v>
      </c>
      <c r="AE76">
        <f t="shared" si="29"/>
        <v>3371.5642313029662</v>
      </c>
      <c r="AH76">
        <v>8.3497779761830824</v>
      </c>
      <c r="AI76">
        <v>2231.6006688635393</v>
      </c>
      <c r="AJ76">
        <f t="shared" si="30"/>
        <v>13896.098123223284</v>
      </c>
      <c r="AK76">
        <f t="shared" si="31"/>
        <v>1093.9689294258885</v>
      </c>
      <c r="AO76" s="43"/>
      <c r="AP76" s="43"/>
    </row>
    <row r="77" spans="1:42">
      <c r="A77">
        <v>115</v>
      </c>
      <c r="B77">
        <f t="shared" si="3"/>
        <v>115</v>
      </c>
      <c r="D77" s="43">
        <f t="shared" si="4"/>
        <v>267.75435429931622</v>
      </c>
      <c r="E77" s="43">
        <f t="shared" si="5"/>
        <v>451.9184392443193</v>
      </c>
      <c r="F77" s="69">
        <f t="shared" si="6"/>
        <v>0.47541384057820302</v>
      </c>
      <c r="G77" s="98">
        <f t="shared" si="7"/>
        <v>44.794487758736715</v>
      </c>
      <c r="H77" s="69">
        <f t="shared" si="8"/>
        <v>0.88504265903684343</v>
      </c>
      <c r="I77" s="69">
        <f t="shared" si="9"/>
        <v>4.1707506803947858</v>
      </c>
      <c r="J77" s="99">
        <f t="shared" si="10"/>
        <v>1.5047746178408776E-2</v>
      </c>
      <c r="K77" s="69">
        <f t="shared" si="11"/>
        <v>2.5927484069208768E-2</v>
      </c>
      <c r="L77" s="99">
        <f t="shared" si="12"/>
        <v>4.0975230247617546E-2</v>
      </c>
      <c r="M77" s="69">
        <f t="shared" si="13"/>
        <v>21.599455419492198</v>
      </c>
      <c r="N77" s="69">
        <f t="shared" si="14"/>
        <v>20.320056147981958</v>
      </c>
      <c r="O77" s="69">
        <f t="shared" si="15"/>
        <v>22.959408725106496</v>
      </c>
      <c r="P77" s="69">
        <f t="shared" si="16"/>
        <v>0.96839665552354137</v>
      </c>
      <c r="Q77" s="69">
        <f t="shared" si="17"/>
        <v>0.85275937374496924</v>
      </c>
      <c r="R77" s="43">
        <f t="shared" si="18"/>
        <v>1391.7393526967226</v>
      </c>
      <c r="S77" s="43">
        <f t="shared" si="19"/>
        <v>873.86462452041542</v>
      </c>
      <c r="T77" s="43">
        <f>R77+Thrust!C$33*0.8</f>
        <v>3203.4993526967228</v>
      </c>
      <c r="U77" s="43"/>
      <c r="V77">
        <f t="shared" si="20"/>
        <v>394915.53722408926</v>
      </c>
      <c r="W77">
        <f t="shared" si="21"/>
        <v>628952.67610560206</v>
      </c>
      <c r="X77">
        <f t="shared" si="22"/>
        <v>234037.1388815128</v>
      </c>
      <c r="Y77">
        <f t="shared" si="23"/>
        <v>234037.1388815128</v>
      </c>
      <c r="Z77">
        <f t="shared" si="24"/>
        <v>-1255.3606481295553</v>
      </c>
      <c r="AA77">
        <f t="shared" si="25"/>
        <v>-2.6535978179491155</v>
      </c>
      <c r="AB77">
        <f t="shared" si="26"/>
        <v>3346.6645521593668</v>
      </c>
      <c r="AC77">
        <f t="shared" si="27"/>
        <v>7.0897734503764278</v>
      </c>
      <c r="AD77">
        <f t="shared" si="28"/>
        <v>12.671457627932764</v>
      </c>
      <c r="AE77">
        <f t="shared" si="29"/>
        <v>3392.8379551982825</v>
      </c>
      <c r="AH77">
        <v>8.341492592502453</v>
      </c>
      <c r="AI77">
        <v>2248.9581109981232</v>
      </c>
      <c r="AJ77">
        <f t="shared" si="30"/>
        <v>13801.62214499423</v>
      </c>
      <c r="AK77">
        <f t="shared" si="31"/>
        <v>1089.1897799168858</v>
      </c>
      <c r="AO77" s="43"/>
      <c r="AP77" s="43"/>
    </row>
    <row r="78" spans="1:42">
      <c r="A78">
        <v>116</v>
      </c>
      <c r="B78">
        <f t="shared" si="3"/>
        <v>116</v>
      </c>
      <c r="D78" s="43">
        <f t="shared" si="4"/>
        <v>270.08265303235373</v>
      </c>
      <c r="E78" s="43">
        <f t="shared" si="5"/>
        <v>455.84816480296553</v>
      </c>
      <c r="F78" s="69">
        <f t="shared" si="6"/>
        <v>0.47954787397453519</v>
      </c>
      <c r="G78" s="98">
        <f t="shared" si="7"/>
        <v>45.576909435278722</v>
      </c>
      <c r="H78" s="69">
        <f t="shared" si="8"/>
        <v>0.8698490759335803</v>
      </c>
      <c r="I78" s="69">
        <f t="shared" si="9"/>
        <v>4.0428113156071905</v>
      </c>
      <c r="J78" s="99">
        <f t="shared" si="10"/>
        <v>1.5047746178408776E-2</v>
      </c>
      <c r="K78" s="69">
        <f t="shared" si="11"/>
        <v>2.4933603447256376E-2</v>
      </c>
      <c r="L78" s="99">
        <f t="shared" si="12"/>
        <v>3.9981349625665151E-2</v>
      </c>
      <c r="M78" s="69">
        <f t="shared" si="13"/>
        <v>21.756371009927083</v>
      </c>
      <c r="N78" s="69">
        <f t="shared" si="14"/>
        <v>20.291231673670204</v>
      </c>
      <c r="O78" s="69">
        <f t="shared" si="15"/>
        <v>23.327301522844401</v>
      </c>
      <c r="P78" s="69">
        <f t="shared" si="16"/>
        <v>0.9768174960063547</v>
      </c>
      <c r="Q78" s="69">
        <f t="shared" si="17"/>
        <v>0.8515017929860379</v>
      </c>
      <c r="R78" s="43">
        <f t="shared" si="18"/>
        <v>1377.7068680057273</v>
      </c>
      <c r="S78" s="43">
        <f t="shared" si="19"/>
        <v>867.56196570593693</v>
      </c>
      <c r="T78" s="43">
        <f>R78+Thrust!C$33*0.8</f>
        <v>3189.4668680057275</v>
      </c>
      <c r="U78" s="43"/>
      <c r="V78">
        <f t="shared" si="20"/>
        <v>395476.52991990466</v>
      </c>
      <c r="W78">
        <f t="shared" si="21"/>
        <v>628025.1474168523</v>
      </c>
      <c r="X78">
        <f t="shared" si="22"/>
        <v>232548.61749694764</v>
      </c>
      <c r="Y78">
        <f t="shared" si="23"/>
        <v>232548.61749694764</v>
      </c>
      <c r="Z78">
        <f t="shared" si="24"/>
        <v>-1257.1439361692335</v>
      </c>
      <c r="AA78">
        <f t="shared" si="25"/>
        <v>-2.6344454684277894</v>
      </c>
      <c r="AB78">
        <f t="shared" si="26"/>
        <v>3364.5650497283241</v>
      </c>
      <c r="AC78">
        <f t="shared" si="27"/>
        <v>7.0661290865745272</v>
      </c>
      <c r="AD78">
        <f t="shared" si="28"/>
        <v>12.634822533114624</v>
      </c>
      <c r="AE78">
        <f t="shared" si="29"/>
        <v>3412.4463903365618</v>
      </c>
      <c r="AH78">
        <v>8.3323063229141638</v>
      </c>
      <c r="AI78">
        <v>2266.0336589017948</v>
      </c>
      <c r="AJ78">
        <f t="shared" si="30"/>
        <v>13701.438269850441</v>
      </c>
      <c r="AK78">
        <f t="shared" si="31"/>
        <v>1084.4187351219475</v>
      </c>
      <c r="AO78" s="43"/>
      <c r="AP78" s="43"/>
    </row>
    <row r="79" spans="1:42">
      <c r="A79">
        <v>117</v>
      </c>
      <c r="B79">
        <f t="shared" si="3"/>
        <v>117</v>
      </c>
      <c r="D79" s="43">
        <f t="shared" si="4"/>
        <v>272.4109517653913</v>
      </c>
      <c r="E79" s="43">
        <f t="shared" si="5"/>
        <v>459.77789036161187</v>
      </c>
      <c r="F79" s="69">
        <f t="shared" si="6"/>
        <v>0.48368190737086747</v>
      </c>
      <c r="G79" s="98">
        <f t="shared" si="7"/>
        <v>46.366105325470471</v>
      </c>
      <c r="H79" s="69">
        <f t="shared" si="8"/>
        <v>0.85504340461408812</v>
      </c>
      <c r="I79" s="69">
        <f t="shared" si="9"/>
        <v>3.9181384079069037</v>
      </c>
      <c r="J79" s="99">
        <f t="shared" si="10"/>
        <v>1.5047746178408776E-2</v>
      </c>
      <c r="K79" s="69">
        <f t="shared" si="11"/>
        <v>2.39837837116459E-2</v>
      </c>
      <c r="L79" s="99">
        <f t="shared" si="12"/>
        <v>3.9031529890054678E-2</v>
      </c>
      <c r="M79" s="69">
        <f t="shared" si="13"/>
        <v>21.906479377636568</v>
      </c>
      <c r="N79" s="69">
        <f t="shared" si="14"/>
        <v>20.256605384784514</v>
      </c>
      <c r="O79" s="69">
        <f t="shared" si="15"/>
        <v>23.690733447534218</v>
      </c>
      <c r="P79" s="69">
        <f t="shared" si="16"/>
        <v>0.98523833648916825</v>
      </c>
      <c r="Q79" s="69">
        <f t="shared" si="17"/>
        <v>0.85010915867972692</v>
      </c>
      <c r="R79" s="43">
        <f t="shared" si="18"/>
        <v>1363.6976094938</v>
      </c>
      <c r="S79" s="43">
        <f t="shared" si="19"/>
        <v>861.61722632933515</v>
      </c>
      <c r="T79" s="43">
        <f>R79+Thrust!C$33*0.8</f>
        <v>3175.4576094938002</v>
      </c>
      <c r="U79" s="43"/>
      <c r="V79">
        <f t="shared" si="20"/>
        <v>396152.55062092515</v>
      </c>
      <c r="W79">
        <f t="shared" si="21"/>
        <v>626998.0099842326</v>
      </c>
      <c r="X79">
        <f t="shared" si="22"/>
        <v>230845.45936330745</v>
      </c>
      <c r="Y79">
        <f t="shared" si="23"/>
        <v>230845.45936330745</v>
      </c>
      <c r="Z79">
        <f t="shared" si="24"/>
        <v>-1259.2928761459873</v>
      </c>
      <c r="AA79">
        <f t="shared" si="25"/>
        <v>-2.6163810248248738</v>
      </c>
      <c r="AB79">
        <f t="shared" si="26"/>
        <v>3381.7832582935989</v>
      </c>
      <c r="AC79">
        <f t="shared" si="27"/>
        <v>7.0414622359520571</v>
      </c>
      <c r="AD79">
        <f t="shared" si="28"/>
        <v>12.592632607375615</v>
      </c>
      <c r="AE79">
        <f t="shared" si="29"/>
        <v>3430.3710338070919</v>
      </c>
      <c r="AH79">
        <v>8.3222443653943596</v>
      </c>
      <c r="AI79">
        <v>2282.8278658168747</v>
      </c>
      <c r="AJ79">
        <f t="shared" si="30"/>
        <v>13595.70615246122</v>
      </c>
      <c r="AK79">
        <f t="shared" si="31"/>
        <v>1079.6555872278921</v>
      </c>
      <c r="AO79" s="43"/>
      <c r="AP79" s="43"/>
    </row>
    <row r="80" spans="1:42">
      <c r="A80">
        <v>118</v>
      </c>
      <c r="B80">
        <f t="shared" si="3"/>
        <v>118</v>
      </c>
      <c r="D80" s="43">
        <f t="shared" si="4"/>
        <v>274.73925049842882</v>
      </c>
      <c r="E80" s="43">
        <f t="shared" si="5"/>
        <v>463.70761592025809</v>
      </c>
      <c r="F80" s="69">
        <f t="shared" si="6"/>
        <v>0.48781594076719964</v>
      </c>
      <c r="G80" s="98">
        <f t="shared" si="7"/>
        <v>47.162075429311912</v>
      </c>
      <c r="H80" s="69">
        <f t="shared" si="8"/>
        <v>0.84061255140493052</v>
      </c>
      <c r="I80" s="69">
        <f t="shared" si="9"/>
        <v>3.7966217004670288</v>
      </c>
      <c r="J80" s="99">
        <f t="shared" si="10"/>
        <v>1.5047746178408776E-2</v>
      </c>
      <c r="K80" s="69">
        <f t="shared" si="11"/>
        <v>2.307575919166039E-2</v>
      </c>
      <c r="L80" s="99">
        <f t="shared" si="12"/>
        <v>3.8123505370069165E-2</v>
      </c>
      <c r="M80" s="69">
        <f t="shared" si="13"/>
        <v>22.049718231443034</v>
      </c>
      <c r="N80" s="69">
        <f t="shared" si="14"/>
        <v>20.216267673465619</v>
      </c>
      <c r="O80" s="69">
        <f t="shared" si="15"/>
        <v>24.049447798129847</v>
      </c>
      <c r="P80" s="69">
        <f t="shared" si="16"/>
        <v>0.99365917697198169</v>
      </c>
      <c r="Q80" s="69">
        <f t="shared" si="17"/>
        <v>0.8485814708260363</v>
      </c>
      <c r="R80" s="43">
        <f t="shared" si="18"/>
        <v>1349.7109866648634</v>
      </c>
      <c r="S80" s="43">
        <f t="shared" si="19"/>
        <v>856.02000904864769</v>
      </c>
      <c r="T80" s="43">
        <f>R80+Thrust!C$33*0.8</f>
        <v>3161.4709866648636</v>
      </c>
      <c r="U80" s="43"/>
      <c r="V80">
        <f t="shared" si="20"/>
        <v>396942.9975759862</v>
      </c>
      <c r="W80">
        <f t="shared" si="21"/>
        <v>625871.26380774309</v>
      </c>
      <c r="X80">
        <f t="shared" si="22"/>
        <v>228928.26623175689</v>
      </c>
      <c r="Y80">
        <f t="shared" si="23"/>
        <v>228928.26623175689</v>
      </c>
      <c r="Z80">
        <f t="shared" si="24"/>
        <v>-1261.8055552084331</v>
      </c>
      <c r="AA80">
        <f t="shared" si="25"/>
        <v>-2.5993728441169957</v>
      </c>
      <c r="AB80">
        <f t="shared" si="26"/>
        <v>3398.3210907065759</v>
      </c>
      <c r="AC80">
        <f t="shared" si="27"/>
        <v>7.015803050949466</v>
      </c>
      <c r="AD80">
        <f t="shared" si="28"/>
        <v>12.544971927049488</v>
      </c>
      <c r="AE80">
        <f t="shared" si="29"/>
        <v>3446.5961847614058</v>
      </c>
      <c r="AH80">
        <v>8.3113308438129359</v>
      </c>
      <c r="AI80">
        <v>2299.3412230775302</v>
      </c>
      <c r="AJ80">
        <f t="shared" si="30"/>
        <v>13484.592023803334</v>
      </c>
      <c r="AK80">
        <f t="shared" si="31"/>
        <v>1074.9001354660536</v>
      </c>
      <c r="AO80" s="43"/>
      <c r="AP80" s="43"/>
    </row>
    <row r="81" spans="1:42">
      <c r="A81">
        <v>119</v>
      </c>
      <c r="B81">
        <f t="shared" si="3"/>
        <v>119</v>
      </c>
      <c r="D81" s="43">
        <f t="shared" si="4"/>
        <v>277.06754923146633</v>
      </c>
      <c r="E81" s="43">
        <f t="shared" si="5"/>
        <v>467.63734147890432</v>
      </c>
      <c r="F81" s="69">
        <f t="shared" si="6"/>
        <v>0.49194997416353181</v>
      </c>
      <c r="G81" s="98">
        <f t="shared" si="7"/>
        <v>47.964819746803066</v>
      </c>
      <c r="H81" s="69">
        <f t="shared" si="8"/>
        <v>0.82654397046552186</v>
      </c>
      <c r="I81" s="69">
        <f t="shared" si="9"/>
        <v>3.6781555495520251</v>
      </c>
      <c r="J81" s="99">
        <f t="shared" si="10"/>
        <v>1.5047746178408776E-2</v>
      </c>
      <c r="K81" s="69">
        <f t="shared" si="11"/>
        <v>2.2207397603197732E-2</v>
      </c>
      <c r="L81" s="99">
        <f t="shared" si="12"/>
        <v>3.7255143781606506E-2</v>
      </c>
      <c r="M81" s="69">
        <f t="shared" si="13"/>
        <v>22.186036250747222</v>
      </c>
      <c r="N81" s="69">
        <f t="shared" si="14"/>
        <v>20.170315867305447</v>
      </c>
      <c r="O81" s="69">
        <f t="shared" si="15"/>
        <v>24.403197637441142</v>
      </c>
      <c r="P81" s="69">
        <f t="shared" si="16"/>
        <v>1.002080017454795</v>
      </c>
      <c r="Q81" s="69">
        <f t="shared" si="17"/>
        <v>0.84691872942496615</v>
      </c>
      <c r="R81" s="43">
        <f t="shared" si="18"/>
        <v>1335.7464288714468</v>
      </c>
      <c r="S81" s="43">
        <f t="shared" si="19"/>
        <v>850.76035154158251</v>
      </c>
      <c r="T81" s="43">
        <f>R81+Thrust!C$33*0.8</f>
        <v>3147.5064288714466</v>
      </c>
      <c r="U81" s="43"/>
      <c r="V81">
        <f t="shared" si="20"/>
        <v>397847.30903056369</v>
      </c>
      <c r="W81">
        <f t="shared" si="21"/>
        <v>624644.90888738376</v>
      </c>
      <c r="X81">
        <f t="shared" si="22"/>
        <v>226797.59985682007</v>
      </c>
      <c r="Y81">
        <f t="shared" si="23"/>
        <v>226797.59985682007</v>
      </c>
      <c r="Z81">
        <f t="shared" si="24"/>
        <v>-1264.6801876468251</v>
      </c>
      <c r="AA81">
        <f t="shared" si="25"/>
        <v>-2.583390610179308</v>
      </c>
      <c r="AB81">
        <f t="shared" si="26"/>
        <v>3414.1803326769996</v>
      </c>
      <c r="AC81">
        <f t="shared" si="27"/>
        <v>6.9891804129852035</v>
      </c>
      <c r="AD81">
        <f t="shared" si="28"/>
        <v>12.491931862042101</v>
      </c>
      <c r="AE81">
        <f t="shared" si="29"/>
        <v>3461.1089461824727</v>
      </c>
      <c r="AH81">
        <v>8.299588862167198</v>
      </c>
      <c r="AI81">
        <v>2315.5741627109601</v>
      </c>
      <c r="AJ81">
        <f t="shared" si="30"/>
        <v>13368.268187232536</v>
      </c>
      <c r="AK81">
        <f t="shared" si="31"/>
        <v>1070.1521858162919</v>
      </c>
      <c r="AO81" s="43"/>
      <c r="AP81" s="43"/>
    </row>
    <row r="82" spans="1:42">
      <c r="A82">
        <v>120</v>
      </c>
      <c r="B82">
        <f t="shared" si="3"/>
        <v>120</v>
      </c>
      <c r="D82" s="43">
        <f t="shared" si="4"/>
        <v>279.3958479645039</v>
      </c>
      <c r="E82" s="43">
        <f t="shared" si="5"/>
        <v>471.5670670375506</v>
      </c>
      <c r="F82" s="69">
        <f t="shared" si="6"/>
        <v>0.49608400755986404</v>
      </c>
      <c r="G82" s="98">
        <f t="shared" si="7"/>
        <v>48.774338277943947</v>
      </c>
      <c r="H82" s="69">
        <f t="shared" si="8"/>
        <v>0.8128256365112676</v>
      </c>
      <c r="I82" s="69">
        <f t="shared" si="9"/>
        <v>3.5626386948296878</v>
      </c>
      <c r="J82" s="99">
        <f t="shared" si="10"/>
        <v>1.5047746178408776E-2</v>
      </c>
      <c r="K82" s="69">
        <f t="shared" si="11"/>
        <v>2.1376691193548326E-2</v>
      </c>
      <c r="L82" s="99">
        <f t="shared" si="12"/>
        <v>3.6424437371957101E-2</v>
      </c>
      <c r="M82" s="69">
        <f t="shared" si="13"/>
        <v>22.315393048103907</v>
      </c>
      <c r="N82" s="69">
        <f t="shared" si="14"/>
        <v>20.118853906629379</v>
      </c>
      <c r="O82" s="69">
        <f t="shared" si="15"/>
        <v>24.751746257637244</v>
      </c>
      <c r="P82" s="69">
        <f t="shared" si="16"/>
        <v>1.0105008579376085</v>
      </c>
      <c r="Q82" s="69">
        <f t="shared" si="17"/>
        <v>0.84512093447651626</v>
      </c>
      <c r="R82" s="43">
        <f t="shared" si="18"/>
        <v>1321.803384487662</v>
      </c>
      <c r="S82" s="43">
        <f t="shared" si="19"/>
        <v>845.82870484567923</v>
      </c>
      <c r="T82" s="43">
        <f>R82+Thrust!C$33*0.8</f>
        <v>3133.563384487662</v>
      </c>
      <c r="U82" s="43"/>
      <c r="V82">
        <f t="shared" si="20"/>
        <v>398864.961560247</v>
      </c>
      <c r="W82">
        <f t="shared" si="21"/>
        <v>623318.94522315462</v>
      </c>
      <c r="X82">
        <f t="shared" si="22"/>
        <v>224453.98366290762</v>
      </c>
      <c r="Y82">
        <f t="shared" si="23"/>
        <v>224453.98366290762</v>
      </c>
      <c r="Z82">
        <f t="shared" si="24"/>
        <v>-1267.9151095954871</v>
      </c>
      <c r="AA82">
        <f t="shared" si="25"/>
        <v>-2.568405267518052</v>
      </c>
      <c r="AB82">
        <f t="shared" si="26"/>
        <v>3429.3626480705493</v>
      </c>
      <c r="AC82">
        <f t="shared" si="27"/>
        <v>6.9616219958526626</v>
      </c>
      <c r="AD82">
        <f t="shared" si="28"/>
        <v>12.433610741529019</v>
      </c>
      <c r="AE82">
        <f t="shared" si="29"/>
        <v>3473.8992163900643</v>
      </c>
      <c r="AH82">
        <v>8.2870405556566116</v>
      </c>
      <c r="AI82">
        <v>2331.527059908512</v>
      </c>
      <c r="AJ82">
        <f t="shared" si="30"/>
        <v>13246.912501253462</v>
      </c>
      <c r="AK82">
        <f t="shared" si="31"/>
        <v>1065.4115507258052</v>
      </c>
      <c r="AO82" s="43"/>
      <c r="AP82" s="43"/>
    </row>
    <row r="83" spans="1:42">
      <c r="A83">
        <v>121</v>
      </c>
      <c r="B83">
        <f t="shared" si="3"/>
        <v>121</v>
      </c>
      <c r="D83" s="43">
        <f t="shared" si="4"/>
        <v>281.72414669754141</v>
      </c>
      <c r="E83" s="43">
        <f t="shared" si="5"/>
        <v>475.49679259619683</v>
      </c>
      <c r="F83" s="69">
        <f t="shared" si="6"/>
        <v>0.50021804095619615</v>
      </c>
      <c r="G83" s="98">
        <f t="shared" si="7"/>
        <v>49.590631022734534</v>
      </c>
      <c r="H83" s="69">
        <f t="shared" si="8"/>
        <v>0.79944601910813839</v>
      </c>
      <c r="I83" s="69">
        <f t="shared" si="9"/>
        <v>3.4499740429155663</v>
      </c>
      <c r="J83" s="99">
        <f t="shared" si="10"/>
        <v>1.5047746178408776E-2</v>
      </c>
      <c r="K83" s="69">
        <f t="shared" si="11"/>
        <v>2.0581748540284842E-2</v>
      </c>
      <c r="L83" s="99">
        <f t="shared" si="12"/>
        <v>3.5629494718693616E-2</v>
      </c>
      <c r="M83" s="69">
        <f t="shared" si="13"/>
        <v>22.437759093134023</v>
      </c>
      <c r="N83" s="69">
        <f t="shared" si="14"/>
        <v>20.061992003211341</v>
      </c>
      <c r="O83" s="69">
        <f t="shared" si="15"/>
        <v>25.09486760043222</v>
      </c>
      <c r="P83" s="69">
        <f t="shared" si="16"/>
        <v>1.0189216984204219</v>
      </c>
      <c r="Q83" s="69">
        <f t="shared" si="17"/>
        <v>0.84318808598068673</v>
      </c>
      <c r="R83" s="43">
        <f t="shared" si="18"/>
        <v>1307.8813201231876</v>
      </c>
      <c r="S83" s="43">
        <f t="shared" si="19"/>
        <v>841.21591294630525</v>
      </c>
      <c r="T83" s="43">
        <f>R83+Thrust!C$33*0.8</f>
        <v>3119.6413201231876</v>
      </c>
      <c r="U83" s="43"/>
      <c r="V83">
        <f t="shared" si="20"/>
        <v>399995.46848684968</v>
      </c>
      <c r="W83">
        <f t="shared" si="21"/>
        <v>621893.37281505542</v>
      </c>
      <c r="X83">
        <f t="shared" si="22"/>
        <v>221897.90432820574</v>
      </c>
      <c r="Y83">
        <f t="shared" si="23"/>
        <v>221897.90432820574</v>
      </c>
      <c r="Z83">
        <f t="shared" si="24"/>
        <v>-1271.5087739979328</v>
      </c>
      <c r="AA83">
        <f t="shared" si="25"/>
        <v>-2.5543889588380368</v>
      </c>
      <c r="AB83">
        <f t="shared" si="26"/>
        <v>3443.8695839437073</v>
      </c>
      <c r="AC83">
        <f t="shared" si="27"/>
        <v>6.9331543254652104</v>
      </c>
      <c r="AD83">
        <f t="shared" si="28"/>
        <v>12.37011350066733</v>
      </c>
      <c r="AE83">
        <f t="shared" si="29"/>
        <v>3484.9596705272406</v>
      </c>
      <c r="AH83">
        <v>8.2737071388068752</v>
      </c>
      <c r="AI83">
        <v>2347.2002353742796</v>
      </c>
      <c r="AJ83">
        <f t="shared" si="30"/>
        <v>13120.707851840467</v>
      </c>
      <c r="AK83">
        <f t="shared" si="31"/>
        <v>1060.6780488418838</v>
      </c>
      <c r="AO83" s="43"/>
      <c r="AP83" s="43"/>
    </row>
    <row r="84" spans="1:42">
      <c r="A84">
        <v>122</v>
      </c>
      <c r="B84">
        <f t="shared" si="3"/>
        <v>122</v>
      </c>
      <c r="D84" s="43">
        <f t="shared" si="4"/>
        <v>284.05244543057893</v>
      </c>
      <c r="E84" s="43">
        <f t="shared" si="5"/>
        <v>479.42651815484305</v>
      </c>
      <c r="F84" s="69">
        <f t="shared" si="6"/>
        <v>0.50435207435252838</v>
      </c>
      <c r="G84" s="98">
        <f t="shared" si="7"/>
        <v>50.413697981174828</v>
      </c>
      <c r="H84" s="69">
        <f t="shared" si="8"/>
        <v>0.78639405843605592</v>
      </c>
      <c r="I84" s="69">
        <f t="shared" si="9"/>
        <v>3.3400684632856845</v>
      </c>
      <c r="J84" s="99">
        <f t="shared" si="10"/>
        <v>1.5047746178408776E-2</v>
      </c>
      <c r="K84" s="69">
        <f t="shared" si="11"/>
        <v>1.982078695110237E-2</v>
      </c>
      <c r="L84" s="99">
        <f t="shared" si="12"/>
        <v>3.4868533129511145E-2</v>
      </c>
      <c r="M84" s="69">
        <f t="shared" si="13"/>
        <v>22.553115598960705</v>
      </c>
      <c r="N84" s="69">
        <f t="shared" si="14"/>
        <v>19.999846282539959</v>
      </c>
      <c r="O84" s="69">
        <f t="shared" si="15"/>
        <v>25.432346630790583</v>
      </c>
      <c r="P84" s="69">
        <f t="shared" si="16"/>
        <v>1.0273425389032351</v>
      </c>
      <c r="Q84" s="69">
        <f t="shared" si="17"/>
        <v>0.84112018393747801</v>
      </c>
      <c r="R84" s="43">
        <f t="shared" si="18"/>
        <v>1293.9797198759104</v>
      </c>
      <c r="S84" s="43">
        <f t="shared" si="19"/>
        <v>836.91319353099925</v>
      </c>
      <c r="T84" s="43">
        <f>R84+Thrust!C$33*0.8</f>
        <v>3105.7397198759104</v>
      </c>
      <c r="U84" s="43"/>
      <c r="V84">
        <f t="shared" si="20"/>
        <v>401238.3783724173</v>
      </c>
      <c r="W84">
        <f t="shared" si="21"/>
        <v>620368.19166308688</v>
      </c>
      <c r="X84">
        <f t="shared" si="22"/>
        <v>219129.81329066958</v>
      </c>
      <c r="Y84">
        <f t="shared" si="23"/>
        <v>219129.81329066958</v>
      </c>
      <c r="Z84">
        <f t="shared" si="24"/>
        <v>-1275.4597458196049</v>
      </c>
      <c r="AA84">
        <f t="shared" si="25"/>
        <v>-2.5413149661930827</v>
      </c>
      <c r="AB84">
        <f t="shared" si="26"/>
        <v>3457.702575331035</v>
      </c>
      <c r="AC84">
        <f t="shared" si="27"/>
        <v>6.9038028361875412</v>
      </c>
      <c r="AD84">
        <f t="shared" si="28"/>
        <v>12.301551310490446</v>
      </c>
      <c r="AE84">
        <f t="shared" si="29"/>
        <v>3494.2857323345538</v>
      </c>
      <c r="AH84">
        <v>8.2596089508360695</v>
      </c>
      <c r="AI84">
        <v>2362.5939575581797</v>
      </c>
      <c r="AJ84">
        <f t="shared" si="30"/>
        <v>12989.841617167789</v>
      </c>
      <c r="AK84">
        <f t="shared" si="31"/>
        <v>1055.9515047578095</v>
      </c>
      <c r="AO84" s="43"/>
      <c r="AP84" s="43"/>
    </row>
    <row r="85" spans="1:42">
      <c r="A85">
        <v>123</v>
      </c>
      <c r="B85">
        <f t="shared" si="3"/>
        <v>123</v>
      </c>
      <c r="D85" s="43">
        <f t="shared" si="4"/>
        <v>286.3807441636165</v>
      </c>
      <c r="E85" s="43">
        <f t="shared" si="5"/>
        <v>483.35624371348939</v>
      </c>
      <c r="F85" s="69">
        <f t="shared" si="6"/>
        <v>0.50848610774886061</v>
      </c>
      <c r="G85" s="98">
        <f t="shared" si="7"/>
        <v>51.243539153264862</v>
      </c>
      <c r="H85" s="69">
        <f t="shared" si="8"/>
        <v>0.77365914242595357</v>
      </c>
      <c r="I85" s="69">
        <f t="shared" si="9"/>
        <v>3.2328325957564537</v>
      </c>
      <c r="J85" s="99">
        <f t="shared" si="10"/>
        <v>1.5047746178408776E-2</v>
      </c>
      <c r="K85" s="69">
        <f t="shared" si="11"/>
        <v>1.9092125416156965E-2</v>
      </c>
      <c r="L85" s="99">
        <f t="shared" si="12"/>
        <v>3.4139871594565739E-2</v>
      </c>
      <c r="M85" s="69">
        <f t="shared" si="13"/>
        <v>22.661454372578888</v>
      </c>
      <c r="N85" s="69">
        <f t="shared" si="14"/>
        <v>19.932538411811922</v>
      </c>
      <c r="O85" s="69">
        <f t="shared" si="15"/>
        <v>25.763979663330424</v>
      </c>
      <c r="P85" s="69">
        <f t="shared" si="16"/>
        <v>1.0357633793860486</v>
      </c>
      <c r="Q85" s="69">
        <f t="shared" si="17"/>
        <v>0.83891722834688931</v>
      </c>
      <c r="R85" s="43">
        <f t="shared" si="18"/>
        <v>1280.0980846210189</v>
      </c>
      <c r="S85" s="43">
        <f t="shared" si="19"/>
        <v>832.91211983461108</v>
      </c>
      <c r="T85" s="43">
        <f>R85+Thrust!C$33*0.8</f>
        <v>3091.8580846210189</v>
      </c>
      <c r="U85" s="43"/>
      <c r="V85">
        <f t="shared" si="20"/>
        <v>402593.27358669735</v>
      </c>
      <c r="W85">
        <f t="shared" si="21"/>
        <v>618743.40176724817</v>
      </c>
      <c r="X85">
        <f t="shared" si="22"/>
        <v>216150.12818055082</v>
      </c>
      <c r="Y85">
        <f t="shared" si="23"/>
        <v>216150.12818055082</v>
      </c>
      <c r="Z85">
        <f t="shared" si="24"/>
        <v>-1279.7666974941374</v>
      </c>
      <c r="AA85">
        <f t="shared" si="25"/>
        <v>-2.5291576554859758</v>
      </c>
      <c r="AB85">
        <f t="shared" si="26"/>
        <v>3470.8629497988945</v>
      </c>
      <c r="AC85">
        <f t="shared" si="27"/>
        <v>6.8735919239740157</v>
      </c>
      <c r="AD85">
        <f t="shared" si="28"/>
        <v>12.228041193214118</v>
      </c>
      <c r="AE85">
        <f t="shared" si="29"/>
        <v>3501.8755365760162</v>
      </c>
      <c r="AH85">
        <v>8.2447654984417351</v>
      </c>
      <c r="AI85">
        <v>2377.7084447801099</v>
      </c>
      <c r="AJ85">
        <f t="shared" si="30"/>
        <v>12854.505127588092</v>
      </c>
      <c r="AK85">
        <f t="shared" si="31"/>
        <v>1051.2317487711464</v>
      </c>
      <c r="AO85" s="43"/>
      <c r="AP85" s="43"/>
    </row>
    <row r="86" spans="1:42">
      <c r="A86">
        <v>124</v>
      </c>
      <c r="B86">
        <f t="shared" si="3"/>
        <v>124</v>
      </c>
      <c r="D86" s="43">
        <f t="shared" si="4"/>
        <v>288.70904289665401</v>
      </c>
      <c r="E86" s="43">
        <f t="shared" si="5"/>
        <v>487.28596927213562</v>
      </c>
      <c r="F86" s="69">
        <f t="shared" si="6"/>
        <v>0.51262014114519283</v>
      </c>
      <c r="G86" s="98">
        <f t="shared" si="7"/>
        <v>52.080154539004589</v>
      </c>
      <c r="H86" s="69">
        <f t="shared" si="8"/>
        <v>0.76123108518224869</v>
      </c>
      <c r="I86" s="69">
        <f t="shared" si="9"/>
        <v>3.1281806687885494</v>
      </c>
      <c r="J86" s="99">
        <f t="shared" si="10"/>
        <v>1.5047746178408776E-2</v>
      </c>
      <c r="K86" s="69">
        <f t="shared" si="11"/>
        <v>1.8394178068708779E-2</v>
      </c>
      <c r="L86" s="99">
        <f t="shared" si="12"/>
        <v>3.3441924247117553E-2</v>
      </c>
      <c r="M86" s="69">
        <f t="shared" si="13"/>
        <v>22.762777630771687</v>
      </c>
      <c r="N86" s="69">
        <f t="shared" si="14"/>
        <v>19.860195215865716</v>
      </c>
      <c r="O86" s="69">
        <f t="shared" si="15"/>
        <v>26.089574640939585</v>
      </c>
      <c r="P86" s="69">
        <f t="shared" si="16"/>
        <v>1.044184219868862</v>
      </c>
      <c r="Q86" s="69">
        <f t="shared" si="17"/>
        <v>0.83657921920892098</v>
      </c>
      <c r="R86" s="43">
        <f t="shared" si="18"/>
        <v>1266.235931334505</v>
      </c>
      <c r="S86" s="43">
        <f t="shared" si="19"/>
        <v>829.20460350515293</v>
      </c>
      <c r="T86" s="43">
        <f>R86+Thrust!C$33*0.8</f>
        <v>3077.9959313345053</v>
      </c>
      <c r="U86" s="43"/>
      <c r="V86">
        <f t="shared" si="20"/>
        <v>404059.76894392533</v>
      </c>
      <c r="W86">
        <f t="shared" si="21"/>
        <v>617019.00312753965</v>
      </c>
      <c r="X86">
        <f t="shared" si="22"/>
        <v>212959.23418361432</v>
      </c>
      <c r="Y86">
        <f t="shared" si="23"/>
        <v>212959.23418361432</v>
      </c>
      <c r="Z86">
        <f t="shared" si="24"/>
        <v>-1284.4284045899615</v>
      </c>
      <c r="AA86">
        <f t="shared" si="25"/>
        <v>-2.5178924241014862</v>
      </c>
      <c r="AB86">
        <f t="shared" si="26"/>
        <v>3483.3519317788569</v>
      </c>
      <c r="AC86">
        <f t="shared" si="27"/>
        <v>6.8425449965189618</v>
      </c>
      <c r="AD86">
        <f t="shared" si="28"/>
        <v>12.149705625220466</v>
      </c>
      <c r="AE86">
        <f t="shared" si="29"/>
        <v>3507.7298825334947</v>
      </c>
      <c r="AH86">
        <v>8.2291954961747251</v>
      </c>
      <c r="AI86">
        <v>2392.5438672513196</v>
      </c>
      <c r="AJ86">
        <f t="shared" si="30"/>
        <v>12714.893123655787</v>
      </c>
      <c r="AK86">
        <f t="shared" si="31"/>
        <v>1046.5186166537319</v>
      </c>
      <c r="AO86" s="43"/>
      <c r="AP86" s="43"/>
    </row>
    <row r="87" spans="1:42">
      <c r="A87">
        <v>125</v>
      </c>
      <c r="B87">
        <f t="shared" si="3"/>
        <v>125</v>
      </c>
      <c r="D87" s="43">
        <f t="shared" si="4"/>
        <v>291.03734162969153</v>
      </c>
      <c r="E87" s="43">
        <f t="shared" si="5"/>
        <v>491.21569483078184</v>
      </c>
      <c r="F87" s="69">
        <f t="shared" si="6"/>
        <v>0.51675417454152495</v>
      </c>
      <c r="G87" s="98">
        <f t="shared" si="7"/>
        <v>52.923544138394035</v>
      </c>
      <c r="H87" s="69">
        <f t="shared" si="8"/>
        <v>0.74910010660878423</v>
      </c>
      <c r="I87" s="69">
        <f t="shared" si="9"/>
        <v>3.0260303279247376</v>
      </c>
      <c r="J87" s="99">
        <f t="shared" si="10"/>
        <v>1.5047746178408776E-2</v>
      </c>
      <c r="K87" s="69">
        <f t="shared" si="11"/>
        <v>1.772544811372891E-2</v>
      </c>
      <c r="L87" s="99">
        <f t="shared" si="12"/>
        <v>3.2773194292137688E-2</v>
      </c>
      <c r="M87" s="69">
        <f t="shared" si="13"/>
        <v>22.857097783370293</v>
      </c>
      <c r="N87" s="69">
        <f t="shared" si="14"/>
        <v>19.782948283286128</v>
      </c>
      <c r="O87" s="69">
        <f t="shared" si="15"/>
        <v>26.408951365451781</v>
      </c>
      <c r="P87" s="69">
        <f t="shared" si="16"/>
        <v>1.0526050603516754</v>
      </c>
      <c r="Q87" s="69">
        <f t="shared" si="17"/>
        <v>0.83410615652357301</v>
      </c>
      <c r="R87" s="43">
        <f t="shared" si="18"/>
        <v>1252.3927924491275</v>
      </c>
      <c r="S87" s="43">
        <f t="shared" si="19"/>
        <v>825.78287842529721</v>
      </c>
      <c r="T87" s="43">
        <f>R87+Thrust!C$33*0.8</f>
        <v>3064.1527924491274</v>
      </c>
      <c r="U87" s="43"/>
      <c r="V87">
        <f t="shared" si="20"/>
        <v>405637.51040504541</v>
      </c>
      <c r="W87">
        <f t="shared" si="21"/>
        <v>615194.99574396131</v>
      </c>
      <c r="X87">
        <f t="shared" si="22"/>
        <v>209557.4853389159</v>
      </c>
      <c r="Y87">
        <f t="shared" si="23"/>
        <v>209557.4853389159</v>
      </c>
      <c r="Z87">
        <f t="shared" si="24"/>
        <v>-1289.4437416849125</v>
      </c>
      <c r="AA87">
        <f t="shared" si="25"/>
        <v>-2.5074956514716371</v>
      </c>
      <c r="AB87">
        <f t="shared" si="26"/>
        <v>3495.1706466930855</v>
      </c>
      <c r="AC87">
        <f t="shared" si="27"/>
        <v>6.8106845206090396</v>
      </c>
      <c r="AD87">
        <f t="shared" si="28"/>
        <v>12.066672130004514</v>
      </c>
      <c r="AE87">
        <f t="shared" si="29"/>
        <v>3511.8521790336008</v>
      </c>
      <c r="AH87">
        <v>8.2129169045538184</v>
      </c>
      <c r="AI87">
        <v>2407.1003489987552</v>
      </c>
      <c r="AJ87">
        <f t="shared" si="30"/>
        <v>12571.203214925274</v>
      </c>
      <c r="AK87">
        <f t="shared" si="31"/>
        <v>1041.8119494327034</v>
      </c>
      <c r="AO87" s="43"/>
      <c r="AP87" s="43"/>
    </row>
    <row r="88" spans="1:42">
      <c r="A88">
        <v>126</v>
      </c>
      <c r="B88">
        <f t="shared" si="3"/>
        <v>126</v>
      </c>
      <c r="D88" s="43">
        <f t="shared" si="4"/>
        <v>293.3656403627291</v>
      </c>
      <c r="E88" s="43">
        <f t="shared" si="5"/>
        <v>495.14542038942812</v>
      </c>
      <c r="F88" s="69">
        <f t="shared" si="6"/>
        <v>0.52088820793785717</v>
      </c>
      <c r="G88" s="98">
        <f t="shared" si="7"/>
        <v>53.773707951433202</v>
      </c>
      <c r="H88" s="69">
        <f t="shared" si="8"/>
        <v>0.73725681316214753</v>
      </c>
      <c r="I88" s="69">
        <f t="shared" si="9"/>
        <v>2.9263024737209209</v>
      </c>
      <c r="J88" s="99">
        <f t="shared" si="10"/>
        <v>1.5047746178408776E-2</v>
      </c>
      <c r="K88" s="69">
        <f t="shared" si="11"/>
        <v>1.7084522187620379E-2</v>
      </c>
      <c r="L88" s="99">
        <f t="shared" si="12"/>
        <v>3.2132268366029157E-2</v>
      </c>
      <c r="M88" s="69">
        <f t="shared" si="13"/>
        <v>22.94443718581628</v>
      </c>
      <c r="N88" s="69">
        <f t="shared" si="14"/>
        <v>19.700933564907665</v>
      </c>
      <c r="O88" s="69">
        <f t="shared" si="15"/>
        <v>26.721941680550827</v>
      </c>
      <c r="P88" s="69">
        <f t="shared" si="16"/>
        <v>1.0610259008344889</v>
      </c>
      <c r="Q88" s="69">
        <f t="shared" si="17"/>
        <v>0.83149804029084562</v>
      </c>
      <c r="R88" s="43">
        <f t="shared" si="18"/>
        <v>1238.5682152410495</v>
      </c>
      <c r="S88" s="43">
        <f t="shared" si="19"/>
        <v>822.63948542909077</v>
      </c>
      <c r="T88" s="43">
        <f>R88+Thrust!C$33*0.8</f>
        <v>3050.3282152410493</v>
      </c>
      <c r="U88" s="43"/>
      <c r="V88">
        <f t="shared" si="20"/>
        <v>407326.17384172999</v>
      </c>
      <c r="W88">
        <f t="shared" si="21"/>
        <v>613271.37961651315</v>
      </c>
      <c r="X88">
        <f t="shared" si="22"/>
        <v>205945.20577478316</v>
      </c>
      <c r="Y88">
        <f t="shared" si="23"/>
        <v>205945.20577478316</v>
      </c>
      <c r="Z88">
        <f t="shared" si="24"/>
        <v>-1294.8116784372874</v>
      </c>
      <c r="AA88">
        <f t="shared" si="25"/>
        <v>-2.4979446523868201</v>
      </c>
      <c r="AB88">
        <f t="shared" si="26"/>
        <v>3506.3201248832852</v>
      </c>
      <c r="AC88">
        <f t="shared" si="27"/>
        <v>6.7780320668544327</v>
      </c>
      <c r="AD88">
        <f t="shared" si="28"/>
        <v>11.979072863365857</v>
      </c>
      <c r="AE88">
        <f t="shared" si="29"/>
        <v>3514.2483815131154</v>
      </c>
      <c r="AH88">
        <v>8.1959469660640902</v>
      </c>
      <c r="AI88">
        <v>2421.3779696977717</v>
      </c>
      <c r="AJ88">
        <f t="shared" si="30"/>
        <v>12423.635342168109</v>
      </c>
      <c r="AK88">
        <f t="shared" si="31"/>
        <v>1037.1115931819568</v>
      </c>
      <c r="AO88" s="43"/>
      <c r="AP88" s="43"/>
    </row>
    <row r="89" spans="1:42">
      <c r="A89">
        <v>127</v>
      </c>
      <c r="B89">
        <f t="shared" si="3"/>
        <v>127</v>
      </c>
      <c r="D89" s="43">
        <f t="shared" si="4"/>
        <v>295.69393909576661</v>
      </c>
      <c r="E89" s="43">
        <f t="shared" si="5"/>
        <v>499.07514594807435</v>
      </c>
      <c r="F89" s="69">
        <f t="shared" si="6"/>
        <v>0.5250222413341894</v>
      </c>
      <c r="G89" s="98">
        <f t="shared" si="7"/>
        <v>54.630645978122068</v>
      </c>
      <c r="H89" s="69">
        <f t="shared" si="8"/>
        <v>0.72569217966161925</v>
      </c>
      <c r="I89" s="69">
        <f t="shared" si="9"/>
        <v>2.8289211085746593</v>
      </c>
      <c r="J89" s="99">
        <f t="shared" si="10"/>
        <v>1.5047746178408776E-2</v>
      </c>
      <c r="K89" s="69">
        <f t="shared" si="11"/>
        <v>1.6470065115365726E-2</v>
      </c>
      <c r="L89" s="99">
        <f t="shared" si="12"/>
        <v>3.1517811293774504E-2</v>
      </c>
      <c r="M89" s="69">
        <f t="shared" si="13"/>
        <v>23.024827863125136</v>
      </c>
      <c r="N89" s="69">
        <f t="shared" si="14"/>
        <v>19.614290966923662</v>
      </c>
      <c r="O89" s="69">
        <f t="shared" si="15"/>
        <v>27.028389607380845</v>
      </c>
      <c r="P89" s="69">
        <f t="shared" si="16"/>
        <v>1.0694467413173021</v>
      </c>
      <c r="Q89" s="69">
        <f t="shared" si="17"/>
        <v>0.82875487051073837</v>
      </c>
      <c r="R89" s="43">
        <f t="shared" si="18"/>
        <v>1224.761761245453</v>
      </c>
      <c r="S89" s="43">
        <f t="shared" si="19"/>
        <v>819.76725785771487</v>
      </c>
      <c r="T89" s="43">
        <f>R89+Thrust!C$33*0.8</f>
        <v>3036.521761245453</v>
      </c>
      <c r="U89" s="43"/>
      <c r="V89">
        <f t="shared" si="20"/>
        <v>409125.46385879174</v>
      </c>
      <c r="W89">
        <f t="shared" si="21"/>
        <v>611248.15474519506</v>
      </c>
      <c r="X89">
        <f t="shared" si="22"/>
        <v>202122.69088640332</v>
      </c>
      <c r="Y89">
        <f t="shared" si="23"/>
        <v>202122.69088640332</v>
      </c>
      <c r="Z89">
        <f t="shared" si="24"/>
        <v>-1300.5312758425166</v>
      </c>
      <c r="AA89">
        <f t="shared" si="25"/>
        <v>-2.4892176328795754</v>
      </c>
      <c r="AB89">
        <f t="shared" si="26"/>
        <v>3516.8013053540235</v>
      </c>
      <c r="AC89">
        <f t="shared" si="27"/>
        <v>6.7446083519630955</v>
      </c>
      <c r="AD89">
        <f t="shared" si="28"/>
        <v>11.887044193106602</v>
      </c>
      <c r="AE89">
        <f t="shared" si="29"/>
        <v>3514.9269216651496</v>
      </c>
      <c r="AH89">
        <v>8.1783022391720319</v>
      </c>
      <c r="AI89">
        <v>2435.3767664182551</v>
      </c>
      <c r="AJ89">
        <f t="shared" si="30"/>
        <v>12272.391245546563</v>
      </c>
      <c r="AK89">
        <f t="shared" si="31"/>
        <v>1032.4173988234541</v>
      </c>
      <c r="AO89" s="43"/>
      <c r="AP89" s="43"/>
    </row>
    <row r="90" spans="1:42">
      <c r="A90">
        <v>128</v>
      </c>
      <c r="B90">
        <f t="shared" si="3"/>
        <v>128</v>
      </c>
      <c r="D90" s="43">
        <f t="shared" si="4"/>
        <v>298.02223782880412</v>
      </c>
      <c r="E90" s="43">
        <f t="shared" si="5"/>
        <v>503.00487150672058</v>
      </c>
      <c r="F90" s="69">
        <f t="shared" si="6"/>
        <v>0.52915627473052151</v>
      </c>
      <c r="G90" s="98">
        <f t="shared" si="7"/>
        <v>55.494358218460654</v>
      </c>
      <c r="H90" s="69">
        <f t="shared" si="8"/>
        <v>0.71439753208998158</v>
      </c>
      <c r="I90" s="69">
        <f t="shared" si="9"/>
        <v>2.733813191897339</v>
      </c>
      <c r="J90" s="99">
        <f t="shared" si="10"/>
        <v>1.5047746178408776E-2</v>
      </c>
      <c r="K90" s="69">
        <f t="shared" si="11"/>
        <v>1.5880815034284613E-2</v>
      </c>
      <c r="L90" s="99">
        <f t="shared" si="12"/>
        <v>3.0928561212693391E-2</v>
      </c>
      <c r="M90" s="69">
        <f t="shared" si="13"/>
        <v>23.098311207466892</v>
      </c>
      <c r="N90" s="69">
        <f t="shared" si="14"/>
        <v>19.523163940769077</v>
      </c>
      <c r="O90" s="69">
        <f t="shared" si="15"/>
        <v>27.328151433633519</v>
      </c>
      <c r="P90" s="69">
        <f t="shared" si="16"/>
        <v>1.0778675818001155</v>
      </c>
      <c r="Q90" s="69">
        <f t="shared" si="17"/>
        <v>0.82587664718325171</v>
      </c>
      <c r="R90" s="43">
        <f t="shared" si="18"/>
        <v>1210.9730056995461</v>
      </c>
      <c r="S90" s="43">
        <f t="shared" si="19"/>
        <v>817.15930790205823</v>
      </c>
      <c r="T90" s="43">
        <f>R90+Thrust!C$33*0.8</f>
        <v>3022.7330056995461</v>
      </c>
      <c r="U90" s="43"/>
      <c r="V90">
        <f t="shared" si="20"/>
        <v>411035.11267179553</v>
      </c>
      <c r="W90">
        <f t="shared" si="21"/>
        <v>609125.32113000739</v>
      </c>
      <c r="X90">
        <f t="shared" si="22"/>
        <v>198090.20845821186</v>
      </c>
      <c r="Y90">
        <f t="shared" si="23"/>
        <v>198090.20845821186</v>
      </c>
      <c r="Z90">
        <f t="shared" si="24"/>
        <v>-1306.6016826653101</v>
      </c>
      <c r="AA90">
        <f t="shared" si="25"/>
        <v>-2.4812936485200874</v>
      </c>
      <c r="AB90">
        <f t="shared" si="26"/>
        <v>3526.6150393405919</v>
      </c>
      <c r="AC90">
        <f t="shared" si="27"/>
        <v>6.7104332787108083</v>
      </c>
      <c r="AD90">
        <f t="shared" si="28"/>
        <v>11.790726275456899</v>
      </c>
      <c r="AE90">
        <f t="shared" si="29"/>
        <v>3513.898630238546</v>
      </c>
      <c r="AH90">
        <v>8.1599986304809491</v>
      </c>
      <c r="AI90">
        <v>2449.0967352889015</v>
      </c>
      <c r="AJ90">
        <f t="shared" si="30"/>
        <v>12117.673941157433</v>
      </c>
      <c r="AK90">
        <f t="shared" si="31"/>
        <v>1027.7292219378458</v>
      </c>
      <c r="AO90" s="43"/>
      <c r="AP90" s="43"/>
    </row>
    <row r="91" spans="1:42">
      <c r="A91">
        <v>129</v>
      </c>
      <c r="B91">
        <f t="shared" ref="B91:B154" si="36">A91</f>
        <v>129</v>
      </c>
      <c r="D91" s="43">
        <f t="shared" ref="D91:D154" si="37">A91/SQRT(D$13)</f>
        <v>300.35053656184169</v>
      </c>
      <c r="E91" s="43">
        <f t="shared" ref="E91:E154" si="38">D91*1.68780986</f>
        <v>506.93459706536692</v>
      </c>
      <c r="F91" s="69">
        <f t="shared" ref="F91:F154" si="39">E91/SQRT(1716.46*1.4*$D$15)</f>
        <v>0.53329030812685385</v>
      </c>
      <c r="G91" s="98">
        <f t="shared" ref="G91:G154" si="40">0.5*$D$14*E91^2</f>
        <v>56.364844672448982</v>
      </c>
      <c r="H91" s="69">
        <f t="shared" ref="H91:H154" si="41">2*$D$4/($D$14*E91^2*$D$7)</f>
        <v>0.70336453132397403</v>
      </c>
      <c r="I91" s="69">
        <f t="shared" ref="I91:I154" si="42">DEGREES((H91-$J$4)/$J$5)</f>
        <v>2.6409085031145523</v>
      </c>
      <c r="J91" s="99">
        <f t="shared" ref="J91:J154" si="43">$J$7</f>
        <v>1.5047746178408776E-2</v>
      </c>
      <c r="K91" s="69">
        <f t="shared" ref="K91:K154" si="44">$J$9*(H91-$J$6)^2</f>
        <v>1.5315578856189609E-2</v>
      </c>
      <c r="L91" s="99">
        <f t="shared" ref="L91:L154" si="45">SUM(J91:K91)</f>
        <v>3.0363325034598383E-2</v>
      </c>
      <c r="M91" s="69">
        <f t="shared" ref="M91:M154" si="46">H91/L91</f>
        <v>23.164937651673675</v>
      </c>
      <c r="N91" s="69">
        <f t="shared" ref="N91:N154" si="47">H91^1.5/L91</f>
        <v>19.427699071889123</v>
      </c>
      <c r="O91" s="69">
        <f t="shared" ref="O91:O154" si="48">H91^0.5/L91</f>
        <v>27.62109575715953</v>
      </c>
      <c r="P91" s="69">
        <f t="shared" ref="P91:P154" si="49">60*E91/($J$17*$J$13)</f>
        <v>1.0862884222829292</v>
      </c>
      <c r="Q91" s="69">
        <f t="shared" ref="Q91:Q154" si="50">0.096574+1.703049*P91-0.952281*P91^2</f>
        <v>0.82286337030838519</v>
      </c>
      <c r="R91" s="43">
        <f t="shared" ref="R91:R154" si="51">Q91*550*$J$16/E91</f>
        <v>1197.2015370114741</v>
      </c>
      <c r="S91" s="43">
        <f t="shared" ref="S91:S154" si="52">$D$7*G91*L91</f>
        <v>814.80901368349998</v>
      </c>
      <c r="T91" s="43">
        <f>R91+Thrust!C$33*0.8</f>
        <v>3008.9615370114743</v>
      </c>
      <c r="U91" s="43"/>
      <c r="V91">
        <f t="shared" ref="V91:V154" si="53">S91*E91</f>
        <v>413054.8790368741</v>
      </c>
      <c r="W91">
        <f t="shared" ref="W91:W154" si="54">R91*E91</f>
        <v>606902.87877094955</v>
      </c>
      <c r="X91">
        <f t="shared" ref="X91:X154" si="55">W91-V91</f>
        <v>193847.99973407545</v>
      </c>
      <c r="Y91">
        <f t="shared" ref="Y91:Y154" si="56">SQRT(X91^2)</f>
        <v>193847.99973407545</v>
      </c>
      <c r="Z91">
        <f t="shared" ref="Z91:Z154" si="57">-(E91/M91)*60</f>
        <v>-1313.0221320377455</v>
      </c>
      <c r="AA91">
        <f t="shared" ref="AA91:AA154" si="58">ASIN((Z91/60)/E91)*180/PI()</f>
        <v>-2.4741525649736995</v>
      </c>
      <c r="AB91">
        <f t="shared" ref="AB91:AB154" si="59">60*(((T91*E91)-(S91*E91))/$D$4)</f>
        <v>3535.7620937109136</v>
      </c>
      <c r="AC91">
        <f t="shared" ref="AC91:AC154" si="60">ASIN((AB91/60)/E91)*180/PI()</f>
        <v>6.6755259737492381</v>
      </c>
      <c r="AD91">
        <f t="shared" ref="AD91:AD154" si="61">((325.9*Q91)/($J$12*D91))*M91*LN($D$4/$D$6)</f>
        <v>11.69026263039285</v>
      </c>
      <c r="AE91">
        <f t="shared" ref="AE91:AE154" si="62">((325.9*Q91)/($J$12))*M91*LN($D$4/$D$6)</f>
        <v>3511.1766535873398</v>
      </c>
      <c r="AH91">
        <v>8.1410514251418018</v>
      </c>
      <c r="AI91">
        <v>2462.5378330840872</v>
      </c>
      <c r="AJ91">
        <f t="shared" ref="AJ91:AJ154" si="63">($J$12*T91)*AD91</f>
        <v>11959.687208220988</v>
      </c>
      <c r="AK91">
        <f t="shared" ref="AK91:AK154" si="64">$J$12*T91</f>
        <v>1023.0469225839014</v>
      </c>
      <c r="AO91" s="43"/>
      <c r="AP91" s="43"/>
    </row>
    <row r="92" spans="1:42">
      <c r="A92">
        <v>130</v>
      </c>
      <c r="B92">
        <f t="shared" si="36"/>
        <v>130</v>
      </c>
      <c r="D92" s="43">
        <f t="shared" si="37"/>
        <v>302.67883529487921</v>
      </c>
      <c r="E92" s="43">
        <f t="shared" si="38"/>
        <v>510.86432262401314</v>
      </c>
      <c r="F92" s="69">
        <f t="shared" si="39"/>
        <v>0.53742434152318597</v>
      </c>
      <c r="G92" s="98">
        <f t="shared" si="40"/>
        <v>57.242105340086994</v>
      </c>
      <c r="H92" s="69">
        <f t="shared" si="41"/>
        <v>0.69258515773741147</v>
      </c>
      <c r="I92" s="69">
        <f t="shared" si="42"/>
        <v>2.5501395120148289</v>
      </c>
      <c r="J92" s="99">
        <f t="shared" si="43"/>
        <v>1.5047746178408776E-2</v>
      </c>
      <c r="K92" s="69">
        <f t="shared" si="44"/>
        <v>1.4773228042095458E-2</v>
      </c>
      <c r="L92" s="99">
        <f t="shared" si="45"/>
        <v>2.9820974220504233E-2</v>
      </c>
      <c r="M92" s="69">
        <f t="shared" si="46"/>
        <v>23.224766321054844</v>
      </c>
      <c r="N92" s="69">
        <f t="shared" si="47"/>
        <v>19.328045669435085</v>
      </c>
      <c r="O92" s="69">
        <f t="shared" si="48"/>
        <v>27.907103485407305</v>
      </c>
      <c r="P92" s="69">
        <f t="shared" si="49"/>
        <v>1.0947092627657424</v>
      </c>
      <c r="Q92" s="69">
        <f t="shared" si="50"/>
        <v>0.81971503988613925</v>
      </c>
      <c r="R92" s="43">
        <f t="shared" si="51"/>
        <v>1183.4469562537499</v>
      </c>
      <c r="S92" s="43">
        <f t="shared" si="52"/>
        <v>812.71000702764957</v>
      </c>
      <c r="T92" s="43">
        <f>R92+Thrust!C$33*0.8</f>
        <v>2995.2069562537499</v>
      </c>
      <c r="U92" s="43"/>
      <c r="V92">
        <f t="shared" si="53"/>
        <v>415184.54722993716</v>
      </c>
      <c r="W92">
        <f t="shared" si="54"/>
        <v>604580.82766802202</v>
      </c>
      <c r="X92">
        <f t="shared" si="55"/>
        <v>189396.28043808485</v>
      </c>
      <c r="Y92">
        <f t="shared" si="56"/>
        <v>189396.28043808485</v>
      </c>
      <c r="Z92">
        <f t="shared" si="57"/>
        <v>-1319.7919382143696</v>
      </c>
      <c r="AA92">
        <f t="shared" si="58"/>
        <v>-2.4677750206811337</v>
      </c>
      <c r="AB92">
        <f t="shared" si="59"/>
        <v>3544.2431542104373</v>
      </c>
      <c r="AC92">
        <f t="shared" si="60"/>
        <v>6.6399048233843745</v>
      </c>
      <c r="AD92">
        <f t="shared" si="61"/>
        <v>11.585799717938768</v>
      </c>
      <c r="AE92">
        <f t="shared" si="62"/>
        <v>3506.7763645854457</v>
      </c>
      <c r="AH92">
        <v>8.121475315626407</v>
      </c>
      <c r="AI92">
        <v>2475.6999787374907</v>
      </c>
      <c r="AJ92">
        <f t="shared" si="63"/>
        <v>11798.635089037198</v>
      </c>
      <c r="AK92">
        <f t="shared" si="64"/>
        <v>1018.370365126275</v>
      </c>
      <c r="AO92" s="43"/>
      <c r="AP92" s="43"/>
    </row>
    <row r="93" spans="1:42">
      <c r="A93">
        <v>131</v>
      </c>
      <c r="B93">
        <f t="shared" si="36"/>
        <v>131</v>
      </c>
      <c r="D93" s="43">
        <f t="shared" si="37"/>
        <v>305.00713402791672</v>
      </c>
      <c r="E93" s="43">
        <f t="shared" si="38"/>
        <v>514.79404818265937</v>
      </c>
      <c r="F93" s="69">
        <f t="shared" si="39"/>
        <v>0.54155837491951819</v>
      </c>
      <c r="G93" s="98">
        <f t="shared" si="40"/>
        <v>58.126140221374719</v>
      </c>
      <c r="H93" s="69">
        <f t="shared" si="41"/>
        <v>0.68205169662387133</v>
      </c>
      <c r="I93" s="69">
        <f t="shared" si="42"/>
        <v>2.4614412559996475</v>
      </c>
      <c r="J93" s="99">
        <f t="shared" si="43"/>
        <v>1.5047746178408776E-2</v>
      </c>
      <c r="K93" s="69">
        <f t="shared" si="44"/>
        <v>1.4252694665789141E-2</v>
      </c>
      <c r="L93" s="99">
        <f t="shared" si="45"/>
        <v>2.9300440844197917E-2</v>
      </c>
      <c r="M93" s="69">
        <f t="shared" si="46"/>
        <v>23.277864665948581</v>
      </c>
      <c r="N93" s="69">
        <f t="shared" si="47"/>
        <v>19.22435535884355</v>
      </c>
      <c r="O93" s="69">
        <f t="shared" si="48"/>
        <v>28.186067792226517</v>
      </c>
      <c r="P93" s="69">
        <f t="shared" si="49"/>
        <v>1.1031301032485559</v>
      </c>
      <c r="Q93" s="69">
        <f t="shared" si="50"/>
        <v>0.81643165591651368</v>
      </c>
      <c r="R93" s="43">
        <f t="shared" si="51"/>
        <v>1169.7088766798763</v>
      </c>
      <c r="S93" s="43">
        <f t="shared" si="52"/>
        <v>810.85616188888673</v>
      </c>
      <c r="T93" s="43">
        <f>R93+Thrust!C$33*0.8</f>
        <v>2981.4688766798763</v>
      </c>
      <c r="U93" s="43"/>
      <c r="V93">
        <f t="shared" si="53"/>
        <v>417423.92607263383</v>
      </c>
      <c r="W93">
        <f t="shared" si="54"/>
        <v>602159.16782122466</v>
      </c>
      <c r="X93">
        <f t="shared" si="55"/>
        <v>184735.24174859084</v>
      </c>
      <c r="Y93">
        <f t="shared" si="56"/>
        <v>184735.24174859084</v>
      </c>
      <c r="Z93">
        <f t="shared" si="57"/>
        <v>-1326.9104934759221</v>
      </c>
      <c r="AA93">
        <f t="shared" si="58"/>
        <v>-2.4621423915317058</v>
      </c>
      <c r="AB93">
        <f t="shared" si="59"/>
        <v>3552.0588285584286</v>
      </c>
      <c r="AC93">
        <f t="shared" si="60"/>
        <v>6.6035875074487116</v>
      </c>
      <c r="AD93">
        <f t="shared" si="61"/>
        <v>11.477486517459155</v>
      </c>
      <c r="AE93">
        <f t="shared" si="62"/>
        <v>3500.7152685342717</v>
      </c>
      <c r="AH93">
        <v>8.101284428962952</v>
      </c>
      <c r="AI93">
        <v>2488.5830547863984</v>
      </c>
      <c r="AJ93">
        <f t="shared" si="63"/>
        <v>11634.721403667907</v>
      </c>
      <c r="AK93">
        <f t="shared" si="64"/>
        <v>1013.699418071158</v>
      </c>
      <c r="AO93" s="43"/>
      <c r="AP93" s="43"/>
    </row>
    <row r="94" spans="1:42">
      <c r="A94">
        <v>132</v>
      </c>
      <c r="B94">
        <f t="shared" si="36"/>
        <v>132</v>
      </c>
      <c r="D94" s="43">
        <f t="shared" si="37"/>
        <v>307.33543276095429</v>
      </c>
      <c r="E94" s="43">
        <f t="shared" si="38"/>
        <v>518.72377374130565</v>
      </c>
      <c r="F94" s="69">
        <f t="shared" si="39"/>
        <v>0.54569240831585042</v>
      </c>
      <c r="G94" s="98">
        <f t="shared" si="40"/>
        <v>59.016949316312171</v>
      </c>
      <c r="H94" s="69">
        <f t="shared" si="41"/>
        <v>0.67175672438947742</v>
      </c>
      <c r="I94" s="69">
        <f t="shared" si="42"/>
        <v>2.3747512238181394</v>
      </c>
      <c r="J94" s="99">
        <f t="shared" si="43"/>
        <v>1.5047746178408776E-2</v>
      </c>
      <c r="K94" s="69">
        <f t="shared" si="44"/>
        <v>1.3752967744526929E-2</v>
      </c>
      <c r="L94" s="99">
        <f t="shared" si="45"/>
        <v>2.8800713922935706E-2</v>
      </c>
      <c r="M94" s="69">
        <f t="shared" si="46"/>
        <v>23.324308077464632</v>
      </c>
      <c r="N94" s="69">
        <f t="shared" si="47"/>
        <v>19.116781679158152</v>
      </c>
      <c r="O94" s="69">
        <f t="shared" si="48"/>
        <v>28.457894033784832</v>
      </c>
      <c r="P94" s="69">
        <f t="shared" si="49"/>
        <v>1.1115509437313693</v>
      </c>
      <c r="Q94" s="69">
        <f t="shared" si="50"/>
        <v>0.81301321839950824</v>
      </c>
      <c r="R94" s="43">
        <f t="shared" si="51"/>
        <v>1155.9869232629478</v>
      </c>
      <c r="S94" s="43">
        <f t="shared" si="52"/>
        <v>809.24158338641371</v>
      </c>
      <c r="T94" s="43">
        <f>R94+Thrust!C$33*0.8</f>
        <v>2967.7469232629478</v>
      </c>
      <c r="U94" s="43"/>
      <c r="V94">
        <f t="shared" si="53"/>
        <v>419772.84800259001</v>
      </c>
      <c r="W94">
        <f t="shared" si="54"/>
        <v>599637.89923055738</v>
      </c>
      <c r="X94">
        <f t="shared" si="55"/>
        <v>179865.05122796737</v>
      </c>
      <c r="Y94">
        <f t="shared" si="56"/>
        <v>179865.05122796737</v>
      </c>
      <c r="Z94">
        <f t="shared" si="57"/>
        <v>-1334.3772651737961</v>
      </c>
      <c r="AA94">
        <f t="shared" si="58"/>
        <v>-2.4572367574086771</v>
      </c>
      <c r="AB94">
        <f t="shared" si="59"/>
        <v>3559.2096494034922</v>
      </c>
      <c r="AC94">
        <f t="shared" si="60"/>
        <v>6.5665910313820888</v>
      </c>
      <c r="AD94">
        <f t="shared" si="61"/>
        <v>11.365474111846112</v>
      </c>
      <c r="AE94">
        <f t="shared" si="62"/>
        <v>3493.0129046976481</v>
      </c>
      <c r="AH94">
        <v>8.0804923525266528</v>
      </c>
      <c r="AI94">
        <v>2501.1869087503514</v>
      </c>
      <c r="AJ94">
        <f t="shared" si="63"/>
        <v>11468.149281131035</v>
      </c>
      <c r="AK94">
        <f t="shared" si="64"/>
        <v>1009.0339539094023</v>
      </c>
      <c r="AO94" s="43"/>
      <c r="AP94" s="43"/>
    </row>
    <row r="95" spans="1:42">
      <c r="A95">
        <v>133</v>
      </c>
      <c r="B95">
        <f t="shared" si="36"/>
        <v>133</v>
      </c>
      <c r="D95" s="43">
        <f t="shared" si="37"/>
        <v>309.6637314939918</v>
      </c>
      <c r="E95" s="43">
        <f t="shared" si="38"/>
        <v>522.65349929995193</v>
      </c>
      <c r="F95" s="69">
        <f t="shared" si="39"/>
        <v>0.54982644171218265</v>
      </c>
      <c r="G95" s="98">
        <f t="shared" si="40"/>
        <v>59.914532624899344</v>
      </c>
      <c r="H95" s="69">
        <f t="shared" si="41"/>
        <v>0.66169309546962818</v>
      </c>
      <c r="I95" s="69">
        <f t="shared" si="42"/>
        <v>2.2900092453978504</v>
      </c>
      <c r="J95" s="99">
        <f t="shared" si="43"/>
        <v>1.5047746178408776E-2</v>
      </c>
      <c r="K95" s="69">
        <f t="shared" si="44"/>
        <v>1.3273089816907176E-2</v>
      </c>
      <c r="L95" s="99">
        <f t="shared" si="45"/>
        <v>2.832083599531595E-2</v>
      </c>
      <c r="M95" s="69">
        <f t="shared" si="46"/>
        <v>23.364179488877628</v>
      </c>
      <c r="N95" s="69">
        <f t="shared" si="47"/>
        <v>19.005479686844751</v>
      </c>
      <c r="O95" s="69">
        <f t="shared" si="48"/>
        <v>28.722499625533882</v>
      </c>
      <c r="P95" s="69">
        <f t="shared" si="49"/>
        <v>1.1199717842141828</v>
      </c>
      <c r="Q95" s="69">
        <f t="shared" si="50"/>
        <v>0.80945972733512361</v>
      </c>
      <c r="R95" s="43">
        <f t="shared" si="51"/>
        <v>1142.2807322550634</v>
      </c>
      <c r="S95" s="43">
        <f t="shared" si="52"/>
        <v>807.86059741517238</v>
      </c>
      <c r="T95" s="43">
        <f>R95+Thrust!C$33*0.8</f>
        <v>2954.0407322550636</v>
      </c>
      <c r="U95" s="43"/>
      <c r="V95">
        <f t="shared" si="53"/>
        <v>422231.16818558954</v>
      </c>
      <c r="W95">
        <f t="shared" si="54"/>
        <v>597017.02189602039</v>
      </c>
      <c r="X95">
        <f t="shared" si="55"/>
        <v>174785.85371043085</v>
      </c>
      <c r="Y95">
        <f t="shared" si="56"/>
        <v>174785.85371043085</v>
      </c>
      <c r="Z95">
        <f t="shared" si="57"/>
        <v>-1342.1917929078345</v>
      </c>
      <c r="AA95">
        <f t="shared" si="58"/>
        <v>-2.453040870494096</v>
      </c>
      <c r="AB95">
        <f t="shared" si="59"/>
        <v>3565.6960771457852</v>
      </c>
      <c r="AC95">
        <f t="shared" si="60"/>
        <v>6.5289317566285385</v>
      </c>
      <c r="AD95">
        <f t="shared" si="61"/>
        <v>11.249915278397363</v>
      </c>
      <c r="AE95">
        <f t="shared" si="62"/>
        <v>3483.6907440997979</v>
      </c>
      <c r="AH95">
        <v>8.0591121584724004</v>
      </c>
      <c r="AI95">
        <v>2513.5113544476098</v>
      </c>
      <c r="AJ95">
        <f t="shared" si="63"/>
        <v>11299.120708713488</v>
      </c>
      <c r="AK95">
        <f t="shared" si="64"/>
        <v>1004.3738489667217</v>
      </c>
      <c r="AO95" s="43"/>
      <c r="AP95" s="43"/>
    </row>
    <row r="96" spans="1:42">
      <c r="A96">
        <v>134</v>
      </c>
      <c r="B96">
        <f t="shared" si="36"/>
        <v>134</v>
      </c>
      <c r="D96" s="43">
        <f t="shared" si="37"/>
        <v>311.99203022702932</v>
      </c>
      <c r="E96" s="43">
        <f t="shared" si="38"/>
        <v>526.5832248585981</v>
      </c>
      <c r="F96" s="69">
        <f t="shared" si="39"/>
        <v>0.55396047510851476</v>
      </c>
      <c r="G96" s="98">
        <f t="shared" si="40"/>
        <v>60.818890147136202</v>
      </c>
      <c r="H96" s="69">
        <f t="shared" si="41"/>
        <v>0.65185392992661273</v>
      </c>
      <c r="I96" s="69">
        <f t="shared" si="42"/>
        <v>2.2071573874089974</v>
      </c>
      <c r="J96" s="99">
        <f t="shared" si="43"/>
        <v>1.5047746178408776E-2</v>
      </c>
      <c r="K96" s="69">
        <f t="shared" si="44"/>
        <v>1.2812153749592766E-2</v>
      </c>
      <c r="L96" s="99">
        <f t="shared" si="45"/>
        <v>2.7859899928001544E-2</v>
      </c>
      <c r="M96" s="69">
        <f t="shared" si="46"/>
        <v>23.39756896511479</v>
      </c>
      <c r="N96" s="69">
        <f t="shared" si="47"/>
        <v>18.890605567733974</v>
      </c>
      <c r="O96" s="69">
        <f t="shared" si="48"/>
        <v>28.979813882322876</v>
      </c>
      <c r="P96" s="69">
        <f t="shared" si="49"/>
        <v>1.128392624696996</v>
      </c>
      <c r="Q96" s="69">
        <f t="shared" si="50"/>
        <v>0.80577118272335935</v>
      </c>
      <c r="R96" s="43">
        <f t="shared" si="51"/>
        <v>1128.589950766469</v>
      </c>
      <c r="S96" s="43">
        <f t="shared" si="52"/>
        <v>806.70774079743796</v>
      </c>
      <c r="T96" s="43">
        <f>R96+Thrust!C$33*0.8</f>
        <v>2940.3499507664692</v>
      </c>
      <c r="U96" s="43"/>
      <c r="V96">
        <f t="shared" si="53"/>
        <v>424798.76366750896</v>
      </c>
      <c r="W96">
        <f t="shared" si="54"/>
        <v>594296.53581761371</v>
      </c>
      <c r="X96">
        <f t="shared" si="55"/>
        <v>169497.77215010475</v>
      </c>
      <c r="Y96">
        <f t="shared" si="56"/>
        <v>169497.77215010475</v>
      </c>
      <c r="Z96">
        <f t="shared" si="57"/>
        <v>-1350.3536858304919</v>
      </c>
      <c r="AA96">
        <f t="shared" si="58"/>
        <v>-2.449538125228039</v>
      </c>
      <c r="AB96">
        <f t="shared" si="59"/>
        <v>3571.5185026328536</v>
      </c>
      <c r="AC96">
        <f t="shared" si="60"/>
        <v>6.4906254294491301</v>
      </c>
      <c r="AD96">
        <f t="shared" si="61"/>
        <v>11.130964088060077</v>
      </c>
      <c r="AE96">
        <f t="shared" si="62"/>
        <v>3472.772084218017</v>
      </c>
      <c r="AH96">
        <v>8.0371564268902276</v>
      </c>
      <c r="AI96">
        <v>2525.5561732526553</v>
      </c>
      <c r="AJ96">
        <f t="shared" si="63"/>
        <v>11127.836100825667</v>
      </c>
      <c r="AK96">
        <f t="shared" si="64"/>
        <v>999.71898326059954</v>
      </c>
      <c r="AO96" s="43"/>
      <c r="AP96" s="43"/>
    </row>
    <row r="97" spans="1:42">
      <c r="A97">
        <v>135</v>
      </c>
      <c r="B97">
        <f t="shared" si="36"/>
        <v>135</v>
      </c>
      <c r="D97" s="43">
        <f t="shared" si="37"/>
        <v>314.32032896006689</v>
      </c>
      <c r="E97" s="43">
        <f t="shared" si="38"/>
        <v>530.51295041724438</v>
      </c>
      <c r="F97" s="69">
        <f t="shared" si="39"/>
        <v>0.55809450850484699</v>
      </c>
      <c r="G97" s="98">
        <f t="shared" si="40"/>
        <v>61.7300218830228</v>
      </c>
      <c r="H97" s="69">
        <f t="shared" si="41"/>
        <v>0.64223260168791529</v>
      </c>
      <c r="I97" s="69">
        <f t="shared" si="42"/>
        <v>2.1261398542237182</v>
      </c>
      <c r="J97" s="99">
        <f t="shared" si="43"/>
        <v>1.5047746178408776E-2</v>
      </c>
      <c r="K97" s="69">
        <f t="shared" si="44"/>
        <v>1.2369299756038829E-2</v>
      </c>
      <c r="L97" s="99">
        <f t="shared" si="45"/>
        <v>2.7417045934447604E-2</v>
      </c>
      <c r="M97" s="69">
        <f t="shared" si="46"/>
        <v>23.424573282747243</v>
      </c>
      <c r="N97" s="69">
        <f t="shared" si="47"/>
        <v>18.772316258600355</v>
      </c>
      <c r="O97" s="69">
        <f t="shared" si="48"/>
        <v>29.229777823895837</v>
      </c>
      <c r="P97" s="69">
        <f t="shared" si="49"/>
        <v>1.1368134651798094</v>
      </c>
      <c r="Q97" s="69">
        <f t="shared" si="50"/>
        <v>0.80194758456421478</v>
      </c>
      <c r="R97" s="43">
        <f t="shared" si="51"/>
        <v>1114.9142363634005</v>
      </c>
      <c r="S97" s="43">
        <f t="shared" si="52"/>
        <v>805.77775194316507</v>
      </c>
      <c r="T97" s="43">
        <f>R97+Thrust!C$33*0.8</f>
        <v>2926.6742363634003</v>
      </c>
      <c r="U97" s="43"/>
      <c r="V97">
        <f t="shared" si="53"/>
        <v>427475.53256394295</v>
      </c>
      <c r="W97">
        <f t="shared" si="54"/>
        <v>591476.44099533663</v>
      </c>
      <c r="X97">
        <f t="shared" si="55"/>
        <v>164000.90843139368</v>
      </c>
      <c r="Y97">
        <f t="shared" si="56"/>
        <v>164000.90843139368</v>
      </c>
      <c r="Z97">
        <f t="shared" si="57"/>
        <v>-1358.8626200708122</v>
      </c>
      <c r="AA97">
        <f t="shared" si="58"/>
        <v>-2.4467125298241976</v>
      </c>
      <c r="AB97">
        <f t="shared" si="59"/>
        <v>3576.6772497356515</v>
      </c>
      <c r="AC97">
        <f t="shared" si="60"/>
        <v>6.4516872082443015</v>
      </c>
      <c r="AD97">
        <f t="shared" si="61"/>
        <v>11.008775514588319</v>
      </c>
      <c r="AE97">
        <f t="shared" si="62"/>
        <v>3460.2819411929299</v>
      </c>
      <c r="AH97">
        <v>8.0146372677591398</v>
      </c>
      <c r="AI97">
        <v>2537.321115297817</v>
      </c>
      <c r="AJ97">
        <f t="shared" si="63"/>
        <v>10954.493888634315</v>
      </c>
      <c r="AK97">
        <f t="shared" si="64"/>
        <v>995.06924036355622</v>
      </c>
      <c r="AO97" s="43"/>
      <c r="AP97" s="43"/>
    </row>
    <row r="98" spans="1:42">
      <c r="A98">
        <v>136</v>
      </c>
      <c r="B98">
        <f t="shared" si="36"/>
        <v>136</v>
      </c>
      <c r="D98" s="43">
        <f t="shared" si="37"/>
        <v>316.6486276931044</v>
      </c>
      <c r="E98" s="43">
        <f t="shared" si="38"/>
        <v>534.44267597589067</v>
      </c>
      <c r="F98" s="69">
        <f t="shared" si="39"/>
        <v>0.56222854190117921</v>
      </c>
      <c r="G98" s="98">
        <f t="shared" si="40"/>
        <v>62.647927832559105</v>
      </c>
      <c r="H98" s="69">
        <f t="shared" si="41"/>
        <v>0.63282272738766521</v>
      </c>
      <c r="I98" s="69">
        <f t="shared" si="42"/>
        <v>2.0469028939541847</v>
      </c>
      <c r="J98" s="99">
        <f t="shared" si="43"/>
        <v>1.5047746178408776E-2</v>
      </c>
      <c r="K98" s="69">
        <f t="shared" si="44"/>
        <v>1.1943712611733612E-2</v>
      </c>
      <c r="L98" s="99">
        <f t="shared" si="45"/>
        <v>2.6991458790142388E-2</v>
      </c>
      <c r="M98" s="69">
        <f t="shared" si="46"/>
        <v>23.445295502841805</v>
      </c>
      <c r="N98" s="69">
        <f t="shared" si="47"/>
        <v>18.650769079757069</v>
      </c>
      <c r="O98" s="69">
        <f t="shared" si="48"/>
        <v>29.47234394812066</v>
      </c>
      <c r="P98" s="69">
        <f t="shared" si="49"/>
        <v>1.1452343056626229</v>
      </c>
      <c r="Q98" s="69">
        <f t="shared" si="50"/>
        <v>0.79798893285769146</v>
      </c>
      <c r="R98" s="43">
        <f t="shared" si="51"/>
        <v>1101.2532566836799</v>
      </c>
      <c r="S98" s="43">
        <f t="shared" si="52"/>
        <v>805.06556198927683</v>
      </c>
      <c r="T98" s="43">
        <f>R98+Thrust!C$33*0.8</f>
        <v>2913.0132566836801</v>
      </c>
      <c r="U98" s="43"/>
      <c r="V98">
        <f t="shared" si="53"/>
        <v>430261.39328558341</v>
      </c>
      <c r="W98">
        <f t="shared" si="54"/>
        <v>588556.73742919031</v>
      </c>
      <c r="X98">
        <f t="shared" si="55"/>
        <v>158295.3441436069</v>
      </c>
      <c r="Y98">
        <f t="shared" si="56"/>
        <v>158295.3441436069</v>
      </c>
      <c r="Z98">
        <f t="shared" si="57"/>
        <v>-1367.718336272053</v>
      </c>
      <c r="AA98">
        <f t="shared" si="58"/>
        <v>-2.4445486792502469</v>
      </c>
      <c r="AB98">
        <f t="shared" si="59"/>
        <v>3581.1725778109248</v>
      </c>
      <c r="AC98">
        <f t="shared" si="60"/>
        <v>6.4121316894729841</v>
      </c>
      <c r="AD98">
        <f t="shared" si="61"/>
        <v>10.883505055028305</v>
      </c>
      <c r="AE98">
        <f t="shared" si="62"/>
        <v>3446.2469401656776</v>
      </c>
      <c r="AH98">
        <v>7.991566341769941</v>
      </c>
      <c r="AI98">
        <v>2548.8059006218773</v>
      </c>
      <c r="AJ98">
        <f t="shared" si="63"/>
        <v>10779.290131523641</v>
      </c>
      <c r="AK98">
        <f t="shared" si="64"/>
        <v>990.42450727245125</v>
      </c>
      <c r="AO98" s="43"/>
      <c r="AP98" s="43"/>
    </row>
    <row r="99" spans="1:42">
      <c r="A99">
        <v>137</v>
      </c>
      <c r="B99">
        <f t="shared" si="36"/>
        <v>137</v>
      </c>
      <c r="D99" s="43">
        <f t="shared" si="37"/>
        <v>318.97692642614192</v>
      </c>
      <c r="E99" s="43">
        <f t="shared" si="38"/>
        <v>538.37240153453683</v>
      </c>
      <c r="F99" s="69">
        <f t="shared" si="39"/>
        <v>0.56636257529751133</v>
      </c>
      <c r="G99" s="98">
        <f t="shared" si="40"/>
        <v>63.572607995745109</v>
      </c>
      <c r="H99" s="69">
        <f t="shared" si="41"/>
        <v>0.623618155776134</v>
      </c>
      <c r="I99" s="69">
        <f t="shared" si="42"/>
        <v>1.9693947092740141</v>
      </c>
      <c r="J99" s="99">
        <f t="shared" si="43"/>
        <v>1.5047746178408776E-2</v>
      </c>
      <c r="K99" s="69">
        <f t="shared" si="44"/>
        <v>1.1534619051694525E-2</v>
      </c>
      <c r="L99" s="99">
        <f t="shared" si="45"/>
        <v>2.6582365230103301E-2</v>
      </c>
      <c r="M99" s="69">
        <f t="shared" si="46"/>
        <v>23.459844538962066</v>
      </c>
      <c r="N99" s="69">
        <f t="shared" si="47"/>
        <v>18.526121379910759</v>
      </c>
      <c r="O99" s="69">
        <f t="shared" si="48"/>
        <v>29.707475974386568</v>
      </c>
      <c r="P99" s="69">
        <f t="shared" si="49"/>
        <v>1.1536551461454361</v>
      </c>
      <c r="Q99" s="69">
        <f t="shared" si="50"/>
        <v>0.79389522760378783</v>
      </c>
      <c r="R99" s="43">
        <f t="shared" si="51"/>
        <v>1087.6066890691297</v>
      </c>
      <c r="S99" s="43">
        <f t="shared" si="52"/>
        <v>804.56628639002429</v>
      </c>
      <c r="T99" s="43">
        <f>R99+Thrust!C$33*0.8</f>
        <v>2899.3666890691297</v>
      </c>
      <c r="U99" s="43"/>
      <c r="V99">
        <f t="shared" si="53"/>
        <v>433156.28379752132</v>
      </c>
      <c r="W99">
        <f t="shared" si="54"/>
        <v>585537.42511917371</v>
      </c>
      <c r="X99">
        <f t="shared" si="55"/>
        <v>152381.14132165239</v>
      </c>
      <c r="Y99">
        <f t="shared" si="56"/>
        <v>152381.14132165239</v>
      </c>
      <c r="Z99">
        <f t="shared" si="57"/>
        <v>-1376.9206372371539</v>
      </c>
      <c r="AA99">
        <f t="shared" si="58"/>
        <v>-2.4430317295874642</v>
      </c>
      <c r="AB99">
        <f t="shared" si="59"/>
        <v>3585.0046840557288</v>
      </c>
      <c r="AC99">
        <f t="shared" si="60"/>
        <v>6.3719729322500607</v>
      </c>
      <c r="AD99">
        <f t="shared" si="61"/>
        <v>10.755308362807829</v>
      </c>
      <c r="AE99">
        <f t="shared" si="62"/>
        <v>3430.6952043338219</v>
      </c>
      <c r="AH99">
        <v>7.9679548800828846</v>
      </c>
      <c r="AI99">
        <v>2560.0102202683802</v>
      </c>
      <c r="AJ99">
        <f t="shared" si="63"/>
        <v>10602.418151249165</v>
      </c>
      <c r="AK99">
        <f t="shared" si="64"/>
        <v>985.78467428350416</v>
      </c>
      <c r="AO99" s="43"/>
      <c r="AP99" s="43"/>
    </row>
    <row r="100" spans="1:42">
      <c r="A100">
        <v>138</v>
      </c>
      <c r="B100">
        <f t="shared" si="36"/>
        <v>138</v>
      </c>
      <c r="D100" s="43">
        <f t="shared" si="37"/>
        <v>321.30522515917949</v>
      </c>
      <c r="E100" s="43">
        <f t="shared" si="38"/>
        <v>542.30212709318323</v>
      </c>
      <c r="F100" s="69">
        <f t="shared" si="39"/>
        <v>0.57049660869384367</v>
      </c>
      <c r="G100" s="98">
        <f t="shared" si="40"/>
        <v>64.504062372580876</v>
      </c>
      <c r="H100" s="69">
        <f t="shared" si="41"/>
        <v>0.61461295766447455</v>
      </c>
      <c r="I100" s="69">
        <f t="shared" si="42"/>
        <v>1.8935653727467581</v>
      </c>
      <c r="J100" s="99">
        <f t="shared" si="43"/>
        <v>1.5047746178408776E-2</v>
      </c>
      <c r="K100" s="69">
        <f t="shared" si="44"/>
        <v>1.1141285337090051E-2</v>
      </c>
      <c r="L100" s="99">
        <f t="shared" si="45"/>
        <v>2.6189031515498826E-2</v>
      </c>
      <c r="M100" s="69">
        <f t="shared" si="46"/>
        <v>23.468334722524691</v>
      </c>
      <c r="N100" s="69">
        <f t="shared" si="47"/>
        <v>18.39853019438409</v>
      </c>
      <c r="O100" s="69">
        <f t="shared" si="48"/>
        <v>29.935148559669795</v>
      </c>
      <c r="P100" s="69">
        <f t="shared" si="49"/>
        <v>1.1620759866282497</v>
      </c>
      <c r="Q100" s="69">
        <f t="shared" si="50"/>
        <v>0.78966646880250502</v>
      </c>
      <c r="R100" s="43">
        <f t="shared" si="51"/>
        <v>1073.9742202139862</v>
      </c>
      <c r="S100" s="43">
        <f t="shared" si="52"/>
        <v>804.27521693236929</v>
      </c>
      <c r="T100" s="43">
        <f>R100+Thrust!C$33*0.8</f>
        <v>2885.7342202139862</v>
      </c>
      <c r="U100" s="43"/>
      <c r="V100">
        <f t="shared" si="53"/>
        <v>436160.16091075522</v>
      </c>
      <c r="W100">
        <f t="shared" si="54"/>
        <v>582418.50406528753</v>
      </c>
      <c r="X100">
        <f t="shared" si="55"/>
        <v>146258.34315453231</v>
      </c>
      <c r="Y100">
        <f t="shared" si="56"/>
        <v>146258.34315453231</v>
      </c>
      <c r="Z100">
        <f t="shared" si="57"/>
        <v>-1386.469385676573</v>
      </c>
      <c r="AA100">
        <f t="shared" si="58"/>
        <v>-2.4421473736896315</v>
      </c>
      <c r="AB100">
        <f t="shared" si="59"/>
        <v>3588.1737057596119</v>
      </c>
      <c r="AC100">
        <f t="shared" si="60"/>
        <v>6.3312244816985199</v>
      </c>
      <c r="AD100">
        <f t="shared" si="61"/>
        <v>10.624340894566336</v>
      </c>
      <c r="AE100">
        <f t="shared" si="62"/>
        <v>3413.6562432965152</v>
      </c>
      <c r="AH100">
        <v>7.9438137030818847</v>
      </c>
      <c r="AI100">
        <v>2570.9337373361786</v>
      </c>
      <c r="AJ100">
        <f t="shared" si="63"/>
        <v>10424.068189467444</v>
      </c>
      <c r="AK100">
        <f t="shared" si="64"/>
        <v>981.14963487275543</v>
      </c>
      <c r="AO100" s="43"/>
      <c r="AP100" s="43"/>
    </row>
    <row r="101" spans="1:42">
      <c r="A101">
        <v>139</v>
      </c>
      <c r="B101">
        <f t="shared" si="36"/>
        <v>139</v>
      </c>
      <c r="D101" s="43">
        <f t="shared" si="37"/>
        <v>323.633523892217</v>
      </c>
      <c r="E101" s="43">
        <f t="shared" si="38"/>
        <v>546.2318526518294</v>
      </c>
      <c r="F101" s="69">
        <f t="shared" si="39"/>
        <v>0.57463064209017578</v>
      </c>
      <c r="G101" s="98">
        <f t="shared" si="40"/>
        <v>65.442290963066313</v>
      </c>
      <c r="H101" s="69">
        <f t="shared" si="41"/>
        <v>0.60580141637401042</v>
      </c>
      <c r="I101" s="69">
        <f t="shared" si="42"/>
        <v>1.8193667464030134</v>
      </c>
      <c r="J101" s="99">
        <f t="shared" si="43"/>
        <v>1.5047746178408776E-2</v>
      </c>
      <c r="K101" s="69">
        <f t="shared" si="44"/>
        <v>1.0763014978889736E-2</v>
      </c>
      <c r="L101" s="99">
        <f t="shared" si="45"/>
        <v>2.5810761157298513E-2</v>
      </c>
      <c r="M101" s="69">
        <f t="shared" si="46"/>
        <v>23.470885367621477</v>
      </c>
      <c r="N101" s="69">
        <f t="shared" si="47"/>
        <v>18.268151917675414</v>
      </c>
      <c r="O101" s="69">
        <f t="shared" si="48"/>
        <v>30.155346989807967</v>
      </c>
      <c r="P101" s="69">
        <f t="shared" si="49"/>
        <v>1.170496827111063</v>
      </c>
      <c r="Q101" s="69">
        <f t="shared" si="50"/>
        <v>0.78530265645384212</v>
      </c>
      <c r="R101" s="43">
        <f t="shared" si="51"/>
        <v>1060.3555458284779</v>
      </c>
      <c r="S101" s="43">
        <f t="shared" si="52"/>
        <v>804.18781415201386</v>
      </c>
      <c r="T101" s="43">
        <f>R101+Thrust!C$33*0.8</f>
        <v>2872.1155458284779</v>
      </c>
      <c r="U101" s="43"/>
      <c r="V101">
        <f t="shared" si="53"/>
        <v>439272.99960427958</v>
      </c>
      <c r="W101">
        <f t="shared" si="54"/>
        <v>579199.9742675313</v>
      </c>
      <c r="X101">
        <f t="shared" si="55"/>
        <v>139926.97466325172</v>
      </c>
      <c r="Y101">
        <f t="shared" si="56"/>
        <v>139926.97466325172</v>
      </c>
      <c r="Z101">
        <f t="shared" si="57"/>
        <v>-1396.364502053339</v>
      </c>
      <c r="AA101">
        <f t="shared" si="58"/>
        <v>-2.4418818180664701</v>
      </c>
      <c r="AB101">
        <f t="shared" si="59"/>
        <v>3590.6797224595393</v>
      </c>
      <c r="AC101">
        <f t="shared" si="60"/>
        <v>6.2898993911276317</v>
      </c>
      <c r="AD101">
        <f t="shared" si="61"/>
        <v>10.49075757171998</v>
      </c>
      <c r="AE101">
        <f t="shared" si="62"/>
        <v>3395.1608412346945</v>
      </c>
      <c r="AH101">
        <v>7.9191532381829175</v>
      </c>
      <c r="AI101">
        <v>2581.5760879846439</v>
      </c>
      <c r="AJ101">
        <f t="shared" si="63"/>
        <v>10244.427089146622</v>
      </c>
      <c r="AK101">
        <f t="shared" si="64"/>
        <v>976.51928558168254</v>
      </c>
      <c r="AO101" s="43"/>
      <c r="AP101" s="43"/>
    </row>
    <row r="102" spans="1:42">
      <c r="A102">
        <v>140</v>
      </c>
      <c r="B102">
        <f t="shared" si="36"/>
        <v>140</v>
      </c>
      <c r="D102" s="43">
        <f t="shared" si="37"/>
        <v>325.96182262525451</v>
      </c>
      <c r="E102" s="43">
        <f t="shared" si="38"/>
        <v>550.16157821047568</v>
      </c>
      <c r="F102" s="69">
        <f t="shared" si="39"/>
        <v>0.57876467548650801</v>
      </c>
      <c r="G102" s="98">
        <f t="shared" si="40"/>
        <v>66.38729376720147</v>
      </c>
      <c r="H102" s="69">
        <f t="shared" si="41"/>
        <v>0.59717801866133957</v>
      </c>
      <c r="I102" s="69">
        <f t="shared" si="42"/>
        <v>1.7467524053241821</v>
      </c>
      <c r="J102" s="99">
        <f t="shared" si="43"/>
        <v>1.5047746178408776E-2</v>
      </c>
      <c r="K102" s="69">
        <f t="shared" si="44"/>
        <v>1.0399146607387796E-2</v>
      </c>
      <c r="L102" s="99">
        <f t="shared" si="45"/>
        <v>2.5446892785796572E-2</v>
      </c>
      <c r="M102" s="69">
        <f t="shared" si="46"/>
        <v>23.467620337311288</v>
      </c>
      <c r="N102" s="69">
        <f t="shared" si="47"/>
        <v>18.135141991187517</v>
      </c>
      <c r="O102" s="69">
        <f t="shared" si="48"/>
        <v>30.368066848542156</v>
      </c>
      <c r="P102" s="69">
        <f t="shared" si="49"/>
        <v>1.1789176675938764</v>
      </c>
      <c r="Q102" s="69">
        <f t="shared" si="50"/>
        <v>0.78080379055780003</v>
      </c>
      <c r="R102" s="43">
        <f t="shared" si="51"/>
        <v>1046.7503703168272</v>
      </c>
      <c r="S102" s="43">
        <f t="shared" si="52"/>
        <v>804.29970012726596</v>
      </c>
      <c r="T102" s="43">
        <f>R102+Thrust!C$33*0.8</f>
        <v>2858.510370316827</v>
      </c>
      <c r="U102" s="43"/>
      <c r="V102">
        <f t="shared" si="53"/>
        <v>442494.79237622896</v>
      </c>
      <c r="W102">
        <f t="shared" si="54"/>
        <v>575881.83572590549</v>
      </c>
      <c r="X102">
        <f t="shared" si="55"/>
        <v>133387.04334967653</v>
      </c>
      <c r="Y102">
        <f t="shared" si="56"/>
        <v>133387.04334967653</v>
      </c>
      <c r="Z102">
        <f t="shared" si="57"/>
        <v>-1406.6059625204632</v>
      </c>
      <c r="AA102">
        <f t="shared" si="58"/>
        <v>-2.4422217609216386</v>
      </c>
      <c r="AB102">
        <f t="shared" si="59"/>
        <v>3592.5227580025039</v>
      </c>
      <c r="AC102">
        <f t="shared" si="60"/>
        <v>6.2480102431040194</v>
      </c>
      <c r="AD102">
        <f t="shared" si="61"/>
        <v>10.354712457615607</v>
      </c>
      <c r="AE102">
        <f t="shared" si="62"/>
        <v>3375.2409454448111</v>
      </c>
      <c r="AH102">
        <v>7.8939835367505786</v>
      </c>
      <c r="AI102">
        <v>2591.9368823957871</v>
      </c>
      <c r="AJ102">
        <f t="shared" si="63"/>
        <v>10063.678000192638</v>
      </c>
      <c r="AK102">
        <f t="shared" si="64"/>
        <v>971.89352590772125</v>
      </c>
      <c r="AO102" s="43"/>
      <c r="AP102" s="43"/>
    </row>
    <row r="103" spans="1:42">
      <c r="A103">
        <v>141</v>
      </c>
      <c r="B103">
        <f t="shared" si="36"/>
        <v>141</v>
      </c>
      <c r="D103" s="43">
        <f t="shared" si="37"/>
        <v>328.29012135829208</v>
      </c>
      <c r="E103" s="43">
        <f t="shared" si="38"/>
        <v>554.09130376912196</v>
      </c>
      <c r="F103" s="69">
        <f t="shared" si="39"/>
        <v>0.58289870888284023</v>
      </c>
      <c r="G103" s="98">
        <f t="shared" si="40"/>
        <v>67.339070784986362</v>
      </c>
      <c r="H103" s="69">
        <f t="shared" si="41"/>
        <v>0.58873744609236223</v>
      </c>
      <c r="I103" s="69">
        <f t="shared" si="42"/>
        <v>1.6756775650064535</v>
      </c>
      <c r="J103" s="99">
        <f t="shared" si="43"/>
        <v>1.5047746178408776E-2</v>
      </c>
      <c r="K103" s="69">
        <f t="shared" si="44"/>
        <v>1.0049051977310888E-2</v>
      </c>
      <c r="L103" s="99">
        <f t="shared" si="45"/>
        <v>2.5096798155719663E-2</v>
      </c>
      <c r="M103" s="69">
        <f t="shared" si="46"/>
        <v>23.458667613270283</v>
      </c>
      <c r="N103" s="69">
        <f t="shared" si="47"/>
        <v>17.999654606821242</v>
      </c>
      <c r="O103" s="69">
        <f t="shared" si="48"/>
        <v>30.573313666882708</v>
      </c>
      <c r="P103" s="69">
        <f t="shared" si="49"/>
        <v>1.1873385080766898</v>
      </c>
      <c r="Q103" s="69">
        <f t="shared" si="50"/>
        <v>0.77616987111437807</v>
      </c>
      <c r="R103" s="43">
        <f t="shared" si="51"/>
        <v>1033.1584064689509</v>
      </c>
      <c r="S103" s="43">
        <f t="shared" si="52"/>
        <v>804.60665162938074</v>
      </c>
      <c r="T103" s="43">
        <f>R103+Thrust!C$33*0.8</f>
        <v>2844.9184064689507</v>
      </c>
      <c r="U103" s="43"/>
      <c r="V103">
        <f t="shared" si="53"/>
        <v>445825.54862263129</v>
      </c>
      <c r="W103">
        <f t="shared" si="54"/>
        <v>572464.08844040951</v>
      </c>
      <c r="X103">
        <f t="shared" si="55"/>
        <v>126638.53981777822</v>
      </c>
      <c r="Y103">
        <f t="shared" si="56"/>
        <v>126638.53981777822</v>
      </c>
      <c r="Z103">
        <f t="shared" si="57"/>
        <v>-1417.1937969461128</v>
      </c>
      <c r="AA103">
        <f t="shared" si="58"/>
        <v>-2.4431543712798023</v>
      </c>
      <c r="AB103">
        <f t="shared" si="59"/>
        <v>3593.7027825203363</v>
      </c>
      <c r="AC103">
        <f t="shared" si="60"/>
        <v>6.2055691694781405</v>
      </c>
      <c r="AD103">
        <f t="shared" si="61"/>
        <v>10.216358450987689</v>
      </c>
      <c r="AE103">
        <f t="shared" si="62"/>
        <v>3353.929555714562</v>
      </c>
      <c r="AH103">
        <v>7.8683142901733598</v>
      </c>
      <c r="AI103">
        <v>2602.0157056954417</v>
      </c>
      <c r="AJ103">
        <f t="shared" si="63"/>
        <v>9882.0001094618292</v>
      </c>
      <c r="AK103">
        <f t="shared" si="64"/>
        <v>967.27225819944329</v>
      </c>
      <c r="AO103" s="43"/>
      <c r="AP103" s="43"/>
    </row>
    <row r="104" spans="1:42">
      <c r="A104">
        <v>142</v>
      </c>
      <c r="B104">
        <f t="shared" si="36"/>
        <v>142</v>
      </c>
      <c r="D104" s="43">
        <f t="shared" si="37"/>
        <v>330.6184200913296</v>
      </c>
      <c r="E104" s="43">
        <f t="shared" si="38"/>
        <v>558.02102932776825</v>
      </c>
      <c r="F104" s="69">
        <f t="shared" si="39"/>
        <v>0.58703274227917246</v>
      </c>
      <c r="G104" s="98">
        <f t="shared" si="40"/>
        <v>68.297622016420974</v>
      </c>
      <c r="H104" s="69">
        <f t="shared" si="41"/>
        <v>0.5804745668400243</v>
      </c>
      <c r="I104" s="69">
        <f t="shared" si="42"/>
        <v>1.6060990122927308</v>
      </c>
      <c r="J104" s="99">
        <f t="shared" si="43"/>
        <v>1.5047746178408776E-2</v>
      </c>
      <c r="K104" s="69">
        <f t="shared" si="44"/>
        <v>9.7121340990115809E-3</v>
      </c>
      <c r="L104" s="99">
        <f t="shared" si="45"/>
        <v>2.4759880277420356E-2</v>
      </c>
      <c r="M104" s="69">
        <f t="shared" si="46"/>
        <v>23.444158870565502</v>
      </c>
      <c r="N104" s="69">
        <f t="shared" si="47"/>
        <v>17.861842426996819</v>
      </c>
      <c r="O104" s="69">
        <f t="shared" si="48"/>
        <v>30.771102555332885</v>
      </c>
      <c r="P104" s="69">
        <f t="shared" si="49"/>
        <v>1.1957593485595033</v>
      </c>
      <c r="Q104" s="69">
        <f t="shared" si="50"/>
        <v>0.77140089812357671</v>
      </c>
      <c r="R104" s="43">
        <f t="shared" si="51"/>
        <v>1019.5793751651933</v>
      </c>
      <c r="S104" s="43">
        <f t="shared" si="52"/>
        <v>805.10459360936375</v>
      </c>
      <c r="T104" s="43">
        <f>R104+Thrust!C$33*0.8</f>
        <v>2831.3393751651934</v>
      </c>
      <c r="U104" s="43"/>
      <c r="V104">
        <f t="shared" si="53"/>
        <v>449265.29404241173</v>
      </c>
      <c r="W104">
        <f t="shared" si="54"/>
        <v>568946.73241104395</v>
      </c>
      <c r="X104">
        <f t="shared" si="55"/>
        <v>119681.43836863223</v>
      </c>
      <c r="Y104">
        <f t="shared" si="56"/>
        <v>119681.43836863223</v>
      </c>
      <c r="Z104">
        <f t="shared" si="57"/>
        <v>-1428.1280870222361</v>
      </c>
      <c r="AA104">
        <f t="shared" si="58"/>
        <v>-2.4446672691414575</v>
      </c>
      <c r="AB104">
        <f t="shared" si="59"/>
        <v>3594.2197143210901</v>
      </c>
      <c r="AC104">
        <f t="shared" si="60"/>
        <v>6.1625878704248613</v>
      </c>
      <c r="AD104">
        <f t="shared" si="61"/>
        <v>10.07584699629621</v>
      </c>
      <c r="AE104">
        <f t="shared" si="62"/>
        <v>3331.2606149974217</v>
      </c>
      <c r="AH104">
        <v>7.8421548451449805</v>
      </c>
      <c r="AI104">
        <v>2611.8121188355258</v>
      </c>
      <c r="AJ104">
        <f t="shared" si="63"/>
        <v>9699.5683951761566</v>
      </c>
      <c r="AK104">
        <f t="shared" si="64"/>
        <v>962.65538755616581</v>
      </c>
      <c r="AO104" s="43"/>
      <c r="AP104" s="43"/>
    </row>
    <row r="105" spans="1:42">
      <c r="A105">
        <v>143</v>
      </c>
      <c r="B105">
        <f t="shared" si="36"/>
        <v>143</v>
      </c>
      <c r="D105" s="43">
        <f t="shared" si="37"/>
        <v>332.94671882436711</v>
      </c>
      <c r="E105" s="43">
        <f t="shared" si="38"/>
        <v>561.95075488641442</v>
      </c>
      <c r="F105" s="69">
        <f t="shared" si="39"/>
        <v>0.59116677567550457</v>
      </c>
      <c r="G105" s="98">
        <f t="shared" si="40"/>
        <v>69.262947461505249</v>
      </c>
      <c r="H105" s="69">
        <f t="shared" si="41"/>
        <v>0.57238442788215838</v>
      </c>
      <c r="I105" s="69">
        <f t="shared" si="42"/>
        <v>1.5379750396736287</v>
      </c>
      <c r="J105" s="99">
        <f t="shared" si="43"/>
        <v>1.5047746178408776E-2</v>
      </c>
      <c r="K105" s="69">
        <f t="shared" si="44"/>
        <v>9.3878254869752022E-3</v>
      </c>
      <c r="L105" s="99">
        <f t="shared" si="45"/>
        <v>2.443557166538398E-2</v>
      </c>
      <c r="M105" s="69">
        <f t="shared" si="46"/>
        <v>23.424229059188001</v>
      </c>
      <c r="N105" s="69">
        <f t="shared" si="47"/>
        <v>17.721856321536539</v>
      </c>
      <c r="O105" s="69">
        <f t="shared" si="48"/>
        <v>30.961457821464506</v>
      </c>
      <c r="P105" s="69">
        <f t="shared" si="49"/>
        <v>1.2041801890423165</v>
      </c>
      <c r="Q105" s="69">
        <f t="shared" si="50"/>
        <v>0.76649687158539592</v>
      </c>
      <c r="R105" s="43">
        <f t="shared" si="51"/>
        <v>1006.0130050934399</v>
      </c>
      <c r="S105" s="43">
        <f t="shared" si="52"/>
        <v>805.78959300248152</v>
      </c>
      <c r="T105" s="43">
        <f>R105+Thrust!C$33*0.8</f>
        <v>2817.7730050934397</v>
      </c>
      <c r="U105" s="43"/>
      <c r="V105">
        <f t="shared" si="53"/>
        <v>452814.07006736111</v>
      </c>
      <c r="W105">
        <f t="shared" si="54"/>
        <v>565329.76763780881</v>
      </c>
      <c r="X105">
        <f t="shared" si="55"/>
        <v>112515.69757044769</v>
      </c>
      <c r="Y105">
        <f t="shared" si="56"/>
        <v>112515.69757044769</v>
      </c>
      <c r="Z105">
        <f t="shared" si="57"/>
        <v>-1439.4089644525386</v>
      </c>
      <c r="AA105">
        <f t="shared" si="58"/>
        <v>-2.4467485066080172</v>
      </c>
      <c r="AB105">
        <f t="shared" si="59"/>
        <v>3594.0734217010572</v>
      </c>
      <c r="AC105">
        <f t="shared" si="60"/>
        <v>6.1190776325530534</v>
      </c>
      <c r="AD105">
        <f t="shared" si="61"/>
        <v>9.9333278113907149</v>
      </c>
      <c r="AE105">
        <f t="shared" si="62"/>
        <v>3307.2689018093697</v>
      </c>
      <c r="AH105">
        <v>7.8155142181961326</v>
      </c>
      <c r="AI105">
        <v>2621.3256594392824</v>
      </c>
      <c r="AJ105">
        <f t="shared" si="63"/>
        <v>9516.5534056114229</v>
      </c>
      <c r="AK105">
        <f t="shared" si="64"/>
        <v>958.04282173176955</v>
      </c>
      <c r="AO105" s="43"/>
      <c r="AP105" s="43"/>
    </row>
    <row r="106" spans="1:42">
      <c r="A106">
        <v>144</v>
      </c>
      <c r="B106">
        <f t="shared" si="36"/>
        <v>144</v>
      </c>
      <c r="D106" s="43">
        <f t="shared" si="37"/>
        <v>335.27501755740468</v>
      </c>
      <c r="E106" s="43">
        <f t="shared" si="38"/>
        <v>565.8804804450607</v>
      </c>
      <c r="F106" s="69">
        <f t="shared" si="39"/>
        <v>0.5953008090718368</v>
      </c>
      <c r="G106" s="98">
        <f t="shared" si="40"/>
        <v>70.235047120239273</v>
      </c>
      <c r="H106" s="69">
        <f t="shared" si="41"/>
        <v>0.56446224757726926</v>
      </c>
      <c r="I106" s="69">
        <f t="shared" si="42"/>
        <v>1.4712653827709963</v>
      </c>
      <c r="J106" s="99">
        <f t="shared" si="43"/>
        <v>1.5047746178408776E-2</v>
      </c>
      <c r="K106" s="69">
        <f t="shared" si="44"/>
        <v>9.0755865175333045E-3</v>
      </c>
      <c r="L106" s="99">
        <f t="shared" si="45"/>
        <v>2.4123332695942079E-2</v>
      </c>
      <c r="M106" s="69">
        <f t="shared" si="46"/>
        <v>23.399015993848174</v>
      </c>
      <c r="N106" s="69">
        <f t="shared" si="47"/>
        <v>17.579845121718019</v>
      </c>
      <c r="O106" s="69">
        <f t="shared" si="48"/>
        <v>31.14441257528302</v>
      </c>
      <c r="P106" s="69">
        <f t="shared" si="49"/>
        <v>1.2126010295251299</v>
      </c>
      <c r="Q106" s="69">
        <f t="shared" si="50"/>
        <v>0.76145779149983506</v>
      </c>
      <c r="R106" s="43">
        <f t="shared" si="51"/>
        <v>992.45903247802232</v>
      </c>
      <c r="S106" s="43">
        <f t="shared" si="52"/>
        <v>806.65785283288926</v>
      </c>
      <c r="T106" s="43">
        <f>R106+Thrust!C$33*0.8</f>
        <v>2804.2190324780222</v>
      </c>
      <c r="U106" s="43"/>
      <c r="V106">
        <f t="shared" si="53"/>
        <v>456471.93331585644</v>
      </c>
      <c r="W106">
        <f t="shared" si="54"/>
        <v>561613.19412070338</v>
      </c>
      <c r="X106">
        <f t="shared" si="55"/>
        <v>105141.26080484694</v>
      </c>
      <c r="Y106">
        <f t="shared" si="56"/>
        <v>105141.26080484694</v>
      </c>
      <c r="Z106">
        <f t="shared" si="57"/>
        <v>-1451.0366092159675</v>
      </c>
      <c r="AA106">
        <f t="shared" si="58"/>
        <v>-2.4493865499232954</v>
      </c>
      <c r="AB106">
        <f t="shared" si="59"/>
        <v>3593.2637246812928</v>
      </c>
      <c r="AC106">
        <f t="shared" si="60"/>
        <v>6.0750493461357404</v>
      </c>
      <c r="AD106">
        <f t="shared" si="61"/>
        <v>9.7889486328187036</v>
      </c>
      <c r="AE106">
        <f t="shared" si="62"/>
        <v>3281.9899247368235</v>
      </c>
      <c r="AH106">
        <v>7.7884011095182624</v>
      </c>
      <c r="AI106">
        <v>2630.5558426113034</v>
      </c>
      <c r="AJ106">
        <f t="shared" si="63"/>
        <v>9333.1210617939741</v>
      </c>
      <c r="AK106">
        <f t="shared" si="64"/>
        <v>953.43447104252766</v>
      </c>
      <c r="AO106" s="43"/>
      <c r="AP106" s="43"/>
    </row>
    <row r="107" spans="1:42">
      <c r="A107">
        <v>145</v>
      </c>
      <c r="B107">
        <f t="shared" si="36"/>
        <v>145</v>
      </c>
      <c r="D107" s="43">
        <f t="shared" si="37"/>
        <v>337.60331629044219</v>
      </c>
      <c r="E107" s="43">
        <f t="shared" si="38"/>
        <v>569.81020600370698</v>
      </c>
      <c r="F107" s="69">
        <f t="shared" si="39"/>
        <v>0.59943484246816903</v>
      </c>
      <c r="G107" s="98">
        <f t="shared" si="40"/>
        <v>71.213920992623017</v>
      </c>
      <c r="H107" s="69">
        <f t="shared" si="41"/>
        <v>0.55670340859749123</v>
      </c>
      <c r="I107" s="69">
        <f t="shared" si="42"/>
        <v>1.4059311608290472</v>
      </c>
      <c r="J107" s="99">
        <f t="shared" si="43"/>
        <v>1.5047746178408776E-2</v>
      </c>
      <c r="K107" s="69">
        <f t="shared" si="44"/>
        <v>8.7749038882884347E-3</v>
      </c>
      <c r="L107" s="99">
        <f t="shared" si="45"/>
        <v>2.3822650066697211E-2</v>
      </c>
      <c r="M107" s="69">
        <f t="shared" si="46"/>
        <v>23.368659953400094</v>
      </c>
      <c r="N107" s="69">
        <f t="shared" si="47"/>
        <v>17.435955391689184</v>
      </c>
      <c r="O107" s="69">
        <f t="shared" si="48"/>
        <v>31.320008324748308</v>
      </c>
      <c r="P107" s="69">
        <f t="shared" si="49"/>
        <v>1.2210218700079436</v>
      </c>
      <c r="Q107" s="69">
        <f t="shared" si="50"/>
        <v>0.75628365786689478</v>
      </c>
      <c r="R107" s="43">
        <f t="shared" si="51"/>
        <v>978.91720081984533</v>
      </c>
      <c r="S107" s="43">
        <f t="shared" si="52"/>
        <v>807.7057066018765</v>
      </c>
      <c r="T107" s="43">
        <f>R107+Thrust!C$33*0.8</f>
        <v>2790.6772008198454</v>
      </c>
      <c r="U107" s="43"/>
      <c r="V107">
        <f t="shared" si="53"/>
        <v>460238.95506918494</v>
      </c>
      <c r="W107">
        <f t="shared" si="54"/>
        <v>557797.01185972826</v>
      </c>
      <c r="X107">
        <f t="shared" si="55"/>
        <v>97558.056790543313</v>
      </c>
      <c r="Y107">
        <f t="shared" si="56"/>
        <v>97558.056790543313</v>
      </c>
      <c r="Z107">
        <f t="shared" si="57"/>
        <v>-1463.0112479020449</v>
      </c>
      <c r="AA107">
        <f t="shared" si="58"/>
        <v>-2.452570262380863</v>
      </c>
      <c r="AB107">
        <f t="shared" si="59"/>
        <v>3591.7903966722733</v>
      </c>
      <c r="AC107">
        <f t="shared" si="60"/>
        <v>6.0305135215091887</v>
      </c>
      <c r="AD107">
        <f t="shared" si="61"/>
        <v>9.6428549789747677</v>
      </c>
      <c r="AE107">
        <f t="shared" si="62"/>
        <v>3255.4598194096839</v>
      </c>
      <c r="AH107">
        <v>7.7608239161184045</v>
      </c>
      <c r="AI107">
        <v>2639.5021617140328</v>
      </c>
      <c r="AJ107">
        <f t="shared" si="63"/>
        <v>9149.4324838165849</v>
      </c>
      <c r="AK107">
        <f t="shared" si="64"/>
        <v>948.83024827874749</v>
      </c>
      <c r="AO107" s="43"/>
      <c r="AP107" s="43"/>
    </row>
    <row r="108" spans="1:42">
      <c r="A108">
        <v>146</v>
      </c>
      <c r="B108">
        <f t="shared" si="36"/>
        <v>146</v>
      </c>
      <c r="D108" s="43">
        <f t="shared" si="37"/>
        <v>339.93161502347971</v>
      </c>
      <c r="E108" s="43">
        <f t="shared" si="38"/>
        <v>573.73993156235315</v>
      </c>
      <c r="F108" s="69">
        <f t="shared" si="39"/>
        <v>0.60356887586450114</v>
      </c>
      <c r="G108" s="98">
        <f t="shared" si="40"/>
        <v>72.199569078656438</v>
      </c>
      <c r="H108" s="69">
        <f t="shared" si="41"/>
        <v>0.54910345119920534</v>
      </c>
      <c r="I108" s="69">
        <f t="shared" si="42"/>
        <v>1.3419348200487964</v>
      </c>
      <c r="J108" s="99">
        <f t="shared" si="43"/>
        <v>1.5047746178408776E-2</v>
      </c>
      <c r="K108" s="69">
        <f t="shared" si="44"/>
        <v>8.4852891723154761E-3</v>
      </c>
      <c r="L108" s="99">
        <f t="shared" si="45"/>
        <v>2.3533035350724252E-2</v>
      </c>
      <c r="M108" s="69">
        <f t="shared" si="46"/>
        <v>23.333303291124583</v>
      </c>
      <c r="N108" s="69">
        <f t="shared" si="47"/>
        <v>17.29033121732347</v>
      </c>
      <c r="O108" s="69">
        <f t="shared" si="48"/>
        <v>31.488294563733913</v>
      </c>
      <c r="P108" s="69">
        <f t="shared" si="49"/>
        <v>1.2294427104907568</v>
      </c>
      <c r="Q108" s="69">
        <f t="shared" si="50"/>
        <v>0.75097447068657464</v>
      </c>
      <c r="R108" s="43">
        <f t="shared" si="51"/>
        <v>965.38726064718423</v>
      </c>
      <c r="S108" s="43">
        <f t="shared" si="52"/>
        <v>808.9296129442414</v>
      </c>
      <c r="T108" s="43">
        <f>R108+Thrust!C$33*0.8</f>
        <v>2777.1472606471843</v>
      </c>
      <c r="U108" s="43"/>
      <c r="V108">
        <f t="shared" si="53"/>
        <v>464115.22076938988</v>
      </c>
      <c r="W108">
        <f t="shared" si="54"/>
        <v>553881.22085488308</v>
      </c>
      <c r="X108">
        <f t="shared" si="55"/>
        <v>89766.0000854932</v>
      </c>
      <c r="Y108">
        <f t="shared" si="56"/>
        <v>89766.0000854932</v>
      </c>
      <c r="Z108">
        <f t="shared" si="57"/>
        <v>-1475.3331521146167</v>
      </c>
      <c r="AA108">
        <f t="shared" si="58"/>
        <v>-2.4562888880498406</v>
      </c>
      <c r="AB108">
        <f t="shared" si="59"/>
        <v>3589.6531660701526</v>
      </c>
      <c r="AC108">
        <f t="shared" si="60"/>
        <v>5.9854803046862797</v>
      </c>
      <c r="AD108">
        <f t="shared" si="61"/>
        <v>9.4951899311719448</v>
      </c>
      <c r="AE108">
        <f t="shared" si="62"/>
        <v>3227.7152482579627</v>
      </c>
      <c r="AH108">
        <v>7.7327907443417185</v>
      </c>
      <c r="AI108">
        <v>2648.1640891123652</v>
      </c>
      <c r="AJ108">
        <f t="shared" si="63"/>
        <v>8965.6438402708245</v>
      </c>
      <c r="AK108">
        <f t="shared" si="64"/>
        <v>944.23006862004274</v>
      </c>
      <c r="AO108" s="43"/>
      <c r="AP108" s="43"/>
    </row>
    <row r="109" spans="1:42">
      <c r="A109">
        <v>147</v>
      </c>
      <c r="B109">
        <f t="shared" si="36"/>
        <v>147</v>
      </c>
      <c r="D109" s="43">
        <f t="shared" si="37"/>
        <v>342.25991375651728</v>
      </c>
      <c r="E109" s="43">
        <f t="shared" si="38"/>
        <v>577.66965712099955</v>
      </c>
      <c r="F109" s="69">
        <f t="shared" si="39"/>
        <v>0.60770290926083348</v>
      </c>
      <c r="G109" s="98">
        <f t="shared" si="40"/>
        <v>73.191991378339651</v>
      </c>
      <c r="H109" s="69">
        <f t="shared" si="41"/>
        <v>0.54165806681300621</v>
      </c>
      <c r="I109" s="69">
        <f t="shared" si="42"/>
        <v>1.2792400796116168</v>
      </c>
      <c r="J109" s="99">
        <f t="shared" si="43"/>
        <v>1.5047746178408776E-2</v>
      </c>
      <c r="K109" s="69">
        <f t="shared" si="44"/>
        <v>8.2062774607210408E-3</v>
      </c>
      <c r="L109" s="99">
        <f t="shared" si="45"/>
        <v>2.3254023639129817E-2</v>
      </c>
      <c r="M109" s="69">
        <f t="shared" si="46"/>
        <v>23.293090056963383</v>
      </c>
      <c r="N109" s="69">
        <f t="shared" si="47"/>
        <v>17.143114012488972</v>
      </c>
      <c r="O109" s="69">
        <f t="shared" si="48"/>
        <v>31.649328354611583</v>
      </c>
      <c r="P109" s="69">
        <f t="shared" si="49"/>
        <v>1.2378635509735705</v>
      </c>
      <c r="Q109" s="69">
        <f t="shared" si="50"/>
        <v>0.74553022995887508</v>
      </c>
      <c r="R109" s="43">
        <f t="shared" si="51"/>
        <v>951.86896927666157</v>
      </c>
      <c r="S109" s="43">
        <f t="shared" si="52"/>
        <v>810.32615053825327</v>
      </c>
      <c r="T109" s="43">
        <f>R109+Thrust!C$33*0.8</f>
        <v>2763.6289692766613</v>
      </c>
      <c r="U109" s="43"/>
      <c r="V109">
        <f t="shared" si="53"/>
        <v>468100.82953761221</v>
      </c>
      <c r="W109">
        <f t="shared" si="54"/>
        <v>549865.82110616833</v>
      </c>
      <c r="X109">
        <f t="shared" si="55"/>
        <v>81764.991568556114</v>
      </c>
      <c r="Y109">
        <f t="shared" si="56"/>
        <v>81764.991568556114</v>
      </c>
      <c r="Z109">
        <f t="shared" si="57"/>
        <v>-1488.0026369407542</v>
      </c>
      <c r="AA109">
        <f t="shared" si="58"/>
        <v>-2.4605320362746417</v>
      </c>
      <c r="AB109">
        <f t="shared" si="59"/>
        <v>3586.8517177878616</v>
      </c>
      <c r="AC109">
        <f t="shared" si="60"/>
        <v>5.9399594922268308</v>
      </c>
      <c r="AD109">
        <f t="shared" si="61"/>
        <v>9.3460939326090209</v>
      </c>
      <c r="AE109">
        <f t="shared" si="62"/>
        <v>3198.7933033350723</v>
      </c>
      <c r="AH109">
        <v>7.7043094217960757</v>
      </c>
      <c r="AI109">
        <v>2656.5410768878419</v>
      </c>
      <c r="AJ109">
        <f t="shared" si="63"/>
        <v>8781.9062201913039</v>
      </c>
      <c r="AK109">
        <f t="shared" si="64"/>
        <v>939.63384955406491</v>
      </c>
      <c r="AO109" s="43"/>
      <c r="AP109" s="43"/>
    </row>
    <row r="110" spans="1:42">
      <c r="A110">
        <v>148</v>
      </c>
      <c r="B110">
        <f t="shared" si="36"/>
        <v>148</v>
      </c>
      <c r="D110" s="43">
        <f t="shared" si="37"/>
        <v>344.58821248955479</v>
      </c>
      <c r="E110" s="43">
        <f t="shared" si="38"/>
        <v>581.59938267964571</v>
      </c>
      <c r="F110" s="69">
        <f t="shared" si="39"/>
        <v>0.61183694265716559</v>
      </c>
      <c r="G110" s="98">
        <f t="shared" si="40"/>
        <v>74.191187891672499</v>
      </c>
      <c r="H110" s="69">
        <f t="shared" si="41"/>
        <v>0.53436309193582254</v>
      </c>
      <c r="I110" s="69">
        <f t="shared" si="42"/>
        <v>1.2178118802471165</v>
      </c>
      <c r="J110" s="99">
        <f t="shared" si="43"/>
        <v>1.5047746178408776E-2</v>
      </c>
      <c r="K110" s="69">
        <f t="shared" si="44"/>
        <v>7.9374260876167429E-3</v>
      </c>
      <c r="L110" s="99">
        <f t="shared" si="45"/>
        <v>2.2985172266025519E-2</v>
      </c>
      <c r="M110" s="69">
        <f t="shared" si="46"/>
        <v>23.248165632661667</v>
      </c>
      <c r="N110" s="69">
        <f t="shared" si="47"/>
        <v>16.99444234260762</v>
      </c>
      <c r="O110" s="69">
        <f t="shared" si="48"/>
        <v>31.803173907543499</v>
      </c>
      <c r="P110" s="69">
        <f t="shared" si="49"/>
        <v>1.2462843914563837</v>
      </c>
      <c r="Q110" s="69">
        <f t="shared" si="50"/>
        <v>0.73995093568379566</v>
      </c>
      <c r="R110" s="43">
        <f t="shared" si="51"/>
        <v>938.36209058390943</v>
      </c>
      <c r="S110" s="43">
        <f t="shared" si="52"/>
        <v>811.89201325554279</v>
      </c>
      <c r="T110" s="43">
        <f>R110+Thrust!C$33*0.8</f>
        <v>2750.1220905839095</v>
      </c>
      <c r="U110" s="43"/>
      <c r="V110">
        <f t="shared" si="53"/>
        <v>472195.89371195843</v>
      </c>
      <c r="W110">
        <f t="shared" si="54"/>
        <v>545750.81261358352</v>
      </c>
      <c r="X110">
        <f t="shared" si="55"/>
        <v>73554.918901625089</v>
      </c>
      <c r="Y110">
        <f t="shared" si="56"/>
        <v>73554.918901625089</v>
      </c>
      <c r="Z110">
        <f t="shared" si="57"/>
        <v>-1501.0200594817222</v>
      </c>
      <c r="AA110">
        <f t="shared" si="58"/>
        <v>-2.4652896669068389</v>
      </c>
      <c r="AB110">
        <f t="shared" si="59"/>
        <v>3583.3856947241329</v>
      </c>
      <c r="AC110">
        <f t="shared" si="60"/>
        <v>5.8939605454048731</v>
      </c>
      <c r="AD110">
        <f t="shared" si="61"/>
        <v>9.1957046051071529</v>
      </c>
      <c r="AE110">
        <f t="shared" si="62"/>
        <v>3168.7314124558416</v>
      </c>
      <c r="AH110">
        <v>7.675387508711081</v>
      </c>
      <c r="AI110">
        <v>2664.6325575239061</v>
      </c>
      <c r="AJ110">
        <f t="shared" si="63"/>
        <v>8598.3655268163857</v>
      </c>
      <c r="AK110">
        <f t="shared" si="64"/>
        <v>935.04151079852932</v>
      </c>
      <c r="AO110" s="43"/>
      <c r="AP110" s="43"/>
    </row>
    <row r="111" spans="1:42">
      <c r="A111">
        <v>149</v>
      </c>
      <c r="B111">
        <f t="shared" si="36"/>
        <v>149</v>
      </c>
      <c r="D111" s="43">
        <f t="shared" si="37"/>
        <v>346.91651122259231</v>
      </c>
      <c r="E111" s="43">
        <f t="shared" si="38"/>
        <v>585.529108238292</v>
      </c>
      <c r="F111" s="69">
        <f t="shared" si="39"/>
        <v>0.61597097605349782</v>
      </c>
      <c r="G111" s="98">
        <f t="shared" si="40"/>
        <v>75.197158618655109</v>
      </c>
      <c r="H111" s="69">
        <f t="shared" si="41"/>
        <v>0.52721450230900646</v>
      </c>
      <c r="I111" s="69">
        <f t="shared" si="42"/>
        <v>1.1576163352090523</v>
      </c>
      <c r="J111" s="99">
        <f t="shared" si="43"/>
        <v>1.5047746178408776E-2</v>
      </c>
      <c r="K111" s="69">
        <f t="shared" si="44"/>
        <v>7.6783134319975428E-3</v>
      </c>
      <c r="L111" s="99">
        <f t="shared" si="45"/>
        <v>2.2726059610406319E-2</v>
      </c>
      <c r="M111" s="69">
        <f t="shared" si="46"/>
        <v>23.198676380642496</v>
      </c>
      <c r="N111" s="69">
        <f t="shared" si="47"/>
        <v>16.844451765289868</v>
      </c>
      <c r="O111" s="69">
        <f t="shared" si="48"/>
        <v>31.949902158452275</v>
      </c>
      <c r="P111" s="69">
        <f t="shared" si="49"/>
        <v>1.2547052319391971</v>
      </c>
      <c r="Q111" s="69">
        <f t="shared" si="50"/>
        <v>0.73423658786133705</v>
      </c>
      <c r="R111" s="43">
        <f t="shared" si="51"/>
        <v>924.86639478346967</v>
      </c>
      <c r="S111" s="43">
        <f t="shared" si="52"/>
        <v>813.62400553808016</v>
      </c>
      <c r="T111" s="43">
        <f>R111+Thrust!C$33*0.8</f>
        <v>2736.6263947834696</v>
      </c>
      <c r="U111" s="43"/>
      <c r="V111">
        <f t="shared" si="53"/>
        <v>476400.53840397921</v>
      </c>
      <c r="W111">
        <f t="shared" si="54"/>
        <v>541536.19537712913</v>
      </c>
      <c r="X111">
        <f t="shared" si="55"/>
        <v>65135.656973149918</v>
      </c>
      <c r="Y111">
        <f t="shared" si="56"/>
        <v>65135.656973149918</v>
      </c>
      <c r="Z111">
        <f t="shared" si="57"/>
        <v>-1514.3858174431127</v>
      </c>
      <c r="AA111">
        <f t="shared" si="58"/>
        <v>-2.4705520762299034</v>
      </c>
      <c r="AB111">
        <f t="shared" si="59"/>
        <v>3579.2546991733752</v>
      </c>
      <c r="AC111">
        <f t="shared" si="60"/>
        <v>5.8474926037105259</v>
      </c>
      <c r="AD111">
        <f t="shared" si="61"/>
        <v>9.0441565833969797</v>
      </c>
      <c r="AE111">
        <f t="shared" si="62"/>
        <v>3137.5672488629202</v>
      </c>
      <c r="AH111">
        <v>7.6460323087617859</v>
      </c>
      <c r="AI111">
        <v>2672.4379445635514</v>
      </c>
      <c r="AJ111">
        <f t="shared" si="63"/>
        <v>8415.1623923908119</v>
      </c>
      <c r="AK111">
        <f t="shared" si="64"/>
        <v>930.45297422637975</v>
      </c>
      <c r="AO111" s="43"/>
      <c r="AP111" s="43"/>
    </row>
    <row r="112" spans="1:42">
      <c r="A112">
        <v>150</v>
      </c>
      <c r="B112">
        <f t="shared" si="36"/>
        <v>150</v>
      </c>
      <c r="D112" s="43">
        <f t="shared" si="37"/>
        <v>349.24480995562988</v>
      </c>
      <c r="E112" s="43">
        <f t="shared" si="38"/>
        <v>589.45883379693828</v>
      </c>
      <c r="F112" s="69">
        <f t="shared" si="39"/>
        <v>0.62010500944983005</v>
      </c>
      <c r="G112" s="98">
        <f t="shared" si="40"/>
        <v>76.209903559287426</v>
      </c>
      <c r="H112" s="69">
        <f t="shared" si="41"/>
        <v>0.52020840736721119</v>
      </c>
      <c r="I112" s="69">
        <f t="shared" si="42"/>
        <v>1.098620683531446</v>
      </c>
      <c r="J112" s="99">
        <f t="shared" si="43"/>
        <v>1.5047746178408776E-2</v>
      </c>
      <c r="K112" s="69">
        <f t="shared" si="44"/>
        <v>7.4285377914194029E-3</v>
      </c>
      <c r="L112" s="99">
        <f t="shared" si="45"/>
        <v>2.2476283969828179E-2</v>
      </c>
      <c r="M112" s="69">
        <f t="shared" si="46"/>
        <v>23.144769307307694</v>
      </c>
      <c r="N112" s="69">
        <f t="shared" si="47"/>
        <v>16.693274687749337</v>
      </c>
      <c r="O112" s="69">
        <f t="shared" si="48"/>
        <v>32.089590347519476</v>
      </c>
      <c r="P112" s="69">
        <f t="shared" si="49"/>
        <v>1.2631260724220106</v>
      </c>
      <c r="Q112" s="69">
        <f t="shared" si="50"/>
        <v>0.72838718649149858</v>
      </c>
      <c r="R112" s="43">
        <f t="shared" si="51"/>
        <v>911.38165821749567</v>
      </c>
      <c r="S112" s="43">
        <f t="shared" si="52"/>
        <v>815.51903799017066</v>
      </c>
      <c r="T112" s="43">
        <f>R112+Thrust!C$33*0.8</f>
        <v>2723.1416582174957</v>
      </c>
      <c r="U112" s="43"/>
      <c r="V112">
        <f t="shared" si="53"/>
        <v>480714.90107288701</v>
      </c>
      <c r="W112">
        <f t="shared" si="54"/>
        <v>537221.96939680481</v>
      </c>
      <c r="X112">
        <f t="shared" si="55"/>
        <v>56507.068323917803</v>
      </c>
      <c r="Y112">
        <f t="shared" si="56"/>
        <v>56507.068323917803</v>
      </c>
      <c r="Z112">
        <f t="shared" si="57"/>
        <v>-1528.1003477813629</v>
      </c>
      <c r="AA112">
        <f t="shared" si="58"/>
        <v>-2.4763098835398663</v>
      </c>
      <c r="AB112">
        <f t="shared" si="59"/>
        <v>3574.4582941791532</v>
      </c>
      <c r="AC112">
        <f t="shared" si="60"/>
        <v>5.8005644977218829</v>
      </c>
      <c r="AD112">
        <f t="shared" si="61"/>
        <v>8.8915813666530212</v>
      </c>
      <c r="AE112">
        <f t="shared" si="62"/>
        <v>3105.3386446017539</v>
      </c>
      <c r="AH112">
        <v>7.6162508793857269</v>
      </c>
      <c r="AI112">
        <v>2679.9566332406744</v>
      </c>
      <c r="AJ112">
        <f t="shared" si="63"/>
        <v>8232.4321131675206</v>
      </c>
      <c r="AK112">
        <f t="shared" si="64"/>
        <v>925.86816379394861</v>
      </c>
      <c r="AO112" s="43"/>
      <c r="AP112" s="43"/>
    </row>
    <row r="113" spans="1:42">
      <c r="A113">
        <v>151</v>
      </c>
      <c r="B113">
        <f t="shared" si="36"/>
        <v>151</v>
      </c>
      <c r="D113" s="43">
        <f t="shared" si="37"/>
        <v>351.57310868866739</v>
      </c>
      <c r="E113" s="43">
        <f t="shared" si="38"/>
        <v>593.38855935558445</v>
      </c>
      <c r="F113" s="69">
        <f t="shared" si="39"/>
        <v>0.62423904284616216</v>
      </c>
      <c r="G113" s="98">
        <f t="shared" si="40"/>
        <v>77.22942271356942</v>
      </c>
      <c r="H113" s="69">
        <f t="shared" si="41"/>
        <v>0.51334104494374189</v>
      </c>
      <c r="I113" s="69">
        <f t="shared" si="42"/>
        <v>1.0407932454443651</v>
      </c>
      <c r="J113" s="99">
        <f t="shared" si="43"/>
        <v>1.5047746178408776E-2</v>
      </c>
      <c r="K113" s="69">
        <f t="shared" si="44"/>
        <v>7.1877163227389695E-3</v>
      </c>
      <c r="L113" s="99">
        <f t="shared" si="45"/>
        <v>2.2235462501147746E-2</v>
      </c>
      <c r="M113" s="69">
        <f t="shared" si="46"/>
        <v>23.086591741334111</v>
      </c>
      <c r="N113" s="69">
        <f t="shared" si="47"/>
        <v>16.541040240626817</v>
      </c>
      <c r="O113" s="69">
        <f t="shared" si="48"/>
        <v>32.222321599940614</v>
      </c>
      <c r="P113" s="69">
        <f t="shared" si="49"/>
        <v>1.2715469129048238</v>
      </c>
      <c r="Q113" s="69">
        <f t="shared" si="50"/>
        <v>0.7224027315742807</v>
      </c>
      <c r="R113" s="43">
        <f t="shared" si="51"/>
        <v>897.90766315285271</v>
      </c>
      <c r="S113" s="43">
        <f t="shared" si="52"/>
        <v>817.57412317411502</v>
      </c>
      <c r="T113" s="43">
        <f>R113+Thrust!C$33*0.8</f>
        <v>2709.6676631528526</v>
      </c>
      <c r="U113" s="43"/>
      <c r="V113">
        <f t="shared" si="53"/>
        <v>485139.13111669326</v>
      </c>
      <c r="W113">
        <f t="shared" si="54"/>
        <v>532808.13467261067</v>
      </c>
      <c r="X113">
        <f t="shared" si="55"/>
        <v>47669.003555917414</v>
      </c>
      <c r="Y113">
        <f t="shared" si="56"/>
        <v>47669.003555917414</v>
      </c>
      <c r="Z113">
        <f t="shared" si="57"/>
        <v>-1542.164125404058</v>
      </c>
      <c r="AA113">
        <f t="shared" si="58"/>
        <v>-2.4825540183472015</v>
      </c>
      <c r="AB113">
        <f t="shared" si="59"/>
        <v>3568.9960048338789</v>
      </c>
      <c r="AC113">
        <f t="shared" si="60"/>
        <v>5.7531847613801395</v>
      </c>
      <c r="AD113">
        <f t="shared" si="61"/>
        <v>8.7381071868965012</v>
      </c>
      <c r="AE113">
        <f t="shared" si="62"/>
        <v>3072.0835077519896</v>
      </c>
      <c r="AH113">
        <v>7.5860500416200667</v>
      </c>
      <c r="AI113">
        <v>2687.1880010863342</v>
      </c>
      <c r="AJ113">
        <f t="shared" si="63"/>
        <v>8050.3046037089762</v>
      </c>
      <c r="AK113">
        <f t="shared" si="64"/>
        <v>921.28700547196991</v>
      </c>
      <c r="AO113" s="43"/>
      <c r="AP113" s="43"/>
    </row>
    <row r="114" spans="1:42">
      <c r="A114">
        <v>152</v>
      </c>
      <c r="B114">
        <f t="shared" si="36"/>
        <v>152</v>
      </c>
      <c r="D114" s="43">
        <f t="shared" si="37"/>
        <v>353.9014074217049</v>
      </c>
      <c r="E114" s="43">
        <f t="shared" si="38"/>
        <v>597.31828491423073</v>
      </c>
      <c r="F114" s="69">
        <f t="shared" si="39"/>
        <v>0.62837307624249439</v>
      </c>
      <c r="G114" s="98">
        <f t="shared" si="40"/>
        <v>78.255716081501163</v>
      </c>
      <c r="H114" s="69">
        <f t="shared" si="41"/>
        <v>0.50660877621893419</v>
      </c>
      <c r="I114" s="69">
        <f t="shared" si="42"/>
        <v>0.98410337983614593</v>
      </c>
      <c r="J114" s="99">
        <f t="shared" si="43"/>
        <v>1.5047746178408776E-2</v>
      </c>
      <c r="K114" s="69">
        <f t="shared" si="44"/>
        <v>6.9554840455199052E-3</v>
      </c>
      <c r="L114" s="99">
        <f t="shared" si="45"/>
        <v>2.200323022392868E-2</v>
      </c>
      <c r="M114" s="69">
        <f t="shared" si="46"/>
        <v>23.024291027414389</v>
      </c>
      <c r="N114" s="69">
        <f t="shared" si="47"/>
        <v>16.387874167787803</v>
      </c>
      <c r="O114" s="69">
        <f t="shared" si="48"/>
        <v>32.348184510537727</v>
      </c>
      <c r="P114" s="69">
        <f t="shared" si="49"/>
        <v>1.2799677533876372</v>
      </c>
      <c r="Q114" s="69">
        <f t="shared" si="50"/>
        <v>0.71628322310968318</v>
      </c>
      <c r="R114" s="43">
        <f t="shared" si="51"/>
        <v>884.44419758622485</v>
      </c>
      <c r="S114" s="43">
        <f t="shared" si="52"/>
        <v>819.78637159884988</v>
      </c>
      <c r="T114" s="43">
        <f>R114+Thrust!C$33*0.8</f>
        <v>2696.2041975862248</v>
      </c>
      <c r="U114" s="43"/>
      <c r="V114">
        <f t="shared" si="53"/>
        <v>489673.38947948522</v>
      </c>
      <c r="W114">
        <f t="shared" si="54"/>
        <v>528294.69120454683</v>
      </c>
      <c r="X114">
        <f t="shared" si="55"/>
        <v>38621.30172506161</v>
      </c>
      <c r="Y114">
        <f t="shared" si="56"/>
        <v>38621.30172506161</v>
      </c>
      <c r="Z114">
        <f t="shared" si="57"/>
        <v>-1556.5776619215426</v>
      </c>
      <c r="AA114">
        <f t="shared" si="58"/>
        <v>-2.4892757081672654</v>
      </c>
      <c r="AB114">
        <f t="shared" si="59"/>
        <v>3562.8673195272099</v>
      </c>
      <c r="AC114">
        <f t="shared" si="60"/>
        <v>5.7053616436993266</v>
      </c>
      <c r="AD114">
        <f t="shared" si="61"/>
        <v>8.583858893819702</v>
      </c>
      <c r="AE114">
        <f t="shared" si="62"/>
        <v>3037.839743632112</v>
      </c>
      <c r="AH114">
        <v>7.555436389484127</v>
      </c>
      <c r="AI114">
        <v>2694.1314085110816</v>
      </c>
      <c r="AJ114">
        <f t="shared" si="63"/>
        <v>7868.9043695415412</v>
      </c>
      <c r="AK114">
        <f t="shared" si="64"/>
        <v>916.70942717931655</v>
      </c>
      <c r="AO114" s="43"/>
      <c r="AP114" s="43"/>
    </row>
    <row r="115" spans="1:42">
      <c r="A115">
        <v>153</v>
      </c>
      <c r="B115">
        <f t="shared" si="36"/>
        <v>153</v>
      </c>
      <c r="D115" s="43">
        <f t="shared" si="37"/>
        <v>356.22970615474247</v>
      </c>
      <c r="E115" s="43">
        <f t="shared" si="38"/>
        <v>601.24801047287701</v>
      </c>
      <c r="F115" s="69">
        <f t="shared" si="39"/>
        <v>0.63250710963882661</v>
      </c>
      <c r="G115" s="98">
        <f t="shared" si="40"/>
        <v>79.288783663082626</v>
      </c>
      <c r="H115" s="69">
        <f t="shared" si="41"/>
        <v>0.50000808089889581</v>
      </c>
      <c r="I115" s="69">
        <f t="shared" si="42"/>
        <v>0.92852144365541733</v>
      </c>
      <c r="J115" s="99">
        <f t="shared" si="43"/>
        <v>1.5047746178408776E-2</v>
      </c>
      <c r="K115" s="69">
        <f t="shared" si="44"/>
        <v>6.7314929040245067E-3</v>
      </c>
      <c r="L115" s="99">
        <f t="shared" si="45"/>
        <v>2.1779239082433281E-2</v>
      </c>
      <c r="M115" s="69">
        <f t="shared" si="46"/>
        <v>22.958014235777078</v>
      </c>
      <c r="N115" s="69">
        <f t="shared" si="47"/>
        <v>16.233898731599492</v>
      </c>
      <c r="O115" s="69">
        <f t="shared" si="48"/>
        <v>32.467272733702217</v>
      </c>
      <c r="P115" s="69">
        <f t="shared" si="49"/>
        <v>1.2883885938704509</v>
      </c>
      <c r="Q115" s="69">
        <f t="shared" si="50"/>
        <v>0.71002866109770557</v>
      </c>
      <c r="R115" s="43">
        <f t="shared" si="51"/>
        <v>870.99105505686589</v>
      </c>
      <c r="S115" s="43">
        <f t="shared" si="52"/>
        <v>822.15298789151223</v>
      </c>
      <c r="T115" s="43">
        <f>R115+Thrust!C$33*0.8</f>
        <v>2682.7510550568659</v>
      </c>
      <c r="U115" s="43"/>
      <c r="V115">
        <f t="shared" si="53"/>
        <v>494317.84827410307</v>
      </c>
      <c r="W115">
        <f t="shared" si="54"/>
        <v>523681.63899261272</v>
      </c>
      <c r="X115">
        <f t="shared" si="55"/>
        <v>29363.790718509641</v>
      </c>
      <c r="Y115">
        <f t="shared" si="56"/>
        <v>29363.790718509641</v>
      </c>
      <c r="Z115">
        <f t="shared" si="57"/>
        <v>-1571.34150444748</v>
      </c>
      <c r="AA115">
        <f t="shared" si="58"/>
        <v>-2.4964664668685401</v>
      </c>
      <c r="AB115">
        <f t="shared" si="59"/>
        <v>3556.0716911454811</v>
      </c>
      <c r="AC115">
        <f t="shared" si="60"/>
        <v>5.6571031199401354</v>
      </c>
      <c r="AD115">
        <f t="shared" si="61"/>
        <v>8.4289578555257414</v>
      </c>
      <c r="AE115">
        <f t="shared" si="62"/>
        <v>3002.6451800646432</v>
      </c>
      <c r="AH115">
        <v>7.5244162989310857</v>
      </c>
      <c r="AI115">
        <v>2700.7861993644551</v>
      </c>
      <c r="AJ115">
        <f t="shared" si="63"/>
        <v>7688.350497180124</v>
      </c>
      <c r="AK115">
        <f t="shared" si="64"/>
        <v>912.13535871933448</v>
      </c>
      <c r="AO115" s="43"/>
      <c r="AP115" s="43"/>
    </row>
    <row r="116" spans="1:42">
      <c r="A116">
        <v>154</v>
      </c>
      <c r="B116">
        <f t="shared" si="36"/>
        <v>154</v>
      </c>
      <c r="D116" s="43">
        <f t="shared" si="37"/>
        <v>358.55800488777999</v>
      </c>
      <c r="E116" s="43">
        <f t="shared" si="38"/>
        <v>605.1777360315233</v>
      </c>
      <c r="F116" s="69">
        <f t="shared" si="39"/>
        <v>0.63664114303515884</v>
      </c>
      <c r="G116" s="98">
        <f t="shared" si="40"/>
        <v>80.328625458313795</v>
      </c>
      <c r="H116" s="69">
        <f t="shared" si="41"/>
        <v>0.49353555261267729</v>
      </c>
      <c r="I116" s="69">
        <f t="shared" si="42"/>
        <v>0.8740187531524316</v>
      </c>
      <c r="J116" s="99">
        <f t="shared" si="43"/>
        <v>1.5047746178408776E-2</v>
      </c>
      <c r="K116" s="69">
        <f t="shared" si="44"/>
        <v>6.5154108839990338E-3</v>
      </c>
      <c r="L116" s="99">
        <f t="shared" si="45"/>
        <v>2.1563157062407811E-2</v>
      </c>
      <c r="M116" s="69">
        <f t="shared" si="46"/>
        <v>22.887907887712966</v>
      </c>
      <c r="N116" s="69">
        <f t="shared" si="47"/>
        <v>16.079232633142951</v>
      </c>
      <c r="O116" s="69">
        <f t="shared" si="48"/>
        <v>32.579684580012021</v>
      </c>
      <c r="P116" s="69">
        <f t="shared" si="49"/>
        <v>1.2968094343532643</v>
      </c>
      <c r="Q116" s="69">
        <f t="shared" si="50"/>
        <v>0.70363904553834877</v>
      </c>
      <c r="R116" s="43">
        <f t="shared" si="51"/>
        <v>857.54803446664857</v>
      </c>
      <c r="S116" s="43">
        <f t="shared" si="52"/>
        <v>824.67126714245319</v>
      </c>
      <c r="T116" s="43">
        <f>R116+Thrust!C$33*0.8</f>
        <v>2669.3080344666487</v>
      </c>
      <c r="U116" s="43"/>
      <c r="V116">
        <f t="shared" si="53"/>
        <v>499072.69041951734</v>
      </c>
      <c r="W116">
        <f t="shared" si="54"/>
        <v>518968.97803680907</v>
      </c>
      <c r="X116">
        <f t="shared" si="55"/>
        <v>19896.287617291731</v>
      </c>
      <c r="Y116">
        <f t="shared" si="56"/>
        <v>19896.287617291731</v>
      </c>
      <c r="Z116">
        <f t="shared" si="57"/>
        <v>-1586.4562344461478</v>
      </c>
      <c r="AA116">
        <f t="shared" si="58"/>
        <v>-2.504118083549733</v>
      </c>
      <c r="AB116">
        <f t="shared" si="59"/>
        <v>3548.6085382244173</v>
      </c>
      <c r="AC116">
        <f t="shared" si="60"/>
        <v>5.6084169022755779</v>
      </c>
      <c r="AD116">
        <f t="shared" si="61"/>
        <v>8.2735218746259473</v>
      </c>
      <c r="AE116">
        <f t="shared" si="62"/>
        <v>2966.5374967612852</v>
      </c>
      <c r="AH116">
        <v>7.492995936391198</v>
      </c>
      <c r="AI116">
        <v>2707.1517014726751</v>
      </c>
      <c r="AJ116">
        <f t="shared" si="63"/>
        <v>7508.7566605133679</v>
      </c>
      <c r="AK116">
        <f t="shared" si="64"/>
        <v>907.5647317186606</v>
      </c>
      <c r="AO116" s="43"/>
      <c r="AP116" s="43"/>
    </row>
    <row r="117" spans="1:42">
      <c r="A117">
        <v>155</v>
      </c>
      <c r="B117">
        <f t="shared" si="36"/>
        <v>155</v>
      </c>
      <c r="D117" s="43">
        <f t="shared" si="37"/>
        <v>360.8863036208175</v>
      </c>
      <c r="E117" s="43">
        <f t="shared" si="38"/>
        <v>609.10746159016946</v>
      </c>
      <c r="F117" s="69">
        <f t="shared" si="39"/>
        <v>0.64077517643149096</v>
      </c>
      <c r="G117" s="98">
        <f t="shared" si="40"/>
        <v>81.375241467194655</v>
      </c>
      <c r="H117" s="69">
        <f t="shared" si="41"/>
        <v>0.48718789451663924</v>
      </c>
      <c r="I117" s="69">
        <f t="shared" si="42"/>
        <v>0.82056754686511868</v>
      </c>
      <c r="J117" s="99">
        <f t="shared" si="43"/>
        <v>1.5047746178408776E-2</v>
      </c>
      <c r="K117" s="69">
        <f t="shared" si="44"/>
        <v>6.3069211807292459E-3</v>
      </c>
      <c r="L117" s="99">
        <f t="shared" si="45"/>
        <v>2.1354667359138022E-2</v>
      </c>
      <c r="M117" s="69">
        <f t="shared" si="46"/>
        <v>22.814117697233215</v>
      </c>
      <c r="N117" s="69">
        <f t="shared" si="47"/>
        <v>15.92399094677368</v>
      </c>
      <c r="O117" s="69">
        <f t="shared" si="48"/>
        <v>32.685522620738716</v>
      </c>
      <c r="P117" s="69">
        <f t="shared" si="49"/>
        <v>1.3052302748360776</v>
      </c>
      <c r="Q117" s="69">
        <f t="shared" si="50"/>
        <v>0.69711437643161211</v>
      </c>
      <c r="R117" s="43">
        <f t="shared" si="51"/>
        <v>844.11493990707277</v>
      </c>
      <c r="S117" s="43">
        <f t="shared" si="52"/>
        <v>827.33859141478297</v>
      </c>
      <c r="T117" s="43">
        <f>R117+Thrust!C$33*0.8</f>
        <v>2655.874939907073</v>
      </c>
      <c r="U117" s="43"/>
      <c r="V117">
        <f t="shared" si="53"/>
        <v>503938.10929224483</v>
      </c>
      <c r="W117">
        <f t="shared" si="54"/>
        <v>514156.70833713555</v>
      </c>
      <c r="X117">
        <f t="shared" si="55"/>
        <v>10218.599044890725</v>
      </c>
      <c r="Y117">
        <f t="shared" si="56"/>
        <v>10218.599044890725</v>
      </c>
      <c r="Z117">
        <f t="shared" si="57"/>
        <v>-1601.9224666243545</v>
      </c>
      <c r="AA117">
        <f t="shared" si="58"/>
        <v>-2.5122226119184847</v>
      </c>
      <c r="AB117">
        <f t="shared" si="59"/>
        <v>3540.4772460572071</v>
      </c>
      <c r="AC117">
        <f t="shared" si="60"/>
        <v>5.5593104499746664</v>
      </c>
      <c r="AD117">
        <f t="shared" si="61"/>
        <v>8.1176651190932638</v>
      </c>
      <c r="AE117">
        <f t="shared" si="62"/>
        <v>2929.5541588612114</v>
      </c>
      <c r="AH117">
        <v>7.4611812669276709</v>
      </c>
      <c r="AI117">
        <v>2713.2272271555253</v>
      </c>
      <c r="AJ117">
        <f t="shared" si="63"/>
        <v>7330.2311425215721</v>
      </c>
      <c r="AK117">
        <f t="shared" si="64"/>
        <v>902.99747956840486</v>
      </c>
      <c r="AO117" s="43"/>
      <c r="AP117" s="43"/>
    </row>
    <row r="118" spans="1:42">
      <c r="A118">
        <v>156</v>
      </c>
      <c r="B118">
        <f t="shared" si="36"/>
        <v>156</v>
      </c>
      <c r="D118" s="43">
        <f t="shared" si="37"/>
        <v>363.21460235385507</v>
      </c>
      <c r="E118" s="43">
        <f t="shared" si="38"/>
        <v>613.03718714881575</v>
      </c>
      <c r="F118" s="69">
        <f t="shared" si="39"/>
        <v>0.64490920982782318</v>
      </c>
      <c r="G118" s="98">
        <f t="shared" si="40"/>
        <v>82.428631689725265</v>
      </c>
      <c r="H118" s="69">
        <f t="shared" si="41"/>
        <v>0.48096191509542463</v>
      </c>
      <c r="I118" s="69">
        <f t="shared" si="42"/>
        <v>0.76814095026067675</v>
      </c>
      <c r="J118" s="99">
        <f t="shared" si="43"/>
        <v>1.5047746178408776E-2</v>
      </c>
      <c r="K118" s="69">
        <f t="shared" si="44"/>
        <v>6.1057214150896663E-3</v>
      </c>
      <c r="L118" s="99">
        <f t="shared" si="45"/>
        <v>2.1153467593498444E-2</v>
      </c>
      <c r="M118" s="69">
        <f t="shared" si="46"/>
        <v>22.736788328890775</v>
      </c>
      <c r="N118" s="69">
        <f t="shared" si="47"/>
        <v>15.76828506840852</v>
      </c>
      <c r="O118" s="69">
        <f t="shared" si="48"/>
        <v>32.784893301333504</v>
      </c>
      <c r="P118" s="69">
        <f t="shared" si="49"/>
        <v>1.313651115318891</v>
      </c>
      <c r="Q118" s="69">
        <f t="shared" si="50"/>
        <v>0.69045465377749604</v>
      </c>
      <c r="R118" s="43">
        <f t="shared" si="51"/>
        <v>830.69158049293389</v>
      </c>
      <c r="S118" s="43">
        <f t="shared" si="52"/>
        <v>830.15242641003317</v>
      </c>
      <c r="T118" s="43">
        <f>R118+Thrust!C$33*0.8</f>
        <v>2642.4515804929338</v>
      </c>
      <c r="U118" s="43"/>
      <c r="V118">
        <f t="shared" si="53"/>
        <v>508914.30839117098</v>
      </c>
      <c r="W118">
        <f t="shared" si="54"/>
        <v>509244.82989359228</v>
      </c>
      <c r="X118">
        <f t="shared" si="55"/>
        <v>330.52150242129574</v>
      </c>
      <c r="Y118">
        <f t="shared" si="56"/>
        <v>330.52150242129574</v>
      </c>
      <c r="Z118">
        <f t="shared" si="57"/>
        <v>-1617.740847865974</v>
      </c>
      <c r="AA118">
        <f t="shared" si="58"/>
        <v>-2.520772360145966</v>
      </c>
      <c r="AB118">
        <f t="shared" si="59"/>
        <v>3531.6771677599772</v>
      </c>
      <c r="AC118">
        <f t="shared" si="60"/>
        <v>5.5097909791287609</v>
      </c>
      <c r="AD118">
        <f t="shared" si="61"/>
        <v>7.9614980672340865</v>
      </c>
      <c r="AE118">
        <f t="shared" si="62"/>
        <v>2891.7323546314146</v>
      </c>
      <c r="AH118">
        <v>7.4289780620250037</v>
      </c>
      <c r="AI118">
        <v>2719.0120737233519</v>
      </c>
      <c r="AJ118">
        <f t="shared" si="63"/>
        <v>7152.8768712904111</v>
      </c>
      <c r="AK118">
        <f t="shared" si="64"/>
        <v>898.43353736759752</v>
      </c>
      <c r="AO118" s="43"/>
      <c r="AP118" s="43"/>
    </row>
    <row r="119" spans="1:42">
      <c r="A119">
        <v>157</v>
      </c>
      <c r="B119">
        <f t="shared" si="36"/>
        <v>157</v>
      </c>
      <c r="D119" s="43">
        <f t="shared" si="37"/>
        <v>365.54290108689258</v>
      </c>
      <c r="E119" s="43">
        <f t="shared" si="38"/>
        <v>616.96691270746203</v>
      </c>
      <c r="F119" s="69">
        <f t="shared" si="39"/>
        <v>0.64904324322415541</v>
      </c>
      <c r="G119" s="98">
        <f t="shared" si="40"/>
        <v>83.488796125905566</v>
      </c>
      <c r="H119" s="69">
        <f t="shared" si="41"/>
        <v>0.47485452414954987</v>
      </c>
      <c r="I119" s="69">
        <f t="shared" si="42"/>
        <v>0.71671294194860746</v>
      </c>
      <c r="J119" s="99">
        <f t="shared" si="43"/>
        <v>1.5047746178408776E-2</v>
      </c>
      <c r="K119" s="69">
        <f t="shared" si="44"/>
        <v>5.9115228945386279E-3</v>
      </c>
      <c r="L119" s="99">
        <f t="shared" si="45"/>
        <v>2.0959269072947404E-2</v>
      </c>
      <c r="M119" s="69">
        <f t="shared" si="46"/>
        <v>22.656063171709324</v>
      </c>
      <c r="N119" s="69">
        <f t="shared" si="47"/>
        <v>15.612222676888541</v>
      </c>
      <c r="O119" s="69">
        <f t="shared" si="48"/>
        <v>32.877906564857021</v>
      </c>
      <c r="P119" s="69">
        <f t="shared" si="49"/>
        <v>1.3220719558017044</v>
      </c>
      <c r="Q119" s="69">
        <f t="shared" si="50"/>
        <v>0.68365987757600011</v>
      </c>
      <c r="R119" s="43">
        <f t="shared" si="51"/>
        <v>817.27777020234419</v>
      </c>
      <c r="S119" s="43">
        <f t="shared" si="52"/>
        <v>833.11031828200646</v>
      </c>
      <c r="T119" s="43">
        <f>R119+Thrust!C$33*0.8</f>
        <v>2629.0377702023443</v>
      </c>
      <c r="U119" s="43"/>
      <c r="V119">
        <f t="shared" si="53"/>
        <v>514001.50101518061</v>
      </c>
      <c r="W119">
        <f t="shared" si="54"/>
        <v>504233.3427061789</v>
      </c>
      <c r="X119">
        <f t="shared" si="55"/>
        <v>-9768.1583090017084</v>
      </c>
      <c r="Y119">
        <f t="shared" si="56"/>
        <v>9768.1583090017084</v>
      </c>
      <c r="Z119">
        <f t="shared" si="57"/>
        <v>-1633.9120562071967</v>
      </c>
      <c r="AA119">
        <f t="shared" si="58"/>
        <v>-2.5297598811731614</v>
      </c>
      <c r="AB119">
        <f t="shared" si="59"/>
        <v>3522.2076252965398</v>
      </c>
      <c r="AC119">
        <f t="shared" si="60"/>
        <v>5.4598654719438784</v>
      </c>
      <c r="AD119">
        <f t="shared" si="61"/>
        <v>7.8051274661115357</v>
      </c>
      <c r="AE119">
        <f t="shared" si="62"/>
        <v>2853.1089373153977</v>
      </c>
      <c r="AH119">
        <v>7.3963919070286215</v>
      </c>
      <c r="AI119">
        <v>2724.5055239550757</v>
      </c>
      <c r="AJ119">
        <f t="shared" si="63"/>
        <v>6976.791469281322</v>
      </c>
      <c r="AK119">
        <f t="shared" si="64"/>
        <v>893.87284186879708</v>
      </c>
      <c r="AO119" s="43"/>
      <c r="AP119" s="43"/>
    </row>
    <row r="120" spans="1:42">
      <c r="A120">
        <v>158</v>
      </c>
      <c r="B120">
        <f t="shared" si="36"/>
        <v>158</v>
      </c>
      <c r="D120" s="43">
        <f t="shared" si="37"/>
        <v>367.8711998199301</v>
      </c>
      <c r="E120" s="43">
        <f t="shared" si="38"/>
        <v>620.8966382661082</v>
      </c>
      <c r="F120" s="69">
        <f t="shared" si="39"/>
        <v>0.65317727662048752</v>
      </c>
      <c r="G120" s="98">
        <f t="shared" si="40"/>
        <v>84.555734775735573</v>
      </c>
      <c r="H120" s="69">
        <f t="shared" si="41"/>
        <v>0.46886272896019304</v>
      </c>
      <c r="I120" s="69">
        <f t="shared" si="42"/>
        <v>0.66625832138586172</v>
      </c>
      <c r="J120" s="99">
        <f t="shared" si="43"/>
        <v>1.5047746178408776E-2</v>
      </c>
      <c r="K120" s="69">
        <f t="shared" si="44"/>
        <v>5.7240499162221773E-3</v>
      </c>
      <c r="L120" s="99">
        <f t="shared" si="45"/>
        <v>2.0771796094630954E-2</v>
      </c>
      <c r="M120" s="69">
        <f t="shared" si="46"/>
        <v>22.572084129084224</v>
      </c>
      <c r="N120" s="69">
        <f t="shared" si="47"/>
        <v>15.455907707745723</v>
      </c>
      <c r="O120" s="69">
        <f t="shared" si="48"/>
        <v>32.964675486197464</v>
      </c>
      <c r="P120" s="69">
        <f t="shared" si="49"/>
        <v>1.3304927962845177</v>
      </c>
      <c r="Q120" s="69">
        <f t="shared" si="50"/>
        <v>0.67673004782712476</v>
      </c>
      <c r="R120" s="43">
        <f t="shared" si="51"/>
        <v>803.87332772283196</v>
      </c>
      <c r="S120" s="43">
        <f t="shared" si="52"/>
        <v>836.20989059133819</v>
      </c>
      <c r="T120" s="43">
        <f>R120+Thrust!C$33*0.8</f>
        <v>2615.6333277228318</v>
      </c>
      <c r="U120" s="43"/>
      <c r="V120">
        <f t="shared" si="53"/>
        <v>519199.90995303204</v>
      </c>
      <c r="W120">
        <f t="shared" si="54"/>
        <v>499122.24677489582</v>
      </c>
      <c r="X120">
        <f t="shared" si="55"/>
        <v>-20077.663178136223</v>
      </c>
      <c r="Y120">
        <f t="shared" si="56"/>
        <v>20077.663178136223</v>
      </c>
      <c r="Z120">
        <f t="shared" si="57"/>
        <v>-1650.4367998506978</v>
      </c>
      <c r="AA120">
        <f t="shared" si="58"/>
        <v>-2.539177963445987</v>
      </c>
      <c r="AB120">
        <f t="shared" si="59"/>
        <v>3512.0679104642163</v>
      </c>
      <c r="AC120">
        <f t="shared" si="60"/>
        <v>5.4095406856208044</v>
      </c>
      <c r="AD120">
        <f t="shared" si="61"/>
        <v>7.6486563027310579</v>
      </c>
      <c r="AE120">
        <f t="shared" si="62"/>
        <v>2813.7203710959443</v>
      </c>
      <c r="AH120">
        <v>7.3634282082533717</v>
      </c>
      <c r="AI120">
        <v>2729.7068465580414</v>
      </c>
      <c r="AJ120">
        <f t="shared" si="63"/>
        <v>6802.0673148250207</v>
      </c>
      <c r="AK120">
        <f t="shared" si="64"/>
        <v>889.31533142576291</v>
      </c>
      <c r="AO120" s="43"/>
      <c r="AP120" s="43"/>
    </row>
    <row r="121" spans="1:42">
      <c r="A121">
        <v>159</v>
      </c>
      <c r="B121">
        <f t="shared" si="36"/>
        <v>159</v>
      </c>
      <c r="D121" s="43">
        <f t="shared" si="37"/>
        <v>370.19949855296767</v>
      </c>
      <c r="E121" s="43">
        <f t="shared" si="38"/>
        <v>624.82636382475459</v>
      </c>
      <c r="F121" s="69">
        <f t="shared" si="39"/>
        <v>0.65731131001681986</v>
      </c>
      <c r="G121" s="98">
        <f t="shared" si="40"/>
        <v>85.629447639215357</v>
      </c>
      <c r="H121" s="69">
        <f t="shared" si="41"/>
        <v>0.46298363062229542</v>
      </c>
      <c r="I121" s="69">
        <f t="shared" si="42"/>
        <v>0.6167526779992869</v>
      </c>
      <c r="J121" s="99">
        <f t="shared" si="43"/>
        <v>1.5047746178408776E-2</v>
      </c>
      <c r="K121" s="69">
        <f t="shared" si="44"/>
        <v>5.5430391095455736E-3</v>
      </c>
      <c r="L121" s="99">
        <f t="shared" si="45"/>
        <v>2.0590785287954348E-2</v>
      </c>
      <c r="M121" s="69">
        <f t="shared" si="46"/>
        <v>22.484991424447603</v>
      </c>
      <c r="N121" s="69">
        <f t="shared" si="47"/>
        <v>15.299440338685955</v>
      </c>
      <c r="O121" s="69">
        <f t="shared" si="48"/>
        <v>33.045315917804707</v>
      </c>
      <c r="P121" s="69">
        <f t="shared" si="49"/>
        <v>1.3389136367673311</v>
      </c>
      <c r="Q121" s="69">
        <f t="shared" si="50"/>
        <v>0.66966516453086999</v>
      </c>
      <c r="R121" s="43">
        <f t="shared" si="51"/>
        <v>790.47807630324451</v>
      </c>
      <c r="S121" s="43">
        <f t="shared" si="52"/>
        <v>839.44884139370788</v>
      </c>
      <c r="T121" s="43">
        <f>R121+Thrust!C$33*0.8</f>
        <v>2602.2380763032443</v>
      </c>
      <c r="U121" s="43"/>
      <c r="V121">
        <f t="shared" si="53"/>
        <v>524509.76718493365</v>
      </c>
      <c r="W121">
        <f t="shared" si="54"/>
        <v>493911.54209974315</v>
      </c>
      <c r="X121">
        <f t="shared" si="55"/>
        <v>-30598.225085190497</v>
      </c>
      <c r="Y121">
        <f t="shared" si="56"/>
        <v>30598.225085190497</v>
      </c>
      <c r="Z121">
        <f t="shared" si="57"/>
        <v>-1667.3158162170078</v>
      </c>
      <c r="AA121">
        <f t="shared" si="58"/>
        <v>-2.5490196220576977</v>
      </c>
      <c r="AB121">
        <f t="shared" si="59"/>
        <v>3501.2572858424792</v>
      </c>
      <c r="AC121">
        <f t="shared" si="60"/>
        <v>5.3588231608438095</v>
      </c>
      <c r="AD121">
        <f t="shared" si="61"/>
        <v>7.4921837872831505</v>
      </c>
      <c r="AE121">
        <f t="shared" si="62"/>
        <v>2773.6026811188963</v>
      </c>
      <c r="AH121">
        <v>7.3300921997776065</v>
      </c>
      <c r="AI121">
        <v>2734.6152966105251</v>
      </c>
      <c r="AJ121">
        <f t="shared" si="63"/>
        <v>6628.7916148162212</v>
      </c>
      <c r="AK121">
        <f t="shared" si="64"/>
        <v>884.76094594310314</v>
      </c>
      <c r="AO121" s="43"/>
      <c r="AP121" s="43"/>
    </row>
    <row r="122" spans="1:42">
      <c r="A122">
        <v>160</v>
      </c>
      <c r="B122">
        <f t="shared" si="36"/>
        <v>160</v>
      </c>
      <c r="D122" s="43">
        <f t="shared" si="37"/>
        <v>372.52779728600518</v>
      </c>
      <c r="E122" s="43">
        <f t="shared" si="38"/>
        <v>628.75608938340076</v>
      </c>
      <c r="F122" s="69">
        <f t="shared" si="39"/>
        <v>0.66144534341315198</v>
      </c>
      <c r="G122" s="98">
        <f t="shared" si="40"/>
        <v>86.70993471634479</v>
      </c>
      <c r="H122" s="69">
        <f t="shared" si="41"/>
        <v>0.45721442053758804</v>
      </c>
      <c r="I122" s="69">
        <f t="shared" si="42"/>
        <v>0.56817236165474216</v>
      </c>
      <c r="J122" s="99">
        <f t="shared" si="43"/>
        <v>1.5047746178408776E-2</v>
      </c>
      <c r="K122" s="69">
        <f t="shared" si="44"/>
        <v>5.3682388157516988E-3</v>
      </c>
      <c r="L122" s="99">
        <f t="shared" si="45"/>
        <v>2.0415984994160474E-2</v>
      </c>
      <c r="M122" s="69">
        <f t="shared" si="46"/>
        <v>22.394923422424331</v>
      </c>
      <c r="N122" s="69">
        <f t="shared" si="47"/>
        <v>15.142916986091043</v>
      </c>
      <c r="O122" s="69">
        <f t="shared" si="48"/>
        <v>33.119946147556227</v>
      </c>
      <c r="P122" s="69">
        <f t="shared" si="49"/>
        <v>1.3473344772501443</v>
      </c>
      <c r="Q122" s="69">
        <f t="shared" si="50"/>
        <v>0.66246522768723537</v>
      </c>
      <c r="R122" s="43">
        <f t="shared" si="51"/>
        <v>777.09184361120822</v>
      </c>
      <c r="S122" s="43">
        <f t="shared" si="52"/>
        <v>842.82494045504154</v>
      </c>
      <c r="T122" s="43">
        <f>R122+Thrust!C$33*0.8</f>
        <v>2588.8518436112081</v>
      </c>
      <c r="U122" s="43"/>
      <c r="V122">
        <f t="shared" si="53"/>
        <v>529931.3135953095</v>
      </c>
      <c r="W122">
        <f t="shared" si="54"/>
        <v>488601.22868072049</v>
      </c>
      <c r="X122">
        <f t="shared" si="55"/>
        <v>-41330.08491458901</v>
      </c>
      <c r="Y122">
        <f t="shared" si="56"/>
        <v>41330.08491458901</v>
      </c>
      <c r="Z122">
        <f t="shared" si="57"/>
        <v>-1684.5498710314473</v>
      </c>
      <c r="AA122">
        <f t="shared" si="58"/>
        <v>-2.5592780902782368</v>
      </c>
      <c r="AB122">
        <f t="shared" si="59"/>
        <v>3489.7749857060071</v>
      </c>
      <c r="AC122">
        <f t="shared" si="60"/>
        <v>5.3077192298974403</v>
      </c>
      <c r="AD122">
        <f t="shared" si="61"/>
        <v>7.3358053477280691</v>
      </c>
      <c r="AE122">
        <f t="shared" si="62"/>
        <v>2732.7914075080348</v>
      </c>
      <c r="AH122">
        <v>7.2963889499386338</v>
      </c>
      <c r="AI122">
        <v>2739.2301159876424</v>
      </c>
      <c r="AJ122">
        <f t="shared" si="63"/>
        <v>6457.0464876051828</v>
      </c>
      <c r="AK122">
        <f t="shared" si="64"/>
        <v>880.20962682781078</v>
      </c>
      <c r="AO122" s="43"/>
      <c r="AP122" s="43"/>
    </row>
    <row r="123" spans="1:42">
      <c r="A123">
        <v>161</v>
      </c>
      <c r="B123">
        <f t="shared" si="36"/>
        <v>161</v>
      </c>
      <c r="D123" s="43">
        <f t="shared" si="37"/>
        <v>374.8560960190427</v>
      </c>
      <c r="E123" s="43">
        <f t="shared" si="38"/>
        <v>632.68581494204705</v>
      </c>
      <c r="F123" s="69">
        <f t="shared" si="39"/>
        <v>0.6655793768094842</v>
      </c>
      <c r="G123" s="98">
        <f t="shared" si="40"/>
        <v>87.797196007123958</v>
      </c>
      <c r="H123" s="69">
        <f t="shared" si="41"/>
        <v>0.45155237705961393</v>
      </c>
      <c r="I123" s="69">
        <f t="shared" si="42"/>
        <v>0.52049445440611031</v>
      </c>
      <c r="J123" s="99">
        <f t="shared" si="43"/>
        <v>1.5047746178408776E-2</v>
      </c>
      <c r="K123" s="69">
        <f t="shared" si="44"/>
        <v>5.1994085022130177E-3</v>
      </c>
      <c r="L123" s="99">
        <f t="shared" si="45"/>
        <v>2.0247154680621795E-2</v>
      </c>
      <c r="M123" s="69">
        <f t="shared" si="46"/>
        <v>22.302016465147421</v>
      </c>
      <c r="N123" s="69">
        <f t="shared" si="47"/>
        <v>14.98643031183779</v>
      </c>
      <c r="O123" s="69">
        <f t="shared" si="48"/>
        <v>33.188686569264327</v>
      </c>
      <c r="P123" s="69">
        <f t="shared" si="49"/>
        <v>1.3557553177329578</v>
      </c>
      <c r="Q123" s="69">
        <f t="shared" si="50"/>
        <v>0.65513023729622111</v>
      </c>
      <c r="R123" s="43">
        <f t="shared" si="51"/>
        <v>763.7144615958988</v>
      </c>
      <c r="S123" s="43">
        <f t="shared" si="52"/>
        <v>846.33602658741609</v>
      </c>
      <c r="T123" s="43">
        <f>R123+Thrust!C$33*0.8</f>
        <v>2575.4744615958989</v>
      </c>
      <c r="U123" s="43"/>
      <c r="V123">
        <f t="shared" si="53"/>
        <v>535464.79869627336</v>
      </c>
      <c r="W123">
        <f t="shared" si="54"/>
        <v>483191.30651782791</v>
      </c>
      <c r="X123">
        <f t="shared" si="55"/>
        <v>-52273.492178445449</v>
      </c>
      <c r="Y123">
        <f t="shared" si="56"/>
        <v>52273.492178445449</v>
      </c>
      <c r="Z123">
        <f t="shared" si="57"/>
        <v>-1702.1397574451073</v>
      </c>
      <c r="AA123">
        <f t="shared" si="58"/>
        <v>-2.5699468114513473</v>
      </c>
      <c r="AB123">
        <f t="shared" si="59"/>
        <v>3477.6202169037074</v>
      </c>
      <c r="AC123">
        <f t="shared" si="60"/>
        <v>5.2562350244298246</v>
      </c>
      <c r="AD123">
        <f t="shared" si="61"/>
        <v>7.1796126350026093</v>
      </c>
      <c r="AE123">
        <f t="shared" si="62"/>
        <v>2691.3215632860706</v>
      </c>
      <c r="AH123">
        <v>7.2623233675442345</v>
      </c>
      <c r="AI123">
        <v>2743.5505337713789</v>
      </c>
      <c r="AJ123">
        <f t="shared" si="63"/>
        <v>6286.9090551041563</v>
      </c>
      <c r="AK123">
        <f t="shared" si="64"/>
        <v>875.66131694260571</v>
      </c>
      <c r="AO123" s="43"/>
      <c r="AP123" s="43"/>
    </row>
    <row r="124" spans="1:42">
      <c r="A124">
        <v>162</v>
      </c>
      <c r="B124">
        <f t="shared" si="36"/>
        <v>162</v>
      </c>
      <c r="D124" s="43">
        <f t="shared" si="37"/>
        <v>377.18439475208027</v>
      </c>
      <c r="E124" s="43">
        <f t="shared" si="38"/>
        <v>636.61554050069333</v>
      </c>
      <c r="F124" s="69">
        <f t="shared" si="39"/>
        <v>0.66971341020581643</v>
      </c>
      <c r="G124" s="98">
        <f t="shared" si="40"/>
        <v>88.891231511552846</v>
      </c>
      <c r="H124" s="69">
        <f t="shared" si="41"/>
        <v>0.44599486228327445</v>
      </c>
      <c r="I124" s="69">
        <f t="shared" si="42"/>
        <v>0.47369674346129415</v>
      </c>
      <c r="J124" s="99">
        <f t="shared" si="43"/>
        <v>1.5047746178408776E-2</v>
      </c>
      <c r="K124" s="69">
        <f t="shared" si="44"/>
        <v>5.0363182092990908E-3</v>
      </c>
      <c r="L124" s="99">
        <f t="shared" si="45"/>
        <v>2.0084064387707868E-2</v>
      </c>
      <c r="M124" s="69">
        <f t="shared" si="46"/>
        <v>22.206404723350644</v>
      </c>
      <c r="N124" s="69">
        <f t="shared" si="47"/>
        <v>14.830069239733188</v>
      </c>
      <c r="O124" s="69">
        <f t="shared" si="48"/>
        <v>33.251659366232438</v>
      </c>
      <c r="P124" s="69">
        <f t="shared" si="49"/>
        <v>1.3641761582157714</v>
      </c>
      <c r="Q124" s="69">
        <f t="shared" si="50"/>
        <v>0.64766019335782699</v>
      </c>
      <c r="R124" s="43">
        <f t="shared" si="51"/>
        <v>750.34576635589542</v>
      </c>
      <c r="S124" s="43">
        <f t="shared" si="52"/>
        <v>849.98000509971882</v>
      </c>
      <c r="T124" s="43">
        <f>R124+Thrust!C$33*0.8</f>
        <v>2562.1057663558954</v>
      </c>
      <c r="U124" s="43"/>
      <c r="V124">
        <f t="shared" si="53"/>
        <v>541110.48036133952</v>
      </c>
      <c r="W124">
        <f t="shared" si="54"/>
        <v>477681.77561106533</v>
      </c>
      <c r="X124">
        <f t="shared" si="55"/>
        <v>-63428.704750274192</v>
      </c>
      <c r="Y124">
        <f t="shared" si="56"/>
        <v>63428.704750274192</v>
      </c>
      <c r="Z124">
        <f t="shared" si="57"/>
        <v>-1720.0862951883641</v>
      </c>
      <c r="AA124">
        <f t="shared" si="58"/>
        <v>-2.5810194312412746</v>
      </c>
      <c r="AB124">
        <f t="shared" si="59"/>
        <v>3464.7921597052032</v>
      </c>
      <c r="AC124">
        <f t="shared" si="60"/>
        <v>5.2043764828799803</v>
      </c>
      <c r="AD124">
        <f t="shared" si="61"/>
        <v>7.0236935381297076</v>
      </c>
      <c r="AE124">
        <f t="shared" si="62"/>
        <v>2649.2275961035507</v>
      </c>
      <c r="AH124">
        <v>7.2279002078144767</v>
      </c>
      <c r="AI124">
        <v>2747.5757666454474</v>
      </c>
      <c r="AJ124">
        <f t="shared" si="63"/>
        <v>6118.4515431539803</v>
      </c>
      <c r="AK124">
        <f t="shared" si="64"/>
        <v>871.1159605610045</v>
      </c>
      <c r="AO124" s="43"/>
      <c r="AP124" s="43"/>
    </row>
    <row r="125" spans="1:42">
      <c r="A125">
        <v>163</v>
      </c>
      <c r="B125">
        <f t="shared" si="36"/>
        <v>163</v>
      </c>
      <c r="D125" s="43">
        <f t="shared" si="37"/>
        <v>379.51269348511778</v>
      </c>
      <c r="E125" s="43">
        <f t="shared" si="38"/>
        <v>640.5452660593395</v>
      </c>
      <c r="F125" s="69">
        <f t="shared" si="39"/>
        <v>0.67384744360214854</v>
      </c>
      <c r="G125" s="98">
        <f t="shared" si="40"/>
        <v>89.992041229631411</v>
      </c>
      <c r="H125" s="69">
        <f t="shared" si="41"/>
        <v>0.44053931897181892</v>
      </c>
      <c r="I125" s="69">
        <f t="shared" si="42"/>
        <v>0.42775769530556756</v>
      </c>
      <c r="J125" s="99">
        <f t="shared" si="43"/>
        <v>1.5047746178408776E-2</v>
      </c>
      <c r="K125" s="69">
        <f t="shared" si="44"/>
        <v>4.8787480278250127E-3</v>
      </c>
      <c r="L125" s="99">
        <f t="shared" si="45"/>
        <v>1.992649420623379E-2</v>
      </c>
      <c r="M125" s="69">
        <f t="shared" si="46"/>
        <v>22.108220061811018</v>
      </c>
      <c r="N125" s="69">
        <f t="shared" si="47"/>
        <v>14.673918980869114</v>
      </c>
      <c r="O125" s="69">
        <f t="shared" si="48"/>
        <v>33.308988208173538</v>
      </c>
      <c r="P125" s="69">
        <f t="shared" si="49"/>
        <v>1.3725969986985846</v>
      </c>
      <c r="Q125" s="69">
        <f t="shared" si="50"/>
        <v>0.64005509587205389</v>
      </c>
      <c r="R125" s="43">
        <f t="shared" si="51"/>
        <v>736.98559801189913</v>
      </c>
      <c r="S125" s="43">
        <f t="shared" si="52"/>
        <v>853.75484535745261</v>
      </c>
      <c r="T125" s="43">
        <f>R125+Thrust!C$33*0.8</f>
        <v>2548.7455980118993</v>
      </c>
      <c r="U125" s="43"/>
      <c r="V125">
        <f t="shared" si="53"/>
        <v>546868.62456893967</v>
      </c>
      <c r="W125">
        <f t="shared" si="54"/>
        <v>472072.63596043334</v>
      </c>
      <c r="X125">
        <f t="shared" si="55"/>
        <v>-74795.988608506334</v>
      </c>
      <c r="Y125">
        <f t="shared" si="56"/>
        <v>74795.988608506334</v>
      </c>
      <c r="Z125">
        <f t="shared" si="57"/>
        <v>-1738.3903297555703</v>
      </c>
      <c r="AA125">
        <f t="shared" si="58"/>
        <v>-2.592489790211959</v>
      </c>
      <c r="AB125">
        <f t="shared" si="59"/>
        <v>3451.2899686161463</v>
      </c>
      <c r="AC125">
        <f t="shared" si="60"/>
        <v>5.1521493575855315</v>
      </c>
      <c r="AD125">
        <f t="shared" si="61"/>
        <v>6.8681322085163377</v>
      </c>
      <c r="AE125">
        <f t="shared" si="62"/>
        <v>2606.5433536659261</v>
      </c>
      <c r="AH125">
        <v>7.1931240780669361</v>
      </c>
      <c r="AI125">
        <v>2751.3050192755954</v>
      </c>
      <c r="AJ125">
        <f t="shared" si="63"/>
        <v>5951.7413892267186</v>
      </c>
      <c r="AK125">
        <f t="shared" si="64"/>
        <v>866.57350332404587</v>
      </c>
      <c r="AO125" s="43"/>
      <c r="AP125" s="43"/>
    </row>
    <row r="126" spans="1:42">
      <c r="A126">
        <v>164</v>
      </c>
      <c r="B126">
        <f t="shared" si="36"/>
        <v>164</v>
      </c>
      <c r="D126" s="43">
        <f t="shared" si="37"/>
        <v>381.84099221815529</v>
      </c>
      <c r="E126" s="43">
        <f t="shared" si="38"/>
        <v>644.47499161798578</v>
      </c>
      <c r="F126" s="69">
        <f t="shared" si="39"/>
        <v>0.67798147699848077</v>
      </c>
      <c r="G126" s="98">
        <f t="shared" si="40"/>
        <v>91.099625161359739</v>
      </c>
      <c r="H126" s="69">
        <f t="shared" si="41"/>
        <v>0.43518326761459897</v>
      </c>
      <c r="I126" s="69">
        <f t="shared" si="42"/>
        <v>0.38265643092604867</v>
      </c>
      <c r="J126" s="99">
        <f t="shared" si="43"/>
        <v>1.5047746178408776E-2</v>
      </c>
      <c r="K126" s="69">
        <f t="shared" si="44"/>
        <v>4.7264876052196128E-3</v>
      </c>
      <c r="L126" s="99">
        <f t="shared" si="45"/>
        <v>1.977423378362839E-2</v>
      </c>
      <c r="M126" s="69">
        <f t="shared" si="46"/>
        <v>22.00759191867645</v>
      </c>
      <c r="N126" s="69">
        <f t="shared" si="47"/>
        <v>14.518061067209187</v>
      </c>
      <c r="O126" s="69">
        <f t="shared" si="48"/>
        <v>33.360797961714084</v>
      </c>
      <c r="P126" s="69">
        <f t="shared" si="49"/>
        <v>1.3810178391813981</v>
      </c>
      <c r="Q126" s="69">
        <f t="shared" si="50"/>
        <v>0.63231494483890072</v>
      </c>
      <c r="R126" s="43">
        <f t="shared" si="51"/>
        <v>723.63380058410337</v>
      </c>
      <c r="S126" s="43">
        <f t="shared" si="52"/>
        <v>857.65857844637617</v>
      </c>
      <c r="T126" s="43">
        <f>R126+Thrust!C$33*0.8</f>
        <v>2535.3938005841032</v>
      </c>
      <c r="U126" s="43"/>
      <c r="V126">
        <f t="shared" si="53"/>
        <v>552739.50515532191</v>
      </c>
      <c r="W126">
        <f t="shared" si="54"/>
        <v>466363.88756593119</v>
      </c>
      <c r="X126">
        <f t="shared" si="55"/>
        <v>-86375.61758939072</v>
      </c>
      <c r="Y126">
        <f t="shared" si="56"/>
        <v>86375.61758939072</v>
      </c>
      <c r="Z126">
        <f t="shared" si="57"/>
        <v>-1757.0527316195662</v>
      </c>
      <c r="AA126">
        <f t="shared" si="58"/>
        <v>-2.6043519167225044</v>
      </c>
      <c r="AB126">
        <f t="shared" si="59"/>
        <v>3437.1127731636911</v>
      </c>
      <c r="AC126">
        <f t="shared" si="60"/>
        <v>5.0995592215863841</v>
      </c>
      <c r="AD126">
        <f t="shared" si="61"/>
        <v>6.7130090927343726</v>
      </c>
      <c r="AE126">
        <f t="shared" si="62"/>
        <v>2563.3020527391918</v>
      </c>
      <c r="AH126">
        <v>7.1579994431579292</v>
      </c>
      <c r="AI126">
        <v>2754.7374846760154</v>
      </c>
      <c r="AJ126">
        <f t="shared" si="63"/>
        <v>5786.8413565743713</v>
      </c>
      <c r="AK126">
        <f t="shared" si="64"/>
        <v>862.03389219859514</v>
      </c>
      <c r="AO126" s="43"/>
      <c r="AP126" s="43"/>
    </row>
    <row r="127" spans="1:42">
      <c r="A127">
        <v>165</v>
      </c>
      <c r="B127">
        <f t="shared" si="36"/>
        <v>165</v>
      </c>
      <c r="D127" s="43">
        <f t="shared" si="37"/>
        <v>384.16929095119286</v>
      </c>
      <c r="E127" s="43">
        <f t="shared" si="38"/>
        <v>648.40471717663206</v>
      </c>
      <c r="F127" s="69">
        <f t="shared" si="39"/>
        <v>0.682115510394813</v>
      </c>
      <c r="G127" s="98">
        <f t="shared" si="40"/>
        <v>92.213983306737774</v>
      </c>
      <c r="H127" s="69">
        <f t="shared" si="41"/>
        <v>0.42992430360926553</v>
      </c>
      <c r="I127" s="69">
        <f t="shared" si="42"/>
        <v>0.33837270208405568</v>
      </c>
      <c r="J127" s="99">
        <f t="shared" si="43"/>
        <v>1.5047746178408776E-2</v>
      </c>
      <c r="K127" s="69">
        <f t="shared" si="44"/>
        <v>4.5793356786757861E-3</v>
      </c>
      <c r="L127" s="99">
        <f t="shared" si="45"/>
        <v>1.9627081857084561E-2</v>
      </c>
      <c r="M127" s="69">
        <f t="shared" si="46"/>
        <v>21.904647198181461</v>
      </c>
      <c r="N127" s="69">
        <f t="shared" si="47"/>
        <v>14.362573392732733</v>
      </c>
      <c r="O127" s="69">
        <f t="shared" si="48"/>
        <v>33.407214414624207</v>
      </c>
      <c r="P127" s="69">
        <f t="shared" si="49"/>
        <v>1.3894386796642115</v>
      </c>
      <c r="Q127" s="69">
        <f t="shared" si="50"/>
        <v>0.62443974025836768</v>
      </c>
      <c r="R127" s="43">
        <f t="shared" si="51"/>
        <v>710.29022187403211</v>
      </c>
      <c r="S127" s="43">
        <f t="shared" si="52"/>
        <v>861.68929493495864</v>
      </c>
      <c r="T127" s="43">
        <f>R127+Thrust!C$33*0.8</f>
        <v>2522.0502218740321</v>
      </c>
      <c r="U127" s="43"/>
      <c r="V127">
        <f t="shared" si="53"/>
        <v>558723.40357643331</v>
      </c>
      <c r="W127">
        <f t="shared" si="54"/>
        <v>460555.53042755905</v>
      </c>
      <c r="X127">
        <f t="shared" si="55"/>
        <v>-98167.873148874263</v>
      </c>
      <c r="Y127">
        <f t="shared" si="56"/>
        <v>98167.873148874263</v>
      </c>
      <c r="Z127">
        <f t="shared" si="57"/>
        <v>-1776.074395474755</v>
      </c>
      <c r="AA127">
        <f t="shared" si="58"/>
        <v>-2.6166000201236082</v>
      </c>
      <c r="AB127">
        <f t="shared" si="59"/>
        <v>3422.2596786534377</v>
      </c>
      <c r="AC127">
        <f t="shared" si="60"/>
        <v>5.0466114751391924</v>
      </c>
      <c r="AD127">
        <f t="shared" si="61"/>
        <v>6.5584009730917767</v>
      </c>
      <c r="AE127">
        <f t="shared" si="62"/>
        <v>2519.5362516062819</v>
      </c>
      <c r="AH127">
        <v>7.1225306306915437</v>
      </c>
      <c r="AI127">
        <v>2757.8723445624137</v>
      </c>
      <c r="AJ127">
        <f t="shared" si="63"/>
        <v>5623.8096539704948</v>
      </c>
      <c r="AK127">
        <f t="shared" si="64"/>
        <v>857.49707543717102</v>
      </c>
      <c r="AO127" s="43"/>
      <c r="AP127" s="43"/>
    </row>
    <row r="128" spans="1:42">
      <c r="A128">
        <v>166</v>
      </c>
      <c r="B128">
        <f t="shared" si="36"/>
        <v>166</v>
      </c>
      <c r="D128" s="43">
        <f t="shared" si="37"/>
        <v>386.49758968423038</v>
      </c>
      <c r="E128" s="43">
        <f t="shared" si="38"/>
        <v>652.33444273527834</v>
      </c>
      <c r="F128" s="69">
        <f t="shared" si="39"/>
        <v>0.68624954379114522</v>
      </c>
      <c r="G128" s="98">
        <f t="shared" si="40"/>
        <v>93.335115665765514</v>
      </c>
      <c r="H128" s="69">
        <f t="shared" si="41"/>
        <v>0.42476009456242753</v>
      </c>
      <c r="I128" s="69">
        <f t="shared" si="42"/>
        <v>0.29488686858498386</v>
      </c>
      <c r="J128" s="99">
        <f t="shared" si="43"/>
        <v>1.5047746178408776E-2</v>
      </c>
      <c r="K128" s="69">
        <f t="shared" si="44"/>
        <v>4.4370996336600011E-3</v>
      </c>
      <c r="L128" s="99">
        <f t="shared" si="45"/>
        <v>1.9484845812068777E-2</v>
      </c>
      <c r="M128" s="69">
        <f t="shared" si="46"/>
        <v>21.799510176228036</v>
      </c>
      <c r="N128" s="69">
        <f t="shared" si="47"/>
        <v>14.207530261476185</v>
      </c>
      <c r="O128" s="69">
        <f t="shared" si="48"/>
        <v>33.448364013837661</v>
      </c>
      <c r="P128" s="69">
        <f t="shared" si="49"/>
        <v>1.397859520147025</v>
      </c>
      <c r="Q128" s="69">
        <f t="shared" si="50"/>
        <v>0.61642948213045567</v>
      </c>
      <c r="R128" s="43">
        <f t="shared" si="51"/>
        <v>696.95471335064326</v>
      </c>
      <c r="S128" s="43">
        <f t="shared" si="52"/>
        <v>865.84514273090599</v>
      </c>
      <c r="T128" s="43">
        <f>R128+Thrust!C$33*0.8</f>
        <v>2508.7147133506433</v>
      </c>
      <c r="U128" s="43"/>
      <c r="V128">
        <f t="shared" si="53"/>
        <v>564820.60867841309</v>
      </c>
      <c r="W128">
        <f t="shared" si="54"/>
        <v>454647.56454531755</v>
      </c>
      <c r="X128">
        <f t="shared" si="55"/>
        <v>-110173.04413309554</v>
      </c>
      <c r="Y128">
        <f t="shared" si="56"/>
        <v>110173.04413309554</v>
      </c>
      <c r="Z128">
        <f t="shared" si="57"/>
        <v>-1795.4562395075382</v>
      </c>
      <c r="AA128">
        <f t="shared" si="58"/>
        <v>-2.6292284842404836</v>
      </c>
      <c r="AB128">
        <f t="shared" si="59"/>
        <v>3406.7297668989854</v>
      </c>
      <c r="AC128">
        <f t="shared" si="60"/>
        <v>4.993311351956387</v>
      </c>
      <c r="AD128">
        <f t="shared" si="61"/>
        <v>6.4043810153172123</v>
      </c>
      <c r="AE128">
        <f t="shared" si="62"/>
        <v>2475.2778258395469</v>
      </c>
      <c r="AH128">
        <v>7.0867218360077473</v>
      </c>
      <c r="AI128">
        <v>2760.7087696923304</v>
      </c>
      <c r="AJ128">
        <f t="shared" si="63"/>
        <v>5462.7000602301396</v>
      </c>
      <c r="AK128">
        <f t="shared" si="64"/>
        <v>852.96300253921879</v>
      </c>
      <c r="AO128" s="43"/>
      <c r="AP128" s="43"/>
    </row>
    <row r="129" spans="1:42">
      <c r="A129">
        <v>167</v>
      </c>
      <c r="B129">
        <f t="shared" si="36"/>
        <v>167</v>
      </c>
      <c r="D129" s="43">
        <f t="shared" si="37"/>
        <v>388.82588841726789</v>
      </c>
      <c r="E129" s="43">
        <f t="shared" si="38"/>
        <v>656.26416829392451</v>
      </c>
      <c r="F129" s="69">
        <f t="shared" si="39"/>
        <v>0.69038357718747734</v>
      </c>
      <c r="G129" s="98">
        <f t="shared" si="40"/>
        <v>94.463022238442946</v>
      </c>
      <c r="H129" s="69">
        <f t="shared" si="41"/>
        <v>0.41968837770311795</v>
      </c>
      <c r="I129" s="69">
        <f t="shared" si="42"/>
        <v>0.25217987649809098</v>
      </c>
      <c r="J129" s="99">
        <f t="shared" si="43"/>
        <v>1.5047746178408776E-2</v>
      </c>
      <c r="K129" s="69">
        <f t="shared" si="44"/>
        <v>4.2995950862646844E-3</v>
      </c>
      <c r="L129" s="99">
        <f t="shared" si="45"/>
        <v>1.9347341264673461E-2</v>
      </c>
      <c r="M129" s="69">
        <f t="shared" si="46"/>
        <v>21.69230241828793</v>
      </c>
      <c r="N129" s="69">
        <f t="shared" si="47"/>
        <v>14.053002441830833</v>
      </c>
      <c r="O129" s="69">
        <f t="shared" si="48"/>
        <v>33.484373617254995</v>
      </c>
      <c r="P129" s="69">
        <f t="shared" si="49"/>
        <v>1.4062803606298382</v>
      </c>
      <c r="Q129" s="69">
        <f t="shared" si="50"/>
        <v>0.60828417045516359</v>
      </c>
      <c r="R129" s="43">
        <f t="shared" si="51"/>
        <v>683.62713004052227</v>
      </c>
      <c r="S129" s="43">
        <f t="shared" si="52"/>
        <v>870.12432502726074</v>
      </c>
      <c r="T129" s="43">
        <f>R129+Thrust!C$33*0.8</f>
        <v>2495.3871300405222</v>
      </c>
      <c r="U129" s="43"/>
      <c r="V129">
        <f t="shared" si="53"/>
        <v>571031.41647632769</v>
      </c>
      <c r="W129">
        <f t="shared" si="54"/>
        <v>448639.98991920595</v>
      </c>
      <c r="X129">
        <f t="shared" si="55"/>
        <v>-122391.42655712174</v>
      </c>
      <c r="Y129">
        <f t="shared" si="56"/>
        <v>122391.42655712174</v>
      </c>
      <c r="Z129">
        <f t="shared" si="57"/>
        <v>-1815.1992046929622</v>
      </c>
      <c r="AA129">
        <f t="shared" si="58"/>
        <v>-2.6422318611285562</v>
      </c>
      <c r="AB129">
        <f t="shared" si="59"/>
        <v>3390.5220969252837</v>
      </c>
      <c r="AC129">
        <f t="shared" si="60"/>
        <v>4.9396639251830434</v>
      </c>
      <c r="AD129">
        <f t="shared" si="61"/>
        <v>6.2510188226998764</v>
      </c>
      <c r="AE129">
        <f t="shared" si="62"/>
        <v>2430.5579472493437</v>
      </c>
      <c r="AH129">
        <v>7.0505771269601167</v>
      </c>
      <c r="AI129">
        <v>2763.2459201932297</v>
      </c>
      <c r="AJ129">
        <f t="shared" si="63"/>
        <v>5303.5620527341516</v>
      </c>
      <c r="AK129">
        <f t="shared" si="64"/>
        <v>848.43162421377758</v>
      </c>
      <c r="AO129" s="43"/>
      <c r="AP129" s="43"/>
    </row>
    <row r="130" spans="1:42">
      <c r="A130">
        <v>168</v>
      </c>
      <c r="B130">
        <f t="shared" si="36"/>
        <v>168</v>
      </c>
      <c r="D130" s="43">
        <f t="shared" si="37"/>
        <v>391.15418715030546</v>
      </c>
      <c r="E130" s="43">
        <f t="shared" si="38"/>
        <v>660.19389385257091</v>
      </c>
      <c r="F130" s="69">
        <f t="shared" si="39"/>
        <v>0.69451761058380967</v>
      </c>
      <c r="G130" s="98">
        <f t="shared" si="40"/>
        <v>95.597703024770155</v>
      </c>
      <c r="H130" s="69">
        <f t="shared" si="41"/>
        <v>0.41470695740370789</v>
      </c>
      <c r="I130" s="69">
        <f t="shared" si="42"/>
        <v>0.2102332372810598</v>
      </c>
      <c r="J130" s="99">
        <f t="shared" si="43"/>
        <v>1.5047746178408776E-2</v>
      </c>
      <c r="K130" s="69">
        <f t="shared" si="44"/>
        <v>4.1666454879859113E-3</v>
      </c>
      <c r="L130" s="99">
        <f t="shared" si="45"/>
        <v>1.9214391666394687E-2</v>
      </c>
      <c r="M130" s="69">
        <f t="shared" si="46"/>
        <v>21.583142709067193</v>
      </c>
      <c r="N130" s="69">
        <f t="shared" si="47"/>
        <v>13.899057226475826</v>
      </c>
      <c r="O130" s="69">
        <f t="shared" si="48"/>
        <v>33.515370259258532</v>
      </c>
      <c r="P130" s="69">
        <f t="shared" si="49"/>
        <v>1.4147012011126519</v>
      </c>
      <c r="Q130" s="69">
        <f t="shared" si="50"/>
        <v>0.60000380523249186</v>
      </c>
      <c r="R130" s="43">
        <f t="shared" si="51"/>
        <v>670.30733042200347</v>
      </c>
      <c r="S130" s="43">
        <f t="shared" si="52"/>
        <v>874.52509833382669</v>
      </c>
      <c r="T130" s="43">
        <f>R130+Thrust!C$33*0.8</f>
        <v>2482.0673304220036</v>
      </c>
      <c r="U130" s="43"/>
      <c r="V130">
        <f t="shared" si="53"/>
        <v>577356.12994081154</v>
      </c>
      <c r="W130">
        <f t="shared" si="54"/>
        <v>442532.80654922436</v>
      </c>
      <c r="X130">
        <f t="shared" si="55"/>
        <v>-134823.32339158718</v>
      </c>
      <c r="Y130">
        <f t="shared" si="56"/>
        <v>134823.32339158718</v>
      </c>
      <c r="Z130">
        <f t="shared" si="57"/>
        <v>-1835.3042541164868</v>
      </c>
      <c r="AA130">
        <f t="shared" si="58"/>
        <v>-2.6556048650889741</v>
      </c>
      <c r="AB130">
        <f t="shared" si="59"/>
        <v>3373.6357056468769</v>
      </c>
      <c r="AC130">
        <f t="shared" si="60"/>
        <v>4.8856741131240433</v>
      </c>
      <c r="AD130">
        <f t="shared" si="61"/>
        <v>6.0983804960474881</v>
      </c>
      <c r="AE130">
        <f t="shared" si="62"/>
        <v>2385.407065864732</v>
      </c>
      <c r="AH130">
        <v>7.0141004484932354</v>
      </c>
      <c r="AI130">
        <v>2765.4829458788672</v>
      </c>
      <c r="AJ130">
        <f t="shared" si="63"/>
        <v>5146.4409392255493</v>
      </c>
      <c r="AK130">
        <f t="shared" si="64"/>
        <v>843.90289234348131</v>
      </c>
      <c r="AO130" s="43"/>
      <c r="AP130" s="43"/>
    </row>
    <row r="131" spans="1:42">
      <c r="A131">
        <v>169</v>
      </c>
      <c r="B131">
        <f t="shared" si="36"/>
        <v>169</v>
      </c>
      <c r="D131" s="43">
        <f t="shared" si="37"/>
        <v>393.48248588334297</v>
      </c>
      <c r="E131" s="43">
        <f t="shared" si="38"/>
        <v>664.12361941121708</v>
      </c>
      <c r="F131" s="69">
        <f t="shared" si="39"/>
        <v>0.69865164398014179</v>
      </c>
      <c r="G131" s="98">
        <f t="shared" si="40"/>
        <v>96.739158024747013</v>
      </c>
      <c r="H131" s="69">
        <f t="shared" si="41"/>
        <v>0.40981370280320206</v>
      </c>
      <c r="I131" s="69">
        <f t="shared" si="42"/>
        <v>0.16902900776667737</v>
      </c>
      <c r="J131" s="99">
        <f t="shared" si="43"/>
        <v>1.5047746178408776E-2</v>
      </c>
      <c r="K131" s="69">
        <f t="shared" si="44"/>
        <v>4.0380817516010746E-3</v>
      </c>
      <c r="L131" s="99">
        <f t="shared" si="45"/>
        <v>1.908582793000985E-2</v>
      </c>
      <c r="M131" s="69">
        <f t="shared" si="46"/>
        <v>21.47214699336287</v>
      </c>
      <c r="N131" s="69">
        <f t="shared" si="47"/>
        <v>13.745758497348367</v>
      </c>
      <c r="O131" s="69">
        <f t="shared" si="48"/>
        <v>33.541480929809858</v>
      </c>
      <c r="P131" s="69">
        <f t="shared" si="49"/>
        <v>1.4231220415954651</v>
      </c>
      <c r="Q131" s="69">
        <f t="shared" si="50"/>
        <v>0.59158838646244094</v>
      </c>
      <c r="R131" s="43">
        <f t="shared" si="51"/>
        <v>656.99517632304787</v>
      </c>
      <c r="S131" s="43">
        <f t="shared" si="52"/>
        <v>879.04577058988752</v>
      </c>
      <c r="T131" s="43">
        <f>R131+Thrust!C$33*0.8</f>
        <v>2468.7551763230476</v>
      </c>
      <c r="U131" s="43"/>
      <c r="V131">
        <f t="shared" si="53"/>
        <v>583795.05879227852</v>
      </c>
      <c r="W131">
        <f t="shared" si="54"/>
        <v>436326.0144353733</v>
      </c>
      <c r="X131">
        <f t="shared" si="55"/>
        <v>-147469.04435690521</v>
      </c>
      <c r="Y131">
        <f t="shared" si="56"/>
        <v>147469.04435690521</v>
      </c>
      <c r="Z131">
        <f t="shared" si="57"/>
        <v>-1855.7723723198255</v>
      </c>
      <c r="AA131">
        <f t="shared" si="58"/>
        <v>-2.6693423669316463</v>
      </c>
      <c r="AB131">
        <f t="shared" si="59"/>
        <v>3356.0696085220497</v>
      </c>
      <c r="AC131">
        <f t="shared" si="60"/>
        <v>4.831346684733302</v>
      </c>
      <c r="AD131">
        <f t="shared" si="61"/>
        <v>5.9465286988480379</v>
      </c>
      <c r="AE131">
        <f t="shared" si="62"/>
        <v>2339.8548947993668</v>
      </c>
      <c r="AH131">
        <v>6.9772956270292799</v>
      </c>
      <c r="AI131">
        <v>2767.4189865544322</v>
      </c>
      <c r="AJ131">
        <f t="shared" si="63"/>
        <v>4991.3779921877813</v>
      </c>
      <c r="AK131">
        <f t="shared" si="64"/>
        <v>839.37675994983624</v>
      </c>
      <c r="AO131" s="43"/>
      <c r="AP131" s="43"/>
    </row>
    <row r="132" spans="1:42">
      <c r="A132">
        <v>170</v>
      </c>
      <c r="B132">
        <f t="shared" si="36"/>
        <v>170</v>
      </c>
      <c r="D132" s="43">
        <f t="shared" si="37"/>
        <v>395.81078461638049</v>
      </c>
      <c r="E132" s="43">
        <f t="shared" si="38"/>
        <v>668.05334496986325</v>
      </c>
      <c r="F132" s="69">
        <f t="shared" si="39"/>
        <v>0.70278567737647391</v>
      </c>
      <c r="G132" s="98">
        <f t="shared" si="40"/>
        <v>97.887387238373591</v>
      </c>
      <c r="H132" s="69">
        <f t="shared" si="41"/>
        <v>0.40500654552810578</v>
      </c>
      <c r="I132" s="69">
        <f t="shared" si="42"/>
        <v>0.12854977097112516</v>
      </c>
      <c r="J132" s="99">
        <f t="shared" si="43"/>
        <v>1.5047746178408776E-2</v>
      </c>
      <c r="K132" s="69">
        <f t="shared" si="44"/>
        <v>3.9137418969063253E-3</v>
      </c>
      <c r="L132" s="99">
        <f t="shared" si="45"/>
        <v>1.89614880753151E-2</v>
      </c>
      <c r="M132" s="69">
        <f t="shared" si="46"/>
        <v>21.359428327535177</v>
      </c>
      <c r="N132" s="69">
        <f t="shared" si="47"/>
        <v>13.59316679507644</v>
      </c>
      <c r="O132" s="69">
        <f t="shared" si="48"/>
        <v>33.562832366947838</v>
      </c>
      <c r="P132" s="69">
        <f t="shared" si="49"/>
        <v>1.4315428820782783</v>
      </c>
      <c r="Q132" s="69">
        <f t="shared" si="50"/>
        <v>0.58303791414501016</v>
      </c>
      <c r="R132" s="43">
        <f t="shared" si="51"/>
        <v>643.69053282272091</v>
      </c>
      <c r="S132" s="43">
        <f t="shared" si="52"/>
        <v>883.68469935441044</v>
      </c>
      <c r="T132" s="43">
        <f>R132+Thrust!C$33*0.8</f>
        <v>2455.450532822721</v>
      </c>
      <c r="U132" s="43"/>
      <c r="V132">
        <f t="shared" si="53"/>
        <v>590348.51930240181</v>
      </c>
      <c r="W132">
        <f t="shared" si="54"/>
        <v>430019.61357765226</v>
      </c>
      <c r="X132">
        <f t="shared" si="55"/>
        <v>-160328.90572474955</v>
      </c>
      <c r="Y132">
        <f t="shared" si="56"/>
        <v>160328.90572474955</v>
      </c>
      <c r="Z132">
        <f t="shared" si="57"/>
        <v>-1876.6045646698867</v>
      </c>
      <c r="AA132">
        <f t="shared" si="58"/>
        <v>-2.6834393884741834</v>
      </c>
      <c r="AB132">
        <f t="shared" si="59"/>
        <v>3337.8228001838934</v>
      </c>
      <c r="AC132">
        <f t="shared" si="60"/>
        <v>4.7766862648762807</v>
      </c>
      <c r="AD132">
        <f t="shared" si="61"/>
        <v>5.7955227270457339</v>
      </c>
      <c r="AE132">
        <f t="shared" si="62"/>
        <v>2293.9303978540374</v>
      </c>
      <c r="AH132">
        <v>6.9401663746727573</v>
      </c>
      <c r="AI132">
        <v>2769.0531723109161</v>
      </c>
      <c r="AJ132">
        <f t="shared" si="63"/>
        <v>4838.4105851576169</v>
      </c>
      <c r="AK132">
        <f t="shared" si="64"/>
        <v>834.85318115972518</v>
      </c>
      <c r="AO132" s="43"/>
      <c r="AP132" s="43"/>
    </row>
    <row r="133" spans="1:42">
      <c r="A133">
        <v>171</v>
      </c>
      <c r="B133">
        <f t="shared" si="36"/>
        <v>171</v>
      </c>
      <c r="D133" s="43">
        <f t="shared" si="37"/>
        <v>398.13908334941806</v>
      </c>
      <c r="E133" s="43">
        <f t="shared" si="38"/>
        <v>671.98307052850964</v>
      </c>
      <c r="F133" s="69">
        <f t="shared" si="39"/>
        <v>0.70691971077280624</v>
      </c>
      <c r="G133" s="98">
        <f t="shared" si="40"/>
        <v>99.042390665649933</v>
      </c>
      <c r="H133" s="69">
        <f t="shared" si="41"/>
        <v>0.40028347750631826</v>
      </c>
      <c r="I133" s="69">
        <f t="shared" si="42"/>
        <v>8.8778617685609282E-2</v>
      </c>
      <c r="J133" s="99">
        <f t="shared" si="43"/>
        <v>1.5047746178408776E-2</v>
      </c>
      <c r="K133" s="69">
        <f t="shared" si="44"/>
        <v>3.7934707151534857E-3</v>
      </c>
      <c r="L133" s="99">
        <f t="shared" si="45"/>
        <v>1.8841216893562263E-2</v>
      </c>
      <c r="M133" s="69">
        <f t="shared" si="46"/>
        <v>21.245096841016071</v>
      </c>
      <c r="N133" s="69">
        <f t="shared" si="47"/>
        <v>13.44133939232519</v>
      </c>
      <c r="O133" s="69">
        <f t="shared" si="48"/>
        <v>33.579550862458525</v>
      </c>
      <c r="P133" s="69">
        <f t="shared" si="49"/>
        <v>1.4399637225610922</v>
      </c>
      <c r="Q133" s="69">
        <f t="shared" si="50"/>
        <v>0.57435238828019908</v>
      </c>
      <c r="R133" s="43">
        <f t="shared" si="51"/>
        <v>630.39326815613356</v>
      </c>
      <c r="S133" s="43">
        <f t="shared" si="52"/>
        <v>888.44029007011488</v>
      </c>
      <c r="T133" s="43">
        <f>R133+Thrust!C$33*0.8</f>
        <v>2442.1532681561334</v>
      </c>
      <c r="U133" s="43"/>
      <c r="V133">
        <f t="shared" si="53"/>
        <v>597016.83410255553</v>
      </c>
      <c r="W133">
        <f t="shared" si="54"/>
        <v>423613.60397606081</v>
      </c>
      <c r="X133">
        <f t="shared" si="55"/>
        <v>-173403.23012649472</v>
      </c>
      <c r="Y133">
        <f t="shared" si="56"/>
        <v>173403.23012649472</v>
      </c>
      <c r="Z133">
        <f t="shared" si="57"/>
        <v>-1897.8018567498457</v>
      </c>
      <c r="AA133">
        <f t="shared" si="58"/>
        <v>-2.6978910972657189</v>
      </c>
      <c r="AB133">
        <f t="shared" si="59"/>
        <v>3318.8942550492329</v>
      </c>
      <c r="AC133">
        <f t="shared" si="60"/>
        <v>4.721697339376373</v>
      </c>
      <c r="AD133">
        <f t="shared" si="61"/>
        <v>5.6454185828673786</v>
      </c>
      <c r="AE133">
        <f t="shared" si="62"/>
        <v>2247.6617797065887</v>
      </c>
      <c r="AH133">
        <v>6.9027162932419568</v>
      </c>
      <c r="AI133">
        <v>2770.3846238091542</v>
      </c>
      <c r="AJ133">
        <f t="shared" si="63"/>
        <v>4687.5723303680388</v>
      </c>
      <c r="AK133">
        <f t="shared" si="64"/>
        <v>830.33211117308542</v>
      </c>
      <c r="AO133" s="43"/>
      <c r="AP133" s="43"/>
    </row>
    <row r="134" spans="1:42">
      <c r="A134">
        <v>172</v>
      </c>
      <c r="B134">
        <f t="shared" si="36"/>
        <v>172</v>
      </c>
      <c r="D134" s="43">
        <f t="shared" si="37"/>
        <v>400.46738208245557</v>
      </c>
      <c r="E134" s="43">
        <f t="shared" si="38"/>
        <v>675.91279608715581</v>
      </c>
      <c r="F134" s="69">
        <f t="shared" si="39"/>
        <v>0.71105374416913836</v>
      </c>
      <c r="G134" s="98">
        <f t="shared" si="40"/>
        <v>100.20416830657594</v>
      </c>
      <c r="H134" s="69">
        <f t="shared" si="41"/>
        <v>0.39564254886973554</v>
      </c>
      <c r="I134" s="69">
        <f t="shared" si="42"/>
        <v>4.9699128814979718E-2</v>
      </c>
      <c r="J134" s="99">
        <f t="shared" si="43"/>
        <v>1.5047746178408776E-2</v>
      </c>
      <c r="K134" s="69">
        <f t="shared" si="44"/>
        <v>3.6771194510998805E-3</v>
      </c>
      <c r="L134" s="99">
        <f t="shared" si="45"/>
        <v>1.8724865629508657E-2</v>
      </c>
      <c r="M134" s="69">
        <f t="shared" si="46"/>
        <v>21.129259707276056</v>
      </c>
      <c r="N134" s="69">
        <f t="shared" si="47"/>
        <v>13.290330370533923</v>
      </c>
      <c r="O134" s="69">
        <f t="shared" si="48"/>
        <v>33.59176208044736</v>
      </c>
      <c r="P134" s="69">
        <f t="shared" si="49"/>
        <v>1.4483845630439054</v>
      </c>
      <c r="Q134" s="69">
        <f t="shared" si="50"/>
        <v>0.56553180886800902</v>
      </c>
      <c r="R134" s="43">
        <f t="shared" si="51"/>
        <v>617.10325362269953</v>
      </c>
      <c r="S134" s="43">
        <f t="shared" si="52"/>
        <v>893.31099439798265</v>
      </c>
      <c r="T134" s="43">
        <f>R134+Thrust!C$33*0.8</f>
        <v>2428.8632536226996</v>
      </c>
      <c r="U134" s="43"/>
      <c r="V134">
        <f t="shared" si="53"/>
        <v>603800.331998938</v>
      </c>
      <c r="W134">
        <f t="shared" si="54"/>
        <v>417107.98563060007</v>
      </c>
      <c r="X134">
        <f t="shared" si="55"/>
        <v>-186692.34636833792</v>
      </c>
      <c r="Y134">
        <f t="shared" si="56"/>
        <v>186692.34636833792</v>
      </c>
      <c r="Z134">
        <f t="shared" si="57"/>
        <v>-1919.3652937714587</v>
      </c>
      <c r="AA134">
        <f t="shared" si="58"/>
        <v>-2.7126928015251663</v>
      </c>
      <c r="AB134">
        <f t="shared" si="59"/>
        <v>3299.2829279063126</v>
      </c>
      <c r="AC134">
        <f t="shared" si="60"/>
        <v>4.6663842598552225</v>
      </c>
      <c r="AD134">
        <f t="shared" si="61"/>
        <v>5.4962690521621962</v>
      </c>
      <c r="AE134">
        <f t="shared" si="62"/>
        <v>2201.0764785402148</v>
      </c>
      <c r="AH134">
        <v>6.8649488781351362</v>
      </c>
      <c r="AI134">
        <v>2771.4124525539569</v>
      </c>
      <c r="AJ134">
        <f t="shared" si="63"/>
        <v>4538.893217158944</v>
      </c>
      <c r="AK134">
        <f t="shared" si="64"/>
        <v>825.81350623171795</v>
      </c>
      <c r="AO134" s="43"/>
      <c r="AP134" s="43"/>
    </row>
    <row r="135" spans="1:42">
      <c r="A135">
        <v>173</v>
      </c>
      <c r="B135">
        <f t="shared" si="36"/>
        <v>173</v>
      </c>
      <c r="D135" s="43">
        <f t="shared" si="37"/>
        <v>402.79568081549309</v>
      </c>
      <c r="E135" s="43">
        <f t="shared" si="38"/>
        <v>679.84252164580209</v>
      </c>
      <c r="F135" s="69">
        <f t="shared" si="39"/>
        <v>0.71518777756547058</v>
      </c>
      <c r="G135" s="98">
        <f t="shared" si="40"/>
        <v>101.37272016115168</v>
      </c>
      <c r="H135" s="69">
        <f t="shared" si="41"/>
        <v>0.39108186594146999</v>
      </c>
      <c r="I135" s="69">
        <f t="shared" si="42"/>
        <v>1.1295358428874287E-2</v>
      </c>
      <c r="J135" s="99">
        <f t="shared" si="43"/>
        <v>1.5047746178408776E-2</v>
      </c>
      <c r="K135" s="69">
        <f t="shared" si="44"/>
        <v>3.5645455016534134E-3</v>
      </c>
      <c r="L135" s="99">
        <f t="shared" si="45"/>
        <v>1.861229168006219E-2</v>
      </c>
      <c r="M135" s="69">
        <f t="shared" si="46"/>
        <v>21.012021123675151</v>
      </c>
      <c r="N135" s="69">
        <f t="shared" si="47"/>
        <v>13.140190699547565</v>
      </c>
      <c r="O135" s="69">
        <f t="shared" si="48"/>
        <v>33.599590888507606</v>
      </c>
      <c r="P135" s="69">
        <f t="shared" si="49"/>
        <v>1.4568054035267188</v>
      </c>
      <c r="Q135" s="69">
        <f t="shared" si="50"/>
        <v>0.55657617590843955</v>
      </c>
      <c r="R135" s="43">
        <f t="shared" si="51"/>
        <v>603.82036349756527</v>
      </c>
      <c r="S135" s="43">
        <f t="shared" si="52"/>
        <v>898.29530861896592</v>
      </c>
      <c r="T135" s="43">
        <f>R135+Thrust!C$33*0.8</f>
        <v>2415.5803634975655</v>
      </c>
      <c r="U135" s="43"/>
      <c r="V135">
        <f t="shared" si="53"/>
        <v>610699.34779411182</v>
      </c>
      <c r="W135">
        <f t="shared" si="54"/>
        <v>410502.75854126958</v>
      </c>
      <c r="X135">
        <f t="shared" si="55"/>
        <v>-200196.58925284224</v>
      </c>
      <c r="Y135">
        <f t="shared" si="56"/>
        <v>200196.58925284224</v>
      </c>
      <c r="Z135">
        <f t="shared" si="57"/>
        <v>-1941.2959400077725</v>
      </c>
      <c r="AA135">
        <f t="shared" si="58"/>
        <v>-2.7278399452840252</v>
      </c>
      <c r="AB135">
        <f t="shared" si="59"/>
        <v>3278.9877544820865</v>
      </c>
      <c r="AC135">
        <f t="shared" si="60"/>
        <v>4.6107512483764426</v>
      </c>
      <c r="AD135">
        <f t="shared" si="61"/>
        <v>5.3481237847455407</v>
      </c>
      <c r="AE135">
        <f t="shared" si="62"/>
        <v>2154.2011609621109</v>
      </c>
      <c r="AH135">
        <v>6.826867522039179</v>
      </c>
      <c r="AI135">
        <v>2772.1357611587355</v>
      </c>
      <c r="AJ135">
        <f t="shared" si="63"/>
        <v>4392.3997506351079</v>
      </c>
      <c r="AK135">
        <f t="shared" si="64"/>
        <v>821.29732358917238</v>
      </c>
      <c r="AO135" s="43"/>
      <c r="AP135" s="43"/>
    </row>
    <row r="136" spans="1:42">
      <c r="A136">
        <v>174</v>
      </c>
      <c r="B136">
        <f t="shared" si="36"/>
        <v>174</v>
      </c>
      <c r="D136" s="43">
        <f t="shared" si="37"/>
        <v>405.12397954853066</v>
      </c>
      <c r="E136" s="43">
        <f t="shared" si="38"/>
        <v>683.77224720444838</v>
      </c>
      <c r="F136" s="69">
        <f t="shared" si="39"/>
        <v>0.71932181096180281</v>
      </c>
      <c r="G136" s="98">
        <f t="shared" si="40"/>
        <v>102.54804622937715</v>
      </c>
      <c r="H136" s="69">
        <f t="shared" si="41"/>
        <v>0.38659958930381338</v>
      </c>
      <c r="I136" s="69">
        <f t="shared" si="42"/>
        <v>-2.6448182507226879E-2</v>
      </c>
      <c r="J136" s="99">
        <f t="shared" si="43"/>
        <v>1.5047746178408776E-2</v>
      </c>
      <c r="K136" s="69">
        <f t="shared" si="44"/>
        <v>3.4556121301596095E-3</v>
      </c>
      <c r="L136" s="99">
        <f t="shared" si="45"/>
        <v>1.8503358308568387E-2</v>
      </c>
      <c r="M136" s="69">
        <f t="shared" si="46"/>
        <v>20.893482299631518</v>
      </c>
      <c r="N136" s="69">
        <f t="shared" si="47"/>
        <v>12.990968319673877</v>
      </c>
      <c r="O136" s="69">
        <f t="shared" si="48"/>
        <v>33.603161201148581</v>
      </c>
      <c r="P136" s="69">
        <f t="shared" si="49"/>
        <v>1.4652262440095323</v>
      </c>
      <c r="Q136" s="69">
        <f t="shared" si="50"/>
        <v>0.54748548940149</v>
      </c>
      <c r="R136" s="43">
        <f t="shared" si="51"/>
        <v>590.54447494610451</v>
      </c>
      <c r="S136" s="43">
        <f t="shared" si="52"/>
        <v>903.39177209980369</v>
      </c>
      <c r="T136" s="43">
        <f>R136+Thrust!C$33*0.8</f>
        <v>2402.3044749461046</v>
      </c>
      <c r="U136" s="43"/>
      <c r="V136">
        <f t="shared" si="53"/>
        <v>617714.22211469163</v>
      </c>
      <c r="W136">
        <f t="shared" si="54"/>
        <v>403797.92270806897</v>
      </c>
      <c r="X136">
        <f t="shared" si="55"/>
        <v>-213916.29940662265</v>
      </c>
      <c r="Y136">
        <f t="shared" si="56"/>
        <v>213916.29940662265</v>
      </c>
      <c r="Z136">
        <f t="shared" si="57"/>
        <v>-1963.5948782453777</v>
      </c>
      <c r="AA136">
        <f t="shared" si="58"/>
        <v>-2.7433281037243198</v>
      </c>
      <c r="AB136">
        <f t="shared" si="59"/>
        <v>3258.0076519899617</v>
      </c>
      <c r="AC136">
        <f t="shared" si="60"/>
        <v>4.5548024019018385</v>
      </c>
      <c r="AD136">
        <f t="shared" si="61"/>
        <v>5.2010293772651153</v>
      </c>
      <c r="AE136">
        <f t="shared" si="62"/>
        <v>2107.0617190664589</v>
      </c>
      <c r="AH136">
        <v>6.7884755184879042</v>
      </c>
      <c r="AI136">
        <v>2772.5536436010011</v>
      </c>
      <c r="AJ136">
        <f t="shared" si="63"/>
        <v>4248.1150900922476</v>
      </c>
      <c r="AK136">
        <f t="shared" si="64"/>
        <v>816.78352148167562</v>
      </c>
      <c r="AO136" s="43"/>
      <c r="AP136" s="43"/>
    </row>
    <row r="137" spans="1:42">
      <c r="A137">
        <v>175</v>
      </c>
      <c r="B137">
        <f t="shared" si="36"/>
        <v>175</v>
      </c>
      <c r="D137" s="43">
        <f t="shared" si="37"/>
        <v>407.45227828156817</v>
      </c>
      <c r="E137" s="43">
        <f t="shared" si="38"/>
        <v>687.70197276309466</v>
      </c>
      <c r="F137" s="69">
        <f t="shared" si="39"/>
        <v>0.72345584435813504</v>
      </c>
      <c r="G137" s="98">
        <f t="shared" si="40"/>
        <v>103.73014651125233</v>
      </c>
      <c r="H137" s="69">
        <f t="shared" si="41"/>
        <v>0.38219393194325718</v>
      </c>
      <c r="I137" s="69">
        <f t="shared" si="42"/>
        <v>-6.354654175207812E-2</v>
      </c>
      <c r="J137" s="99">
        <f t="shared" si="43"/>
        <v>1.5047746178408776E-2</v>
      </c>
      <c r="K137" s="69">
        <f t="shared" si="44"/>
        <v>3.3501881954368273E-3</v>
      </c>
      <c r="L137" s="99">
        <f t="shared" si="45"/>
        <v>1.8397934373845605E-2</v>
      </c>
      <c r="M137" s="69">
        <f t="shared" si="46"/>
        <v>20.773741452550336</v>
      </c>
      <c r="N137" s="69">
        <f t="shared" si="47"/>
        <v>12.842708225724817</v>
      </c>
      <c r="O137" s="69">
        <f t="shared" si="48"/>
        <v>33.602595835120482</v>
      </c>
      <c r="P137" s="69">
        <f t="shared" si="49"/>
        <v>1.4736470844923457</v>
      </c>
      <c r="Q137" s="69">
        <f t="shared" si="50"/>
        <v>0.53825974934716125</v>
      </c>
      <c r="R137" s="43">
        <f t="shared" si="51"/>
        <v>577.27546794134093</v>
      </c>
      <c r="S137" s="43">
        <f t="shared" si="52"/>
        <v>908.59896582003364</v>
      </c>
      <c r="T137" s="43">
        <f>R137+Thrust!C$33*0.8</f>
        <v>2389.0354679413408</v>
      </c>
      <c r="U137" s="43"/>
      <c r="V137">
        <f t="shared" si="53"/>
        <v>624845.3012449448</v>
      </c>
      <c r="W137">
        <f t="shared" si="54"/>
        <v>396993.47813099879</v>
      </c>
      <c r="X137">
        <f t="shared" si="55"/>
        <v>-227851.82311394601</v>
      </c>
      <c r="Y137">
        <f t="shared" si="56"/>
        <v>227851.82311394601</v>
      </c>
      <c r="Z137">
        <f t="shared" si="57"/>
        <v>-1986.2632092554536</v>
      </c>
      <c r="AA137">
        <f t="shared" si="58"/>
        <v>-2.7591529787028022</v>
      </c>
      <c r="AB137">
        <f t="shared" si="59"/>
        <v>3236.3415196587594</v>
      </c>
      <c r="AC137">
        <f t="shared" si="60"/>
        <v>4.4985416965686804</v>
      </c>
      <c r="AD137">
        <f t="shared" si="61"/>
        <v>5.0550294581361177</v>
      </c>
      <c r="AE137">
        <f t="shared" si="62"/>
        <v>2059.6832694980021</v>
      </c>
      <c r="AH137">
        <v>6.7497760652769623</v>
      </c>
      <c r="AI137">
        <v>2772.6651854691077</v>
      </c>
      <c r="AJ137">
        <f t="shared" si="63"/>
        <v>4106.0591867716639</v>
      </c>
      <c r="AK137">
        <f t="shared" si="64"/>
        <v>812.27205910005591</v>
      </c>
      <c r="AO137" s="43"/>
      <c r="AP137" s="43"/>
    </row>
    <row r="138" spans="1:42">
      <c r="A138">
        <v>176</v>
      </c>
      <c r="B138">
        <f t="shared" si="36"/>
        <v>176</v>
      </c>
      <c r="D138" s="43">
        <f t="shared" si="37"/>
        <v>409.78057701460568</v>
      </c>
      <c r="E138" s="43">
        <f t="shared" si="38"/>
        <v>691.63169832174083</v>
      </c>
      <c r="F138" s="69">
        <f t="shared" si="39"/>
        <v>0.72758987775446715</v>
      </c>
      <c r="G138" s="98">
        <f t="shared" si="40"/>
        <v>104.91902100677719</v>
      </c>
      <c r="H138" s="69">
        <f t="shared" si="41"/>
        <v>0.37786315746908106</v>
      </c>
      <c r="I138" s="69">
        <f t="shared" si="42"/>
        <v>-0.10001434078925382</v>
      </c>
      <c r="J138" s="99">
        <f t="shared" si="43"/>
        <v>1.5047746178408776E-2</v>
      </c>
      <c r="K138" s="69">
        <f t="shared" si="44"/>
        <v>3.2481478947217405E-3</v>
      </c>
      <c r="L138" s="99">
        <f t="shared" si="45"/>
        <v>1.8295894073130516E-2</v>
      </c>
      <c r="M138" s="69">
        <f t="shared" si="46"/>
        <v>20.652893810967875</v>
      </c>
      <c r="N138" s="69">
        <f t="shared" si="47"/>
        <v>12.695452552628076</v>
      </c>
      <c r="O138" s="69">
        <f t="shared" si="48"/>
        <v>33.598016376250953</v>
      </c>
      <c r="P138" s="69">
        <f t="shared" si="49"/>
        <v>1.4820679249751589</v>
      </c>
      <c r="Q138" s="69">
        <f t="shared" si="50"/>
        <v>0.52889895574545331</v>
      </c>
      <c r="R138" s="43">
        <f t="shared" si="51"/>
        <v>564.01322518418328</v>
      </c>
      <c r="S138" s="43">
        <f t="shared" si="52"/>
        <v>913.91551095741795</v>
      </c>
      <c r="T138" s="43">
        <f>R138+Thrust!C$33*0.8</f>
        <v>2375.7732251841835</v>
      </c>
      <c r="U138" s="43"/>
      <c r="V138">
        <f t="shared" si="53"/>
        <v>632092.93696606054</v>
      </c>
      <c r="W138">
        <f t="shared" si="54"/>
        <v>390089.42481005914</v>
      </c>
      <c r="X138">
        <f t="shared" si="55"/>
        <v>-242003.51215600141</v>
      </c>
      <c r="Y138">
        <f t="shared" si="56"/>
        <v>242003.51215600141</v>
      </c>
      <c r="Z138">
        <f t="shared" si="57"/>
        <v>-2009.3020512828414</v>
      </c>
      <c r="AA138">
        <f t="shared" si="58"/>
        <v>-2.7753103944529274</v>
      </c>
      <c r="AB138">
        <f t="shared" si="59"/>
        <v>3213.988239243643</v>
      </c>
      <c r="AC138">
        <f t="shared" si="60"/>
        <v>4.4419729917961215</v>
      </c>
      <c r="AD138">
        <f t="shared" si="61"/>
        <v>4.9101647741198944</v>
      </c>
      <c r="AE138">
        <f t="shared" si="62"/>
        <v>2012.0901543756415</v>
      </c>
      <c r="AH138">
        <v>6.7107722677418398</v>
      </c>
      <c r="AI138">
        <v>2772.4694642005747</v>
      </c>
      <c r="AJ138">
        <f t="shared" si="63"/>
        <v>3966.248920542841</v>
      </c>
      <c r="AK138">
        <f t="shared" si="64"/>
        <v>807.76289656262247</v>
      </c>
      <c r="AO138" s="43"/>
      <c r="AP138" s="43"/>
    </row>
    <row r="139" spans="1:42">
      <c r="A139">
        <v>177</v>
      </c>
      <c r="B139">
        <f t="shared" si="36"/>
        <v>177</v>
      </c>
      <c r="D139" s="43">
        <f t="shared" si="37"/>
        <v>412.10887574764325</v>
      </c>
      <c r="E139" s="43">
        <f t="shared" si="38"/>
        <v>695.56142388038711</v>
      </c>
      <c r="F139" s="69">
        <f t="shared" si="39"/>
        <v>0.73172391115079938</v>
      </c>
      <c r="G139" s="98">
        <f t="shared" si="40"/>
        <v>106.11466971595179</v>
      </c>
      <c r="H139" s="69">
        <f t="shared" si="41"/>
        <v>0.37360557840219139</v>
      </c>
      <c r="I139" s="69">
        <f t="shared" si="42"/>
        <v>-0.13586578923618681</v>
      </c>
      <c r="J139" s="99">
        <f t="shared" si="43"/>
        <v>1.5047746178408776E-2</v>
      </c>
      <c r="K139" s="69">
        <f t="shared" si="44"/>
        <v>3.149370519739075E-3</v>
      </c>
      <c r="L139" s="99">
        <f t="shared" si="45"/>
        <v>1.8197116698147851E-2</v>
      </c>
      <c r="M139" s="69">
        <f t="shared" si="46"/>
        <v>20.531031624379146</v>
      </c>
      <c r="N139" s="69">
        <f t="shared" si="47"/>
        <v>12.54924066222177</v>
      </c>
      <c r="O139" s="69">
        <f t="shared" si="48"/>
        <v>33.589543057390721</v>
      </c>
      <c r="P139" s="69">
        <f t="shared" si="49"/>
        <v>1.4904887654579724</v>
      </c>
      <c r="Q139" s="69">
        <f t="shared" si="50"/>
        <v>0.5194031085963644</v>
      </c>
      <c r="R139" s="43">
        <f t="shared" si="51"/>
        <v>550.75763202636483</v>
      </c>
      <c r="S139" s="43">
        <f t="shared" si="52"/>
        <v>919.34006752915786</v>
      </c>
      <c r="T139" s="43">
        <f>R139+Thrust!C$33*0.8</f>
        <v>2362.5176320263649</v>
      </c>
      <c r="U139" s="43"/>
      <c r="V139">
        <f t="shared" si="53"/>
        <v>639457.48640087224</v>
      </c>
      <c r="W139">
        <f t="shared" si="54"/>
        <v>383085.76274524862</v>
      </c>
      <c r="X139">
        <f t="shared" si="55"/>
        <v>-256371.72365562362</v>
      </c>
      <c r="Y139">
        <f t="shared" si="56"/>
        <v>256371.72365562362</v>
      </c>
      <c r="Z139">
        <f t="shared" si="57"/>
        <v>-2032.7125395524417</v>
      </c>
      <c r="AA139">
        <f t="shared" si="58"/>
        <v>-2.7917962934566178</v>
      </c>
      <c r="AB139">
        <f t="shared" si="59"/>
        <v>3190.9466755197036</v>
      </c>
      <c r="AC139">
        <f t="shared" si="60"/>
        <v>4.3851000342284836</v>
      </c>
      <c r="AD139">
        <f t="shared" si="61"/>
        <v>4.7664732781485295</v>
      </c>
      <c r="AE139">
        <f t="shared" si="62"/>
        <v>1964.305943938974</v>
      </c>
      <c r="AH139">
        <v>6.6714671419051834</v>
      </c>
      <c r="AI139">
        <v>2771.9655493123437</v>
      </c>
      <c r="AJ139">
        <f t="shared" si="63"/>
        <v>3828.6982351508591</v>
      </c>
      <c r="AK139">
        <f t="shared" si="64"/>
        <v>803.2559948889641</v>
      </c>
      <c r="AO139" s="43"/>
      <c r="AP139" s="43"/>
    </row>
    <row r="140" spans="1:42">
      <c r="A140">
        <v>178</v>
      </c>
      <c r="B140">
        <f t="shared" si="36"/>
        <v>178</v>
      </c>
      <c r="D140" s="43">
        <f t="shared" si="37"/>
        <v>414.43717448068077</v>
      </c>
      <c r="E140" s="43">
        <f t="shared" si="38"/>
        <v>699.49114943903339</v>
      </c>
      <c r="F140" s="69">
        <f t="shared" si="39"/>
        <v>0.7358579445471316</v>
      </c>
      <c r="G140" s="98">
        <f t="shared" si="40"/>
        <v>107.31709263877612</v>
      </c>
      <c r="H140" s="69">
        <f t="shared" si="41"/>
        <v>0.36941955453106468</v>
      </c>
      <c r="I140" s="69">
        <f t="shared" si="42"/>
        <v>-0.17111469868814108</v>
      </c>
      <c r="J140" s="99">
        <f t="shared" si="43"/>
        <v>1.5047746178408776E-2</v>
      </c>
      <c r="K140" s="69">
        <f t="shared" si="44"/>
        <v>3.0537402251581414E-3</v>
      </c>
      <c r="L140" s="99">
        <f t="shared" si="45"/>
        <v>1.8101486403566916E-2</v>
      </c>
      <c r="M140" s="69">
        <f t="shared" si="46"/>
        <v>20.408244179233268</v>
      </c>
      <c r="N140" s="69">
        <f t="shared" si="47"/>
        <v>12.404109230872153</v>
      </c>
      <c r="O140" s="69">
        <f t="shared" si="48"/>
        <v>33.577294647051737</v>
      </c>
      <c r="P140" s="69">
        <f t="shared" si="49"/>
        <v>1.498909605940786</v>
      </c>
      <c r="Q140" s="69">
        <f t="shared" si="50"/>
        <v>0.5097722078998963</v>
      </c>
      <c r="R140" s="43">
        <f t="shared" si="51"/>
        <v>537.5085763959886</v>
      </c>
      <c r="S140" s="43">
        <f t="shared" si="52"/>
        <v>924.8713330863884</v>
      </c>
      <c r="T140" s="43">
        <f>R140+Thrust!C$33*0.8</f>
        <v>2349.2685763959885</v>
      </c>
      <c r="U140" s="43"/>
      <c r="V140">
        <f t="shared" si="53"/>
        <v>646939.31186380889</v>
      </c>
      <c r="W140">
        <f t="shared" si="54"/>
        <v>375982.49193656858</v>
      </c>
      <c r="X140">
        <f t="shared" si="55"/>
        <v>-270956.81992724031</v>
      </c>
      <c r="Y140">
        <f t="shared" si="56"/>
        <v>270956.81992724031</v>
      </c>
      <c r="Z140">
        <f t="shared" si="57"/>
        <v>-2056.4958257922403</v>
      </c>
      <c r="AA140">
        <f t="shared" si="58"/>
        <v>-2.8086067324781676</v>
      </c>
      <c r="AB140">
        <f t="shared" si="59"/>
        <v>3167.2156767589595</v>
      </c>
      <c r="AC140">
        <f t="shared" si="60"/>
        <v>4.3279264615228481</v>
      </c>
      <c r="AD140">
        <f t="shared" si="61"/>
        <v>4.623990218025317</v>
      </c>
      <c r="AE140">
        <f t="shared" si="62"/>
        <v>1916.3534407847196</v>
      </c>
      <c r="AH140">
        <v>6.6318636174993069</v>
      </c>
      <c r="AI140">
        <v>2771.1525026232612</v>
      </c>
      <c r="AJ140">
        <f t="shared" si="63"/>
        <v>3693.4182717015665</v>
      </c>
      <c r="AK140">
        <f t="shared" si="64"/>
        <v>798.7513159746361</v>
      </c>
      <c r="AO140" s="43"/>
      <c r="AP140" s="43"/>
    </row>
    <row r="141" spans="1:42">
      <c r="A141">
        <v>179</v>
      </c>
      <c r="B141">
        <f t="shared" si="36"/>
        <v>179</v>
      </c>
      <c r="D141" s="43">
        <f t="shared" si="37"/>
        <v>416.76547321371828</v>
      </c>
      <c r="E141" s="43">
        <f t="shared" si="38"/>
        <v>703.42087499767956</v>
      </c>
      <c r="F141" s="69">
        <f t="shared" si="39"/>
        <v>0.73999197794346372</v>
      </c>
      <c r="G141" s="98">
        <f t="shared" si="40"/>
        <v>108.52628977525011</v>
      </c>
      <c r="H141" s="69">
        <f t="shared" si="41"/>
        <v>0.36530349133180168</v>
      </c>
      <c r="I141" s="69">
        <f t="shared" si="42"/>
        <v>-0.20577449602233333</v>
      </c>
      <c r="J141" s="99">
        <f t="shared" si="43"/>
        <v>1.5047746178408776E-2</v>
      </c>
      <c r="K141" s="69">
        <f t="shared" si="44"/>
        <v>2.9611458087437452E-3</v>
      </c>
      <c r="L141" s="99">
        <f t="shared" si="45"/>
        <v>1.8008891987152522E-2</v>
      </c>
      <c r="M141" s="69">
        <f t="shared" si="46"/>
        <v>20.284617820597063</v>
      </c>
      <c r="N141" s="69">
        <f t="shared" si="47"/>
        <v>12.260092337580367</v>
      </c>
      <c r="O141" s="69">
        <f t="shared" si="48"/>
        <v>33.561388348310764</v>
      </c>
      <c r="P141" s="69">
        <f t="shared" si="49"/>
        <v>1.5073304464235993</v>
      </c>
      <c r="Q141" s="69">
        <f t="shared" si="50"/>
        <v>0.50000625365604945</v>
      </c>
      <c r="R141" s="43">
        <f t="shared" si="51"/>
        <v>524.26594872555609</v>
      </c>
      <c r="S141" s="43">
        <f t="shared" si="52"/>
        <v>930.50804145958659</v>
      </c>
      <c r="T141" s="43">
        <f>R141+Thrust!C$33*0.8</f>
        <v>2336.0259487255562</v>
      </c>
      <c r="U141" s="43"/>
      <c r="V141">
        <f t="shared" si="53"/>
        <v>654538.78071587952</v>
      </c>
      <c r="W141">
        <f t="shared" si="54"/>
        <v>368779.61238401924</v>
      </c>
      <c r="X141">
        <f t="shared" si="55"/>
        <v>-285759.16833186027</v>
      </c>
      <c r="Y141">
        <f t="shared" si="56"/>
        <v>285759.16833186027</v>
      </c>
      <c r="Z141">
        <f t="shared" si="57"/>
        <v>-2080.6530777723319</v>
      </c>
      <c r="AA141">
        <f t="shared" si="58"/>
        <v>-2.8257378787530714</v>
      </c>
      <c r="AB141">
        <f t="shared" si="59"/>
        <v>3142.7940751913188</v>
      </c>
      <c r="AC141">
        <f t="shared" si="60"/>
        <v>4.2704558059877407</v>
      </c>
      <c r="AD141">
        <f t="shared" si="61"/>
        <v>4.482748225657657</v>
      </c>
      <c r="AE141">
        <f t="shared" si="62"/>
        <v>1868.2546855641697</v>
      </c>
      <c r="AH141">
        <v>6.5919645408695082</v>
      </c>
      <c r="AI141">
        <v>2770.0293784691103</v>
      </c>
      <c r="AJ141">
        <f t="shared" si="63"/>
        <v>3560.4175000915088</v>
      </c>
      <c r="AK141">
        <f t="shared" si="64"/>
        <v>794.24882256668911</v>
      </c>
      <c r="AO141" s="43"/>
      <c r="AP141" s="43"/>
    </row>
    <row r="142" spans="1:42">
      <c r="A142">
        <v>180</v>
      </c>
      <c r="B142">
        <f t="shared" si="36"/>
        <v>180</v>
      </c>
      <c r="D142" s="43">
        <f t="shared" si="37"/>
        <v>419.09377194675585</v>
      </c>
      <c r="E142" s="43">
        <f t="shared" si="38"/>
        <v>707.35060055632596</v>
      </c>
      <c r="F142" s="69">
        <f t="shared" si="39"/>
        <v>0.74412601133979606</v>
      </c>
      <c r="G142" s="98">
        <f t="shared" si="40"/>
        <v>109.7422611253739</v>
      </c>
      <c r="H142" s="69">
        <f t="shared" si="41"/>
        <v>0.36125583844945225</v>
      </c>
      <c r="I142" s="69">
        <f t="shared" si="42"/>
        <v>-0.23985823618611654</v>
      </c>
      <c r="J142" s="99">
        <f t="shared" si="43"/>
        <v>1.5047746178408776E-2</v>
      </c>
      <c r="K142" s="69">
        <f t="shared" si="44"/>
        <v>2.8714805025514961E-3</v>
      </c>
      <c r="L142" s="99">
        <f t="shared" si="45"/>
        <v>1.7919226680960271E-2</v>
      </c>
      <c r="M142" s="69">
        <f t="shared" si="46"/>
        <v>20.160235979005595</v>
      </c>
      <c r="N142" s="69">
        <f t="shared" si="47"/>
        <v>12.117221552269871</v>
      </c>
      <c r="O142" s="69">
        <f t="shared" si="48"/>
        <v>33.541939707544238</v>
      </c>
      <c r="P142" s="69">
        <f t="shared" si="49"/>
        <v>1.5157512869064127</v>
      </c>
      <c r="Q142" s="69">
        <f t="shared" si="50"/>
        <v>0.49010524586482207</v>
      </c>
      <c r="R142" s="43">
        <f t="shared" si="51"/>
        <v>511.02964188239957</v>
      </c>
      <c r="S142" s="43">
        <f t="shared" si="52"/>
        <v>936.24896155263218</v>
      </c>
      <c r="T142" s="43">
        <f>R142+Thrust!C$33*0.8</f>
        <v>2322.7896418823993</v>
      </c>
      <c r="U142" s="43"/>
      <c r="V142">
        <f t="shared" si="53"/>
        <v>662256.2652244909</v>
      </c>
      <c r="W142">
        <f t="shared" si="54"/>
        <v>361477.12408759951</v>
      </c>
      <c r="X142">
        <f t="shared" si="55"/>
        <v>-300779.14113689138</v>
      </c>
      <c r="Y142">
        <f t="shared" si="56"/>
        <v>300779.14113689138</v>
      </c>
      <c r="Z142">
        <f t="shared" si="57"/>
        <v>-2105.1854788593087</v>
      </c>
      <c r="AA142">
        <f t="shared" si="58"/>
        <v>-2.8431860063249053</v>
      </c>
      <c r="AB142">
        <f t="shared" si="59"/>
        <v>3117.6806874501863</v>
      </c>
      <c r="AC142">
        <f t="shared" si="60"/>
        <v>4.2126914980796242</v>
      </c>
      <c r="AD142">
        <f t="shared" si="61"/>
        <v>4.3427774065054985</v>
      </c>
      <c r="AE142">
        <f t="shared" si="62"/>
        <v>1820.0309640175396</v>
      </c>
      <c r="AH142">
        <v>6.5517726777634913</v>
      </c>
      <c r="AI142">
        <v>2768.5952239104768</v>
      </c>
      <c r="AJ142">
        <f t="shared" si="63"/>
        <v>3429.7018481228401</v>
      </c>
      <c r="AK142">
        <f t="shared" si="64"/>
        <v>789.74847824001586</v>
      </c>
      <c r="AO142" s="43"/>
      <c r="AP142" s="43"/>
    </row>
    <row r="143" spans="1:42">
      <c r="A143">
        <v>181</v>
      </c>
      <c r="B143">
        <f t="shared" si="36"/>
        <v>181</v>
      </c>
      <c r="D143" s="43">
        <f t="shared" si="37"/>
        <v>421.42207067979336</v>
      </c>
      <c r="E143" s="43">
        <f t="shared" si="38"/>
        <v>711.28032611497213</v>
      </c>
      <c r="F143" s="69">
        <f t="shared" si="39"/>
        <v>0.74826004473612817</v>
      </c>
      <c r="G143" s="98">
        <f t="shared" si="40"/>
        <v>110.96500668914733</v>
      </c>
      <c r="H143" s="69">
        <f t="shared" si="41"/>
        <v>0.3572750882379126</v>
      </c>
      <c r="I143" s="69">
        <f t="shared" si="42"/>
        <v>-0.27337861449194817</v>
      </c>
      <c r="J143" s="99">
        <f t="shared" si="43"/>
        <v>1.5047746178408776E-2</v>
      </c>
      <c r="K143" s="69">
        <f t="shared" si="44"/>
        <v>2.7846417745568479E-3</v>
      </c>
      <c r="L143" s="99">
        <f t="shared" si="45"/>
        <v>1.7832387952965625E-2</v>
      </c>
      <c r="M143" s="69">
        <f t="shared" si="46"/>
        <v>20.035179202037032</v>
      </c>
      <c r="N143" s="69">
        <f t="shared" si="47"/>
        <v>11.975526023971051</v>
      </c>
      <c r="O143" s="69">
        <f t="shared" si="48"/>
        <v>33.519062532555985</v>
      </c>
      <c r="P143" s="69">
        <f t="shared" si="49"/>
        <v>1.5241721273892259</v>
      </c>
      <c r="Q143" s="69">
        <f t="shared" si="50"/>
        <v>0.4800691845262155</v>
      </c>
      <c r="R143" s="43">
        <f t="shared" si="51"/>
        <v>497.79955110142777</v>
      </c>
      <c r="S143" s="43">
        <f t="shared" si="52"/>
        <v>942.09289618337561</v>
      </c>
      <c r="T143" s="43">
        <f>R143+Thrust!C$33*0.8</f>
        <v>2309.5595511014276</v>
      </c>
      <c r="U143" s="43"/>
      <c r="V143">
        <f t="shared" si="53"/>
        <v>670092.14242791</v>
      </c>
      <c r="W143">
        <f t="shared" si="54"/>
        <v>354075.02704731026</v>
      </c>
      <c r="X143">
        <f t="shared" si="55"/>
        <v>-316017.11538059975</v>
      </c>
      <c r="Y143">
        <f t="shared" si="56"/>
        <v>316017.11538059975</v>
      </c>
      <c r="Z143">
        <f t="shared" si="57"/>
        <v>-2130.094227585409</v>
      </c>
      <c r="AA143">
        <f t="shared" si="58"/>
        <v>-2.8609474925237044</v>
      </c>
      <c r="AB143">
        <f t="shared" si="59"/>
        <v>3091.8743150033229</v>
      </c>
      <c r="AC143">
        <f t="shared" si="60"/>
        <v>4.154636869763519</v>
      </c>
      <c r="AD143">
        <f t="shared" si="61"/>
        <v>4.2041054289538327</v>
      </c>
      <c r="AE143">
        <f t="shared" si="62"/>
        <v>1771.7028152258849</v>
      </c>
      <c r="AH143">
        <v>6.5112907160119207</v>
      </c>
      <c r="AI143">
        <v>2766.8490789337175</v>
      </c>
      <c r="AJ143">
        <f t="shared" si="63"/>
        <v>3301.274828074414</v>
      </c>
      <c r="AK143">
        <f t="shared" si="64"/>
        <v>785.25024737448541</v>
      </c>
      <c r="AO143" s="43"/>
      <c r="AP143" s="43"/>
    </row>
    <row r="144" spans="1:42">
      <c r="A144">
        <v>182</v>
      </c>
      <c r="B144">
        <f t="shared" si="36"/>
        <v>182</v>
      </c>
      <c r="D144" s="43">
        <f t="shared" si="37"/>
        <v>423.75036941283088</v>
      </c>
      <c r="E144" s="43">
        <f t="shared" si="38"/>
        <v>715.21005167361841</v>
      </c>
      <c r="F144" s="69">
        <f t="shared" si="39"/>
        <v>0.7523940781324604</v>
      </c>
      <c r="G144" s="98">
        <f t="shared" si="40"/>
        <v>112.19452646657051</v>
      </c>
      <c r="H144" s="69">
        <f t="shared" si="41"/>
        <v>0.35335977435582216</v>
      </c>
      <c r="I144" s="69">
        <f t="shared" si="42"/>
        <v>-0.30634797844080647</v>
      </c>
      <c r="J144" s="99">
        <f t="shared" si="43"/>
        <v>1.5047746178408776E-2</v>
      </c>
      <c r="K144" s="69">
        <f t="shared" si="44"/>
        <v>2.7005311401440166E-3</v>
      </c>
      <c r="L144" s="99">
        <f t="shared" si="45"/>
        <v>1.7748277318552792E-2</v>
      </c>
      <c r="M144" s="69">
        <f t="shared" si="46"/>
        <v>19.909525190168452</v>
      </c>
      <c r="N144" s="69">
        <f t="shared" si="47"/>
        <v>11.835032568643435</v>
      </c>
      <c r="O144" s="69">
        <f t="shared" si="48"/>
        <v>33.492868819657794</v>
      </c>
      <c r="P144" s="69">
        <f t="shared" si="49"/>
        <v>1.5325929678720394</v>
      </c>
      <c r="Q144" s="69">
        <f t="shared" si="50"/>
        <v>0.46989806964022929</v>
      </c>
      <c r="R144" s="43">
        <f t="shared" si="51"/>
        <v>484.57557392007641</v>
      </c>
      <c r="S144" s="43">
        <f t="shared" si="52"/>
        <v>948.03868096867973</v>
      </c>
      <c r="T144" s="43">
        <f>R144+Thrust!C$33*0.8</f>
        <v>2296.3355739200765</v>
      </c>
      <c r="U144" s="43"/>
      <c r="V144">
        <f t="shared" si="53"/>
        <v>678046.79400419851</v>
      </c>
      <c r="W144">
        <f t="shared" si="54"/>
        <v>346573.32126315113</v>
      </c>
      <c r="X144">
        <f t="shared" si="55"/>
        <v>-331473.47274104739</v>
      </c>
      <c r="Y144">
        <f t="shared" si="56"/>
        <v>331473.47274104739</v>
      </c>
      <c r="Z144">
        <f t="shared" si="57"/>
        <v>-2155.3805372318889</v>
      </c>
      <c r="AA144">
        <f t="shared" si="58"/>
        <v>-2.8790188145796676</v>
      </c>
      <c r="AB144">
        <f t="shared" si="59"/>
        <v>3065.373744569476</v>
      </c>
      <c r="AC144">
        <f t="shared" si="60"/>
        <v>4.096295157743616</v>
      </c>
      <c r="AD144">
        <f t="shared" si="61"/>
        <v>4.0667576133421051</v>
      </c>
      <c r="AE144">
        <f t="shared" si="62"/>
        <v>1723.2900409661593</v>
      </c>
      <c r="AH144">
        <v>6.4705212681049558</v>
      </c>
      <c r="AI144">
        <v>2764.7899766453065</v>
      </c>
      <c r="AJ144">
        <f t="shared" si="63"/>
        <v>3175.1376605294463</v>
      </c>
      <c r="AK144">
        <f t="shared" si="64"/>
        <v>780.75409513282602</v>
      </c>
      <c r="AO144" s="43"/>
      <c r="AP144" s="43"/>
    </row>
    <row r="145" spans="1:42">
      <c r="A145">
        <v>183</v>
      </c>
      <c r="B145">
        <f t="shared" si="36"/>
        <v>183</v>
      </c>
      <c r="D145" s="43">
        <f t="shared" si="37"/>
        <v>426.07866814586845</v>
      </c>
      <c r="E145" s="43">
        <f t="shared" si="38"/>
        <v>719.13977723226469</v>
      </c>
      <c r="F145" s="69">
        <f t="shared" si="39"/>
        <v>0.75652811152879262</v>
      </c>
      <c r="G145" s="98">
        <f t="shared" si="40"/>
        <v>113.43082045764339</v>
      </c>
      <c r="H145" s="69">
        <f t="shared" si="41"/>
        <v>0.34950847041602479</v>
      </c>
      <c r="I145" s="69">
        <f t="shared" si="42"/>
        <v>-0.3387783390945629</v>
      </c>
      <c r="J145" s="99">
        <f t="shared" si="43"/>
        <v>1.5047746178408776E-2</v>
      </c>
      <c r="K145" s="69">
        <f t="shared" si="44"/>
        <v>2.6190539829155117E-3</v>
      </c>
      <c r="L145" s="99">
        <f t="shared" si="45"/>
        <v>1.7666800161324287E-2</v>
      </c>
      <c r="M145" s="69">
        <f t="shared" si="46"/>
        <v>19.783348836489356</v>
      </c>
      <c r="N145" s="69">
        <f t="shared" si="47"/>
        <v>11.695765756399108</v>
      </c>
      <c r="O145" s="69">
        <f t="shared" si="48"/>
        <v>33.463468689263749</v>
      </c>
      <c r="P145" s="69">
        <f t="shared" si="49"/>
        <v>1.5410138083548528</v>
      </c>
      <c r="Q145" s="69">
        <f t="shared" si="50"/>
        <v>0.45959190120686344</v>
      </c>
      <c r="R145" s="43">
        <f t="shared" si="51"/>
        <v>471.35761011540097</v>
      </c>
      <c r="S145" s="43">
        <f t="shared" si="52"/>
        <v>954.08518325199054</v>
      </c>
      <c r="T145" s="43">
        <f>R145+Thrust!C$33*0.8</f>
        <v>2283.117610115401</v>
      </c>
      <c r="U145" s="43"/>
      <c r="V145">
        <f t="shared" si="53"/>
        <v>686120.60614444094</v>
      </c>
      <c r="W145">
        <f t="shared" si="54"/>
        <v>338972.00673512212</v>
      </c>
      <c r="X145">
        <f t="shared" si="55"/>
        <v>-347148.59940931882</v>
      </c>
      <c r="Y145">
        <f t="shared" si="56"/>
        <v>347148.59940931882</v>
      </c>
      <c r="Z145">
        <f t="shared" si="57"/>
        <v>-2181.0456354260368</v>
      </c>
      <c r="AA145">
        <f t="shared" si="58"/>
        <v>-2.8973965463662501</v>
      </c>
      <c r="AB145">
        <f t="shared" si="59"/>
        <v>3038.1777485213534</v>
      </c>
      <c r="AC145">
        <f t="shared" si="60"/>
        <v>4.0376695065696557</v>
      </c>
      <c r="AD145">
        <f t="shared" si="61"/>
        <v>3.9307570204075253</v>
      </c>
      <c r="AE145">
        <f t="shared" si="62"/>
        <v>1674.8117160602601</v>
      </c>
      <c r="AH145">
        <v>6.429466873669285</v>
      </c>
      <c r="AI145">
        <v>2762.4169434598157</v>
      </c>
      <c r="AJ145">
        <f t="shared" si="63"/>
        <v>3051.2893952882359</v>
      </c>
      <c r="AK145">
        <f t="shared" si="64"/>
        <v>776.2599874392364</v>
      </c>
      <c r="AO145" s="43"/>
      <c r="AP145" s="43"/>
    </row>
    <row r="146" spans="1:42">
      <c r="A146">
        <v>184</v>
      </c>
      <c r="B146">
        <f t="shared" si="36"/>
        <v>184</v>
      </c>
      <c r="D146" s="43">
        <f t="shared" si="37"/>
        <v>428.40696687890596</v>
      </c>
      <c r="E146" s="43">
        <f t="shared" si="38"/>
        <v>723.06950279091086</v>
      </c>
      <c r="F146" s="69">
        <f t="shared" si="39"/>
        <v>0.76066214492512474</v>
      </c>
      <c r="G146" s="98">
        <f t="shared" si="40"/>
        <v>114.67388866236598</v>
      </c>
      <c r="H146" s="69">
        <f t="shared" si="41"/>
        <v>0.34571978868626696</v>
      </c>
      <c r="I146" s="69">
        <f t="shared" si="42"/>
        <v>-0.37068138201690565</v>
      </c>
      <c r="J146" s="99">
        <f t="shared" si="43"/>
        <v>1.5047746178408776E-2</v>
      </c>
      <c r="K146" s="69">
        <f t="shared" si="44"/>
        <v>2.5401193843150129E-3</v>
      </c>
      <c r="L146" s="99">
        <f t="shared" si="45"/>
        <v>1.7587865562723789E-2</v>
      </c>
      <c r="M146" s="69">
        <f t="shared" si="46"/>
        <v>19.656722269869693</v>
      </c>
      <c r="N146" s="69">
        <f t="shared" si="47"/>
        <v>11.557747997913125</v>
      </c>
      <c r="O146" s="69">
        <f t="shared" si="48"/>
        <v>33.43097032956225</v>
      </c>
      <c r="P146" s="69">
        <f t="shared" si="49"/>
        <v>1.549434648837666</v>
      </c>
      <c r="Q146" s="69">
        <f t="shared" si="50"/>
        <v>0.44915067922611795</v>
      </c>
      <c r="R146" s="43">
        <f t="shared" si="51"/>
        <v>458.14556164321669</v>
      </c>
      <c r="S146" s="43">
        <f t="shared" si="52"/>
        <v>960.23130107159636</v>
      </c>
      <c r="T146" s="43">
        <f>R146+Thrust!C$33*0.8</f>
        <v>2269.9055616432165</v>
      </c>
      <c r="U146" s="43"/>
      <c r="V146">
        <f t="shared" si="53"/>
        <v>694313.96943010855</v>
      </c>
      <c r="W146">
        <f t="shared" si="54"/>
        <v>331271.0834632233</v>
      </c>
      <c r="X146">
        <f t="shared" si="55"/>
        <v>-363042.88596688525</v>
      </c>
      <c r="Y146">
        <f t="shared" si="56"/>
        <v>363042.88596688525</v>
      </c>
      <c r="Z146">
        <f t="shared" si="57"/>
        <v>-2207.0907637513387</v>
      </c>
      <c r="AA146">
        <f t="shared" si="58"/>
        <v>-2.9160773552670416</v>
      </c>
      <c r="AB146">
        <f t="shared" si="59"/>
        <v>3010.2850852754709</v>
      </c>
      <c r="AC146">
        <f t="shared" si="60"/>
        <v>3.9787629716244415</v>
      </c>
      <c r="AD146">
        <f t="shared" si="61"/>
        <v>3.7961245389216369</v>
      </c>
      <c r="AE146">
        <f t="shared" si="62"/>
        <v>1626.2861996140043</v>
      </c>
      <c r="AH146">
        <v>6.3881300018500289</v>
      </c>
      <c r="AI146">
        <v>2759.7289992817546</v>
      </c>
      <c r="AJ146">
        <f t="shared" si="63"/>
        <v>2929.7270292200951</v>
      </c>
      <c r="AK146">
        <f t="shared" si="64"/>
        <v>771.76789095869367</v>
      </c>
      <c r="AO146" s="43"/>
      <c r="AP146" s="43"/>
    </row>
    <row r="147" spans="1:42">
      <c r="A147">
        <v>185</v>
      </c>
      <c r="B147">
        <f t="shared" si="36"/>
        <v>185</v>
      </c>
      <c r="D147" s="43">
        <f t="shared" si="37"/>
        <v>430.73526561194348</v>
      </c>
      <c r="E147" s="43">
        <f t="shared" si="38"/>
        <v>726.99922834955714</v>
      </c>
      <c r="F147" s="69">
        <f t="shared" si="39"/>
        <v>0.76479617832145697</v>
      </c>
      <c r="G147" s="98">
        <f t="shared" si="40"/>
        <v>115.92373108073829</v>
      </c>
      <c r="H147" s="69">
        <f t="shared" si="41"/>
        <v>0.34199237883892636</v>
      </c>
      <c r="I147" s="69">
        <f t="shared" si="42"/>
        <v>-0.40206847780139948</v>
      </c>
      <c r="J147" s="99">
        <f t="shared" si="43"/>
        <v>1.5047746178408776E-2</v>
      </c>
      <c r="K147" s="69">
        <f t="shared" si="44"/>
        <v>2.4636399615866212E-3</v>
      </c>
      <c r="L147" s="99">
        <f t="shared" si="45"/>
        <v>1.7511386139995398E-2</v>
      </c>
      <c r="M147" s="69">
        <f t="shared" si="46"/>
        <v>19.52971490119949</v>
      </c>
      <c r="N147" s="69">
        <f t="shared" si="47"/>
        <v>11.4209996298276</v>
      </c>
      <c r="O147" s="69">
        <f t="shared" si="48"/>
        <v>33.395479947834552</v>
      </c>
      <c r="P147" s="69">
        <f t="shared" si="49"/>
        <v>1.5578554893204795</v>
      </c>
      <c r="Q147" s="69">
        <f t="shared" si="50"/>
        <v>0.43857440369799328</v>
      </c>
      <c r="R147" s="43">
        <f t="shared" si="51"/>
        <v>444.93933257921316</v>
      </c>
      <c r="S147" s="43">
        <f t="shared" si="52"/>
        <v>966.47596216782051</v>
      </c>
      <c r="T147" s="43">
        <f>R147+Thrust!C$33*0.8</f>
        <v>2256.6993325792132</v>
      </c>
      <c r="U147" s="43"/>
      <c r="V147">
        <f t="shared" si="53"/>
        <v>702627.2787144013</v>
      </c>
      <c r="W147">
        <f t="shared" si="54"/>
        <v>323470.55144745496</v>
      </c>
      <c r="X147">
        <f t="shared" si="55"/>
        <v>-379156.72726694634</v>
      </c>
      <c r="Y147">
        <f t="shared" si="56"/>
        <v>379156.72726694634</v>
      </c>
      <c r="Z147">
        <f t="shared" si="57"/>
        <v>-2233.5171773702823</v>
      </c>
      <c r="AA147">
        <f t="shared" si="58"/>
        <v>-2.9350579991610921</v>
      </c>
      <c r="AB147">
        <f t="shared" si="59"/>
        <v>2981.6944996693423</v>
      </c>
      <c r="AC147">
        <f t="shared" si="60"/>
        <v>3.9195785219976274</v>
      </c>
      <c r="AD147">
        <f t="shared" si="61"/>
        <v>3.6628789723213773</v>
      </c>
      <c r="AE147">
        <f t="shared" si="62"/>
        <v>1577.7311470472512</v>
      </c>
      <c r="AH147">
        <v>6.3465130536015826</v>
      </c>
      <c r="AI147">
        <v>2756.7251576815202</v>
      </c>
      <c r="AJ147">
        <f t="shared" si="63"/>
        <v>2810.4456209330697</v>
      </c>
      <c r="AK147">
        <f t="shared" si="64"/>
        <v>767.27777307693259</v>
      </c>
      <c r="AO147" s="43"/>
      <c r="AP147" s="43"/>
    </row>
    <row r="148" spans="1:42">
      <c r="A148">
        <v>186</v>
      </c>
      <c r="B148">
        <f t="shared" si="36"/>
        <v>186</v>
      </c>
      <c r="D148" s="43">
        <f t="shared" si="37"/>
        <v>433.06356434498105</v>
      </c>
      <c r="E148" s="43">
        <f t="shared" si="38"/>
        <v>730.92895390820343</v>
      </c>
      <c r="F148" s="69">
        <f t="shared" si="39"/>
        <v>0.76893021171778919</v>
      </c>
      <c r="G148" s="98">
        <f t="shared" si="40"/>
        <v>117.18034771276032</v>
      </c>
      <c r="H148" s="69">
        <f t="shared" si="41"/>
        <v>0.33832492674766601</v>
      </c>
      <c r="I148" s="69">
        <f t="shared" si="42"/>
        <v>-0.43295069220440074</v>
      </c>
      <c r="J148" s="99">
        <f t="shared" si="43"/>
        <v>1.5047746178408776E-2</v>
      </c>
      <c r="K148" s="69">
        <f t="shared" si="44"/>
        <v>2.3895317136215515E-3</v>
      </c>
      <c r="L148" s="99">
        <f t="shared" si="45"/>
        <v>1.7437277892030329E-2</v>
      </c>
      <c r="M148" s="69">
        <f t="shared" si="46"/>
        <v>19.4023934723376</v>
      </c>
      <c r="N148" s="69">
        <f t="shared" si="47"/>
        <v>11.285538998976726</v>
      </c>
      <c r="O148" s="69">
        <f t="shared" si="48"/>
        <v>33.357101728995147</v>
      </c>
      <c r="P148" s="69">
        <f t="shared" si="49"/>
        <v>1.5662763298032929</v>
      </c>
      <c r="Q148" s="69">
        <f t="shared" si="50"/>
        <v>0.42786307462248807</v>
      </c>
      <c r="R148" s="43">
        <f t="shared" si="51"/>
        <v>431.73882906196684</v>
      </c>
      <c r="S148" s="43">
        <f t="shared" si="52"/>
        <v>972.81812302747505</v>
      </c>
      <c r="T148" s="43">
        <f>R148+Thrust!C$33*0.8</f>
        <v>2243.4988290619667</v>
      </c>
      <c r="U148" s="43"/>
      <c r="V148">
        <f t="shared" si="53"/>
        <v>711060.93300741434</v>
      </c>
      <c r="W148">
        <f t="shared" si="54"/>
        <v>315570.4106878161</v>
      </c>
      <c r="X148">
        <f t="shared" si="55"/>
        <v>-395490.52231959824</v>
      </c>
      <c r="Y148">
        <f t="shared" si="56"/>
        <v>395490.52231959824</v>
      </c>
      <c r="Z148">
        <f t="shared" si="57"/>
        <v>-2260.3261446593306</v>
      </c>
      <c r="AA148">
        <f t="shared" si="58"/>
        <v>-2.9543353235215926</v>
      </c>
      <c r="AB148">
        <f t="shared" si="59"/>
        <v>2952.4047233265005</v>
      </c>
      <c r="AC148">
        <f t="shared" si="60"/>
        <v>3.8601190432506751</v>
      </c>
      <c r="AD148">
        <f t="shared" si="61"/>
        <v>3.5310371241563971</v>
      </c>
      <c r="AE148">
        <f t="shared" si="62"/>
        <v>1529.1635228216205</v>
      </c>
      <c r="AH148">
        <v>6.3046183638914375</v>
      </c>
      <c r="AI148">
        <v>2753.404426065671</v>
      </c>
      <c r="AJ148">
        <f t="shared" si="63"/>
        <v>2693.4384021625319</v>
      </c>
      <c r="AK148">
        <f t="shared" si="64"/>
        <v>762.78960188106873</v>
      </c>
      <c r="AO148" s="43"/>
      <c r="AP148" s="43"/>
    </row>
    <row r="149" spans="1:42">
      <c r="A149">
        <v>187</v>
      </c>
      <c r="B149">
        <f t="shared" si="36"/>
        <v>187</v>
      </c>
      <c r="D149" s="43">
        <f t="shared" si="37"/>
        <v>435.39186307801856</v>
      </c>
      <c r="E149" s="43">
        <f t="shared" si="38"/>
        <v>734.85867946684971</v>
      </c>
      <c r="F149" s="69">
        <f t="shared" si="39"/>
        <v>0.77306424511412142</v>
      </c>
      <c r="G149" s="98">
        <f t="shared" si="40"/>
        <v>118.44373855843209</v>
      </c>
      <c r="H149" s="69">
        <f t="shared" si="41"/>
        <v>0.33471615332901289</v>
      </c>
      <c r="I149" s="69">
        <f t="shared" si="42"/>
        <v>-0.46333879589968252</v>
      </c>
      <c r="J149" s="99">
        <f t="shared" si="43"/>
        <v>1.5047746178408776E-2</v>
      </c>
      <c r="K149" s="69">
        <f t="shared" si="44"/>
        <v>2.3177138742698118E-3</v>
      </c>
      <c r="L149" s="99">
        <f t="shared" si="45"/>
        <v>1.736546005267859E-2</v>
      </c>
      <c r="M149" s="69">
        <f t="shared" si="46"/>
        <v>19.274822107427184</v>
      </c>
      <c r="N149" s="69">
        <f t="shared" si="47"/>
        <v>11.151382545278553</v>
      </c>
      <c r="O149" s="69">
        <f t="shared" si="48"/>
        <v>33.315937800937796</v>
      </c>
      <c r="P149" s="69">
        <f t="shared" si="49"/>
        <v>1.5746971702861066</v>
      </c>
      <c r="Q149" s="69">
        <f t="shared" si="50"/>
        <v>0.41701669199960323</v>
      </c>
      <c r="R149" s="43">
        <f t="shared" si="51"/>
        <v>418.54395923778731</v>
      </c>
      <c r="S149" s="43">
        <f t="shared" si="52"/>
        <v>979.25676796398966</v>
      </c>
      <c r="T149" s="43">
        <f>R149+Thrust!C$33*0.8</f>
        <v>2230.3039592377872</v>
      </c>
      <c r="U149" s="43"/>
      <c r="V149">
        <f t="shared" si="53"/>
        <v>719615.33536499273</v>
      </c>
      <c r="W149">
        <f t="shared" si="54"/>
        <v>307570.66118430736</v>
      </c>
      <c r="X149">
        <f t="shared" si="55"/>
        <v>-412044.67418068537</v>
      </c>
      <c r="Y149">
        <f t="shared" si="56"/>
        <v>412044.67418068537</v>
      </c>
      <c r="Z149">
        <f t="shared" si="57"/>
        <v>-2287.5189468556059</v>
      </c>
      <c r="AA149">
        <f t="shared" si="58"/>
        <v>-2.9739062586230673</v>
      </c>
      <c r="AB149">
        <f t="shared" si="59"/>
        <v>2922.4144750098253</v>
      </c>
      <c r="AC149">
        <f t="shared" si="60"/>
        <v>3.8003873400776551</v>
      </c>
      <c r="AD149">
        <f t="shared" si="61"/>
        <v>3.4006138821941687</v>
      </c>
      <c r="AE149">
        <f t="shared" si="62"/>
        <v>1480.5996137774923</v>
      </c>
      <c r="AH149">
        <v>6.2624482038205613</v>
      </c>
      <c r="AI149">
        <v>2749.7658058417251</v>
      </c>
      <c r="AJ149">
        <f t="shared" si="63"/>
        <v>2578.6968858008563</v>
      </c>
      <c r="AK149">
        <f t="shared" si="64"/>
        <v>758.30334614084768</v>
      </c>
      <c r="AO149" s="43"/>
      <c r="AP149" s="43"/>
    </row>
    <row r="150" spans="1:42">
      <c r="A150">
        <v>188</v>
      </c>
      <c r="B150">
        <f t="shared" si="36"/>
        <v>188</v>
      </c>
      <c r="D150" s="43">
        <f t="shared" si="37"/>
        <v>437.72016181105607</v>
      </c>
      <c r="E150" s="43">
        <f t="shared" si="38"/>
        <v>738.78840502549588</v>
      </c>
      <c r="F150" s="69">
        <f t="shared" si="39"/>
        <v>0.77719827851045353</v>
      </c>
      <c r="G150" s="98">
        <f t="shared" si="40"/>
        <v>119.7139036177535</v>
      </c>
      <c r="H150" s="69">
        <f t="shared" si="41"/>
        <v>0.33116481342695381</v>
      </c>
      <c r="I150" s="69">
        <f t="shared" si="42"/>
        <v>-0.49324327387082689</v>
      </c>
      <c r="J150" s="99">
        <f t="shared" si="43"/>
        <v>1.5047746178408776E-2</v>
      </c>
      <c r="K150" s="69">
        <f t="shared" si="44"/>
        <v>2.2481087727190385E-3</v>
      </c>
      <c r="L150" s="99">
        <f t="shared" si="45"/>
        <v>1.7295854951127815E-2</v>
      </c>
      <c r="M150" s="69">
        <f t="shared" si="46"/>
        <v>19.147062366255533</v>
      </c>
      <c r="N150" s="69">
        <f t="shared" si="47"/>
        <v>11.018544883157793</v>
      </c>
      <c r="O150" s="69">
        <f t="shared" si="48"/>
        <v>33.272088206279783</v>
      </c>
      <c r="P150" s="69">
        <f t="shared" si="49"/>
        <v>1.5831180107689198</v>
      </c>
      <c r="Q150" s="69">
        <f t="shared" si="50"/>
        <v>0.40603525582933919</v>
      </c>
      <c r="R150" s="43">
        <f t="shared" si="51"/>
        <v>405.35463320731765</v>
      </c>
      <c r="S150" s="43">
        <f t="shared" si="52"/>
        <v>985.79090823169759</v>
      </c>
      <c r="T150" s="43">
        <f>R150+Thrust!C$33*0.8</f>
        <v>2217.1146332073176</v>
      </c>
      <c r="U150" s="43"/>
      <c r="V150">
        <f t="shared" si="53"/>
        <v>728290.89278113085</v>
      </c>
      <c r="W150">
        <f t="shared" si="54"/>
        <v>299471.3029369291</v>
      </c>
      <c r="X150">
        <f t="shared" si="55"/>
        <v>-428819.58984420175</v>
      </c>
      <c r="Y150">
        <f t="shared" si="56"/>
        <v>428819.58984420175</v>
      </c>
      <c r="Z150">
        <f t="shared" si="57"/>
        <v>-2315.0968777148532</v>
      </c>
      <c r="AA150">
        <f t="shared" si="58"/>
        <v>-2.993767816852491</v>
      </c>
      <c r="AB150">
        <f t="shared" si="59"/>
        <v>2891.7224609635732</v>
      </c>
      <c r="AC150">
        <f t="shared" si="60"/>
        <v>3.7403861388662953</v>
      </c>
      <c r="AD150">
        <f t="shared" si="61"/>
        <v>3.2716223010426364</v>
      </c>
      <c r="AE150">
        <f t="shared" si="62"/>
        <v>1432.0550429970426</v>
      </c>
      <c r="AH150">
        <v>6.2200047826640912</v>
      </c>
      <c r="AI150">
        <v>2745.808292577728</v>
      </c>
      <c r="AJ150">
        <f t="shared" si="63"/>
        <v>2466.210970509469</v>
      </c>
      <c r="AK150">
        <f t="shared" si="64"/>
        <v>753.81897529048808</v>
      </c>
      <c r="AO150" s="43"/>
      <c r="AP150" s="43"/>
    </row>
    <row r="151" spans="1:42">
      <c r="A151">
        <v>189</v>
      </c>
      <c r="B151">
        <f t="shared" si="36"/>
        <v>189</v>
      </c>
      <c r="D151" s="43">
        <f t="shared" si="37"/>
        <v>440.04846054409364</v>
      </c>
      <c r="E151" s="43">
        <f t="shared" si="38"/>
        <v>742.71813058414216</v>
      </c>
      <c r="F151" s="69">
        <f t="shared" si="39"/>
        <v>0.78133231190678576</v>
      </c>
      <c r="G151" s="98">
        <f t="shared" si="40"/>
        <v>120.99084289072469</v>
      </c>
      <c r="H151" s="69">
        <f t="shared" si="41"/>
        <v>0.32766969473873225</v>
      </c>
      <c r="I151" s="69">
        <f t="shared" si="42"/>
        <v>-0.52267433445667932</v>
      </c>
      <c r="J151" s="99">
        <f t="shared" si="43"/>
        <v>1.5047746178408776E-2</v>
      </c>
      <c r="K151" s="69">
        <f t="shared" si="44"/>
        <v>2.1806417005658164E-3</v>
      </c>
      <c r="L151" s="99">
        <f t="shared" si="45"/>
        <v>1.7228387878974592E-2</v>
      </c>
      <c r="M151" s="69">
        <f t="shared" si="46"/>
        <v>19.019173299355426</v>
      </c>
      <c r="N151" s="69">
        <f t="shared" si="47"/>
        <v>10.887038881380658</v>
      </c>
      <c r="O151" s="69">
        <f t="shared" si="48"/>
        <v>33.225650880107928</v>
      </c>
      <c r="P151" s="69">
        <f t="shared" si="49"/>
        <v>1.5915388512517332</v>
      </c>
      <c r="Q151" s="69">
        <f t="shared" si="50"/>
        <v>0.39491876611169596</v>
      </c>
      <c r="R151" s="43">
        <f t="shared" si="51"/>
        <v>392.17076297383215</v>
      </c>
      <c r="S151" s="43">
        <f t="shared" si="52"/>
        <v>992.41958117284139</v>
      </c>
      <c r="T151" s="43">
        <f>R151+Thrust!C$33*0.8</f>
        <v>2203.9307629738323</v>
      </c>
      <c r="U151" s="43"/>
      <c r="V151">
        <f t="shared" si="53"/>
        <v>737088.01608379011</v>
      </c>
      <c r="W151">
        <f t="shared" si="54"/>
        <v>291272.33594568132</v>
      </c>
      <c r="X151">
        <f t="shared" si="55"/>
        <v>-445815.68013810879</v>
      </c>
      <c r="Y151">
        <f t="shared" si="56"/>
        <v>445815.68013810879</v>
      </c>
      <c r="Z151">
        <f t="shared" si="57"/>
        <v>-2343.0612431802601</v>
      </c>
      <c r="AA151">
        <f t="shared" si="58"/>
        <v>-3.0139170901199064</v>
      </c>
      <c r="AB151">
        <f t="shared" si="59"/>
        <v>2860.3273752445566</v>
      </c>
      <c r="AC151">
        <f t="shared" si="60"/>
        <v>3.68011809016352</v>
      </c>
      <c r="AD151">
        <f t="shared" si="61"/>
        <v>3.1440736831678495</v>
      </c>
      <c r="AE151">
        <f t="shared" si="62"/>
        <v>1383.5447841152106</v>
      </c>
      <c r="AH151">
        <v>6.1772902498355009</v>
      </c>
      <c r="AI151">
        <v>2741.5308761567162</v>
      </c>
      <c r="AJ151">
        <f t="shared" si="63"/>
        <v>2355.9690418726227</v>
      </c>
      <c r="AK151">
        <f t="shared" si="64"/>
        <v>749.33645941110308</v>
      </c>
      <c r="AO151" s="43"/>
      <c r="AP151" s="43"/>
    </row>
    <row r="152" spans="1:42">
      <c r="A152">
        <v>190</v>
      </c>
      <c r="B152">
        <f t="shared" si="36"/>
        <v>190</v>
      </c>
      <c r="D152" s="43">
        <f t="shared" si="37"/>
        <v>442.37675927713116</v>
      </c>
      <c r="E152" s="43">
        <f t="shared" si="38"/>
        <v>746.64785614278844</v>
      </c>
      <c r="F152" s="69">
        <f t="shared" si="39"/>
        <v>0.78546634530311799</v>
      </c>
      <c r="G152" s="98">
        <f t="shared" si="40"/>
        <v>122.27455637734559</v>
      </c>
      <c r="H152" s="69">
        <f t="shared" si="41"/>
        <v>0.32422961678011786</v>
      </c>
      <c r="I152" s="69">
        <f t="shared" si="42"/>
        <v>-0.55164191806442031</v>
      </c>
      <c r="J152" s="99">
        <f t="shared" si="43"/>
        <v>1.5047746178408776E-2</v>
      </c>
      <c r="K152" s="69">
        <f t="shared" si="44"/>
        <v>2.1152407852265344E-3</v>
      </c>
      <c r="L152" s="99">
        <f t="shared" si="45"/>
        <v>1.7162986963635312E-2</v>
      </c>
      <c r="M152" s="69">
        <f t="shared" si="46"/>
        <v>18.891211504564495</v>
      </c>
      <c r="N152" s="69">
        <f t="shared" si="47"/>
        <v>10.756875741198778</v>
      </c>
      <c r="O152" s="69">
        <f t="shared" si="48"/>
        <v>33.176721633340946</v>
      </c>
      <c r="P152" s="69">
        <f t="shared" si="49"/>
        <v>1.5999596917345467</v>
      </c>
      <c r="Q152" s="69">
        <f t="shared" si="50"/>
        <v>0.38366722284667265</v>
      </c>
      <c r="R152" s="43">
        <f t="shared" si="51"/>
        <v>378.99226239316721</v>
      </c>
      <c r="S152" s="43">
        <f t="shared" si="52"/>
        <v>999.14184939591746</v>
      </c>
      <c r="T152" s="43">
        <f>R152+Thrust!C$33*0.8</f>
        <v>2190.7522623931673</v>
      </c>
      <c r="U152" s="43"/>
      <c r="V152">
        <f t="shared" si="53"/>
        <v>746007.11983400257</v>
      </c>
      <c r="W152">
        <f t="shared" si="54"/>
        <v>282973.76021056343</v>
      </c>
      <c r="X152">
        <f t="shared" si="55"/>
        <v>-463033.35962343914</v>
      </c>
      <c r="Y152">
        <f t="shared" si="56"/>
        <v>463033.35962343914</v>
      </c>
      <c r="Z152">
        <f t="shared" si="57"/>
        <v>-2371.41336106173</v>
      </c>
      <c r="AA152">
        <f t="shared" si="58"/>
        <v>-3.034351247364385</v>
      </c>
      <c r="AB152">
        <f t="shared" si="59"/>
        <v>2828.2279000428694</v>
      </c>
      <c r="AC152">
        <f t="shared" si="60"/>
        <v>3.6195857710495143</v>
      </c>
      <c r="AD152">
        <f t="shared" si="61"/>
        <v>3.0179776582002518</v>
      </c>
      <c r="AE152">
        <f t="shared" si="62"/>
        <v>1335.0831760054127</v>
      </c>
      <c r="AH152">
        <v>6.1343066967777009</v>
      </c>
      <c r="AI152">
        <v>2736.9325409263379</v>
      </c>
      <c r="AJ152">
        <f t="shared" si="63"/>
        <v>2247.9580700684401</v>
      </c>
      <c r="AK152">
        <f t="shared" si="64"/>
        <v>744.85576921367692</v>
      </c>
      <c r="AO152" s="43"/>
      <c r="AP152" s="43"/>
    </row>
    <row r="153" spans="1:42">
      <c r="A153">
        <v>191</v>
      </c>
      <c r="B153">
        <f t="shared" si="36"/>
        <v>191</v>
      </c>
      <c r="D153" s="43">
        <f t="shared" si="37"/>
        <v>444.70505801016867</v>
      </c>
      <c r="E153" s="43">
        <f t="shared" si="38"/>
        <v>750.57758170143461</v>
      </c>
      <c r="F153" s="69">
        <f t="shared" si="39"/>
        <v>0.7896003786994501</v>
      </c>
      <c r="G153" s="98">
        <f t="shared" si="40"/>
        <v>123.56504407761615</v>
      </c>
      <c r="H153" s="69">
        <f t="shared" si="41"/>
        <v>0.32084342988849696</v>
      </c>
      <c r="I153" s="69">
        <f t="shared" si="42"/>
        <v>-0.58015570556415874</v>
      </c>
      <c r="J153" s="99">
        <f t="shared" si="43"/>
        <v>1.5047746178408776E-2</v>
      </c>
      <c r="K153" s="69">
        <f t="shared" si="44"/>
        <v>2.0518368693550298E-3</v>
      </c>
      <c r="L153" s="99">
        <f t="shared" si="45"/>
        <v>1.7099583047763805E-2</v>
      </c>
      <c r="M153" s="69">
        <f t="shared" si="46"/>
        <v>18.763231184777641</v>
      </c>
      <c r="N153" s="69">
        <f t="shared" si="47"/>
        <v>10.628065072714193</v>
      </c>
      <c r="O153" s="69">
        <f t="shared" si="48"/>
        <v>33.125394141334844</v>
      </c>
      <c r="P153" s="69">
        <f t="shared" si="49"/>
        <v>1.6083805322173599</v>
      </c>
      <c r="Q153" s="69">
        <f t="shared" si="50"/>
        <v>0.37228062603427015</v>
      </c>
      <c r="R153" s="43">
        <f t="shared" si="51"/>
        <v>365.81904712522692</v>
      </c>
      <c r="S153" s="43">
        <f t="shared" si="52"/>
        <v>1005.9567999840579</v>
      </c>
      <c r="T153" s="43">
        <f>R153+Thrust!C$33*0.8</f>
        <v>2177.5790471252267</v>
      </c>
      <c r="U153" s="43"/>
      <c r="V153">
        <f t="shared" si="53"/>
        <v>755048.62222814793</v>
      </c>
      <c r="W153">
        <f t="shared" si="54"/>
        <v>274575.57573157595</v>
      </c>
      <c r="X153">
        <f t="shared" si="55"/>
        <v>-480473.04649657197</v>
      </c>
      <c r="Y153">
        <f t="shared" si="56"/>
        <v>480473.04649657197</v>
      </c>
      <c r="Z153">
        <f t="shared" si="57"/>
        <v>-2400.1545607252388</v>
      </c>
      <c r="AA153">
        <f t="shared" si="58"/>
        <v>-3.0550675321513427</v>
      </c>
      <c r="AB153">
        <f t="shared" si="59"/>
        <v>2795.422705992537</v>
      </c>
      <c r="AC153">
        <f t="shared" si="60"/>
        <v>3.5587916874241254</v>
      </c>
      <c r="AD153">
        <f t="shared" si="61"/>
        <v>2.8933422604386547</v>
      </c>
      <c r="AE153">
        <f t="shared" si="62"/>
        <v>1286.6839377716444</v>
      </c>
      <c r="AH153">
        <v>6.0910561587839691</v>
      </c>
      <c r="AI153">
        <v>2732.0122658437476</v>
      </c>
      <c r="AJ153">
        <f t="shared" si="63"/>
        <v>2142.163704047673</v>
      </c>
      <c r="AK153">
        <f t="shared" si="64"/>
        <v>740.37687602257711</v>
      </c>
      <c r="AO153" s="43"/>
      <c r="AP153" s="43"/>
    </row>
    <row r="154" spans="1:42">
      <c r="A154">
        <v>192</v>
      </c>
      <c r="B154">
        <f t="shared" si="36"/>
        <v>192</v>
      </c>
      <c r="D154" s="43">
        <f t="shared" si="37"/>
        <v>447.03335674320624</v>
      </c>
      <c r="E154" s="43">
        <f t="shared" si="38"/>
        <v>754.50730726008101</v>
      </c>
      <c r="F154" s="69">
        <f t="shared" si="39"/>
        <v>0.79373441209578244</v>
      </c>
      <c r="G154" s="98">
        <f t="shared" si="40"/>
        <v>124.86230599153653</v>
      </c>
      <c r="H154" s="69">
        <f t="shared" si="41"/>
        <v>0.31751001426221387</v>
      </c>
      <c r="I154" s="69">
        <f t="shared" si="42"/>
        <v>-0.60822512637827275</v>
      </c>
      <c r="J154" s="99">
        <f t="shared" si="43"/>
        <v>1.5047746178408776E-2</v>
      </c>
      <c r="K154" s="69">
        <f t="shared" si="44"/>
        <v>1.990363395953446E-3</v>
      </c>
      <c r="L154" s="99">
        <f t="shared" si="45"/>
        <v>1.7038109574362224E-2</v>
      </c>
      <c r="M154" s="69">
        <f t="shared" si="46"/>
        <v>18.635284206645853</v>
      </c>
      <c r="N154" s="69">
        <f t="shared" si="47"/>
        <v>10.500614969391103</v>
      </c>
      <c r="O154" s="69">
        <f t="shared" si="48"/>
        <v>33.071759937370764</v>
      </c>
      <c r="P154" s="69">
        <f t="shared" si="49"/>
        <v>1.6168013727001735</v>
      </c>
      <c r="Q154" s="69">
        <f t="shared" si="50"/>
        <v>0.36075897567448711</v>
      </c>
      <c r="R154" s="43">
        <f t="shared" si="51"/>
        <v>352.65103458699855</v>
      </c>
      <c r="S154" s="43">
        <f t="shared" si="52"/>
        <v>1012.863543732199</v>
      </c>
      <c r="T154" s="43">
        <f>R154+Thrust!C$33*0.8</f>
        <v>2164.4110345869985</v>
      </c>
      <c r="U154" s="43"/>
      <c r="V154">
        <f t="shared" si="53"/>
        <v>764212.94500328472</v>
      </c>
      <c r="W154">
        <f t="shared" si="54"/>
        <v>266077.78250871797</v>
      </c>
      <c r="X154">
        <f t="shared" si="55"/>
        <v>-498135.16249456676</v>
      </c>
      <c r="Y154">
        <f t="shared" si="56"/>
        <v>498135.16249456676</v>
      </c>
      <c r="Z154">
        <f t="shared" si="57"/>
        <v>-2429.2861827918987</v>
      </c>
      <c r="AA154">
        <f t="shared" si="58"/>
        <v>-3.0760632603574076</v>
      </c>
      <c r="AB154">
        <f t="shared" si="59"/>
        <v>2761.9104524724485</v>
      </c>
      <c r="AC154">
        <f t="shared" si="60"/>
        <v>3.4977382762092564</v>
      </c>
      <c r="AD154">
        <f t="shared" si="61"/>
        <v>2.7701740044751144</v>
      </c>
      <c r="AE154">
        <f t="shared" si="62"/>
        <v>1238.3601839832797</v>
      </c>
      <c r="AH154">
        <v>6.0475406167517329</v>
      </c>
      <c r="AI154">
        <v>2726.7690246159896</v>
      </c>
      <c r="AJ154">
        <f t="shared" si="63"/>
        <v>2038.5703622240771</v>
      </c>
      <c r="AK154">
        <f t="shared" si="64"/>
        <v>735.89975175957954</v>
      </c>
      <c r="AO154" s="43"/>
      <c r="AP154" s="43"/>
    </row>
    <row r="155" spans="1:42">
      <c r="A155">
        <v>193</v>
      </c>
      <c r="B155">
        <f t="shared" ref="B155:B218" si="65">A155</f>
        <v>193</v>
      </c>
      <c r="D155" s="43">
        <f t="shared" ref="D155:D218" si="66">A155/SQRT(D$13)</f>
        <v>449.36165547624375</v>
      </c>
      <c r="E155" s="43">
        <f t="shared" ref="E155:E218" si="67">D155*1.68780986</f>
        <v>758.43703281872718</v>
      </c>
      <c r="F155" s="69">
        <f t="shared" ref="F155:F218" si="68">E155/SQRT(1716.46*1.4*$D$15)</f>
        <v>0.79786844549211455</v>
      </c>
      <c r="G155" s="98">
        <f t="shared" ref="G155:G218" si="69">0.5*$D$14*E155^2</f>
        <v>126.16634211910652</v>
      </c>
      <c r="H155" s="69">
        <f t="shared" ref="H155:H218" si="70">2*$D$4/($D$14*E155^2*$D$7)</f>
        <v>0.31422827903466549</v>
      </c>
      <c r="I155" s="69">
        <f t="shared" ref="I155:I218" si="71">DEGREES((H155-$J$4)/$J$5)</f>
        <v>-0.63585936627810535</v>
      </c>
      <c r="J155" s="99">
        <f t="shared" ref="J155:J218" si="72">$J$7</f>
        <v>1.5047746178408776E-2</v>
      </c>
      <c r="K155" s="69">
        <f t="shared" ref="K155:K218" si="73">$J$9*(H155-$J$6)^2</f>
        <v>1.9307562988805451E-3</v>
      </c>
      <c r="L155" s="99">
        <f t="shared" ref="L155:L218" si="74">SUM(J155:K155)</f>
        <v>1.6978502477289322E-2</v>
      </c>
      <c r="M155" s="69">
        <f t="shared" ref="M155:M218" si="75">H155/L155</f>
        <v>18.50742015999241</v>
      </c>
      <c r="N155" s="69">
        <f t="shared" ref="N155:N218" si="76">H155^1.5/L155</f>
        <v>10.374532080653443</v>
      </c>
      <c r="O155" s="69">
        <f t="shared" ref="O155:O218" si="77">H155^0.5/L155</f>
        <v>33.015908410677874</v>
      </c>
      <c r="P155" s="69">
        <f t="shared" ref="P155:P218" si="78">60*E155/($J$17*$J$13)</f>
        <v>1.6252222131829868</v>
      </c>
      <c r="Q155" s="69">
        <f t="shared" ref="Q155:Q218" si="79">0.096574+1.703049*P155-0.952281*P155^2</f>
        <v>0.34910227176732489</v>
      </c>
      <c r="R155" s="43">
        <f t="shared" ref="R155:R218" si="80">Q155*550*$J$16/E155</f>
        <v>339.48814390703734</v>
      </c>
      <c r="S155" s="43">
        <f t="shared" ref="S155:S218" si="81">$D$7*G155*L155</f>
        <v>1019.8612144118383</v>
      </c>
      <c r="T155" s="43">
        <f>R155+Thrust!C$33*0.8</f>
        <v>2151.2481439070375</v>
      </c>
      <c r="U155" s="43"/>
      <c r="V155">
        <f t="shared" ref="V155:V218" si="82">S155*E155</f>
        <v>773500.51334541838</v>
      </c>
      <c r="W155">
        <f t="shared" ref="W155:W218" si="83">R155*E155</f>
        <v>257480.38054199045</v>
      </c>
      <c r="X155">
        <f t="shared" ref="X155:X218" si="84">W155-V155</f>
        <v>-516020.13280342793</v>
      </c>
      <c r="Y155">
        <f t="shared" ref="Y155:Y218" si="85">SQRT(X155^2)</f>
        <v>516020.13280342793</v>
      </c>
      <c r="Z155">
        <f t="shared" ref="Z155:Z218" si="86">-(E155/M155)*60</f>
        <v>-2458.8095788463634</v>
      </c>
      <c r="AA155">
        <f t="shared" ref="AA155:AA218" si="87">ASIN((Z155/60)/E155)*180/PI()</f>
        <v>-3.0973358179392059</v>
      </c>
      <c r="AB155">
        <f t="shared" ref="AB155:AB218" si="88">60*(((T155*E155)-(S155*E155))/$D$4)</f>
        <v>2727.689787897948</v>
      </c>
      <c r="AC155">
        <f t="shared" ref="AC155:AC218" si="89">ASIN((AB155/60)/E155)*180/PI()</f>
        <v>3.4364279074707715</v>
      </c>
      <c r="AD155">
        <f t="shared" ref="AD155:AD218" si="90">((325.9*Q155)/($J$12*D155))*M155*LN($D$4/$D$6)</f>
        <v>2.6484779588774181</v>
      </c>
      <c r="AE155">
        <f t="shared" ref="AE155:AE218" si="91">((325.9*Q155)/($J$12))*M155*LN($D$4/$D$6)</f>
        <v>1190.1244400935</v>
      </c>
      <c r="AH155">
        <v>6.0037619988719992</v>
      </c>
      <c r="AI155">
        <v>2721.2017858360086</v>
      </c>
      <c r="AJ155">
        <f t="shared" ref="AJ155:AJ218" si="92">($J$12*T155)*AD155</f>
        <v>1937.1613196926735</v>
      </c>
      <c r="AK155">
        <f t="shared" ref="AK155:AK218" si="93">$J$12*T155</f>
        <v>731.42436892839282</v>
      </c>
      <c r="AO155" s="43"/>
      <c r="AP155" s="43"/>
    </row>
    <row r="156" spans="1:42">
      <c r="A156">
        <v>194</v>
      </c>
      <c r="B156">
        <f t="shared" si="65"/>
        <v>194</v>
      </c>
      <c r="D156" s="43">
        <f t="shared" si="66"/>
        <v>451.68995420928127</v>
      </c>
      <c r="E156" s="43">
        <f t="shared" si="67"/>
        <v>762.36675837737346</v>
      </c>
      <c r="F156" s="69">
        <f t="shared" si="68"/>
        <v>0.80200247888844678</v>
      </c>
      <c r="G156" s="98">
        <f t="shared" si="69"/>
        <v>127.47715246032627</v>
      </c>
      <c r="H156" s="69">
        <f t="shared" si="70"/>
        <v>0.31099716138171579</v>
      </c>
      <c r="I156" s="69">
        <f t="shared" si="71"/>
        <v>-0.6630673749000866</v>
      </c>
      <c r="J156" s="99">
        <f t="shared" si="72"/>
        <v>1.5047746178408776E-2</v>
      </c>
      <c r="K156" s="69">
        <f t="shared" si="73"/>
        <v>1.8729538984784289E-3</v>
      </c>
      <c r="L156" s="99">
        <f t="shared" si="74"/>
        <v>1.6920700076887205E-2</v>
      </c>
      <c r="M156" s="69">
        <f t="shared" si="75"/>
        <v>18.379686417734082</v>
      </c>
      <c r="N156" s="69">
        <f t="shared" si="76"/>
        <v>10.249821682518716</v>
      </c>
      <c r="O156" s="69">
        <f t="shared" si="77"/>
        <v>32.95792680865712</v>
      </c>
      <c r="P156" s="69">
        <f t="shared" si="78"/>
        <v>1.6336430536658002</v>
      </c>
      <c r="Q156" s="69">
        <f t="shared" si="79"/>
        <v>0.33731051431278347</v>
      </c>
      <c r="R156" s="43">
        <f t="shared" si="80"/>
        <v>326.33029588134934</v>
      </c>
      <c r="S156" s="43">
        <f t="shared" si="81"/>
        <v>1026.9489680622628</v>
      </c>
      <c r="T156" s="43">
        <f>R156+Thrust!C$33*0.8</f>
        <v>2138.0902958813494</v>
      </c>
      <c r="U156" s="43"/>
      <c r="V156">
        <f t="shared" si="82"/>
        <v>782911.75580061611</v>
      </c>
      <c r="W156">
        <f t="shared" si="83"/>
        <v>248783.36983139344</v>
      </c>
      <c r="X156">
        <f t="shared" si="84"/>
        <v>-534128.38596922264</v>
      </c>
      <c r="Y156">
        <f t="shared" si="85"/>
        <v>534128.38596922264</v>
      </c>
      <c r="Z156">
        <f t="shared" si="86"/>
        <v>-2488.7261111542757</v>
      </c>
      <c r="AA156">
        <f t="shared" si="87"/>
        <v>-3.1188826587826473</v>
      </c>
      <c r="AB156">
        <f t="shared" si="88"/>
        <v>2692.7593500033936</v>
      </c>
      <c r="AC156">
        <f t="shared" si="89"/>
        <v>3.3748628864631747</v>
      </c>
      <c r="AD156">
        <f t="shared" si="90"/>
        <v>2.5282578178778747</v>
      </c>
      <c r="AE156">
        <f t="shared" si="91"/>
        <v>1141.9886579865145</v>
      </c>
      <c r="AH156">
        <v>5.9597221822570443</v>
      </c>
      <c r="AI156">
        <v>2715.3095131144605</v>
      </c>
      <c r="AJ156">
        <f t="shared" si="92"/>
        <v>1837.9187920028858</v>
      </c>
      <c r="AK156">
        <f t="shared" si="93"/>
        <v>726.95070059965883</v>
      </c>
      <c r="AO156" s="43"/>
      <c r="AP156" s="43"/>
    </row>
    <row r="157" spans="1:42">
      <c r="A157">
        <v>195</v>
      </c>
      <c r="B157">
        <f t="shared" si="65"/>
        <v>195</v>
      </c>
      <c r="D157" s="43">
        <f t="shared" si="66"/>
        <v>454.01825294231884</v>
      </c>
      <c r="E157" s="43">
        <f t="shared" si="67"/>
        <v>766.29648393601974</v>
      </c>
      <c r="F157" s="69">
        <f t="shared" si="68"/>
        <v>0.80613651228477901</v>
      </c>
      <c r="G157" s="98">
        <f t="shared" si="69"/>
        <v>128.79473701519572</v>
      </c>
      <c r="H157" s="69">
        <f t="shared" si="70"/>
        <v>0.30781562566107179</v>
      </c>
      <c r="I157" s="69">
        <f t="shared" si="71"/>
        <v>-0.68985787299272017</v>
      </c>
      <c r="J157" s="99">
        <f t="shared" si="72"/>
        <v>1.5047746178408776E-2</v>
      </c>
      <c r="K157" s="69">
        <f t="shared" si="73"/>
        <v>1.8168968020544924E-3</v>
      </c>
      <c r="L157" s="99">
        <f t="shared" si="74"/>
        <v>1.6864642980463269E-2</v>
      </c>
      <c r="M157" s="69">
        <f t="shared" si="75"/>
        <v>18.252128196111755</v>
      </c>
      <c r="N157" s="69">
        <f t="shared" si="76"/>
        <v>10.126487746230175</v>
      </c>
      <c r="O157" s="69">
        <f t="shared" si="77"/>
        <v>32.897900242985727</v>
      </c>
      <c r="P157" s="69">
        <f t="shared" si="78"/>
        <v>1.6420638941486139</v>
      </c>
      <c r="Q157" s="69">
        <f t="shared" si="79"/>
        <v>0.32538370331086153</v>
      </c>
      <c r="R157" s="43">
        <f t="shared" si="80"/>
        <v>313.17741293063676</v>
      </c>
      <c r="S157" s="43">
        <f t="shared" si="81"/>
        <v>1034.1259823071448</v>
      </c>
      <c r="T157" s="43">
        <f>R157+Thrust!C$33*0.8</f>
        <v>2124.9374129306366</v>
      </c>
      <c r="U157" s="43"/>
      <c r="V157">
        <f t="shared" si="82"/>
        <v>792447.10418884759</v>
      </c>
      <c r="W157">
        <f t="shared" si="83"/>
        <v>239986.75037692592</v>
      </c>
      <c r="X157">
        <f t="shared" si="84"/>
        <v>-552460.35381192167</v>
      </c>
      <c r="Y157">
        <f t="shared" si="85"/>
        <v>552460.35381192167</v>
      </c>
      <c r="Z157">
        <f t="shared" si="86"/>
        <v>-2519.0371523883891</v>
      </c>
      <c r="AA157">
        <f t="shared" si="87"/>
        <v>-3.1407013026293691</v>
      </c>
      <c r="AB157">
        <f t="shared" si="88"/>
        <v>2657.1177661160305</v>
      </c>
      <c r="AC157">
        <f t="shared" si="89"/>
        <v>3.3130454556002964</v>
      </c>
      <c r="AD157">
        <f t="shared" si="90"/>
        <v>2.4095159710287812</v>
      </c>
      <c r="AE157">
        <f t="shared" si="91"/>
        <v>1093.9642316031025</v>
      </c>
      <c r="AH157">
        <v>5.9154229945089529</v>
      </c>
      <c r="AI157">
        <v>2709.0911652074578</v>
      </c>
      <c r="AJ157">
        <f t="shared" si="92"/>
        <v>1740.8240155236028</v>
      </c>
      <c r="AK157">
        <f t="shared" si="93"/>
        <v>722.47872039641652</v>
      </c>
      <c r="AO157" s="43"/>
      <c r="AP157" s="43"/>
    </row>
    <row r="158" spans="1:42">
      <c r="A158">
        <v>196</v>
      </c>
      <c r="B158">
        <f t="shared" si="65"/>
        <v>196</v>
      </c>
      <c r="D158" s="43">
        <f t="shared" si="66"/>
        <v>456.34655167535635</v>
      </c>
      <c r="E158" s="43">
        <f t="shared" si="67"/>
        <v>770.22620949466602</v>
      </c>
      <c r="F158" s="69">
        <f t="shared" si="68"/>
        <v>0.81027054568111123</v>
      </c>
      <c r="G158" s="98">
        <f t="shared" si="69"/>
        <v>130.11909578371493</v>
      </c>
      <c r="H158" s="69">
        <f t="shared" si="70"/>
        <v>0.30468266258231602</v>
      </c>
      <c r="I158" s="69">
        <f t="shared" si="71"/>
        <v>-0.71623935940542272</v>
      </c>
      <c r="J158" s="99">
        <f t="shared" si="72"/>
        <v>1.5047746178408776E-2</v>
      </c>
      <c r="K158" s="69">
        <f t="shared" si="73"/>
        <v>1.762527808970062E-3</v>
      </c>
      <c r="L158" s="99">
        <f t="shared" si="74"/>
        <v>1.6810273987378839E-2</v>
      </c>
      <c r="M158" s="69">
        <f t="shared" si="75"/>
        <v>18.124788615050051</v>
      </c>
      <c r="N158" s="69">
        <f t="shared" si="76"/>
        <v>10.004533004859244</v>
      </c>
      <c r="O158" s="69">
        <f t="shared" si="77"/>
        <v>32.835911699295735</v>
      </c>
      <c r="P158" s="69">
        <f t="shared" si="78"/>
        <v>1.6504847346314273</v>
      </c>
      <c r="Q158" s="69">
        <f t="shared" si="79"/>
        <v>0.31332183876156083</v>
      </c>
      <c r="R158" s="43">
        <f t="shared" si="80"/>
        <v>300.02941905885575</v>
      </c>
      <c r="S158" s="43">
        <f t="shared" si="81"/>
        <v>1041.3914556954892</v>
      </c>
      <c r="T158" s="43">
        <f>R158+Thrust!C$33*0.8</f>
        <v>2111.7894190588559</v>
      </c>
      <c r="U158" s="43"/>
      <c r="V158">
        <f t="shared" si="82"/>
        <v>802106.99352046906</v>
      </c>
      <c r="W158">
        <f t="shared" si="83"/>
        <v>231090.52217858916</v>
      </c>
      <c r="X158">
        <f t="shared" si="84"/>
        <v>-571016.47134187992</v>
      </c>
      <c r="Y158">
        <f t="shared" si="85"/>
        <v>571016.47134187992</v>
      </c>
      <c r="Z158">
        <f t="shared" si="86"/>
        <v>-2549.7440853630806</v>
      </c>
      <c r="AA158">
        <f t="shared" si="87"/>
        <v>-3.1627893330772325</v>
      </c>
      <c r="AB158">
        <f t="shared" si="88"/>
        <v>2620.7636534214876</v>
      </c>
      <c r="AC158">
        <f t="shared" si="89"/>
        <v>3.25097779635498</v>
      </c>
      <c r="AD158">
        <f t="shared" si="90"/>
        <v>2.2922535707952369</v>
      </c>
      <c r="AE158">
        <f t="shared" si="91"/>
        <v>1046.0620125979287</v>
      </c>
      <c r="AH158">
        <v>5.8708662152314073</v>
      </c>
      <c r="AI158">
        <v>2702.5456961404129</v>
      </c>
      <c r="AJ158">
        <f t="shared" si="92"/>
        <v>1645.8573244457889</v>
      </c>
      <c r="AK158">
        <f t="shared" si="93"/>
        <v>718.008402480011</v>
      </c>
      <c r="AO158" s="43"/>
      <c r="AP158" s="43"/>
    </row>
    <row r="159" spans="1:42">
      <c r="A159">
        <v>197</v>
      </c>
      <c r="B159">
        <f t="shared" si="65"/>
        <v>197</v>
      </c>
      <c r="D159" s="43">
        <f t="shared" si="66"/>
        <v>458.67485040839387</v>
      </c>
      <c r="E159" s="43">
        <f t="shared" si="67"/>
        <v>774.15593505331219</v>
      </c>
      <c r="F159" s="69">
        <f t="shared" si="68"/>
        <v>0.81440457907744335</v>
      </c>
      <c r="G159" s="98">
        <f t="shared" si="69"/>
        <v>131.45022876588379</v>
      </c>
      <c r="H159" s="69">
        <f t="shared" si="70"/>
        <v>0.30159728840635558</v>
      </c>
      <c r="I159" s="69">
        <f t="shared" si="71"/>
        <v>-0.74222011782965858</v>
      </c>
      <c r="J159" s="99">
        <f t="shared" si="72"/>
        <v>1.5047746178408776E-2</v>
      </c>
      <c r="K159" s="69">
        <f t="shared" si="73"/>
        <v>1.7097918201011502E-3</v>
      </c>
      <c r="L159" s="99">
        <f t="shared" si="74"/>
        <v>1.6757537998509927E-2</v>
      </c>
      <c r="M159" s="69">
        <f t="shared" si="75"/>
        <v>17.997708758480719</v>
      </c>
      <c r="N159" s="69">
        <f t="shared" si="76"/>
        <v>9.8839590178595014</v>
      </c>
      <c r="O159" s="69">
        <f t="shared" si="77"/>
        <v>32.772042050134083</v>
      </c>
      <c r="P159" s="69">
        <f t="shared" si="78"/>
        <v>1.6589055751142405</v>
      </c>
      <c r="Q159" s="69">
        <f t="shared" si="79"/>
        <v>0.3011249206648805</v>
      </c>
      <c r="R159" s="43">
        <f t="shared" si="80"/>
        <v>286.88623981302692</v>
      </c>
      <c r="S159" s="43">
        <f t="shared" si="81"/>
        <v>1048.744607065935</v>
      </c>
      <c r="T159" s="43">
        <f>R159+Thrust!C$33*0.8</f>
        <v>2098.646239813027</v>
      </c>
      <c r="U159" s="43"/>
      <c r="V159">
        <f t="shared" si="82"/>
        <v>811891.8619152474</v>
      </c>
      <c r="W159">
        <f t="shared" si="83"/>
        <v>222094.68523638262</v>
      </c>
      <c r="X159">
        <f t="shared" si="84"/>
        <v>-589797.17667886475</v>
      </c>
      <c r="Y159">
        <f t="shared" si="85"/>
        <v>589797.17667886475</v>
      </c>
      <c r="Z159">
        <f t="shared" si="86"/>
        <v>-2580.8483027769453</v>
      </c>
      <c r="AA159">
        <f t="shared" si="87"/>
        <v>-3.1851443956518444</v>
      </c>
      <c r="AB159">
        <f t="shared" si="88"/>
        <v>2583.6956192211633</v>
      </c>
      <c r="AC159">
        <f t="shared" si="89"/>
        <v>3.1886620310906246</v>
      </c>
      <c r="AD159">
        <f t="shared" si="90"/>
        <v>2.1764705980654697</v>
      </c>
      <c r="AE159">
        <f t="shared" si="91"/>
        <v>998.29232598594683</v>
      </c>
      <c r="AH159">
        <v>5.826053577487067</v>
      </c>
      <c r="AI159">
        <v>2695.6720553281084</v>
      </c>
      <c r="AJ159">
        <f t="shared" si="92"/>
        <v>1552.998224475861</v>
      </c>
      <c r="AK159">
        <f t="shared" si="93"/>
        <v>713.53972153642928</v>
      </c>
      <c r="AO159" s="43"/>
      <c r="AP159" s="43"/>
    </row>
    <row r="160" spans="1:42">
      <c r="A160">
        <v>198</v>
      </c>
      <c r="B160">
        <f t="shared" si="65"/>
        <v>198</v>
      </c>
      <c r="D160" s="43">
        <f t="shared" si="66"/>
        <v>461.00314914143144</v>
      </c>
      <c r="E160" s="43">
        <f t="shared" si="67"/>
        <v>778.08566061195847</v>
      </c>
      <c r="F160" s="69">
        <f t="shared" si="68"/>
        <v>0.81853861247377557</v>
      </c>
      <c r="G160" s="98">
        <f t="shared" si="69"/>
        <v>132.78813596170238</v>
      </c>
      <c r="H160" s="69">
        <f t="shared" si="70"/>
        <v>0.29855854417310107</v>
      </c>
      <c r="I160" s="69">
        <f t="shared" si="71"/>
        <v>-0.76780822330235998</v>
      </c>
      <c r="J160" s="99">
        <f t="shared" si="72"/>
        <v>1.5047746178408776E-2</v>
      </c>
      <c r="K160" s="69">
        <f t="shared" si="73"/>
        <v>1.6586357514497331E-3</v>
      </c>
      <c r="L160" s="99">
        <f t="shared" si="74"/>
        <v>1.6706381929858509E-2</v>
      </c>
      <c r="M160" s="69">
        <f t="shared" si="75"/>
        <v>17.870927734478631</v>
      </c>
      <c r="N160" s="69">
        <f t="shared" si="76"/>
        <v>9.7647662335621206</v>
      </c>
      <c r="O160" s="69">
        <f t="shared" si="77"/>
        <v>32.706370070925232</v>
      </c>
      <c r="P160" s="69">
        <f t="shared" si="78"/>
        <v>1.667326415597054</v>
      </c>
      <c r="Q160" s="69">
        <f t="shared" si="79"/>
        <v>0.28879294902082009</v>
      </c>
      <c r="R160" s="43">
        <f t="shared" si="80"/>
        <v>273.74780224427167</v>
      </c>
      <c r="S160" s="43">
        <f t="shared" si="81"/>
        <v>1056.1846749334786</v>
      </c>
      <c r="T160" s="43">
        <f>R160+Thrust!C$33*0.8</f>
        <v>2085.5078022442717</v>
      </c>
      <c r="U160" s="43"/>
      <c r="V160">
        <f t="shared" si="82"/>
        <v>821802.15052384231</v>
      </c>
      <c r="W160">
        <f t="shared" si="83"/>
        <v>212999.23955030588</v>
      </c>
      <c r="X160">
        <f t="shared" si="84"/>
        <v>-608802.91097353643</v>
      </c>
      <c r="Y160">
        <f t="shared" si="85"/>
        <v>608802.91097353643</v>
      </c>
      <c r="Z160">
        <f t="shared" si="86"/>
        <v>-2612.3512069632075</v>
      </c>
      <c r="AA160">
        <f t="shared" si="87"/>
        <v>-3.2077641959462748</v>
      </c>
      <c r="AB160">
        <f t="shared" si="88"/>
        <v>2545.9122611818348</v>
      </c>
      <c r="AC160">
        <f t="shared" si="89"/>
        <v>3.1261002248274075</v>
      </c>
      <c r="AD160">
        <f t="shared" si="90"/>
        <v>2.0621659255678542</v>
      </c>
      <c r="AE160">
        <f t="shared" si="91"/>
        <v>950.66498573893568</v>
      </c>
      <c r="AH160">
        <v>5.7809867692026833</v>
      </c>
      <c r="AI160">
        <v>2688.4691876911193</v>
      </c>
      <c r="AJ160">
        <f t="shared" si="92"/>
        <v>1462.2254632799738</v>
      </c>
      <c r="AK160">
        <f t="shared" si="93"/>
        <v>709.07265276305247</v>
      </c>
      <c r="AO160" s="43"/>
      <c r="AP160" s="43"/>
    </row>
    <row r="161" spans="1:42">
      <c r="A161">
        <v>199</v>
      </c>
      <c r="B161">
        <f t="shared" si="65"/>
        <v>199</v>
      </c>
      <c r="D161" s="43">
        <f t="shared" si="66"/>
        <v>463.33144787446895</v>
      </c>
      <c r="E161" s="43">
        <f t="shared" si="67"/>
        <v>782.01538617060476</v>
      </c>
      <c r="F161" s="69">
        <f t="shared" si="68"/>
        <v>0.8226726458701078</v>
      </c>
      <c r="G161" s="98">
        <f t="shared" si="69"/>
        <v>134.13281737117072</v>
      </c>
      <c r="H161" s="69">
        <f t="shared" si="70"/>
        <v>0.2955654949562449</v>
      </c>
      <c r="I161" s="69">
        <f t="shared" si="71"/>
        <v>-0.79301154848115529</v>
      </c>
      <c r="J161" s="99">
        <f t="shared" si="72"/>
        <v>1.5047746178408776E-2</v>
      </c>
      <c r="K161" s="69">
        <f t="shared" si="73"/>
        <v>1.609008451696263E-3</v>
      </c>
      <c r="L161" s="99">
        <f t="shared" si="74"/>
        <v>1.665675463010504E-2</v>
      </c>
      <c r="M161" s="69">
        <f t="shared" si="75"/>
        <v>17.744482735072925</v>
      </c>
      <c r="N161" s="69">
        <f t="shared" si="76"/>
        <v>9.6469540496104109</v>
      </c>
      <c r="O161" s="69">
        <f t="shared" si="77"/>
        <v>32.63897245867124</v>
      </c>
      <c r="P161" s="69">
        <f t="shared" si="78"/>
        <v>1.6757472560798674</v>
      </c>
      <c r="Q161" s="69">
        <f t="shared" si="79"/>
        <v>0.27632592382938048</v>
      </c>
      <c r="R161" s="43">
        <f t="shared" si="80"/>
        <v>260.61403487002184</v>
      </c>
      <c r="S161" s="43">
        <f t="shared" si="81"/>
        <v>1063.7109168977097</v>
      </c>
      <c r="T161" s="43">
        <f>R161+Thrust!C$33*0.8</f>
        <v>2072.3740348700217</v>
      </c>
      <c r="U161" s="43"/>
      <c r="V161">
        <f t="shared" si="82"/>
        <v>831838.30345165054</v>
      </c>
      <c r="W161">
        <f t="shared" si="83"/>
        <v>203804.18512035959</v>
      </c>
      <c r="X161">
        <f t="shared" si="84"/>
        <v>-628034.11833129101</v>
      </c>
      <c r="Y161">
        <f t="shared" si="85"/>
        <v>628034.11833129101</v>
      </c>
      <c r="Z161">
        <f t="shared" si="86"/>
        <v>-2644.2542096476309</v>
      </c>
      <c r="AA161">
        <f t="shared" si="87"/>
        <v>-3.23064649782618</v>
      </c>
      <c r="AB161">
        <f t="shared" si="88"/>
        <v>2507.4121675777392</v>
      </c>
      <c r="AC161">
        <f t="shared" si="89"/>
        <v>3.0632943869457701</v>
      </c>
      <c r="AD161">
        <f t="shared" si="90"/>
        <v>1.9493373791915556</v>
      </c>
      <c r="AE161">
        <f t="shared" si="91"/>
        <v>903.18931029664611</v>
      </c>
      <c r="AH161">
        <v>5.7356674345241778</v>
      </c>
      <c r="AI161">
        <v>2680.9360337687463</v>
      </c>
      <c r="AJ161">
        <f t="shared" si="92"/>
        <v>1373.5170977449736</v>
      </c>
      <c r="AK161">
        <f t="shared" si="93"/>
        <v>704.60717185580745</v>
      </c>
      <c r="AO161" s="43"/>
      <c r="AP161" s="43"/>
    </row>
    <row r="162" spans="1:42">
      <c r="A162">
        <v>200</v>
      </c>
      <c r="B162">
        <f t="shared" si="65"/>
        <v>200</v>
      </c>
      <c r="D162" s="43">
        <f t="shared" si="66"/>
        <v>465.65974660750646</v>
      </c>
      <c r="E162" s="43">
        <f t="shared" si="67"/>
        <v>785.94511172925093</v>
      </c>
      <c r="F162" s="69">
        <f t="shared" si="68"/>
        <v>0.82680667926643991</v>
      </c>
      <c r="G162" s="98">
        <f t="shared" si="69"/>
        <v>135.48427299428872</v>
      </c>
      <c r="H162" s="69">
        <f t="shared" si="70"/>
        <v>0.29261722914405641</v>
      </c>
      <c r="I162" s="69">
        <f t="shared" si="71"/>
        <v>-0.81783776970051802</v>
      </c>
      <c r="J162" s="99">
        <f t="shared" si="72"/>
        <v>1.5047746178408776E-2</v>
      </c>
      <c r="K162" s="69">
        <f t="shared" si="73"/>
        <v>1.5608606234955979E-3</v>
      </c>
      <c r="L162" s="99">
        <f t="shared" si="74"/>
        <v>1.6608606801904374E-2</v>
      </c>
      <c r="M162" s="69">
        <f t="shared" si="75"/>
        <v>17.618409095608452</v>
      </c>
      <c r="N162" s="69">
        <f t="shared" si="76"/>
        <v>9.5305208713380356</v>
      </c>
      <c r="O162" s="69">
        <f t="shared" si="77"/>
        <v>32.56992385313761</v>
      </c>
      <c r="P162" s="69">
        <f t="shared" si="78"/>
        <v>1.6841680965626806</v>
      </c>
      <c r="Q162" s="69">
        <f t="shared" si="79"/>
        <v>0.26372384509056079</v>
      </c>
      <c r="R162" s="43">
        <f t="shared" si="80"/>
        <v>247.48486763735917</v>
      </c>
      <c r="S162" s="43">
        <f t="shared" si="81"/>
        <v>1071.3226090717105</v>
      </c>
      <c r="T162" s="43">
        <f>R162+Thrust!C$33*0.8</f>
        <v>2059.2448676373592</v>
      </c>
      <c r="U162" s="43"/>
      <c r="V162">
        <f t="shared" si="82"/>
        <v>842000.76768493815</v>
      </c>
      <c r="W162">
        <f t="shared" si="83"/>
        <v>194509.52194654313</v>
      </c>
      <c r="X162">
        <f t="shared" si="84"/>
        <v>-647491.24573839502</v>
      </c>
      <c r="Y162">
        <f t="shared" si="85"/>
        <v>647491.24573839502</v>
      </c>
      <c r="Z162">
        <f t="shared" si="86"/>
        <v>-2676.5587317137101</v>
      </c>
      <c r="AA162">
        <f t="shared" si="87"/>
        <v>-3.2537891216977788</v>
      </c>
      <c r="AB162">
        <f t="shared" si="88"/>
        <v>2468.193917525381</v>
      </c>
      <c r="AC162">
        <f t="shared" si="89"/>
        <v>3.0002464728296805</v>
      </c>
      <c r="AD162">
        <f t="shared" si="90"/>
        <v>1.8379817972150037</v>
      </c>
      <c r="AE162">
        <f t="shared" si="91"/>
        <v>855.87413796034798</v>
      </c>
      <c r="AH162">
        <v>5.6900971751235243</v>
      </c>
      <c r="AI162">
        <v>2673.0715298285322</v>
      </c>
      <c r="AJ162">
        <f t="shared" si="92"/>
        <v>1286.8505581268014</v>
      </c>
      <c r="AK162">
        <f t="shared" si="93"/>
        <v>700.14325499670224</v>
      </c>
      <c r="AO162" s="43"/>
      <c r="AP162" s="43"/>
    </row>
    <row r="163" spans="1:42">
      <c r="A163">
        <v>201</v>
      </c>
      <c r="B163">
        <f t="shared" si="65"/>
        <v>201</v>
      </c>
      <c r="D163" s="43">
        <f t="shared" si="66"/>
        <v>467.98804534054403</v>
      </c>
      <c r="E163" s="43">
        <f t="shared" si="67"/>
        <v>789.87483728789732</v>
      </c>
      <c r="F163" s="69">
        <f t="shared" si="68"/>
        <v>0.83094071266277225</v>
      </c>
      <c r="G163" s="98">
        <f t="shared" si="69"/>
        <v>136.84250283105649</v>
      </c>
      <c r="H163" s="69">
        <f t="shared" si="70"/>
        <v>0.28971285774516109</v>
      </c>
      <c r="I163" s="69">
        <f t="shared" si="71"/>
        <v>-0.8422943728175355</v>
      </c>
      <c r="J163" s="99">
        <f t="shared" si="72"/>
        <v>1.5047746178408776E-2</v>
      </c>
      <c r="K163" s="69">
        <f t="shared" si="73"/>
        <v>1.5141447483293781E-3</v>
      </c>
      <c r="L163" s="99">
        <f t="shared" si="74"/>
        <v>1.6561890926738154E-2</v>
      </c>
      <c r="M163" s="69">
        <f t="shared" si="75"/>
        <v>17.492740353544868</v>
      </c>
      <c r="N163" s="69">
        <f t="shared" si="76"/>
        <v>9.4154641681019662</v>
      </c>
      <c r="O163" s="69">
        <f t="shared" si="77"/>
        <v>32.499296860286577</v>
      </c>
      <c r="P163" s="69">
        <f t="shared" si="78"/>
        <v>1.6925889370454941</v>
      </c>
      <c r="Q163" s="69">
        <f t="shared" si="79"/>
        <v>0.25098671280436236</v>
      </c>
      <c r="R163" s="43">
        <f t="shared" si="80"/>
        <v>234.36023188745509</v>
      </c>
      <c r="S163" s="43">
        <f t="shared" si="81"/>
        <v>1079.0190455307948</v>
      </c>
      <c r="T163" s="43">
        <f>R163+Thrust!C$33*0.8</f>
        <v>2046.120231887455</v>
      </c>
      <c r="U163" s="43"/>
      <c r="V163">
        <f t="shared" si="82"/>
        <v>852289.99301917874</v>
      </c>
      <c r="W163">
        <f t="shared" si="83"/>
        <v>185115.25002885747</v>
      </c>
      <c r="X163">
        <f t="shared" si="84"/>
        <v>-667174.74299032125</v>
      </c>
      <c r="Y163">
        <f t="shared" si="85"/>
        <v>667174.74299032125</v>
      </c>
      <c r="Z163">
        <f t="shared" si="86"/>
        <v>-2709.2662029748726</v>
      </c>
      <c r="AA163">
        <f t="shared" si="87"/>
        <v>-3.2771899428361522</v>
      </c>
      <c r="AB163">
        <f t="shared" si="88"/>
        <v>2428.2560812113366</v>
      </c>
      <c r="AC163">
        <f t="shared" si="89"/>
        <v>2.9369583854520744</v>
      </c>
      <c r="AD163">
        <f t="shared" si="90"/>
        <v>1.7280950874530234</v>
      </c>
      <c r="AE163">
        <f t="shared" si="91"/>
        <v>808.72784213973671</v>
      </c>
      <c r="AH163">
        <v>5.6442775514595489</v>
      </c>
      <c r="AI163">
        <v>2664.8746079725388</v>
      </c>
      <c r="AJ163">
        <f t="shared" si="92"/>
        <v>1202.2027091614038</v>
      </c>
      <c r="AK163">
        <f t="shared" si="93"/>
        <v>695.68087884173474</v>
      </c>
      <c r="AO163" s="43"/>
      <c r="AP163" s="43"/>
    </row>
    <row r="164" spans="1:42">
      <c r="A164">
        <v>202</v>
      </c>
      <c r="B164">
        <f t="shared" si="65"/>
        <v>202</v>
      </c>
      <c r="D164" s="43">
        <f t="shared" si="66"/>
        <v>470.31634407358155</v>
      </c>
      <c r="E164" s="43">
        <f t="shared" si="67"/>
        <v>793.80456284654349</v>
      </c>
      <c r="F164" s="69">
        <f t="shared" si="68"/>
        <v>0.83507474605910437</v>
      </c>
      <c r="G164" s="98">
        <f t="shared" si="69"/>
        <v>138.20750688147396</v>
      </c>
      <c r="H164" s="69">
        <f t="shared" si="70"/>
        <v>0.28685151371831813</v>
      </c>
      <c r="I164" s="69">
        <f t="shared" si="71"/>
        <v>-0.86638865885559624</v>
      </c>
      <c r="J164" s="99">
        <f t="shared" si="72"/>
        <v>1.5047746178408776E-2</v>
      </c>
      <c r="K164" s="69">
        <f t="shared" si="73"/>
        <v>1.4688150147381042E-3</v>
      </c>
      <c r="L164" s="99">
        <f t="shared" si="74"/>
        <v>1.6516561193146879E-2</v>
      </c>
      <c r="M164" s="69">
        <f t="shared" si="75"/>
        <v>17.367508306592281</v>
      </c>
      <c r="N164" s="69">
        <f t="shared" si="76"/>
        <v>9.301780527586784</v>
      </c>
      <c r="O164" s="69">
        <f t="shared" si="77"/>
        <v>32.427162077732405</v>
      </c>
      <c r="P164" s="69">
        <f t="shared" si="78"/>
        <v>1.7010097775283073</v>
      </c>
      <c r="Q164" s="69">
        <f t="shared" si="79"/>
        <v>0.23811452697078339</v>
      </c>
      <c r="R164" s="43">
        <f t="shared" si="80"/>
        <v>221.24006032105916</v>
      </c>
      <c r="S164" s="43">
        <f t="shared" si="81"/>
        <v>1086.7995377802995</v>
      </c>
      <c r="T164" s="43">
        <f>R164+Thrust!C$33*0.8</f>
        <v>2033.0000603210592</v>
      </c>
      <c r="U164" s="43"/>
      <c r="V164">
        <f t="shared" si="82"/>
        <v>862706.43198951613</v>
      </c>
      <c r="W164">
        <f t="shared" si="83"/>
        <v>175621.36936730129</v>
      </c>
      <c r="X164">
        <f t="shared" si="84"/>
        <v>-687085.0626222149</v>
      </c>
      <c r="Y164">
        <f t="shared" si="85"/>
        <v>687085.0626222149</v>
      </c>
      <c r="Z164">
        <f t="shared" si="86"/>
        <v>-2742.3780619534286</v>
      </c>
      <c r="AA164">
        <f t="shared" si="87"/>
        <v>-3.3008468897714791</v>
      </c>
      <c r="AB164">
        <f t="shared" si="88"/>
        <v>2387.597220113289</v>
      </c>
      <c r="AC164">
        <f t="shared" si="89"/>
        <v>2.8734319769047949</v>
      </c>
      <c r="AD164">
        <f t="shared" si="90"/>
        <v>1.6196722823391192</v>
      </c>
      <c r="AE164">
        <f t="shared" si="91"/>
        <v>761.7583464270482</v>
      </c>
      <c r="AH164">
        <v>5.5982100839943252</v>
      </c>
      <c r="AI164">
        <v>2656.344196240444</v>
      </c>
      <c r="AJ164">
        <f t="shared" si="92"/>
        <v>1119.5499082165643</v>
      </c>
      <c r="AK164">
        <f t="shared" si="93"/>
        <v>691.22002050916024</v>
      </c>
      <c r="AO164" s="43"/>
      <c r="AP164" s="43"/>
    </row>
    <row r="165" spans="1:42">
      <c r="A165">
        <v>203</v>
      </c>
      <c r="B165">
        <f t="shared" si="65"/>
        <v>203</v>
      </c>
      <c r="D165" s="43">
        <f t="shared" si="66"/>
        <v>472.64464280661906</v>
      </c>
      <c r="E165" s="43">
        <f t="shared" si="67"/>
        <v>797.73428840518977</v>
      </c>
      <c r="F165" s="69">
        <f t="shared" si="68"/>
        <v>0.83920877945543659</v>
      </c>
      <c r="G165" s="98">
        <f t="shared" si="69"/>
        <v>139.57928514554112</v>
      </c>
      <c r="H165" s="69">
        <f t="shared" si="70"/>
        <v>0.28403235132525062</v>
      </c>
      <c r="I165" s="69">
        <f t="shared" si="71"/>
        <v>-0.89012774945396034</v>
      </c>
      <c r="J165" s="99">
        <f t="shared" si="72"/>
        <v>1.5047746178408776E-2</v>
      </c>
      <c r="K165" s="69">
        <f t="shared" si="73"/>
        <v>1.4248272497656763E-3</v>
      </c>
      <c r="L165" s="99">
        <f t="shared" si="74"/>
        <v>1.6472573428174452E-2</v>
      </c>
      <c r="M165" s="69">
        <f t="shared" si="75"/>
        <v>17.24274307009285</v>
      </c>
      <c r="N165" s="69">
        <f t="shared" si="76"/>
        <v>9.1894657081021052</v>
      </c>
      <c r="O165" s="69">
        <f t="shared" si="77"/>
        <v>32.353588122006137</v>
      </c>
      <c r="P165" s="69">
        <f t="shared" si="78"/>
        <v>1.709430618011121</v>
      </c>
      <c r="Q165" s="69">
        <f t="shared" si="79"/>
        <v>0.22510728758982479</v>
      </c>
      <c r="R165" s="43">
        <f t="shared" si="80"/>
        <v>208.12428696501689</v>
      </c>
      <c r="S165" s="43">
        <f t="shared" si="81"/>
        <v>1094.6634142416854</v>
      </c>
      <c r="T165" s="43">
        <f>R165+Thrust!C$33*0.8</f>
        <v>2019.8842869650168</v>
      </c>
      <c r="U165" s="43"/>
      <c r="V165">
        <f t="shared" si="82"/>
        <v>873250.53980328632</v>
      </c>
      <c r="W165">
        <f t="shared" si="83"/>
        <v>166027.87996187527</v>
      </c>
      <c r="X165">
        <f t="shared" si="84"/>
        <v>-707222.65984141105</v>
      </c>
      <c r="Y165">
        <f t="shared" si="85"/>
        <v>707222.65984141105</v>
      </c>
      <c r="Z165">
        <f t="shared" si="86"/>
        <v>-2775.8957556660757</v>
      </c>
      <c r="AA165">
        <f t="shared" si="87"/>
        <v>-3.3247579427309573</v>
      </c>
      <c r="AB165">
        <f t="shared" si="88"/>
        <v>2346.2158872145446</v>
      </c>
      <c r="AC165">
        <f t="shared" si="89"/>
        <v>2.809669049875184</v>
      </c>
      <c r="AD165">
        <f t="shared" si="90"/>
        <v>1.5127075919648441</v>
      </c>
      <c r="AE165">
        <f t="shared" si="91"/>
        <v>714.97313947508462</v>
      </c>
      <c r="AH165">
        <v>5.551896254367005</v>
      </c>
      <c r="AI165">
        <v>2647.4792187096004</v>
      </c>
      <c r="AJ165">
        <f t="shared" si="92"/>
        <v>1038.8680605660422</v>
      </c>
      <c r="AK165">
        <f t="shared" si="93"/>
        <v>686.76065756810578</v>
      </c>
      <c r="AO165" s="43"/>
      <c r="AP165" s="43"/>
    </row>
    <row r="166" spans="1:42">
      <c r="A166">
        <v>204</v>
      </c>
      <c r="B166">
        <f t="shared" si="65"/>
        <v>204</v>
      </c>
      <c r="D166" s="43">
        <f t="shared" si="66"/>
        <v>474.97294153965663</v>
      </c>
      <c r="E166" s="43">
        <f t="shared" si="67"/>
        <v>801.66401396383606</v>
      </c>
      <c r="F166" s="69">
        <f t="shared" si="68"/>
        <v>0.84334281285176882</v>
      </c>
      <c r="G166" s="98">
        <f t="shared" si="69"/>
        <v>140.957837623258</v>
      </c>
      <c r="H166" s="69">
        <f t="shared" si="70"/>
        <v>0.28125454550562895</v>
      </c>
      <c r="I166" s="69">
        <f t="shared" si="71"/>
        <v>-0.91351859213078457</v>
      </c>
      <c r="J166" s="99">
        <f t="shared" si="72"/>
        <v>1.5047746178408776E-2</v>
      </c>
      <c r="K166" s="69">
        <f t="shared" si="73"/>
        <v>1.3821388534582791E-3</v>
      </c>
      <c r="L166" s="99">
        <f t="shared" si="74"/>
        <v>1.6429885031867056E-2</v>
      </c>
      <c r="M166" s="69">
        <f t="shared" si="75"/>
        <v>17.118473133568106</v>
      </c>
      <c r="N166" s="69">
        <f t="shared" si="76"/>
        <v>9.0785146888993857</v>
      </c>
      <c r="O166" s="69">
        <f t="shared" si="77"/>
        <v>32.278641657429468</v>
      </c>
      <c r="P166" s="69">
        <f t="shared" si="78"/>
        <v>1.7178514584939344</v>
      </c>
      <c r="Q166" s="69">
        <f t="shared" si="79"/>
        <v>0.21196499466148699</v>
      </c>
      <c r="R166" s="43">
        <f t="shared" si="80"/>
        <v>195.01284713976469</v>
      </c>
      <c r="S166" s="43">
        <f t="shared" si="81"/>
        <v>1102.6100197562289</v>
      </c>
      <c r="T166" s="43">
        <f>R166+Thrust!C$33*0.8</f>
        <v>2006.7728471397647</v>
      </c>
      <c r="U166" s="43"/>
      <c r="V166">
        <f t="shared" si="82"/>
        <v>883922.77427452302</v>
      </c>
      <c r="W166">
        <f t="shared" si="83"/>
        <v>156334.78181257975</v>
      </c>
      <c r="X166">
        <f t="shared" si="84"/>
        <v>-727587.9924619433</v>
      </c>
      <c r="Y166">
        <f t="shared" si="85"/>
        <v>727587.9924619433</v>
      </c>
      <c r="Z166">
        <f t="shared" si="86"/>
        <v>-2809.8207394157021</v>
      </c>
      <c r="AA166">
        <f t="shared" si="87"/>
        <v>-3.3489211321342065</v>
      </c>
      <c r="AB166">
        <f t="shared" si="88"/>
        <v>2304.110627212217</v>
      </c>
      <c r="AC166">
        <f t="shared" si="89"/>
        <v>2.7456713590714337</v>
      </c>
      <c r="AD166">
        <f t="shared" si="90"/>
        <v>1.4071944551025979</v>
      </c>
      <c r="AE166">
        <f t="shared" si="91"/>
        <v>668.37928965837523</v>
      </c>
      <c r="AH166">
        <v>5.5053375065267529</v>
      </c>
      <c r="AI166">
        <v>2638.2785955921563</v>
      </c>
      <c r="AJ166">
        <f t="shared" si="92"/>
        <v>960.1326718694803</v>
      </c>
      <c r="AK166">
        <f t="shared" si="93"/>
        <v>682.30276802752007</v>
      </c>
      <c r="AO166" s="43"/>
      <c r="AP166" s="43"/>
    </row>
    <row r="167" spans="1:42">
      <c r="A167">
        <v>205</v>
      </c>
      <c r="B167">
        <f t="shared" si="65"/>
        <v>205</v>
      </c>
      <c r="D167" s="43">
        <f t="shared" si="66"/>
        <v>477.30124027269414</v>
      </c>
      <c r="E167" s="43">
        <f t="shared" si="67"/>
        <v>805.59373952248222</v>
      </c>
      <c r="F167" s="69">
        <f t="shared" si="68"/>
        <v>0.84747684624810093</v>
      </c>
      <c r="G167" s="98">
        <f t="shared" si="69"/>
        <v>142.3431643146246</v>
      </c>
      <c r="H167" s="69">
        <f t="shared" si="70"/>
        <v>0.27851729127334335</v>
      </c>
      <c r="I167" s="69">
        <f t="shared" si="71"/>
        <v>-0.93656796536688225</v>
      </c>
      <c r="J167" s="99">
        <f t="shared" si="72"/>
        <v>1.5047746178408776E-2</v>
      </c>
      <c r="K167" s="69">
        <f t="shared" si="73"/>
        <v>1.3407087362679098E-3</v>
      </c>
      <c r="L167" s="99">
        <f t="shared" si="74"/>
        <v>1.6388454914676685E-2</v>
      </c>
      <c r="M167" s="69">
        <f t="shared" si="75"/>
        <v>16.994725416361071</v>
      </c>
      <c r="N167" s="69">
        <f t="shared" si="76"/>
        <v>8.9689217185383256</v>
      </c>
      <c r="O167" s="69">
        <f t="shared" si="77"/>
        <v>32.20238742640943</v>
      </c>
      <c r="P167" s="69">
        <f t="shared" si="78"/>
        <v>1.7262722989767476</v>
      </c>
      <c r="Q167" s="69">
        <f t="shared" si="79"/>
        <v>0.19868764818576956</v>
      </c>
      <c r="R167" s="43">
        <f t="shared" si="80"/>
        <v>181.90567742777836</v>
      </c>
      <c r="S167" s="43">
        <f t="shared" si="81"/>
        <v>1110.6387151056151</v>
      </c>
      <c r="T167" s="43">
        <f>R167+Thrust!C$33*0.8</f>
        <v>1993.6656774277783</v>
      </c>
      <c r="U167" s="43"/>
      <c r="V167">
        <f t="shared" si="82"/>
        <v>894723.59576037724</v>
      </c>
      <c r="W167">
        <f t="shared" si="83"/>
        <v>146542.07491941436</v>
      </c>
      <c r="X167">
        <f t="shared" si="84"/>
        <v>-748181.52084096288</v>
      </c>
      <c r="Y167">
        <f t="shared" si="85"/>
        <v>748181.52084096288</v>
      </c>
      <c r="Z167">
        <f t="shared" si="86"/>
        <v>-2844.1544765892791</v>
      </c>
      <c r="AA167">
        <f t="shared" si="87"/>
        <v>-3.3733345371400731</v>
      </c>
      <c r="AB167">
        <f t="shared" si="88"/>
        <v>2261.2799767193305</v>
      </c>
      <c r="AC167">
        <f t="shared" si="89"/>
        <v>2.6814406125987094</v>
      </c>
      <c r="AD167">
        <f t="shared" si="90"/>
        <v>1.3031255882424564</v>
      </c>
      <c r="AE167">
        <f t="shared" si="91"/>
        <v>621.98345949920861</v>
      </c>
      <c r="AH167">
        <v>5.458535247826358</v>
      </c>
      <c r="AI167">
        <v>2628.741243329323</v>
      </c>
      <c r="AJ167">
        <f t="shared" si="92"/>
        <v>883.31889794333551</v>
      </c>
      <c r="AK167">
        <f t="shared" si="93"/>
        <v>677.84633032544468</v>
      </c>
      <c r="AO167" s="43"/>
      <c r="AP167" s="43"/>
    </row>
    <row r="168" spans="1:42">
      <c r="A168">
        <v>206</v>
      </c>
      <c r="B168">
        <f t="shared" si="65"/>
        <v>206</v>
      </c>
      <c r="D168" s="43">
        <f t="shared" si="66"/>
        <v>479.62953900573166</v>
      </c>
      <c r="E168" s="43">
        <f t="shared" si="67"/>
        <v>809.52346508112851</v>
      </c>
      <c r="F168" s="69">
        <f t="shared" si="68"/>
        <v>0.85161087964443316</v>
      </c>
      <c r="G168" s="98">
        <f t="shared" si="69"/>
        <v>143.73526521964092</v>
      </c>
      <c r="H168" s="69">
        <f t="shared" si="70"/>
        <v>0.27581980313324195</v>
      </c>
      <c r="I168" s="69">
        <f t="shared" si="71"/>
        <v>-0.95928248351714829</v>
      </c>
      <c r="J168" s="99">
        <f t="shared" si="72"/>
        <v>1.5047746178408776E-2</v>
      </c>
      <c r="K168" s="69">
        <f t="shared" si="73"/>
        <v>1.3004972592189005E-3</v>
      </c>
      <c r="L168" s="99">
        <f t="shared" si="74"/>
        <v>1.6348243437627676E-2</v>
      </c>
      <c r="M168" s="69">
        <f t="shared" si="75"/>
        <v>16.871525322311122</v>
      </c>
      <c r="N168" s="69">
        <f t="shared" si="76"/>
        <v>8.8606803613365379</v>
      </c>
      <c r="O168" s="69">
        <f t="shared" si="77"/>
        <v>32.124888280977252</v>
      </c>
      <c r="P168" s="69">
        <f t="shared" si="78"/>
        <v>1.7346931394595611</v>
      </c>
      <c r="Q168" s="69">
        <f t="shared" si="79"/>
        <v>0.18527524816267249</v>
      </c>
      <c r="R168" s="43">
        <f t="shared" si="80"/>
        <v>168.80271564294233</v>
      </c>
      <c r="S168" s="43">
        <f t="shared" si="81"/>
        <v>1118.7488765487883</v>
      </c>
      <c r="T168" s="43">
        <f>R168+Thrust!C$33*0.8</f>
        <v>1980.5627156429423</v>
      </c>
      <c r="U168" s="43"/>
      <c r="V168">
        <f t="shared" si="82"/>
        <v>905653.46709939477</v>
      </c>
      <c r="W168">
        <f t="shared" si="83"/>
        <v>136649.75928237909</v>
      </c>
      <c r="X168">
        <f t="shared" si="84"/>
        <v>-769003.7078170157</v>
      </c>
      <c r="Y168">
        <f t="shared" si="85"/>
        <v>769003.7078170157</v>
      </c>
      <c r="Z168">
        <f t="shared" si="86"/>
        <v>-2878.8984384616519</v>
      </c>
      <c r="AA168">
        <f t="shared" si="87"/>
        <v>-3.397996284242859</v>
      </c>
      <c r="AB168">
        <f t="shared" si="88"/>
        <v>2217.7224644610428</v>
      </c>
      <c r="AC168">
        <f t="shared" si="89"/>
        <v>2.6169784732879422</v>
      </c>
      <c r="AD168">
        <f t="shared" si="90"/>
        <v>1.2004930326771523</v>
      </c>
      <c r="AE168">
        <f t="shared" si="91"/>
        <v>575.79191984253544</v>
      </c>
      <c r="AH168">
        <v>5.4114908500781054</v>
      </c>
      <c r="AI168">
        <v>2618.8660746829105</v>
      </c>
      <c r="AJ168">
        <f t="shared" si="92"/>
        <v>808.40159190922748</v>
      </c>
      <c r="AK168">
        <f t="shared" si="93"/>
        <v>673.39132331860048</v>
      </c>
      <c r="AO168" s="43"/>
      <c r="AP168" s="43"/>
    </row>
    <row r="169" spans="1:42">
      <c r="A169">
        <v>207</v>
      </c>
      <c r="B169">
        <f t="shared" si="65"/>
        <v>207</v>
      </c>
      <c r="D169" s="43">
        <f t="shared" si="66"/>
        <v>481.95783773876923</v>
      </c>
      <c r="E169" s="43">
        <f t="shared" si="67"/>
        <v>813.45319063977479</v>
      </c>
      <c r="F169" s="69">
        <f t="shared" si="68"/>
        <v>0.85574491304076539</v>
      </c>
      <c r="G169" s="98">
        <f t="shared" si="69"/>
        <v>145.13414033830696</v>
      </c>
      <c r="H169" s="69">
        <f t="shared" si="70"/>
        <v>0.27316131451754422</v>
      </c>
      <c r="I169" s="69">
        <f t="shared" si="71"/>
        <v>-0.98166860155630753</v>
      </c>
      <c r="J169" s="99">
        <f t="shared" si="72"/>
        <v>1.5047746178408776E-2</v>
      </c>
      <c r="K169" s="69">
        <f t="shared" si="73"/>
        <v>1.2614661767032943E-3</v>
      </c>
      <c r="L169" s="99">
        <f t="shared" si="74"/>
        <v>1.6309212355112072E-2</v>
      </c>
      <c r="M169" s="69">
        <f t="shared" si="75"/>
        <v>16.748896793407848</v>
      </c>
      <c r="N169" s="69">
        <f t="shared" si="76"/>
        <v>8.7537835419392476</v>
      </c>
      <c r="O169" s="69">
        <f t="shared" si="77"/>
        <v>32.04620521540587</v>
      </c>
      <c r="P169" s="69">
        <f t="shared" si="78"/>
        <v>1.7431139799423745</v>
      </c>
      <c r="Q169" s="69">
        <f t="shared" si="79"/>
        <v>0.17172779459219534</v>
      </c>
      <c r="R169" s="43">
        <f t="shared" si="80"/>
        <v>155.70390080080483</v>
      </c>
      <c r="S169" s="43">
        <f t="shared" si="81"/>
        <v>1126.9398953744201</v>
      </c>
      <c r="T169" s="43">
        <f>R169+Thrust!C$33*0.8</f>
        <v>1967.4639008008048</v>
      </c>
      <c r="U169" s="43"/>
      <c r="V169">
        <f t="shared" si="82"/>
        <v>916712.85355157603</v>
      </c>
      <c r="W169">
        <f t="shared" si="83"/>
        <v>126657.83490147367</v>
      </c>
      <c r="X169">
        <f t="shared" si="84"/>
        <v>-790055.01865010231</v>
      </c>
      <c r="Y169">
        <f t="shared" si="85"/>
        <v>790055.01865010231</v>
      </c>
      <c r="Z169">
        <f t="shared" si="86"/>
        <v>-2914.0541040050098</v>
      </c>
      <c r="AA169">
        <f t="shared" si="87"/>
        <v>-3.4229045459160621</v>
      </c>
      <c r="AB169">
        <f t="shared" si="88"/>
        <v>2173.4366114651634</v>
      </c>
      <c r="AC169">
        <f t="shared" si="89"/>
        <v>2.5522865599791369</v>
      </c>
      <c r="AD169">
        <f t="shared" si="90"/>
        <v>1.0992881996723987</v>
      </c>
      <c r="AE169">
        <f t="shared" si="91"/>
        <v>529.81056376585377</v>
      </c>
      <c r="AH169">
        <v>5.3642056505733038</v>
      </c>
      <c r="AI169">
        <v>2608.6519988241935</v>
      </c>
      <c r="AJ169">
        <f t="shared" si="92"/>
        <v>735.35534880679563</v>
      </c>
      <c r="AK169">
        <f t="shared" si="93"/>
        <v>668.93772627227372</v>
      </c>
      <c r="AO169" s="43"/>
      <c r="AP169" s="43"/>
    </row>
    <row r="170" spans="1:42">
      <c r="A170">
        <v>208</v>
      </c>
      <c r="B170">
        <f t="shared" si="65"/>
        <v>208</v>
      </c>
      <c r="D170" s="43">
        <f t="shared" si="66"/>
        <v>484.28613647180674</v>
      </c>
      <c r="E170" s="43">
        <f t="shared" si="67"/>
        <v>817.38291619842107</v>
      </c>
      <c r="F170" s="69">
        <f t="shared" si="68"/>
        <v>0.85987894643709761</v>
      </c>
      <c r="G170" s="98">
        <f t="shared" si="69"/>
        <v>146.53978967062272</v>
      </c>
      <c r="H170" s="69">
        <f t="shared" si="70"/>
        <v>0.27054107724117632</v>
      </c>
      <c r="I170" s="69">
        <f t="shared" si="71"/>
        <v>-1.0037326196653271</v>
      </c>
      <c r="J170" s="99">
        <f t="shared" si="72"/>
        <v>1.5047746178408776E-2</v>
      </c>
      <c r="K170" s="69">
        <f t="shared" si="73"/>
        <v>1.2235785817780664E-3</v>
      </c>
      <c r="L170" s="99">
        <f t="shared" si="74"/>
        <v>1.6271324760186844E-2</v>
      </c>
      <c r="M170" s="69">
        <f t="shared" si="75"/>
        <v>16.626862362377782</v>
      </c>
      <c r="N170" s="69">
        <f t="shared" si="76"/>
        <v>8.6482235880482747</v>
      </c>
      <c r="O170" s="69">
        <f t="shared" si="77"/>
        <v>31.966397399751372</v>
      </c>
      <c r="P170" s="69">
        <f t="shared" si="78"/>
        <v>1.7515348204251879</v>
      </c>
      <c r="Q170" s="69">
        <f t="shared" si="79"/>
        <v>0.15804528747433899</v>
      </c>
      <c r="R170" s="43">
        <f t="shared" si="80"/>
        <v>142.60917308969309</v>
      </c>
      <c r="S170" s="43">
        <f t="shared" si="81"/>
        <v>1135.2111774684058</v>
      </c>
      <c r="T170" s="43">
        <f>R170+Thrust!C$33*0.8</f>
        <v>1954.369173089693</v>
      </c>
      <c r="U170" s="43"/>
      <c r="V170">
        <f t="shared" si="82"/>
        <v>927902.22274016892</v>
      </c>
      <c r="W170">
        <f t="shared" si="83"/>
        <v>116566.30177669873</v>
      </c>
      <c r="X170">
        <f t="shared" si="84"/>
        <v>-811335.92096347013</v>
      </c>
      <c r="Y170">
        <f t="shared" si="85"/>
        <v>811335.92096347013</v>
      </c>
      <c r="Z170">
        <f t="shared" si="86"/>
        <v>-2949.6229597038482</v>
      </c>
      <c r="AA170">
        <f t="shared" si="87"/>
        <v>-3.4480575393017876</v>
      </c>
      <c r="AB170">
        <f t="shared" si="88"/>
        <v>2128.4209312471985</v>
      </c>
      <c r="AC170">
        <f t="shared" si="89"/>
        <v>2.487366448760941</v>
      </c>
      <c r="AD170">
        <f t="shared" si="90"/>
        <v>0.99950191376246167</v>
      </c>
      <c r="AE170">
        <f t="shared" si="91"/>
        <v>484.0449202121996</v>
      </c>
      <c r="AH170">
        <v>5.3166809530669408</v>
      </c>
      <c r="AI170">
        <v>2598.0979214202262</v>
      </c>
      <c r="AJ170">
        <f t="shared" si="92"/>
        <v>664.15454775851276</v>
      </c>
      <c r="AK170">
        <f t="shared" si="93"/>
        <v>664.48551885049574</v>
      </c>
      <c r="AO170" s="43"/>
      <c r="AP170" s="43"/>
    </row>
    <row r="171" spans="1:42">
      <c r="A171">
        <v>209</v>
      </c>
      <c r="B171">
        <f t="shared" si="65"/>
        <v>209</v>
      </c>
      <c r="D171" s="43">
        <f t="shared" si="66"/>
        <v>486.61443520484426</v>
      </c>
      <c r="E171" s="43">
        <f t="shared" si="67"/>
        <v>821.31264175706724</v>
      </c>
      <c r="F171" s="69">
        <f t="shared" si="68"/>
        <v>0.86401297983342973</v>
      </c>
      <c r="G171" s="98">
        <f t="shared" si="69"/>
        <v>147.95221321658815</v>
      </c>
      <c r="H171" s="69">
        <f t="shared" si="70"/>
        <v>0.26795836097530407</v>
      </c>
      <c r="I171" s="69">
        <f t="shared" si="71"/>
        <v>-1.0254806876645943</v>
      </c>
      <c r="J171" s="99">
        <f t="shared" si="72"/>
        <v>1.5047746178408776E-2</v>
      </c>
      <c r="K171" s="69">
        <f t="shared" si="73"/>
        <v>1.1867988538438387E-3</v>
      </c>
      <c r="L171" s="99">
        <f t="shared" si="74"/>
        <v>1.6234545032252613E-2</v>
      </c>
      <c r="M171" s="69">
        <f t="shared" si="75"/>
        <v>16.505443204164969</v>
      </c>
      <c r="N171" s="69">
        <f t="shared" si="76"/>
        <v>8.5439922713517067</v>
      </c>
      <c r="O171" s="69">
        <f t="shared" si="77"/>
        <v>31.885522214173974</v>
      </c>
      <c r="P171" s="69">
        <f t="shared" si="78"/>
        <v>1.7599556609080012</v>
      </c>
      <c r="Q171" s="69">
        <f t="shared" si="79"/>
        <v>0.14422772680910301</v>
      </c>
      <c r="R171" s="43">
        <f t="shared" si="80"/>
        <v>129.5184738426542</v>
      </c>
      <c r="S171" s="43">
        <f t="shared" si="81"/>
        <v>1143.5621428958116</v>
      </c>
      <c r="T171" s="43">
        <f>R171+Thrust!C$33*0.8</f>
        <v>1941.2784738426542</v>
      </c>
      <c r="U171" s="43"/>
      <c r="V171">
        <f t="shared" si="82"/>
        <v>939222.04459513188</v>
      </c>
      <c r="W171">
        <f t="shared" si="83"/>
        <v>106375.15990805393</v>
      </c>
      <c r="X171">
        <f t="shared" si="84"/>
        <v>-832846.88468707795</v>
      </c>
      <c r="Y171">
        <f t="shared" si="85"/>
        <v>832846.88468707795</v>
      </c>
      <c r="Z171">
        <f t="shared" si="86"/>
        <v>-2985.606499375253</v>
      </c>
      <c r="AA171">
        <f t="shared" si="87"/>
        <v>-3.4734535249441176</v>
      </c>
      <c r="AB171">
        <f t="shared" si="88"/>
        <v>2082.6739299900592</v>
      </c>
      <c r="AC171">
        <f t="shared" si="89"/>
        <v>2.4222196741681454</v>
      </c>
      <c r="AD171">
        <f t="shared" si="90"/>
        <v>0.9011244542130693</v>
      </c>
      <c r="AE171">
        <f t="shared" si="91"/>
        <v>438.50016733616627</v>
      </c>
      <c r="AH171">
        <v>5.2689180287287725</v>
      </c>
      <c r="AI171">
        <v>2587.2027447176752</v>
      </c>
      <c r="AJ171">
        <f t="shared" si="92"/>
        <v>594.77339177379429</v>
      </c>
      <c r="AK171">
        <f t="shared" si="93"/>
        <v>660.03468110650249</v>
      </c>
      <c r="AO171" s="43"/>
      <c r="AP171" s="43"/>
    </row>
    <row r="172" spans="1:42">
      <c r="A172">
        <v>210</v>
      </c>
      <c r="B172">
        <f t="shared" si="65"/>
        <v>210</v>
      </c>
      <c r="D172" s="43">
        <f t="shared" si="66"/>
        <v>488.94273393788183</v>
      </c>
      <c r="E172" s="43">
        <f t="shared" si="67"/>
        <v>825.24236731571352</v>
      </c>
      <c r="F172" s="69">
        <f t="shared" si="68"/>
        <v>0.86814701322976195</v>
      </c>
      <c r="G172" s="98">
        <f t="shared" si="69"/>
        <v>149.37141097620332</v>
      </c>
      <c r="H172" s="69">
        <f t="shared" si="70"/>
        <v>0.26541245273837316</v>
      </c>
      <c r="I172" s="69">
        <f t="shared" si="71"/>
        <v>-1.0469188092996742</v>
      </c>
      <c r="J172" s="99">
        <f t="shared" si="72"/>
        <v>1.5047746178408776E-2</v>
      </c>
      <c r="K172" s="69">
        <f t="shared" si="73"/>
        <v>1.1510926085910957E-3</v>
      </c>
      <c r="L172" s="99">
        <f t="shared" si="74"/>
        <v>1.6198838786999872E-2</v>
      </c>
      <c r="M172" s="69">
        <f t="shared" si="75"/>
        <v>16.384659186273019</v>
      </c>
      <c r="N172" s="69">
        <f t="shared" si="76"/>
        <v>8.441080846697659</v>
      </c>
      <c r="O172" s="69">
        <f t="shared" si="77"/>
        <v>31.803635283904114</v>
      </c>
      <c r="P172" s="69">
        <f t="shared" si="78"/>
        <v>1.7683765013908146</v>
      </c>
      <c r="Q172" s="69">
        <f t="shared" si="79"/>
        <v>0.13027511259648739</v>
      </c>
      <c r="R172" s="43">
        <f t="shared" si="80"/>
        <v>116.43174551020138</v>
      </c>
      <c r="S172" s="43">
        <f t="shared" si="81"/>
        <v>1151.9922254967241</v>
      </c>
      <c r="T172" s="43">
        <f>R172+Thrust!C$33*0.8</f>
        <v>1928.1917455102014</v>
      </c>
      <c r="U172" s="43"/>
      <c r="V172">
        <f t="shared" si="82"/>
        <v>950672.79129821388</v>
      </c>
      <c r="W172">
        <f t="shared" si="83"/>
        <v>96084.409295539284</v>
      </c>
      <c r="X172">
        <f t="shared" si="84"/>
        <v>-854588.38200267463</v>
      </c>
      <c r="Y172">
        <f t="shared" si="85"/>
        <v>854588.38200267463</v>
      </c>
      <c r="Z172">
        <f t="shared" si="86"/>
        <v>-3022.0062239943222</v>
      </c>
      <c r="AA172">
        <f t="shared" si="87"/>
        <v>-3.499090805564756</v>
      </c>
      <c r="AB172">
        <f t="shared" si="88"/>
        <v>2036.1941067186517</v>
      </c>
      <c r="AC172">
        <f t="shared" si="89"/>
        <v>2.3568477303387252</v>
      </c>
      <c r="AD172">
        <f t="shared" si="90"/>
        <v>0.80414559469572888</v>
      </c>
      <c r="AE172">
        <f t="shared" si="91"/>
        <v>393.18114555463353</v>
      </c>
      <c r="AH172">
        <v>5.2209181170621441</v>
      </c>
      <c r="AI172">
        <v>2575.9653676242565</v>
      </c>
      <c r="AJ172">
        <f t="shared" si="92"/>
        <v>527.18594527943685</v>
      </c>
      <c r="AK172">
        <f t="shared" si="93"/>
        <v>655.58519347346851</v>
      </c>
      <c r="AO172" s="43"/>
      <c r="AP172" s="43"/>
    </row>
    <row r="173" spans="1:42">
      <c r="A173">
        <v>211</v>
      </c>
      <c r="B173">
        <f t="shared" si="65"/>
        <v>211</v>
      </c>
      <c r="D173" s="43">
        <f t="shared" si="66"/>
        <v>491.27103267091934</v>
      </c>
      <c r="E173" s="43">
        <f t="shared" si="67"/>
        <v>829.17209287435981</v>
      </c>
      <c r="F173" s="69">
        <f t="shared" si="68"/>
        <v>0.87228104662609418</v>
      </c>
      <c r="G173" s="98">
        <f t="shared" si="69"/>
        <v>150.79738294946821</v>
      </c>
      <c r="H173" s="69">
        <f t="shared" si="70"/>
        <v>0.26290265640399485</v>
      </c>
      <c r="I173" s="69">
        <f t="shared" si="71"/>
        <v>-1.0680528463852144</v>
      </c>
      <c r="J173" s="99">
        <f t="shared" si="72"/>
        <v>1.5047746178408776E-2</v>
      </c>
      <c r="K173" s="69">
        <f t="shared" si="73"/>
        <v>1.1164266501058426E-3</v>
      </c>
      <c r="L173" s="99">
        <f t="shared" si="74"/>
        <v>1.6164172828514619E-2</v>
      </c>
      <c r="M173" s="69">
        <f t="shared" si="75"/>
        <v>16.264528917942403</v>
      </c>
      <c r="N173" s="69">
        <f t="shared" si="76"/>
        <v>8.3394800895568473</v>
      </c>
      <c r="O173" s="69">
        <f t="shared" si="77"/>
        <v>31.720790514728812</v>
      </c>
      <c r="P173" s="69">
        <f t="shared" si="78"/>
        <v>1.7767973418736283</v>
      </c>
      <c r="Q173" s="69">
        <f t="shared" si="79"/>
        <v>0.11618744483649168</v>
      </c>
      <c r="R173" s="43">
        <f t="shared" si="80"/>
        <v>103.348931633833</v>
      </c>
      <c r="S173" s="43">
        <f t="shared" si="81"/>
        <v>1160.5008724954725</v>
      </c>
      <c r="T173" s="43">
        <f>R173+Thrust!C$33*0.8</f>
        <v>1915.108931633833</v>
      </c>
      <c r="U173" s="43"/>
      <c r="V173">
        <f t="shared" si="82"/>
        <v>962254.93722959154</v>
      </c>
      <c r="W173">
        <f t="shared" si="83"/>
        <v>85694.049939154444</v>
      </c>
      <c r="X173">
        <f t="shared" si="84"/>
        <v>-876560.88729043712</v>
      </c>
      <c r="Y173">
        <f t="shared" si="85"/>
        <v>876560.88729043712</v>
      </c>
      <c r="Z173">
        <f t="shared" si="86"/>
        <v>-3058.8236415245287</v>
      </c>
      <c r="AA173">
        <f t="shared" si="87"/>
        <v>-3.5249677248793203</v>
      </c>
      <c r="AB173">
        <f t="shared" si="88"/>
        <v>1988.9799534694985</v>
      </c>
      <c r="AC173">
        <f t="shared" si="89"/>
        <v>2.2912520721319689</v>
      </c>
      <c r="AD173">
        <f t="shared" si="90"/>
        <v>0.70855464121895084</v>
      </c>
      <c r="AE173">
        <f t="shared" si="91"/>
        <v>348.09237029540674</v>
      </c>
      <c r="AH173">
        <v>5.1726824267917531</v>
      </c>
      <c r="AI173">
        <v>2564.3846857878607</v>
      </c>
      <c r="AJ173">
        <f t="shared" si="92"/>
        <v>461.36616946266639</v>
      </c>
      <c r="AK173">
        <f t="shared" si="93"/>
        <v>651.13703675550323</v>
      </c>
      <c r="AO173" s="43"/>
      <c r="AP173" s="43"/>
    </row>
    <row r="174" spans="1:42">
      <c r="A174">
        <v>212</v>
      </c>
      <c r="B174">
        <f t="shared" si="65"/>
        <v>212</v>
      </c>
      <c r="D174" s="43">
        <f t="shared" si="66"/>
        <v>493.59933140395685</v>
      </c>
      <c r="E174" s="43">
        <f t="shared" si="67"/>
        <v>833.10181843300597</v>
      </c>
      <c r="F174" s="69">
        <f t="shared" si="68"/>
        <v>0.8764150800224263</v>
      </c>
      <c r="G174" s="98">
        <f t="shared" si="69"/>
        <v>152.2301291363828</v>
      </c>
      <c r="H174" s="69">
        <f t="shared" si="70"/>
        <v>0.26042829222504132</v>
      </c>
      <c r="I174" s="69">
        <f t="shared" si="71"/>
        <v>-1.088888522812357</v>
      </c>
      <c r="J174" s="99">
        <f t="shared" si="72"/>
        <v>1.5047746178408776E-2</v>
      </c>
      <c r="K174" s="69">
        <f t="shared" si="73"/>
        <v>1.0827689250322463E-3</v>
      </c>
      <c r="L174" s="99">
        <f t="shared" si="74"/>
        <v>1.6130515103441021E-2</v>
      </c>
      <c r="M174" s="69">
        <f t="shared" si="75"/>
        <v>16.145069798142142</v>
      </c>
      <c r="N174" s="69">
        <f t="shared" si="76"/>
        <v>8.2391803318198722</v>
      </c>
      <c r="O174" s="69">
        <f t="shared" si="77"/>
        <v>31.637040128882123</v>
      </c>
      <c r="P174" s="69">
        <f t="shared" si="78"/>
        <v>1.7852181823564415</v>
      </c>
      <c r="Q174" s="69">
        <f t="shared" si="79"/>
        <v>0.10196472352911723</v>
      </c>
      <c r="R174" s="43">
        <f t="shared" si="80"/>
        <v>90.269976820303825</v>
      </c>
      <c r="S174" s="43">
        <f t="shared" si="81"/>
        <v>1169.0875441227265</v>
      </c>
      <c r="T174" s="43">
        <f>R174+Thrust!C$33*0.8</f>
        <v>1902.0299768203038</v>
      </c>
      <c r="U174" s="43"/>
      <c r="V174">
        <f t="shared" si="82"/>
        <v>973968.95891602058</v>
      </c>
      <c r="W174">
        <f t="shared" si="83"/>
        <v>75204.081838900413</v>
      </c>
      <c r="X174">
        <f t="shared" si="84"/>
        <v>-898764.87707712012</v>
      </c>
      <c r="Y174">
        <f t="shared" si="85"/>
        <v>898764.87707712012</v>
      </c>
      <c r="Z174">
        <f t="shared" si="86"/>
        <v>-3096.0602667529129</v>
      </c>
      <c r="AA174">
        <f t="shared" si="87"/>
        <v>-3.5510826664528055</v>
      </c>
      <c r="AB174">
        <f t="shared" si="88"/>
        <v>1941.0299554555638</v>
      </c>
      <c r="AC174">
        <f t="shared" si="89"/>
        <v>2.2254341162091555</v>
      </c>
      <c r="AD174">
        <f t="shared" si="90"/>
        <v>0.61434046836317102</v>
      </c>
      <c r="AE174">
        <f t="shared" si="91"/>
        <v>303.23804443845489</v>
      </c>
      <c r="AH174">
        <v>5.1242121367215541</v>
      </c>
      <c r="AI174">
        <v>2552.4595916734306</v>
      </c>
      <c r="AJ174">
        <f t="shared" si="92"/>
        <v>397.28795551219616</v>
      </c>
      <c r="AK174">
        <f t="shared" si="93"/>
        <v>646.69019211890338</v>
      </c>
      <c r="AO174" s="43"/>
      <c r="AP174" s="43"/>
    </row>
    <row r="175" spans="1:42">
      <c r="A175">
        <v>213</v>
      </c>
      <c r="B175">
        <f t="shared" si="65"/>
        <v>213</v>
      </c>
      <c r="D175" s="43">
        <f t="shared" si="66"/>
        <v>495.92763013699442</v>
      </c>
      <c r="E175" s="43">
        <f t="shared" si="67"/>
        <v>837.03154399165237</v>
      </c>
      <c r="F175" s="69">
        <f t="shared" si="68"/>
        <v>0.88054911341875874</v>
      </c>
      <c r="G175" s="98">
        <f t="shared" si="69"/>
        <v>153.66964953694716</v>
      </c>
      <c r="H175" s="69">
        <f t="shared" si="70"/>
        <v>0.25798869637334421</v>
      </c>
      <c r="I175" s="69">
        <f t="shared" si="71"/>
        <v>-1.1094314284247635</v>
      </c>
      <c r="J175" s="99">
        <f t="shared" si="72"/>
        <v>1.5047746178408776E-2</v>
      </c>
      <c r="K175" s="69">
        <f t="shared" si="73"/>
        <v>1.0500884786951302E-3</v>
      </c>
      <c r="L175" s="99">
        <f t="shared" si="74"/>
        <v>1.6097834657103908E-2</v>
      </c>
      <c r="M175" s="69">
        <f t="shared" si="75"/>
        <v>16.02629806236051</v>
      </c>
      <c r="N175" s="69">
        <f t="shared" si="76"/>
        <v>8.1401714959760731</v>
      </c>
      <c r="O175" s="69">
        <f t="shared" si="77"/>
        <v>31.552434701232631</v>
      </c>
      <c r="P175" s="69">
        <f t="shared" si="78"/>
        <v>1.7936390228392551</v>
      </c>
      <c r="Q175" s="69">
        <f t="shared" si="79"/>
        <v>8.7606948674362251E-2</v>
      </c>
      <c r="R175" s="43">
        <f t="shared" si="80"/>
        <v>77.194826716614486</v>
      </c>
      <c r="S175" s="43">
        <f t="shared" si="81"/>
        <v>1177.7517132499847</v>
      </c>
      <c r="T175" s="43">
        <f>R175+Thrust!C$33*0.8</f>
        <v>1888.9548267166144</v>
      </c>
      <c r="U175" s="43"/>
      <c r="V175">
        <f t="shared" si="82"/>
        <v>985815.33498044859</v>
      </c>
      <c r="W175">
        <f t="shared" si="83"/>
        <v>64614.504994775882</v>
      </c>
      <c r="X175">
        <f t="shared" si="84"/>
        <v>-921200.82998567272</v>
      </c>
      <c r="Y175">
        <f t="shared" si="85"/>
        <v>921200.82998567272</v>
      </c>
      <c r="Z175">
        <f t="shared" si="86"/>
        <v>-3133.7176211299025</v>
      </c>
      <c r="AA175">
        <f t="shared" si="87"/>
        <v>-3.5774340525927064</v>
      </c>
      <c r="AB175">
        <f t="shared" si="88"/>
        <v>1892.3425912264161</v>
      </c>
      <c r="AC175">
        <f t="shared" si="89"/>
        <v>2.159395242078161</v>
      </c>
      <c r="AD175">
        <f t="shared" si="90"/>
        <v>0.52149155386701196</v>
      </c>
      <c r="AE175">
        <f t="shared" si="91"/>
        <v>258.62207044572597</v>
      </c>
      <c r="AH175">
        <v>5.0755083965639329</v>
      </c>
      <c r="AI175">
        <v>2540.1889746376828</v>
      </c>
      <c r="AJ175">
        <f t="shared" si="92"/>
        <v>334.9251558414735</v>
      </c>
      <c r="AK175">
        <f t="shared" si="93"/>
        <v>642.24464108364896</v>
      </c>
      <c r="AO175" s="43"/>
      <c r="AP175" s="43"/>
    </row>
    <row r="176" spans="1:42">
      <c r="A176">
        <v>214</v>
      </c>
      <c r="B176">
        <f t="shared" si="65"/>
        <v>214</v>
      </c>
      <c r="D176" s="43">
        <f t="shared" si="66"/>
        <v>498.25592887003194</v>
      </c>
      <c r="E176" s="43">
        <f t="shared" si="67"/>
        <v>840.96126955029854</v>
      </c>
      <c r="F176" s="69">
        <f t="shared" si="68"/>
        <v>0.88468314681509075</v>
      </c>
      <c r="G176" s="98">
        <f t="shared" si="69"/>
        <v>155.11594415116116</v>
      </c>
      <c r="H176" s="69">
        <f t="shared" si="70"/>
        <v>0.25558322049441556</v>
      </c>
      <c r="I176" s="69">
        <f t="shared" si="71"/>
        <v>-1.1296870227681355</v>
      </c>
      <c r="J176" s="99">
        <f t="shared" si="72"/>
        <v>1.5047746178408776E-2</v>
      </c>
      <c r="K176" s="69">
        <f t="shared" si="73"/>
        <v>1.0183554130902073E-3</v>
      </c>
      <c r="L176" s="99">
        <f t="shared" si="74"/>
        <v>1.6066101591498985E-2</v>
      </c>
      <c r="M176" s="69">
        <f t="shared" si="75"/>
        <v>15.908228828183912</v>
      </c>
      <c r="N176" s="69">
        <f t="shared" si="76"/>
        <v>8.0424431277215369</v>
      </c>
      <c r="O176" s="69">
        <f t="shared" si="77"/>
        <v>31.467023195668915</v>
      </c>
      <c r="P176" s="69">
        <f t="shared" si="78"/>
        <v>1.8020598633220684</v>
      </c>
      <c r="Q176" s="69">
        <f t="shared" si="79"/>
        <v>7.3114120272228078E-2</v>
      </c>
      <c r="R176" s="43">
        <f t="shared" si="80"/>
        <v>64.123427985712368</v>
      </c>
      <c r="S176" s="43">
        <f t="shared" si="81"/>
        <v>1186.4928650359864</v>
      </c>
      <c r="T176" s="43">
        <f>R176+Thrust!C$33*0.8</f>
        <v>1875.8834279857124</v>
      </c>
      <c r="U176" s="43"/>
      <c r="V176">
        <f t="shared" si="82"/>
        <v>997794.54609303409</v>
      </c>
      <c r="W176">
        <f t="shared" si="83"/>
        <v>53925.319406781819</v>
      </c>
      <c r="X176">
        <f t="shared" si="84"/>
        <v>-943869.22668625228</v>
      </c>
      <c r="Y176">
        <f t="shared" si="85"/>
        <v>943869.22668625228</v>
      </c>
      <c r="Z176">
        <f t="shared" si="86"/>
        <v>-3171.7972326136182</v>
      </c>
      <c r="AA176">
        <f t="shared" si="87"/>
        <v>-3.6040203432784108</v>
      </c>
      <c r="AB176">
        <f t="shared" si="88"/>
        <v>1842.9163328239363</v>
      </c>
      <c r="AC176">
        <f t="shared" si="89"/>
        <v>2.0931367931034242</v>
      </c>
      <c r="AD176">
        <f t="shared" si="90"/>
        <v>0.4299960116133521</v>
      </c>
      <c r="AE176">
        <f t="shared" si="91"/>
        <v>214.24806217681981</v>
      </c>
      <c r="AH176">
        <v>5.0265723277411869</v>
      </c>
      <c r="AI176">
        <v>2527.5717210017228</v>
      </c>
      <c r="AJ176">
        <f t="shared" si="92"/>
        <v>274.25161337704935</v>
      </c>
      <c r="AK176">
        <f t="shared" si="93"/>
        <v>637.80036551514229</v>
      </c>
      <c r="AO176" s="43"/>
      <c r="AP176" s="43"/>
    </row>
    <row r="177" spans="1:42">
      <c r="A177">
        <v>215</v>
      </c>
      <c r="B177">
        <f t="shared" si="65"/>
        <v>215</v>
      </c>
      <c r="D177" s="43">
        <f t="shared" si="66"/>
        <v>500.58422760306945</v>
      </c>
      <c r="E177" s="43">
        <f t="shared" si="67"/>
        <v>844.89099510894482</v>
      </c>
      <c r="F177" s="69">
        <f t="shared" si="68"/>
        <v>0.88881718021142297</v>
      </c>
      <c r="G177" s="98">
        <f t="shared" si="69"/>
        <v>156.5690129790249</v>
      </c>
      <c r="H177" s="69">
        <f t="shared" si="70"/>
        <v>0.25321123127663075</v>
      </c>
      <c r="I177" s="69">
        <f t="shared" si="71"/>
        <v>-1.1496606387179664</v>
      </c>
      <c r="J177" s="99">
        <f t="shared" si="72"/>
        <v>1.5047746178408776E-2</v>
      </c>
      <c r="K177" s="69">
        <f t="shared" si="73"/>
        <v>9.8754084665460132E-4</v>
      </c>
      <c r="L177" s="99">
        <f t="shared" si="74"/>
        <v>1.6035287025063377E-2</v>
      </c>
      <c r="M177" s="69">
        <f t="shared" si="75"/>
        <v>15.790876139657374</v>
      </c>
      <c r="N177" s="69">
        <f t="shared" si="76"/>
        <v>7.9459844270439284</v>
      </c>
      <c r="O177" s="69">
        <f t="shared" si="77"/>
        <v>31.380853001591472</v>
      </c>
      <c r="P177" s="69">
        <f t="shared" si="78"/>
        <v>1.8104807038048818</v>
      </c>
      <c r="Q177" s="69">
        <f t="shared" si="79"/>
        <v>5.8486238322714268E-2</v>
      </c>
      <c r="R177" s="43">
        <f t="shared" si="80"/>
        <v>51.055728282860507</v>
      </c>
      <c r="S177" s="43">
        <f t="shared" si="81"/>
        <v>1195.3104965846148</v>
      </c>
      <c r="T177" s="43">
        <f>R177+Thrust!C$33*0.8</f>
        <v>1862.8157282828604</v>
      </c>
      <c r="U177" s="43"/>
      <c r="V177">
        <f t="shared" si="82"/>
        <v>1009907.0749235422</v>
      </c>
      <c r="W177">
        <f t="shared" si="83"/>
        <v>43136.52507491791</v>
      </c>
      <c r="X177">
        <f t="shared" si="84"/>
        <v>-966770.54984862427</v>
      </c>
      <c r="Y177">
        <f t="shared" si="85"/>
        <v>966770.54984862427</v>
      </c>
      <c r="Z177">
        <f t="shared" si="86"/>
        <v>-3210.3006355185444</v>
      </c>
      <c r="AA177">
        <f t="shared" si="87"/>
        <v>-3.6308400351255226</v>
      </c>
      <c r="AB177">
        <f t="shared" si="88"/>
        <v>1792.7496459336396</v>
      </c>
      <c r="AC177">
        <f t="shared" si="89"/>
        <v>2.0266600774824495</v>
      </c>
      <c r="AD177">
        <f t="shared" si="90"/>
        <v>0.3398416230638539</v>
      </c>
      <c r="AE177">
        <f t="shared" si="91"/>
        <v>170.11935638879277</v>
      </c>
      <c r="AH177">
        <v>4.9774050241604373</v>
      </c>
      <c r="AI177">
        <v>2514.606714121654</v>
      </c>
      <c r="AJ177">
        <f t="shared" si="92"/>
        <v>215.24118899329761</v>
      </c>
      <c r="AK177">
        <f t="shared" si="93"/>
        <v>633.35734761617255</v>
      </c>
      <c r="AO177" s="43"/>
      <c r="AP177" s="43"/>
    </row>
    <row r="178" spans="1:42">
      <c r="A178">
        <v>216</v>
      </c>
      <c r="B178">
        <f t="shared" si="65"/>
        <v>216</v>
      </c>
      <c r="D178" s="43">
        <f t="shared" si="66"/>
        <v>502.91252633610702</v>
      </c>
      <c r="E178" s="43">
        <f t="shared" si="67"/>
        <v>848.8207206675911</v>
      </c>
      <c r="F178" s="69">
        <f t="shared" si="68"/>
        <v>0.89295121360775531</v>
      </c>
      <c r="G178" s="98">
        <f t="shared" si="69"/>
        <v>158.0288560205384</v>
      </c>
      <c r="H178" s="69">
        <f t="shared" si="70"/>
        <v>0.25087211003434184</v>
      </c>
      <c r="I178" s="69">
        <f t="shared" si="71"/>
        <v>-1.1693574859899796</v>
      </c>
      <c r="J178" s="99">
        <f t="shared" si="72"/>
        <v>1.5047746178408776E-2</v>
      </c>
      <c r="K178" s="69">
        <f t="shared" si="73"/>
        <v>9.5761687573474948E-4</v>
      </c>
      <c r="L178" s="99">
        <f t="shared" si="74"/>
        <v>1.6005363054143525E-2</v>
      </c>
      <c r="M178" s="69">
        <f t="shared" si="75"/>
        <v>15.674253010424227</v>
      </c>
      <c r="N178" s="69">
        <f t="shared" si="76"/>
        <v>7.8507842778324628</v>
      </c>
      <c r="O178" s="69">
        <f t="shared" si="77"/>
        <v>31.29396997042744</v>
      </c>
      <c r="P178" s="69">
        <f t="shared" si="78"/>
        <v>1.8189015442876952</v>
      </c>
      <c r="Q178" s="69">
        <f t="shared" si="79"/>
        <v>4.372330282582082E-2</v>
      </c>
      <c r="R178" s="43">
        <f t="shared" si="80"/>
        <v>37.991676232669299</v>
      </c>
      <c r="S178" s="43">
        <f t="shared" si="81"/>
        <v>1204.2041166138572</v>
      </c>
      <c r="T178" s="43">
        <f>R178+Thrust!C$33*0.8</f>
        <v>1849.7516762326693</v>
      </c>
      <c r="U178" s="43"/>
      <c r="V178">
        <f t="shared" si="82"/>
        <v>1022153.4060950542</v>
      </c>
      <c r="W178">
        <f t="shared" si="83"/>
        <v>32248.121999184146</v>
      </c>
      <c r="X178">
        <f t="shared" si="84"/>
        <v>-989905.2840958701</v>
      </c>
      <c r="Y178">
        <f t="shared" si="85"/>
        <v>989905.2840958701</v>
      </c>
      <c r="Z178">
        <f t="shared" si="86"/>
        <v>-3249.2293703683845</v>
      </c>
      <c r="AA178">
        <f t="shared" si="87"/>
        <v>-3.6578916603838216</v>
      </c>
      <c r="AB178">
        <f t="shared" si="88"/>
        <v>1741.840990031824</v>
      </c>
      <c r="AC178">
        <f t="shared" si="89"/>
        <v>1.9599663691901952</v>
      </c>
      <c r="AD178">
        <f t="shared" si="90"/>
        <v>0.25101586719107477</v>
      </c>
      <c r="AE178">
        <f t="shared" si="91"/>
        <v>126.23902391951215</v>
      </c>
      <c r="AH178">
        <v>4.9280075529628391</v>
      </c>
      <c r="AI178">
        <v>2501.2928344571956</v>
      </c>
      <c r="AJ178">
        <f t="shared" si="92"/>
        <v>157.86778717321383</v>
      </c>
      <c r="AK178">
        <f t="shared" si="93"/>
        <v>628.91556991910761</v>
      </c>
      <c r="AO178" s="43"/>
      <c r="AP178" s="43"/>
    </row>
    <row r="179" spans="1:42">
      <c r="A179">
        <v>217</v>
      </c>
      <c r="B179">
        <f t="shared" si="65"/>
        <v>217</v>
      </c>
      <c r="D179" s="43">
        <f t="shared" si="66"/>
        <v>505.24082506914453</v>
      </c>
      <c r="E179" s="43">
        <f t="shared" si="67"/>
        <v>852.75044622623727</v>
      </c>
      <c r="F179" s="69">
        <f t="shared" si="68"/>
        <v>0.89708524700408732</v>
      </c>
      <c r="G179" s="98">
        <f t="shared" si="69"/>
        <v>159.49547327570156</v>
      </c>
      <c r="H179" s="69">
        <f t="shared" si="70"/>
        <v>0.24856525230440771</v>
      </c>
      <c r="I179" s="69">
        <f t="shared" si="71"/>
        <v>-1.1887826545375979</v>
      </c>
      <c r="J179" s="99">
        <f t="shared" si="72"/>
        <v>1.5047746178408776E-2</v>
      </c>
      <c r="K179" s="69">
        <f t="shared" si="73"/>
        <v>9.285565376729387E-4</v>
      </c>
      <c r="L179" s="99">
        <f t="shared" si="74"/>
        <v>1.5976302716081716E-2</v>
      </c>
      <c r="M179" s="69">
        <f t="shared" si="75"/>
        <v>15.558371465645953</v>
      </c>
      <c r="N179" s="69">
        <f t="shared" si="76"/>
        <v>7.7568312760609546</v>
      </c>
      <c r="O179" s="69">
        <f t="shared" si="77"/>
        <v>31.206418452091132</v>
      </c>
      <c r="P179" s="69">
        <f t="shared" si="78"/>
        <v>1.8273223847705085</v>
      </c>
      <c r="Q179" s="69">
        <f t="shared" si="79"/>
        <v>2.8825313781548179E-2</v>
      </c>
      <c r="R179" s="43">
        <f t="shared" si="80"/>
        <v>24.931221406761352</v>
      </c>
      <c r="S179" s="43">
        <f t="shared" si="81"/>
        <v>1213.1732451354187</v>
      </c>
      <c r="T179" s="43">
        <f>R179+Thrust!C$33*0.8</f>
        <v>1836.6912214067613</v>
      </c>
      <c r="U179" s="43"/>
      <c r="V179">
        <f t="shared" si="82"/>
        <v>1034534.0261389606</v>
      </c>
      <c r="W179">
        <f t="shared" si="83"/>
        <v>21260.110179580861</v>
      </c>
      <c r="X179">
        <f t="shared" si="84"/>
        <v>-1013273.9159593798</v>
      </c>
      <c r="Y179">
        <f t="shared" si="85"/>
        <v>1013273.9159593798</v>
      </c>
      <c r="Z179">
        <f t="shared" si="86"/>
        <v>-3288.5849837529872</v>
      </c>
      <c r="AA179">
        <f t="shared" si="87"/>
        <v>-3.685173785967601</v>
      </c>
      <c r="AB179">
        <f t="shared" si="88"/>
        <v>1690.1888185286396</v>
      </c>
      <c r="AC179">
        <f t="shared" si="89"/>
        <v>1.893056908892462</v>
      </c>
      <c r="AD179">
        <f t="shared" si="90"/>
        <v>0.16350594895712695</v>
      </c>
      <c r="AE179">
        <f t="shared" si="91"/>
        <v>82.60988055481225</v>
      </c>
      <c r="AH179">
        <v>4.8783809552481534</v>
      </c>
      <c r="AI179">
        <v>2487.6289596384304</v>
      </c>
      <c r="AJ179">
        <f t="shared" si="92"/>
        <v>102.1053799730946</v>
      </c>
      <c r="AK179">
        <f t="shared" si="93"/>
        <v>624.47501527829888</v>
      </c>
      <c r="AO179" s="43"/>
      <c r="AP179" s="43"/>
    </row>
    <row r="180" spans="1:42">
      <c r="A180">
        <v>218</v>
      </c>
      <c r="B180">
        <f t="shared" si="65"/>
        <v>218</v>
      </c>
      <c r="D180" s="43">
        <f t="shared" si="66"/>
        <v>507.56912380218205</v>
      </c>
      <c r="E180" s="43">
        <f t="shared" si="67"/>
        <v>856.68017178488356</v>
      </c>
      <c r="F180" s="69">
        <f t="shared" si="68"/>
        <v>0.90121928040041954</v>
      </c>
      <c r="G180" s="98">
        <f t="shared" si="69"/>
        <v>160.96886474451443</v>
      </c>
      <c r="H180" s="69">
        <f t="shared" si="70"/>
        <v>0.24629006745564883</v>
      </c>
      <c r="I180" s="69">
        <f t="shared" si="71"/>
        <v>-1.207941117840573</v>
      </c>
      <c r="J180" s="99">
        <f t="shared" si="72"/>
        <v>1.5047746178408776E-2</v>
      </c>
      <c r="K180" s="69">
        <f t="shared" si="73"/>
        <v>9.0033377543771492E-4</v>
      </c>
      <c r="L180" s="99">
        <f t="shared" si="74"/>
        <v>1.5948079953846492E-2</v>
      </c>
      <c r="M180" s="69">
        <f t="shared" si="75"/>
        <v>15.443242582706423</v>
      </c>
      <c r="N180" s="69">
        <f t="shared" si="76"/>
        <v>7.6641137565919424</v>
      </c>
      <c r="O180" s="69">
        <f t="shared" si="77"/>
        <v>31.118241331319918</v>
      </c>
      <c r="P180" s="69">
        <f t="shared" si="78"/>
        <v>1.8357432252533219</v>
      </c>
      <c r="Q180" s="69">
        <f t="shared" si="79"/>
        <v>1.3792271189895455E-2</v>
      </c>
      <c r="R180" s="43">
        <f t="shared" si="80"/>
        <v>11.874314302049417</v>
      </c>
      <c r="S180" s="43">
        <f t="shared" si="81"/>
        <v>1222.2174131446016</v>
      </c>
      <c r="T180" s="43">
        <f>R180+Thrust!C$33*0.8</f>
        <v>1823.6343143020495</v>
      </c>
      <c r="U180" s="43"/>
      <c r="V180">
        <f t="shared" si="82"/>
        <v>1047049.4234511933</v>
      </c>
      <c r="W180">
        <f t="shared" si="83"/>
        <v>10172.489616107394</v>
      </c>
      <c r="X180">
        <f t="shared" si="84"/>
        <v>-1036876.9338350858</v>
      </c>
      <c r="Y180">
        <f t="shared" si="85"/>
        <v>1036876.9338350858</v>
      </c>
      <c r="Z180">
        <f t="shared" si="86"/>
        <v>-3328.3690281892236</v>
      </c>
      <c r="AA180">
        <f t="shared" si="87"/>
        <v>-3.7126850125172366</v>
      </c>
      <c r="AB180">
        <f t="shared" si="88"/>
        <v>1637.7915789072154</v>
      </c>
      <c r="AC180">
        <f t="shared" si="89"/>
        <v>1.8259329048294473</v>
      </c>
      <c r="AD180">
        <f t="shared" si="90"/>
        <v>7.7298826387763517E-2</v>
      </c>
      <c r="AE180">
        <f t="shared" si="91"/>
        <v>39.234497580574121</v>
      </c>
      <c r="AH180">
        <v>4.8285262467755397</v>
      </c>
      <c r="AI180">
        <v>2473.6139645307044</v>
      </c>
      <c r="AJ180">
        <f t="shared" si="92"/>
        <v>47.928029367040779</v>
      </c>
      <c r="AK180">
        <f t="shared" si="93"/>
        <v>620.03566686269687</v>
      </c>
      <c r="AO180" s="43"/>
      <c r="AP180" s="43"/>
    </row>
    <row r="181" spans="1:42">
      <c r="A181">
        <v>219</v>
      </c>
      <c r="B181">
        <f t="shared" si="65"/>
        <v>219</v>
      </c>
      <c r="D181" s="43">
        <f t="shared" si="66"/>
        <v>509.89742253521962</v>
      </c>
      <c r="E181" s="43">
        <f t="shared" si="67"/>
        <v>860.60989734352984</v>
      </c>
      <c r="F181" s="69">
        <f t="shared" si="68"/>
        <v>0.90535331379675188</v>
      </c>
      <c r="G181" s="98">
        <f t="shared" si="69"/>
        <v>162.44903042697706</v>
      </c>
      <c r="H181" s="69">
        <f t="shared" si="70"/>
        <v>0.24404597831075778</v>
      </c>
      <c r="I181" s="69">
        <f t="shared" si="71"/>
        <v>-1.2268377360887361</v>
      </c>
      <c r="J181" s="99">
        <f t="shared" si="72"/>
        <v>1.5047746178408776E-2</v>
      </c>
      <c r="K181" s="69">
        <f t="shared" si="73"/>
        <v>8.7292340372721437E-4</v>
      </c>
      <c r="L181" s="99">
        <f t="shared" si="74"/>
        <v>1.5920669582135991E-2</v>
      </c>
      <c r="M181" s="69">
        <f t="shared" si="75"/>
        <v>15.32887653070779</v>
      </c>
      <c r="N181" s="69">
        <f t="shared" si="76"/>
        <v>7.5726198186494846</v>
      </c>
      <c r="O181" s="69">
        <f t="shared" si="77"/>
        <v>31.029480063821545</v>
      </c>
      <c r="P181" s="69">
        <f t="shared" si="78"/>
        <v>1.8441640657361356</v>
      </c>
      <c r="Q181" s="69">
        <f t="shared" si="79"/>
        <v>-1.3758249491369057E-3</v>
      </c>
      <c r="R181" s="43">
        <f t="shared" si="80"/>
        <v>-1.1790936803866094</v>
      </c>
      <c r="S181" s="43">
        <f t="shared" si="81"/>
        <v>1231.3361623200753</v>
      </c>
      <c r="T181" s="43">
        <f>R181+Thrust!C$33*0.8</f>
        <v>1810.5809063196134</v>
      </c>
      <c r="U181" s="43"/>
      <c r="V181">
        <f t="shared" si="82"/>
        <v>1059700.0882496561</v>
      </c>
      <c r="W181">
        <f t="shared" si="83"/>
        <v>-1014.7396912359247</v>
      </c>
      <c r="X181">
        <f t="shared" si="84"/>
        <v>-1060714.827940892</v>
      </c>
      <c r="Y181">
        <f t="shared" si="85"/>
        <v>1060714.827940892</v>
      </c>
      <c r="Z181">
        <f t="shared" si="86"/>
        <v>-3368.5830619856615</v>
      </c>
      <c r="AA181">
        <f t="shared" si="87"/>
        <v>-3.7404239734908278</v>
      </c>
      <c r="AB181">
        <f t="shared" si="88"/>
        <v>1584.6477128589822</v>
      </c>
      <c r="AC181">
        <f t="shared" si="89"/>
        <v>1.758595533670557</v>
      </c>
      <c r="AD181">
        <f t="shared" si="90"/>
        <v>-7.6187637095046353E-3</v>
      </c>
      <c r="AE181">
        <f t="shared" si="91"/>
        <v>-3.8847879783812815</v>
      </c>
      <c r="AH181">
        <v>4.7784444186414214</v>
      </c>
      <c r="AI181">
        <v>2459.2467212977435</v>
      </c>
      <c r="AJ181">
        <f t="shared" si="92"/>
        <v>-4.6900919547445605</v>
      </c>
      <c r="AK181">
        <f t="shared" si="93"/>
        <v>615.59750814866857</v>
      </c>
      <c r="AO181" s="43"/>
      <c r="AP181" s="43"/>
    </row>
    <row r="182" spans="1:42">
      <c r="A182">
        <v>220</v>
      </c>
      <c r="B182">
        <f t="shared" si="65"/>
        <v>220</v>
      </c>
      <c r="D182" s="43">
        <f t="shared" si="66"/>
        <v>512.22572126825708</v>
      </c>
      <c r="E182" s="43">
        <f t="shared" si="67"/>
        <v>864.53962290217601</v>
      </c>
      <c r="F182" s="69">
        <f t="shared" si="68"/>
        <v>0.90948734719308388</v>
      </c>
      <c r="G182" s="98">
        <f t="shared" si="69"/>
        <v>163.93597032308932</v>
      </c>
      <c r="H182" s="69">
        <f t="shared" si="70"/>
        <v>0.24183242078021194</v>
      </c>
      <c r="I182" s="69">
        <f t="shared" si="71"/>
        <v>-1.2454772592646755</v>
      </c>
      <c r="J182" s="99">
        <f t="shared" si="72"/>
        <v>1.5047746178408776E-2</v>
      </c>
      <c r="K182" s="69">
        <f t="shared" si="73"/>
        <v>8.4630107647797016E-4</v>
      </c>
      <c r="L182" s="99">
        <f t="shared" si="74"/>
        <v>1.5894047254886745E-2</v>
      </c>
      <c r="M182" s="69">
        <f t="shared" si="75"/>
        <v>15.215282608767804</v>
      </c>
      <c r="N182" s="69">
        <f t="shared" si="76"/>
        <v>7.4823373500078585</v>
      </c>
      <c r="O182" s="69">
        <f t="shared" si="77"/>
        <v>30.94017471217451</v>
      </c>
      <c r="P182" s="69">
        <f t="shared" si="78"/>
        <v>1.8525849062189488</v>
      </c>
      <c r="Q182" s="69">
        <f t="shared" si="79"/>
        <v>-1.667897463554846E-2</v>
      </c>
      <c r="R182" s="43">
        <f t="shared" si="80"/>
        <v>-14.229050255850114</v>
      </c>
      <c r="S182" s="43">
        <f t="shared" si="81"/>
        <v>1240.529044733174</v>
      </c>
      <c r="T182" s="43">
        <f>R182+Thrust!C$33*0.8</f>
        <v>1797.5309497441499</v>
      </c>
      <c r="U182" s="43"/>
      <c r="V182">
        <f t="shared" si="82"/>
        <v>1072486.5125328149</v>
      </c>
      <c r="W182">
        <f t="shared" si="83"/>
        <v>-12301.577742448768</v>
      </c>
      <c r="X182">
        <f t="shared" si="84"/>
        <v>-1084788.0902752636</v>
      </c>
      <c r="Y182">
        <f t="shared" si="85"/>
        <v>1084788.0902752636</v>
      </c>
      <c r="Z182">
        <f t="shared" si="86"/>
        <v>-3409.2286491109348</v>
      </c>
      <c r="AA182">
        <f t="shared" si="87"/>
        <v>-3.7683893342848034</v>
      </c>
      <c r="AB182">
        <f t="shared" si="88"/>
        <v>1530.7556564153094</v>
      </c>
      <c r="AC182">
        <f t="shared" si="89"/>
        <v>1.691045941341524</v>
      </c>
      <c r="AD182">
        <f t="shared" si="90"/>
        <v>-9.1260281335189097E-2</v>
      </c>
      <c r="AE182">
        <f t="shared" si="91"/>
        <v>-46.745863430061299</v>
      </c>
      <c r="AH182">
        <v>4.7281364379353015</v>
      </c>
      <c r="AI182">
        <v>2444.5260994630553</v>
      </c>
      <c r="AJ182">
        <f t="shared" si="92"/>
        <v>-55.774681262002673</v>
      </c>
      <c r="AK182">
        <f t="shared" si="93"/>
        <v>611.16052291301105</v>
      </c>
      <c r="AO182" s="43"/>
      <c r="AP182" s="43"/>
    </row>
    <row r="183" spans="1:42">
      <c r="A183">
        <v>221</v>
      </c>
      <c r="B183">
        <f t="shared" si="65"/>
        <v>221</v>
      </c>
      <c r="D183" s="43">
        <f t="shared" si="66"/>
        <v>514.5540200012947</v>
      </c>
      <c r="E183" s="43">
        <f t="shared" si="67"/>
        <v>868.4693484608224</v>
      </c>
      <c r="F183" s="69">
        <f t="shared" si="68"/>
        <v>0.91362138058941633</v>
      </c>
      <c r="G183" s="98">
        <f t="shared" si="69"/>
        <v>165.42968443285145</v>
      </c>
      <c r="H183" s="69">
        <f t="shared" si="70"/>
        <v>0.23964884350775481</v>
      </c>
      <c r="I183" s="69">
        <f t="shared" si="71"/>
        <v>-1.263864330129006</v>
      </c>
      <c r="J183" s="99">
        <f t="shared" si="72"/>
        <v>1.5047746178408776E-2</v>
      </c>
      <c r="K183" s="69">
        <f t="shared" si="73"/>
        <v>8.2044325571514092E-4</v>
      </c>
      <c r="L183" s="99">
        <f t="shared" si="74"/>
        <v>1.5868189434123919E-2</v>
      </c>
      <c r="M183" s="69">
        <f t="shared" si="75"/>
        <v>15.102469283130651</v>
      </c>
      <c r="N183" s="69">
        <f t="shared" si="76"/>
        <v>7.3932540499427013</v>
      </c>
      <c r="O183" s="69">
        <f t="shared" si="77"/>
        <v>30.850363981428782</v>
      </c>
      <c r="P183" s="69">
        <f t="shared" si="78"/>
        <v>1.8610057467017624</v>
      </c>
      <c r="Q183" s="69">
        <f t="shared" si="79"/>
        <v>-3.2117177869340541E-2</v>
      </c>
      <c r="R183" s="43">
        <f t="shared" si="80"/>
        <v>-27.275602276020578</v>
      </c>
      <c r="S183" s="43">
        <f t="shared" si="81"/>
        <v>1249.7956225663866</v>
      </c>
      <c r="T183" s="43">
        <f>R183+Thrust!C$33*0.8</f>
        <v>1784.4843977239793</v>
      </c>
      <c r="U183" s="43"/>
      <c r="V183">
        <f t="shared" si="82"/>
        <v>1085409.1900394177</v>
      </c>
      <c r="W183">
        <f t="shared" si="83"/>
        <v>-23688.024537532117</v>
      </c>
      <c r="X183">
        <f t="shared" si="84"/>
        <v>-1109097.2145769498</v>
      </c>
      <c r="Y183">
        <f t="shared" si="85"/>
        <v>1109097.2145769498</v>
      </c>
      <c r="Z183">
        <f t="shared" si="86"/>
        <v>-3450.3073590656982</v>
      </c>
      <c r="AA183">
        <f t="shared" si="87"/>
        <v>-3.796579791382495</v>
      </c>
      <c r="AB183">
        <f t="shared" si="88"/>
        <v>1476.1138400755383</v>
      </c>
      <c r="AC183">
        <f t="shared" si="89"/>
        <v>1.6232852438247964</v>
      </c>
      <c r="AD183">
        <f t="shared" si="90"/>
        <v>-0.17363936014792467</v>
      </c>
      <c r="AE183">
        <f t="shared" si="91"/>
        <v>-89.346830794567239</v>
      </c>
      <c r="AH183">
        <v>4.677603248374341</v>
      </c>
      <c r="AI183">
        <v>2429.4509659696687</v>
      </c>
      <c r="AJ183">
        <f t="shared" si="92"/>
        <v>-105.35128786501382</v>
      </c>
      <c r="AK183">
        <f t="shared" si="93"/>
        <v>606.72469522615302</v>
      </c>
      <c r="AO183" s="43"/>
      <c r="AP183" s="43"/>
    </row>
    <row r="184" spans="1:42">
      <c r="A184">
        <v>222</v>
      </c>
      <c r="B184">
        <f t="shared" si="65"/>
        <v>222</v>
      </c>
      <c r="D184" s="43">
        <f t="shared" si="66"/>
        <v>516.88231873433222</v>
      </c>
      <c r="E184" s="43">
        <f t="shared" si="67"/>
        <v>872.39907401946869</v>
      </c>
      <c r="F184" s="69">
        <f t="shared" si="68"/>
        <v>0.91775541398574856</v>
      </c>
      <c r="G184" s="98">
        <f t="shared" si="69"/>
        <v>166.93017275626318</v>
      </c>
      <c r="H184" s="69">
        <f t="shared" si="70"/>
        <v>0.23749470752703214</v>
      </c>
      <c r="I184" s="69">
        <f t="shared" si="71"/>
        <v>-1.2820034871117043</v>
      </c>
      <c r="J184" s="99">
        <f t="shared" si="72"/>
        <v>1.5047746178408776E-2</v>
      </c>
      <c r="K184" s="69">
        <f t="shared" si="73"/>
        <v>7.9532718168331593E-4</v>
      </c>
      <c r="L184" s="99">
        <f t="shared" si="74"/>
        <v>1.5843073360092091E-2</v>
      </c>
      <c r="M184" s="69">
        <f t="shared" si="75"/>
        <v>14.99044422310569</v>
      </c>
      <c r="N184" s="69">
        <f t="shared" si="76"/>
        <v>7.3053574509906678</v>
      </c>
      <c r="O184" s="69">
        <f t="shared" si="77"/>
        <v>30.760085254359428</v>
      </c>
      <c r="P184" s="69">
        <f t="shared" si="78"/>
        <v>1.8694265871845757</v>
      </c>
      <c r="Q184" s="69">
        <f t="shared" si="79"/>
        <v>-4.7690434650511371E-2</v>
      </c>
      <c r="R184" s="43">
        <f t="shared" si="80"/>
        <v>-40.318795748400468</v>
      </c>
      <c r="S184" s="43">
        <f t="shared" si="81"/>
        <v>1259.1354678406931</v>
      </c>
      <c r="T184" s="43">
        <f>R184+Thrust!C$33*0.8</f>
        <v>1771.4412042515996</v>
      </c>
      <c r="U184" s="43"/>
      <c r="V184">
        <f t="shared" si="82"/>
        <v>1098468.6162092912</v>
      </c>
      <c r="W184">
        <f t="shared" si="83"/>
        <v>-35174.080076484657</v>
      </c>
      <c r="X184">
        <f t="shared" si="84"/>
        <v>-1133642.6962857759</v>
      </c>
      <c r="Y184">
        <f t="shared" si="85"/>
        <v>1133642.6962857759</v>
      </c>
      <c r="Z184">
        <f t="shared" si="86"/>
        <v>-3491.8207667580118</v>
      </c>
      <c r="AA184">
        <f t="shared" si="87"/>
        <v>-3.8249940715296029</v>
      </c>
      <c r="AB184">
        <f t="shared" si="88"/>
        <v>1420.7206889316142</v>
      </c>
      <c r="AC184">
        <f t="shared" si="89"/>
        <v>1.5553145279342615</v>
      </c>
      <c r="AD184">
        <f t="shared" si="90"/>
        <v>-0.25476978552797108</v>
      </c>
      <c r="AE184">
        <f t="shared" si="91"/>
        <v>-131.68599748714621</v>
      </c>
      <c r="AH184">
        <v>4.6268457709173889</v>
      </c>
      <c r="AI184">
        <v>2414.0201852382424</v>
      </c>
      <c r="AJ184">
        <f t="shared" si="92"/>
        <v>-153.4452965320809</v>
      </c>
      <c r="AK184">
        <f t="shared" si="93"/>
        <v>602.29000944554389</v>
      </c>
      <c r="AO184" s="43"/>
      <c r="AP184" s="43"/>
    </row>
    <row r="185" spans="1:42">
      <c r="A185">
        <v>223</v>
      </c>
      <c r="B185">
        <f t="shared" si="65"/>
        <v>223</v>
      </c>
      <c r="D185" s="43">
        <f t="shared" si="66"/>
        <v>519.21061746736973</v>
      </c>
      <c r="E185" s="43">
        <f t="shared" si="67"/>
        <v>876.32879957811485</v>
      </c>
      <c r="F185" s="69">
        <f t="shared" si="68"/>
        <v>0.92188944738208067</v>
      </c>
      <c r="G185" s="98">
        <f t="shared" si="69"/>
        <v>168.43743529332463</v>
      </c>
      <c r="H185" s="69">
        <f t="shared" si="70"/>
        <v>0.23536948592898013</v>
      </c>
      <c r="I185" s="69">
        <f t="shared" si="71"/>
        <v>-1.2998991671129054</v>
      </c>
      <c r="J185" s="99">
        <f t="shared" si="72"/>
        <v>1.5047746178408776E-2</v>
      </c>
      <c r="K185" s="69">
        <f t="shared" si="73"/>
        <v>7.7093084419999416E-4</v>
      </c>
      <c r="L185" s="99">
        <f t="shared" si="74"/>
        <v>1.5818677022608772E-2</v>
      </c>
      <c r="M185" s="69">
        <f t="shared" si="75"/>
        <v>14.879214335849918</v>
      </c>
      <c r="N185" s="69">
        <f t="shared" si="76"/>
        <v>7.2186349395626204</v>
      </c>
      <c r="O185" s="69">
        <f t="shared" si="77"/>
        <v>30.669374626330093</v>
      </c>
      <c r="P185" s="69">
        <f t="shared" si="78"/>
        <v>1.8778474276673889</v>
      </c>
      <c r="Q185" s="69">
        <f t="shared" si="79"/>
        <v>-6.3398744979061394E-2</v>
      </c>
      <c r="R185" s="43">
        <f t="shared" si="80"/>
        <v>-53.358675855247441</v>
      </c>
      <c r="S185" s="43">
        <f t="shared" si="81"/>
        <v>1268.5481621514552</v>
      </c>
      <c r="T185" s="43">
        <f>R185+Thrust!C$33*0.8</f>
        <v>1758.4013241447526</v>
      </c>
      <c r="U185" s="43"/>
      <c r="V185">
        <f t="shared" si="82"/>
        <v>1111665.2881452085</v>
      </c>
      <c r="W185">
        <f t="shared" si="83"/>
        <v>-46759.744359306729</v>
      </c>
      <c r="X185">
        <f t="shared" si="84"/>
        <v>-1158425.0325045153</v>
      </c>
      <c r="Y185">
        <f t="shared" si="85"/>
        <v>1158425.0325045153</v>
      </c>
      <c r="Z185">
        <f t="shared" si="86"/>
        <v>-3533.7704523821203</v>
      </c>
      <c r="AA185">
        <f t="shared" si="87"/>
        <v>-3.8536309309356751</v>
      </c>
      <c r="AB185">
        <f t="shared" si="88"/>
        <v>1364.5746227892882</v>
      </c>
      <c r="AC185">
        <f t="shared" si="89"/>
        <v>1.4871348520650691</v>
      </c>
      <c r="AD185">
        <f t="shared" si="90"/>
        <v>-0.33466547380809003</v>
      </c>
      <c r="AE185">
        <f t="shared" si="91"/>
        <v>-173.76186730090828</v>
      </c>
      <c r="AH185">
        <v>4.5758649043593138</v>
      </c>
      <c r="AI185">
        <v>2398.2326192236296</v>
      </c>
      <c r="AJ185">
        <f t="shared" si="92"/>
        <v>-200.08191217849003</v>
      </c>
      <c r="AK185">
        <f t="shared" si="93"/>
        <v>597.85645020921595</v>
      </c>
      <c r="AO185" s="43"/>
      <c r="AP185" s="43"/>
    </row>
    <row r="186" spans="1:42">
      <c r="A186">
        <v>224</v>
      </c>
      <c r="B186">
        <f t="shared" si="65"/>
        <v>224</v>
      </c>
      <c r="D186" s="43">
        <f t="shared" si="66"/>
        <v>521.53891620040724</v>
      </c>
      <c r="E186" s="43">
        <f t="shared" si="67"/>
        <v>880.25852513676102</v>
      </c>
      <c r="F186" s="69">
        <f t="shared" si="68"/>
        <v>0.92602348077841268</v>
      </c>
      <c r="G186" s="98">
        <f t="shared" si="69"/>
        <v>169.95147204403577</v>
      </c>
      <c r="H186" s="69">
        <f t="shared" si="70"/>
        <v>0.23327266353958576</v>
      </c>
      <c r="I186" s="69">
        <f t="shared" si="71"/>
        <v>-1.3175557082163607</v>
      </c>
      <c r="J186" s="99">
        <f t="shared" si="72"/>
        <v>1.5047746178408776E-2</v>
      </c>
      <c r="K186" s="69">
        <f t="shared" si="73"/>
        <v>7.4723295517677331E-4</v>
      </c>
      <c r="L186" s="99">
        <f t="shared" si="74"/>
        <v>1.579497913358555E-2</v>
      </c>
      <c r="M186" s="69">
        <f t="shared" si="75"/>
        <v>14.768785800012104</v>
      </c>
      <c r="N186" s="69">
        <f t="shared" si="76"/>
        <v>7.1330737754549487</v>
      </c>
      <c r="O186" s="69">
        <f t="shared" si="77"/>
        <v>30.578266939728604</v>
      </c>
      <c r="P186" s="69">
        <f t="shared" si="78"/>
        <v>1.8862682681502021</v>
      </c>
      <c r="Q186" s="69">
        <f t="shared" si="79"/>
        <v>-7.9242108854991944E-2</v>
      </c>
      <c r="R186" s="43">
        <f t="shared" si="80"/>
        <v>-66.395286971993841</v>
      </c>
      <c r="S186" s="43">
        <f t="shared" si="81"/>
        <v>1278.0332964125278</v>
      </c>
      <c r="T186" s="43">
        <f>R186+Thrust!C$33*0.8</f>
        <v>1745.3647130280062</v>
      </c>
      <c r="U186" s="43"/>
      <c r="V186">
        <f t="shared" si="82"/>
        <v>1124999.7045757647</v>
      </c>
      <c r="W186">
        <f t="shared" si="83"/>
        <v>-58445.017385999301</v>
      </c>
      <c r="X186">
        <f t="shared" si="84"/>
        <v>-1183444.7219617639</v>
      </c>
      <c r="Y186">
        <f t="shared" si="85"/>
        <v>1183444.7219617639</v>
      </c>
      <c r="Z186">
        <f t="shared" si="86"/>
        <v>-3576.1580013004441</v>
      </c>
      <c r="AA186">
        <f t="shared" si="87"/>
        <v>-3.8824891545005915</v>
      </c>
      <c r="AB186">
        <f t="shared" si="88"/>
        <v>1307.6740562861376</v>
      </c>
      <c r="AC186">
        <f t="shared" si="89"/>
        <v>1.4187472469196112</v>
      </c>
      <c r="AD186">
        <f t="shared" si="90"/>
        <v>-0.41334045262643648</v>
      </c>
      <c r="AE186">
        <f t="shared" si="91"/>
        <v>-215.57313168457742</v>
      </c>
      <c r="AH186">
        <v>4.5246615259062573</v>
      </c>
      <c r="AI186">
        <v>2382.0871274699134</v>
      </c>
      <c r="AJ186">
        <f t="shared" si="92"/>
        <v>-245.28614576361022</v>
      </c>
      <c r="AK186">
        <f t="shared" si="93"/>
        <v>593.42400242952215</v>
      </c>
      <c r="AO186" s="43"/>
      <c r="AP186" s="43"/>
    </row>
    <row r="187" spans="1:42">
      <c r="A187">
        <v>225</v>
      </c>
      <c r="B187">
        <f t="shared" si="65"/>
        <v>225</v>
      </c>
      <c r="D187" s="43">
        <f t="shared" si="66"/>
        <v>523.86721493344476</v>
      </c>
      <c r="E187" s="43">
        <f t="shared" si="67"/>
        <v>884.18825069540731</v>
      </c>
      <c r="F187" s="69">
        <f t="shared" si="68"/>
        <v>0.93015751417474501</v>
      </c>
      <c r="G187" s="98">
        <f t="shared" si="69"/>
        <v>171.47228300839666</v>
      </c>
      <c r="H187" s="69">
        <f t="shared" si="70"/>
        <v>0.23120373660764951</v>
      </c>
      <c r="I187" s="69">
        <f t="shared" si="71"/>
        <v>-1.3349773523186674</v>
      </c>
      <c r="J187" s="99">
        <f t="shared" si="72"/>
        <v>1.5047746178408776E-2</v>
      </c>
      <c r="K187" s="69">
        <f t="shared" si="73"/>
        <v>7.2421292225591629E-4</v>
      </c>
      <c r="L187" s="99">
        <f t="shared" si="74"/>
        <v>1.5771959100664694E-2</v>
      </c>
      <c r="M187" s="69">
        <f t="shared" si="75"/>
        <v>14.659164098257499</v>
      </c>
      <c r="N187" s="69">
        <f t="shared" si="76"/>
        <v>7.0486611103022616</v>
      </c>
      <c r="O187" s="69">
        <f t="shared" si="77"/>
        <v>30.486795817940315</v>
      </c>
      <c r="P187" s="69">
        <f t="shared" si="78"/>
        <v>1.8946891086330155</v>
      </c>
      <c r="Q187" s="69">
        <f t="shared" si="79"/>
        <v>-9.5220526278302131E-2</v>
      </c>
      <c r="R187" s="43">
        <f t="shared" si="80"/>
        <v>-79.428672685173609</v>
      </c>
      <c r="S187" s="43">
        <f t="shared" si="81"/>
        <v>1287.5904706083227</v>
      </c>
      <c r="T187" s="43">
        <f>R187+Thrust!C$33*0.8</f>
        <v>1732.3313273148265</v>
      </c>
      <c r="U187" s="43"/>
      <c r="V187">
        <f t="shared" si="82"/>
        <v>1138472.3658192491</v>
      </c>
      <c r="W187">
        <f t="shared" si="83"/>
        <v>-70229.899156561733</v>
      </c>
      <c r="X187">
        <f t="shared" si="84"/>
        <v>-1208702.2649758109</v>
      </c>
      <c r="Y187">
        <f t="shared" si="85"/>
        <v>1208702.2649758109</v>
      </c>
      <c r="Z187">
        <f t="shared" si="86"/>
        <v>-3618.9850039287389</v>
      </c>
      <c r="AA187">
        <f t="shared" si="87"/>
        <v>-3.9115675550652389</v>
      </c>
      <c r="AB187">
        <f t="shared" si="88"/>
        <v>1250.0173990064118</v>
      </c>
      <c r="AC187">
        <f t="shared" si="89"/>
        <v>1.3501527162103935</v>
      </c>
      <c r="AD187">
        <f t="shared" si="90"/>
        <v>-0.4908088423571359</v>
      </c>
      <c r="AE187">
        <f t="shared" si="91"/>
        <v>-257.11866131034094</v>
      </c>
      <c r="AH187">
        <v>4.4732364917325453</v>
      </c>
      <c r="AI187">
        <v>2365.5825671639818</v>
      </c>
      <c r="AJ187">
        <f t="shared" si="92"/>
        <v>-289.08280133505281</v>
      </c>
      <c r="AK187">
        <f t="shared" si="93"/>
        <v>588.99265128704099</v>
      </c>
      <c r="AO187" s="43"/>
      <c r="AP187" s="43"/>
    </row>
    <row r="188" spans="1:42">
      <c r="A188">
        <v>226</v>
      </c>
      <c r="B188">
        <f t="shared" si="65"/>
        <v>226</v>
      </c>
      <c r="D188" s="43">
        <f t="shared" si="66"/>
        <v>526.19551366648227</v>
      </c>
      <c r="E188" s="43">
        <f t="shared" si="67"/>
        <v>888.11797625405347</v>
      </c>
      <c r="F188" s="69">
        <f t="shared" si="68"/>
        <v>0.93429154757107702</v>
      </c>
      <c r="G188" s="98">
        <f t="shared" si="69"/>
        <v>172.99986818640724</v>
      </c>
      <c r="H188" s="69">
        <f t="shared" si="70"/>
        <v>0.22916221250219787</v>
      </c>
      <c r="I188" s="69">
        <f t="shared" si="71"/>
        <v>-1.352168247677245</v>
      </c>
      <c r="J188" s="99">
        <f t="shared" si="72"/>
        <v>1.5047746178408776E-2</v>
      </c>
      <c r="K188" s="69">
        <f t="shared" si="73"/>
        <v>7.0185082351255292E-4</v>
      </c>
      <c r="L188" s="99">
        <f t="shared" si="74"/>
        <v>1.5749597001921328E-2</v>
      </c>
      <c r="M188" s="69">
        <f t="shared" si="75"/>
        <v>14.550354048693555</v>
      </c>
      <c r="N188" s="69">
        <f t="shared" si="76"/>
        <v>6.9653840050141396</v>
      </c>
      <c r="O188" s="69">
        <f t="shared" si="77"/>
        <v>30.394993698829545</v>
      </c>
      <c r="P188" s="69">
        <f t="shared" si="78"/>
        <v>1.9031099491158288</v>
      </c>
      <c r="Q188" s="69">
        <f t="shared" si="79"/>
        <v>-0.11133399724899107</v>
      </c>
      <c r="R188" s="43">
        <f t="shared" si="80"/>
        <v>-92.458875809877611</v>
      </c>
      <c r="S188" s="43">
        <f t="shared" si="81"/>
        <v>1297.2192935535302</v>
      </c>
      <c r="T188" s="43">
        <f>R188+Thrust!C$33*0.8</f>
        <v>1719.3011241901224</v>
      </c>
      <c r="U188" s="43"/>
      <c r="V188">
        <f t="shared" si="82"/>
        <v>1152083.7737484742</v>
      </c>
      <c r="W188">
        <f t="shared" si="83"/>
        <v>-82114.389670993362</v>
      </c>
      <c r="X188">
        <f t="shared" si="84"/>
        <v>-1234198.1634194676</v>
      </c>
      <c r="Y188">
        <f t="shared" si="85"/>
        <v>1234198.1634194676</v>
      </c>
      <c r="Z188">
        <f t="shared" si="86"/>
        <v>-3662.2530556242887</v>
      </c>
      <c r="AA188">
        <f t="shared" si="87"/>
        <v>-3.9408649726854539</v>
      </c>
      <c r="AB188">
        <f t="shared" si="88"/>
        <v>1191.6030555928253</v>
      </c>
      <c r="AC188">
        <f t="shared" si="89"/>
        <v>1.2813522373406572</v>
      </c>
      <c r="AD188">
        <f t="shared" si="90"/>
        <v>-0.56708483857520142</v>
      </c>
      <c r="AE188">
        <f t="shared" si="91"/>
        <v>-298.39749792655232</v>
      </c>
      <c r="AH188">
        <v>4.421590637519861</v>
      </c>
      <c r="AI188">
        <v>2348.7177931876713</v>
      </c>
      <c r="AJ188">
        <f t="shared" si="92"/>
        <v>-331.49646416099608</v>
      </c>
      <c r="AK188">
        <f t="shared" si="93"/>
        <v>584.56238222464162</v>
      </c>
      <c r="AO188" s="43"/>
      <c r="AP188" s="43"/>
    </row>
    <row r="189" spans="1:42">
      <c r="A189">
        <v>227</v>
      </c>
      <c r="B189">
        <f t="shared" si="65"/>
        <v>227</v>
      </c>
      <c r="D189" s="43">
        <f t="shared" si="66"/>
        <v>528.5238123995199</v>
      </c>
      <c r="E189" s="43">
        <f t="shared" si="67"/>
        <v>892.04770181269998</v>
      </c>
      <c r="F189" s="69">
        <f t="shared" si="68"/>
        <v>0.93842558096740958</v>
      </c>
      <c r="G189" s="98">
        <f t="shared" si="69"/>
        <v>174.53422757806763</v>
      </c>
      <c r="H189" s="69">
        <f t="shared" si="70"/>
        <v>0.22714760941920575</v>
      </c>
      <c r="I189" s="69">
        <f t="shared" si="71"/>
        <v>-1.3691324513799112</v>
      </c>
      <c r="J189" s="99">
        <f t="shared" si="72"/>
        <v>1.5047746178408776E-2</v>
      </c>
      <c r="K189" s="69">
        <f t="shared" si="73"/>
        <v>6.801273831751794E-4</v>
      </c>
      <c r="L189" s="99">
        <f t="shared" si="74"/>
        <v>1.5727873561583956E-2</v>
      </c>
      <c r="M189" s="69">
        <f t="shared" si="75"/>
        <v>14.442359835217907</v>
      </c>
      <c r="N189" s="69">
        <f t="shared" si="76"/>
        <v>6.8832294462373209</v>
      </c>
      <c r="O189" s="69">
        <f t="shared" si="77"/>
        <v>30.302891867702524</v>
      </c>
      <c r="P189" s="69">
        <f t="shared" si="78"/>
        <v>1.9115307895986429</v>
      </c>
      <c r="Q189" s="69">
        <f t="shared" si="79"/>
        <v>-0.12758252176706186</v>
      </c>
      <c r="R189" s="43">
        <f t="shared" si="80"/>
        <v>-105.48593840674901</v>
      </c>
      <c r="S189" s="43">
        <f t="shared" si="81"/>
        <v>1306.9193826602377</v>
      </c>
      <c r="T189" s="43">
        <f>R189+Thrust!C$33*0.8</f>
        <v>1706.274061593251</v>
      </c>
      <c r="U189" s="43"/>
      <c r="V189">
        <f t="shared" si="82"/>
        <v>1165834.4317565376</v>
      </c>
      <c r="W189">
        <f t="shared" si="83"/>
        <v>-94098.48892929648</v>
      </c>
      <c r="X189">
        <f t="shared" si="84"/>
        <v>-1259932.920685834</v>
      </c>
      <c r="Y189">
        <f t="shared" si="85"/>
        <v>1259932.920685834</v>
      </c>
      <c r="Z189">
        <f t="shared" si="86"/>
        <v>-3705.9637565770736</v>
      </c>
      <c r="AA189">
        <f t="shared" si="87"/>
        <v>-3.9703802739284915</v>
      </c>
      <c r="AB189">
        <f t="shared" si="88"/>
        <v>1132.4294258553953</v>
      </c>
      <c r="AC189">
        <f t="shared" si="89"/>
        <v>1.21234676206352</v>
      </c>
      <c r="AD189">
        <f t="shared" si="90"/>
        <v>-0.64218269551340601</v>
      </c>
      <c r="AE189">
        <f t="shared" si="91"/>
        <v>-339.40884648974543</v>
      </c>
      <c r="AH189">
        <v>4.3697247789793687</v>
      </c>
      <c r="AI189">
        <v>2331.4916581685502</v>
      </c>
      <c r="AJ189">
        <f t="shared" si="92"/>
        <v>-372.55148989391085</v>
      </c>
      <c r="AK189">
        <f t="shared" si="93"/>
        <v>580.1331809417054</v>
      </c>
      <c r="AO189" s="43"/>
      <c r="AP189" s="43"/>
    </row>
    <row r="190" spans="1:42">
      <c r="A190">
        <v>228</v>
      </c>
      <c r="B190">
        <f t="shared" si="65"/>
        <v>228</v>
      </c>
      <c r="D190" s="43">
        <f t="shared" si="66"/>
        <v>530.85211113255741</v>
      </c>
      <c r="E190" s="43">
        <f t="shared" si="67"/>
        <v>895.97742737134615</v>
      </c>
      <c r="F190" s="69">
        <f t="shared" si="68"/>
        <v>0.94255961436374169</v>
      </c>
      <c r="G190" s="98">
        <f t="shared" si="69"/>
        <v>176.07536118337765</v>
      </c>
      <c r="H190" s="69">
        <f t="shared" si="70"/>
        <v>0.22515945609730403</v>
      </c>
      <c r="I190" s="69">
        <f t="shared" si="71"/>
        <v>-1.385873931738802</v>
      </c>
      <c r="J190" s="99">
        <f t="shared" si="72"/>
        <v>1.5047746178408776E-2</v>
      </c>
      <c r="K190" s="69">
        <f t="shared" si="73"/>
        <v>6.5902394831942766E-4</v>
      </c>
      <c r="L190" s="99">
        <f t="shared" si="74"/>
        <v>1.5706770126728203E-2</v>
      </c>
      <c r="M190" s="69">
        <f t="shared" si="75"/>
        <v>14.335185036810993</v>
      </c>
      <c r="N190" s="69">
        <f t="shared" si="76"/>
        <v>6.8021843618839046</v>
      </c>
      <c r="O190" s="69">
        <f t="shared" si="77"/>
        <v>30.21052048972928</v>
      </c>
      <c r="P190" s="69">
        <f t="shared" si="78"/>
        <v>1.9199516300814561</v>
      </c>
      <c r="Q190" s="69">
        <f t="shared" si="79"/>
        <v>-0.14396609983251052</v>
      </c>
      <c r="R190" s="43">
        <f t="shared" si="80"/>
        <v>-118.50990179851924</v>
      </c>
      <c r="S190" s="43">
        <f t="shared" si="81"/>
        <v>1316.6903637121754</v>
      </c>
      <c r="T190" s="43">
        <f>R190+Thrust!C$33*0.8</f>
        <v>1693.2500982014808</v>
      </c>
      <c r="U190" s="43"/>
      <c r="V190">
        <f t="shared" si="82"/>
        <v>1179724.844723477</v>
      </c>
      <c r="W190">
        <f t="shared" si="83"/>
        <v>-106182.19693146813</v>
      </c>
      <c r="X190">
        <f t="shared" si="84"/>
        <v>-1285907.0416549451</v>
      </c>
      <c r="Y190">
        <f t="shared" si="85"/>
        <v>1285907.0416549451</v>
      </c>
      <c r="Z190">
        <f t="shared" si="86"/>
        <v>-3750.118711703768</v>
      </c>
      <c r="AA190">
        <f t="shared" si="87"/>
        <v>-4.0001123511911434</v>
      </c>
      <c r="AB190">
        <f t="shared" si="88"/>
        <v>1072.4949048774517</v>
      </c>
      <c r="AC190">
        <f t="shared" si="89"/>
        <v>1.1431372171204546</v>
      </c>
      <c r="AD190">
        <f t="shared" si="90"/>
        <v>-0.7161167104697258</v>
      </c>
      <c r="AE190">
        <f t="shared" si="91"/>
        <v>-380.15206757015636</v>
      </c>
      <c r="AH190">
        <v>4.3176397123573498</v>
      </c>
      <c r="AI190">
        <v>2313.9030125293484</v>
      </c>
      <c r="AJ190">
        <f t="shared" si="92"/>
        <v>-412.27199471103876</v>
      </c>
      <c r="AK190">
        <f t="shared" si="93"/>
        <v>575.70503338850347</v>
      </c>
      <c r="AO190" s="43"/>
      <c r="AP190" s="43"/>
    </row>
    <row r="191" spans="1:42">
      <c r="A191">
        <v>229</v>
      </c>
      <c r="B191">
        <f t="shared" si="65"/>
        <v>229</v>
      </c>
      <c r="D191" s="43">
        <f t="shared" si="66"/>
        <v>533.18040986559492</v>
      </c>
      <c r="E191" s="43">
        <f t="shared" si="67"/>
        <v>899.90715292999244</v>
      </c>
      <c r="F191" s="69">
        <f t="shared" si="68"/>
        <v>0.94669364776007392</v>
      </c>
      <c r="G191" s="98">
        <f t="shared" si="69"/>
        <v>177.62326900233742</v>
      </c>
      <c r="H191" s="69">
        <f t="shared" si="70"/>
        <v>0.22319729154215692</v>
      </c>
      <c r="I191" s="69">
        <f t="shared" si="71"/>
        <v>-1.4023965706112838</v>
      </c>
      <c r="J191" s="99">
        <f t="shared" si="72"/>
        <v>1.5047746178408776E-2</v>
      </c>
      <c r="K191" s="69">
        <f t="shared" si="73"/>
        <v>6.3852246649221864E-4</v>
      </c>
      <c r="L191" s="99">
        <f t="shared" si="74"/>
        <v>1.5686268644900993E-2</v>
      </c>
      <c r="M191" s="69">
        <f t="shared" si="75"/>
        <v>14.228832655796051</v>
      </c>
      <c r="N191" s="69">
        <f t="shared" si="76"/>
        <v>6.7222356357648634</v>
      </c>
      <c r="O191" s="69">
        <f t="shared" si="77"/>
        <v>30.117908641804402</v>
      </c>
      <c r="P191" s="69">
        <f t="shared" si="78"/>
        <v>1.9283724705642695</v>
      </c>
      <c r="Q191" s="69">
        <f t="shared" si="79"/>
        <v>-0.16048473144533881</v>
      </c>
      <c r="R191" s="43">
        <f t="shared" si="80"/>
        <v>-131.5308065861299</v>
      </c>
      <c r="S191" s="43">
        <f t="shared" si="81"/>
        <v>1326.5318706458575</v>
      </c>
      <c r="T191" s="43">
        <f>R191+Thrust!C$33*0.8</f>
        <v>1680.22919341387</v>
      </c>
      <c r="U191" s="43"/>
      <c r="V191">
        <f t="shared" si="82"/>
        <v>1193755.5189838107</v>
      </c>
      <c r="W191">
        <f t="shared" si="83"/>
        <v>-118365.51367750966</v>
      </c>
      <c r="X191">
        <f t="shared" si="84"/>
        <v>-1312121.0326613204</v>
      </c>
      <c r="Y191">
        <f t="shared" si="85"/>
        <v>1312121.0326613204</v>
      </c>
      <c r="Z191">
        <f t="shared" si="86"/>
        <v>-3794.7195305445634</v>
      </c>
      <c r="AA191">
        <f t="shared" si="87"/>
        <v>-4.0300601220388508</v>
      </c>
      <c r="AB191">
        <f t="shared" si="88"/>
        <v>1011.7978831188007</v>
      </c>
      <c r="AC191">
        <f t="shared" si="89"/>
        <v>1.0737245048596853</v>
      </c>
      <c r="AD191">
        <f t="shared" si="90"/>
        <v>-0.78890120912533201</v>
      </c>
      <c r="AE191">
        <f t="shared" si="91"/>
        <v>-420.62667002490798</v>
      </c>
      <c r="AH191">
        <v>4.265336214924897</v>
      </c>
      <c r="AI191">
        <v>2295.9507045360965</v>
      </c>
      <c r="AJ191">
        <f t="shared" si="92"/>
        <v>-450.68184637924037</v>
      </c>
      <c r="AK191">
        <f t="shared" si="93"/>
        <v>571.27792576071579</v>
      </c>
      <c r="AO191" s="43"/>
      <c r="AP191" s="43"/>
    </row>
    <row r="192" spans="1:42">
      <c r="A192">
        <v>230</v>
      </c>
      <c r="B192">
        <f t="shared" si="65"/>
        <v>230</v>
      </c>
      <c r="D192" s="43">
        <f t="shared" si="66"/>
        <v>535.50870859863244</v>
      </c>
      <c r="E192" s="43">
        <f t="shared" si="67"/>
        <v>903.8368784886386</v>
      </c>
      <c r="F192" s="69">
        <f t="shared" si="68"/>
        <v>0.95082768115640603</v>
      </c>
      <c r="G192" s="98">
        <f t="shared" si="69"/>
        <v>179.17795103494686</v>
      </c>
      <c r="H192" s="69">
        <f t="shared" si="70"/>
        <v>0.22126066475921086</v>
      </c>
      <c r="I192" s="69">
        <f t="shared" si="71"/>
        <v>-1.4187041656503732</v>
      </c>
      <c r="J192" s="99">
        <f t="shared" si="72"/>
        <v>1.5047746178408776E-2</v>
      </c>
      <c r="K192" s="69">
        <f t="shared" si="73"/>
        <v>6.1860546422551896E-4</v>
      </c>
      <c r="L192" s="99">
        <f t="shared" si="74"/>
        <v>1.5666351642634295E-2</v>
      </c>
      <c r="M192" s="69">
        <f t="shared" si="75"/>
        <v>14.123305145090303</v>
      </c>
      <c r="N192" s="69">
        <f t="shared" si="76"/>
        <v>6.6433701213672665</v>
      </c>
      <c r="O192" s="69">
        <f t="shared" si="77"/>
        <v>30.025084343830294</v>
      </c>
      <c r="P192" s="69">
        <f t="shared" si="78"/>
        <v>1.9367933110470827</v>
      </c>
      <c r="Q192" s="69">
        <f t="shared" si="79"/>
        <v>-0.1771384166055463</v>
      </c>
      <c r="R192" s="43">
        <f t="shared" si="80"/>
        <v>-144.54869266441747</v>
      </c>
      <c r="S192" s="43">
        <f t="shared" si="81"/>
        <v>1336.4435453383612</v>
      </c>
      <c r="T192" s="43">
        <f>R192+Thrust!C$33*0.8</f>
        <v>1667.2113073355824</v>
      </c>
      <c r="U192" s="43"/>
      <c r="V192">
        <f t="shared" si="82"/>
        <v>1207926.9622949138</v>
      </c>
      <c r="W192">
        <f t="shared" si="83"/>
        <v>-130648.43916742066</v>
      </c>
      <c r="X192">
        <f t="shared" si="84"/>
        <v>-1338575.4014623344</v>
      </c>
      <c r="Y192">
        <f t="shared" si="85"/>
        <v>1338575.4014623344</v>
      </c>
      <c r="Z192">
        <f t="shared" si="86"/>
        <v>-3839.7678271626396</v>
      </c>
      <c r="AA192">
        <f t="shared" si="87"/>
        <v>-4.0602225285649896</v>
      </c>
      <c r="AB192">
        <f t="shared" si="88"/>
        <v>950.33674651626393</v>
      </c>
      <c r="AC192">
        <f t="shared" si="89"/>
        <v>1.0041095038353767</v>
      </c>
      <c r="AD192">
        <f t="shared" si="90"/>
        <v>-0.86055053173381202</v>
      </c>
      <c r="AE192">
        <f t="shared" si="91"/>
        <v>-460.83230393264023</v>
      </c>
      <c r="AH192">
        <v>4.2128150454523121</v>
      </c>
      <c r="AI192">
        <v>2277.6335803450115</v>
      </c>
      <c r="AJ192">
        <f t="shared" si="92"/>
        <v>-487.80465619368817</v>
      </c>
      <c r="AK192">
        <f t="shared" si="93"/>
        <v>566.85184449409803</v>
      </c>
      <c r="AO192" s="43"/>
      <c r="AP192" s="43"/>
    </row>
    <row r="193" spans="1:43">
      <c r="A193">
        <v>231</v>
      </c>
      <c r="B193">
        <f t="shared" si="65"/>
        <v>231</v>
      </c>
      <c r="D193" s="43">
        <f t="shared" si="66"/>
        <v>537.83700733166995</v>
      </c>
      <c r="E193" s="43">
        <f t="shared" si="67"/>
        <v>907.76660404728489</v>
      </c>
      <c r="F193" s="69">
        <f t="shared" si="68"/>
        <v>0.95496171455273826</v>
      </c>
      <c r="G193" s="98">
        <f t="shared" si="69"/>
        <v>180.73940728120601</v>
      </c>
      <c r="H193" s="69">
        <f t="shared" si="70"/>
        <v>0.21934913449452323</v>
      </c>
      <c r="I193" s="69">
        <f t="shared" si="71"/>
        <v>-1.4348004324871191</v>
      </c>
      <c r="J193" s="99">
        <f t="shared" si="72"/>
        <v>1.5047746178408776E-2</v>
      </c>
      <c r="K193" s="69">
        <f t="shared" si="73"/>
        <v>5.9925602640081908E-4</v>
      </c>
      <c r="L193" s="99">
        <f t="shared" si="74"/>
        <v>1.5647002204809596E-2</v>
      </c>
      <c r="M193" s="69">
        <f t="shared" si="75"/>
        <v>14.018604434471122</v>
      </c>
      <c r="N193" s="69">
        <f t="shared" si="76"/>
        <v>6.5655746548123117</v>
      </c>
      <c r="O193" s="69">
        <f t="shared" si="77"/>
        <v>29.932074589408707</v>
      </c>
      <c r="P193" s="69">
        <f t="shared" si="78"/>
        <v>1.9452141515298962</v>
      </c>
      <c r="Q193" s="69">
        <f t="shared" si="79"/>
        <v>-0.19392715531313476</v>
      </c>
      <c r="R193" s="43">
        <f t="shared" si="80"/>
        <v>-157.56359923740067</v>
      </c>
      <c r="S193" s="43">
        <f t="shared" si="81"/>
        <v>1346.4250374015276</v>
      </c>
      <c r="T193" s="43">
        <f>R193+Thrust!C$33*0.8</f>
        <v>1654.1964007625993</v>
      </c>
      <c r="U193" s="43"/>
      <c r="V193">
        <f t="shared" si="82"/>
        <v>1222239.6838062233</v>
      </c>
      <c r="W193">
        <f t="shared" si="83"/>
        <v>-143030.97340120256</v>
      </c>
      <c r="X193">
        <f t="shared" si="84"/>
        <v>-1365270.6572074259</v>
      </c>
      <c r="Y193">
        <f t="shared" si="85"/>
        <v>1365270.6572074259</v>
      </c>
      <c r="Z193">
        <f t="shared" si="86"/>
        <v>-3885.2652200462721</v>
      </c>
      <c r="AA193">
        <f t="shared" si="87"/>
        <v>-4.0905985367696998</v>
      </c>
      <c r="AB193">
        <f t="shared" si="88"/>
        <v>888.10987658156137</v>
      </c>
      <c r="AC193">
        <f t="shared" si="89"/>
        <v>0.93429306938813195</v>
      </c>
      <c r="AD193">
        <f t="shared" si="90"/>
        <v>-0.93107902014381527</v>
      </c>
      <c r="AE193">
        <f t="shared" si="91"/>
        <v>-500.76875378345329</v>
      </c>
      <c r="AH193">
        <v>4.1600769446686776</v>
      </c>
      <c r="AI193">
        <v>2258.950484048165</v>
      </c>
      <c r="AJ193">
        <f t="shared" si="92"/>
        <v>-523.66377174213881</v>
      </c>
      <c r="AK193">
        <f t="shared" si="93"/>
        <v>562.42677625928377</v>
      </c>
      <c r="AO193" s="43"/>
      <c r="AP193" s="43"/>
    </row>
    <row r="194" spans="1:43">
      <c r="A194">
        <v>232</v>
      </c>
      <c r="B194">
        <f t="shared" si="65"/>
        <v>232</v>
      </c>
      <c r="D194" s="43">
        <f t="shared" si="66"/>
        <v>540.16530606470747</v>
      </c>
      <c r="E194" s="43">
        <f t="shared" si="67"/>
        <v>911.69632960593106</v>
      </c>
      <c r="F194" s="69">
        <f t="shared" si="68"/>
        <v>0.95909574794907038</v>
      </c>
      <c r="G194" s="98">
        <f t="shared" si="69"/>
        <v>182.30763774111489</v>
      </c>
      <c r="H194" s="69">
        <f t="shared" si="70"/>
        <v>0.21746226898339507</v>
      </c>
      <c r="I194" s="69">
        <f t="shared" si="71"/>
        <v>-1.450689006847272</v>
      </c>
      <c r="J194" s="99">
        <f t="shared" si="72"/>
        <v>1.5047746178408776E-2</v>
      </c>
      <c r="K194" s="69">
        <f t="shared" si="73"/>
        <v>5.8045777642735323E-4</v>
      </c>
      <c r="L194" s="99">
        <f t="shared" si="74"/>
        <v>1.5628203954836131E-2</v>
      </c>
      <c r="M194" s="69">
        <f t="shared" si="75"/>
        <v>13.914731955881701</v>
      </c>
      <c r="N194" s="69">
        <f t="shared" si="76"/>
        <v>6.4888360670303724</v>
      </c>
      <c r="O194" s="69">
        <f t="shared" si="77"/>
        <v>29.838905375929123</v>
      </c>
      <c r="P194" s="69">
        <f t="shared" si="78"/>
        <v>1.9536349920127094</v>
      </c>
      <c r="Q194" s="69">
        <f t="shared" si="79"/>
        <v>-0.21085094756810108</v>
      </c>
      <c r="R194" s="43">
        <f t="shared" si="80"/>
        <v>-170.5755648331627</v>
      </c>
      <c r="S194" s="43">
        <f t="shared" si="81"/>
        <v>1356.4760039823559</v>
      </c>
      <c r="T194" s="43">
        <f>R194+Thrust!C$33*0.8</f>
        <v>1641.1844351668374</v>
      </c>
      <c r="U194" s="43"/>
      <c r="V194">
        <f t="shared" si="82"/>
        <v>1236694.1940292341</v>
      </c>
      <c r="W194">
        <f t="shared" si="83"/>
        <v>-155513.11637885295</v>
      </c>
      <c r="X194">
        <f t="shared" si="84"/>
        <v>-1392207.310408087</v>
      </c>
      <c r="Y194">
        <f t="shared" si="85"/>
        <v>1392207.310408087</v>
      </c>
      <c r="Z194">
        <f t="shared" si="86"/>
        <v>-3931.2133320134594</v>
      </c>
      <c r="AA194">
        <f t="shared" si="87"/>
        <v>-4.1211871359575509</v>
      </c>
      <c r="AB194">
        <f t="shared" si="88"/>
        <v>825.11565049670321</v>
      </c>
      <c r="AC194">
        <f t="shared" si="89"/>
        <v>0.86427603420756149</v>
      </c>
      <c r="AD194">
        <f t="shared" si="90"/>
        <v>-1.0005010056181805</v>
      </c>
      <c r="AE194">
        <f t="shared" si="91"/>
        <v>-540.435931917792</v>
      </c>
      <c r="AH194">
        <v>4.107122635707114</v>
      </c>
      <c r="AI194">
        <v>2239.9002577179713</v>
      </c>
      <c r="AJ194">
        <f t="shared" si="92"/>
        <v>-558.28227044837092</v>
      </c>
      <c r="AK194">
        <f t="shared" si="93"/>
        <v>558.00270795672475</v>
      </c>
      <c r="AO194" s="43"/>
      <c r="AP194" s="43"/>
    </row>
    <row r="195" spans="1:43">
      <c r="A195">
        <v>233</v>
      </c>
      <c r="B195">
        <f t="shared" si="65"/>
        <v>233</v>
      </c>
      <c r="D195" s="43">
        <f t="shared" si="66"/>
        <v>542.49360479774509</v>
      </c>
      <c r="E195" s="43">
        <f t="shared" si="67"/>
        <v>915.62605516457745</v>
      </c>
      <c r="F195" s="69">
        <f t="shared" si="68"/>
        <v>0.96322978134540271</v>
      </c>
      <c r="G195" s="98">
        <f t="shared" si="69"/>
        <v>183.88264241467357</v>
      </c>
      <c r="H195" s="69">
        <f t="shared" si="70"/>
        <v>0.2155996457065382</v>
      </c>
      <c r="I195" s="69">
        <f t="shared" si="71"/>
        <v>-1.466373446604506</v>
      </c>
      <c r="J195" s="99">
        <f t="shared" si="72"/>
        <v>1.5047746178408776E-2</v>
      </c>
      <c r="K195" s="69">
        <f t="shared" si="73"/>
        <v>5.6219485719878853E-4</v>
      </c>
      <c r="L195" s="99">
        <f t="shared" si="74"/>
        <v>1.5609941035607564E-2</v>
      </c>
      <c r="M195" s="69">
        <f t="shared" si="75"/>
        <v>13.811688667800706</v>
      </c>
      <c r="N195" s="69">
        <f t="shared" si="76"/>
        <v>6.4131411951878583</v>
      </c>
      <c r="O195" s="69">
        <f t="shared" si="77"/>
        <v>29.74560173404485</v>
      </c>
      <c r="P195" s="69">
        <f t="shared" si="78"/>
        <v>1.9620558324955231</v>
      </c>
      <c r="Q195" s="69">
        <f t="shared" si="79"/>
        <v>-0.22790979337044881</v>
      </c>
      <c r="R195" s="43">
        <f t="shared" si="80"/>
        <v>-183.5846273183659</v>
      </c>
      <c r="S195" s="43">
        <f t="shared" si="81"/>
        <v>1366.5961095693847</v>
      </c>
      <c r="T195" s="43">
        <f>R195+Thrust!C$33*0.8</f>
        <v>1628.1753726816341</v>
      </c>
      <c r="U195" s="43"/>
      <c r="V195">
        <f t="shared" si="82"/>
        <v>1251291.0048082743</v>
      </c>
      <c r="W195">
        <f t="shared" si="83"/>
        <v>-168094.8681003745</v>
      </c>
      <c r="X195">
        <f t="shared" si="84"/>
        <v>-1419385.8729086488</v>
      </c>
      <c r="Y195">
        <f t="shared" si="85"/>
        <v>1419385.8729086488</v>
      </c>
      <c r="Z195">
        <f t="shared" si="86"/>
        <v>-3977.6137901190177</v>
      </c>
      <c r="AA195">
        <f t="shared" si="87"/>
        <v>-4.1519873381534227</v>
      </c>
      <c r="AB195">
        <f t="shared" si="88"/>
        <v>761.35244120686457</v>
      </c>
      <c r="AC195">
        <f t="shared" si="89"/>
        <v>0.79405920887740822</v>
      </c>
      <c r="AD195">
        <f t="shared" si="90"/>
        <v>-1.0688307974140088</v>
      </c>
      <c r="AE195">
        <f t="shared" si="91"/>
        <v>-579.83387220797408</v>
      </c>
      <c r="AH195">
        <v>4.0539528245362337</v>
      </c>
      <c r="AI195">
        <v>2220.481741450521</v>
      </c>
      <c r="AJ195">
        <f t="shared" si="92"/>
        <v>-591.68295385047509</v>
      </c>
      <c r="AK195">
        <f t="shared" si="93"/>
        <v>553.57962671175562</v>
      </c>
      <c r="AO195" s="43"/>
      <c r="AP195" s="43"/>
    </row>
    <row r="196" spans="1:43">
      <c r="A196">
        <v>234</v>
      </c>
      <c r="B196">
        <f t="shared" si="65"/>
        <v>234</v>
      </c>
      <c r="D196" s="43">
        <f t="shared" si="66"/>
        <v>544.82190353078261</v>
      </c>
      <c r="E196" s="43">
        <f t="shared" si="67"/>
        <v>919.55578072322373</v>
      </c>
      <c r="F196" s="69">
        <f t="shared" si="68"/>
        <v>0.96736381474173494</v>
      </c>
      <c r="G196" s="98">
        <f t="shared" si="69"/>
        <v>185.46442130188188</v>
      </c>
      <c r="H196" s="69">
        <f t="shared" si="70"/>
        <v>0.21376085115352203</v>
      </c>
      <c r="I196" s="69">
        <f t="shared" si="71"/>
        <v>-1.4818572337723437</v>
      </c>
      <c r="J196" s="99">
        <f t="shared" si="72"/>
        <v>1.5047746178408776E-2</v>
      </c>
      <c r="K196" s="69">
        <f t="shared" si="73"/>
        <v>5.4445191279482372E-4</v>
      </c>
      <c r="L196" s="99">
        <f t="shared" si="74"/>
        <v>1.55921980912036E-2</v>
      </c>
      <c r="M196" s="69">
        <f t="shared" si="75"/>
        <v>13.709475078700805</v>
      </c>
      <c r="N196" s="69">
        <f t="shared" si="76"/>
        <v>6.338476893399859</v>
      </c>
      <c r="O196" s="69">
        <f t="shared" si="77"/>
        <v>29.65218775652982</v>
      </c>
      <c r="P196" s="69">
        <f t="shared" si="78"/>
        <v>1.9704766729783365</v>
      </c>
      <c r="Q196" s="69">
        <f t="shared" si="79"/>
        <v>-0.24510369272017529</v>
      </c>
      <c r="R196" s="43">
        <f t="shared" si="80"/>
        <v>-196.59082391237445</v>
      </c>
      <c r="S196" s="43">
        <f t="shared" si="81"/>
        <v>1376.7850258048475</v>
      </c>
      <c r="T196" s="43">
        <f>R196+Thrust!C$33*0.8</f>
        <v>1615.1691760876256</v>
      </c>
      <c r="U196" s="43"/>
      <c r="V196">
        <f t="shared" si="82"/>
        <v>1266030.6292920203</v>
      </c>
      <c r="W196">
        <f t="shared" si="83"/>
        <v>-180776.22856576528</v>
      </c>
      <c r="X196">
        <f t="shared" si="84"/>
        <v>-1446806.8578577857</v>
      </c>
      <c r="Y196">
        <f t="shared" si="85"/>
        <v>1446806.8578577857</v>
      </c>
      <c r="Z196">
        <f t="shared" si="86"/>
        <v>-4024.4682255640378</v>
      </c>
      <c r="AA196">
        <f t="shared" si="87"/>
        <v>-4.1829981775359402</v>
      </c>
      <c r="AB196">
        <f t="shared" si="88"/>
        <v>696.81861751095812</v>
      </c>
      <c r="AC196">
        <f t="shared" si="89"/>
        <v>0.72364338240399073</v>
      </c>
      <c r="AD196">
        <f t="shared" si="90"/>
        <v>-1.1360826720889554</v>
      </c>
      <c r="AE196">
        <f t="shared" si="91"/>
        <v>-618.96272397584255</v>
      </c>
      <c r="AH196">
        <v>4.0005682003782868</v>
      </c>
      <c r="AI196">
        <v>2200.6937734078147</v>
      </c>
      <c r="AJ196">
        <f t="shared" si="92"/>
        <v>-623.88834257141775</v>
      </c>
      <c r="AK196">
        <f t="shared" si="93"/>
        <v>549.15751986979274</v>
      </c>
      <c r="AO196" s="43"/>
      <c r="AP196" s="43"/>
    </row>
    <row r="197" spans="1:43">
      <c r="A197">
        <v>235</v>
      </c>
      <c r="B197">
        <f t="shared" si="65"/>
        <v>235</v>
      </c>
      <c r="D197" s="43">
        <f t="shared" si="66"/>
        <v>547.15020226382012</v>
      </c>
      <c r="E197" s="43">
        <f t="shared" si="67"/>
        <v>923.4855062818699</v>
      </c>
      <c r="F197" s="69">
        <f t="shared" si="68"/>
        <v>0.97149784813806705</v>
      </c>
      <c r="G197" s="98">
        <f t="shared" si="69"/>
        <v>187.05297440273986</v>
      </c>
      <c r="H197" s="69">
        <f t="shared" si="70"/>
        <v>0.21194548059325047</v>
      </c>
      <c r="I197" s="69">
        <f t="shared" si="71"/>
        <v>-1.4971437764368822</v>
      </c>
      <c r="J197" s="99">
        <f t="shared" si="72"/>
        <v>1.5047746178408776E-2</v>
      </c>
      <c r="K197" s="69">
        <f t="shared" si="73"/>
        <v>5.2721407089566653E-4</v>
      </c>
      <c r="L197" s="99">
        <f t="shared" si="74"/>
        <v>1.5574960249304442E-2</v>
      </c>
      <c r="M197" s="69">
        <f t="shared" si="75"/>
        <v>13.608091269620781</v>
      </c>
      <c r="N197" s="69">
        <f t="shared" si="76"/>
        <v>6.2648300427611714</v>
      </c>
      <c r="O197" s="69">
        <f t="shared" si="77"/>
        <v>29.558686626511051</v>
      </c>
      <c r="P197" s="69">
        <f t="shared" si="78"/>
        <v>1.9788975134611497</v>
      </c>
      <c r="Q197" s="69">
        <f t="shared" si="79"/>
        <v>-0.26243264561728097</v>
      </c>
      <c r="R197" s="43">
        <f t="shared" si="80"/>
        <v>-209.59419120103362</v>
      </c>
      <c r="S197" s="43">
        <f t="shared" si="81"/>
        <v>1387.0424313024171</v>
      </c>
      <c r="T197" s="43">
        <f>R197+Thrust!C$33*0.8</f>
        <v>1602.1658087989663</v>
      </c>
      <c r="U197" s="43"/>
      <c r="V197">
        <f t="shared" si="82"/>
        <v>1280913.5819057485</v>
      </c>
      <c r="W197">
        <f t="shared" si="83"/>
        <v>-193557.19777502559</v>
      </c>
      <c r="X197">
        <f t="shared" si="84"/>
        <v>-1474470.7796807741</v>
      </c>
      <c r="Y197">
        <f t="shared" si="85"/>
        <v>1474470.7796807741</v>
      </c>
      <c r="Z197">
        <f t="shared" si="86"/>
        <v>-4071.7782736076761</v>
      </c>
      <c r="AA197">
        <f t="shared" si="87"/>
        <v>-4.2142187098879251</v>
      </c>
      <c r="AB197">
        <f t="shared" si="88"/>
        <v>631.51254414982748</v>
      </c>
      <c r="AC197">
        <f t="shared" si="89"/>
        <v>0.65302932272836689</v>
      </c>
      <c r="AD197">
        <f t="shared" si="90"/>
        <v>-1.2022708635005634</v>
      </c>
      <c r="AE197">
        <f t="shared" si="91"/>
        <v>-657.82274614023106</v>
      </c>
      <c r="AH197">
        <v>3.9469694361144088</v>
      </c>
      <c r="AI197">
        <v>2180.535189858917</v>
      </c>
      <c r="AJ197">
        <f t="shared" si="92"/>
        <v>-654.9206719413761</v>
      </c>
      <c r="AK197">
        <f t="shared" si="93"/>
        <v>544.73637499164863</v>
      </c>
      <c r="AO197" s="43"/>
      <c r="AP197" s="43"/>
    </row>
    <row r="198" spans="1:43">
      <c r="A198">
        <v>236</v>
      </c>
      <c r="B198">
        <f t="shared" si="65"/>
        <v>236</v>
      </c>
      <c r="D198" s="43">
        <f t="shared" si="66"/>
        <v>549.47850099685763</v>
      </c>
      <c r="E198" s="43">
        <f t="shared" si="67"/>
        <v>927.41523184051619</v>
      </c>
      <c r="F198" s="69">
        <f t="shared" si="68"/>
        <v>0.97563188153439928</v>
      </c>
      <c r="G198" s="98">
        <f t="shared" si="69"/>
        <v>188.64830171724765</v>
      </c>
      <c r="H198" s="69">
        <f t="shared" si="70"/>
        <v>0.21015313785123263</v>
      </c>
      <c r="I198" s="69">
        <f t="shared" si="71"/>
        <v>-1.5122364106323127</v>
      </c>
      <c r="J198" s="99">
        <f t="shared" si="72"/>
        <v>1.5047746178408776E-2</v>
      </c>
      <c r="K198" s="69">
        <f t="shared" si="73"/>
        <v>5.1046692587890599E-4</v>
      </c>
      <c r="L198" s="99">
        <f t="shared" si="74"/>
        <v>1.5558213104287682E-2</v>
      </c>
      <c r="M198" s="69">
        <f t="shared" si="75"/>
        <v>13.507536915876067</v>
      </c>
      <c r="N198" s="69">
        <f t="shared" si="76"/>
        <v>6.1921875607273416</v>
      </c>
      <c r="O198" s="69">
        <f t="shared" si="77"/>
        <v>29.46512064507354</v>
      </c>
      <c r="P198" s="69">
        <f t="shared" si="78"/>
        <v>1.9873183539439634</v>
      </c>
      <c r="Q198" s="69">
        <f t="shared" si="79"/>
        <v>-0.27989665206176761</v>
      </c>
      <c r="R198" s="43">
        <f t="shared" si="80"/>
        <v>-222.59476515009078</v>
      </c>
      <c r="S198" s="43">
        <f t="shared" si="81"/>
        <v>1397.3680114703438</v>
      </c>
      <c r="T198" s="43">
        <f>R198+Thrust!C$33*0.8</f>
        <v>1589.1652348499092</v>
      </c>
      <c r="U198" s="43"/>
      <c r="V198">
        <f t="shared" si="82"/>
        <v>1295940.37832429</v>
      </c>
      <c r="W198">
        <f t="shared" si="83"/>
        <v>-206437.7757281567</v>
      </c>
      <c r="X198">
        <f t="shared" si="84"/>
        <v>-1502378.1540524468</v>
      </c>
      <c r="Y198">
        <f t="shared" si="85"/>
        <v>1502378.1540524468</v>
      </c>
      <c r="Z198">
        <f t="shared" si="86"/>
        <v>-4119.5455734811867</v>
      </c>
      <c r="AA198">
        <f t="shared" si="87"/>
        <v>-4.2456480120632527</v>
      </c>
      <c r="AB198">
        <f t="shared" si="88"/>
        <v>565.43258189221751</v>
      </c>
      <c r="AC198">
        <f t="shared" si="89"/>
        <v>0.58221777722286483</v>
      </c>
      <c r="AD198">
        <f t="shared" si="90"/>
        <v>-1.267409553466246</v>
      </c>
      <c r="AE198">
        <f t="shared" si="91"/>
        <v>-696.41430158772948</v>
      </c>
      <c r="AH198">
        <v>3.893157188677431</v>
      </c>
      <c r="AI198">
        <v>2160.0048252200518</v>
      </c>
      <c r="AJ198">
        <f t="shared" si="92"/>
        <v>-684.80188823296987</v>
      </c>
      <c r="AK198">
        <f t="shared" si="93"/>
        <v>540.31617984896923</v>
      </c>
      <c r="AO198" s="43"/>
      <c r="AP198" s="43"/>
    </row>
    <row r="199" spans="1:43">
      <c r="A199">
        <v>237</v>
      </c>
      <c r="B199">
        <f t="shared" si="65"/>
        <v>237</v>
      </c>
      <c r="D199" s="43">
        <f t="shared" si="66"/>
        <v>551.80679972989515</v>
      </c>
      <c r="E199" s="43">
        <f t="shared" si="67"/>
        <v>931.34495739916235</v>
      </c>
      <c r="F199" s="69">
        <f t="shared" si="68"/>
        <v>0.9797659149307314</v>
      </c>
      <c r="G199" s="98">
        <f t="shared" si="69"/>
        <v>190.25040324540507</v>
      </c>
      <c r="H199" s="69">
        <f t="shared" si="70"/>
        <v>0.20838343509341906</v>
      </c>
      <c r="I199" s="69">
        <f t="shared" si="71"/>
        <v>-1.5271384021611507</v>
      </c>
      <c r="J199" s="99">
        <f t="shared" si="72"/>
        <v>1.5047746178408776E-2</v>
      </c>
      <c r="K199" s="69">
        <f t="shared" si="73"/>
        <v>4.941965225696988E-4</v>
      </c>
      <c r="L199" s="99">
        <f t="shared" si="74"/>
        <v>1.5541942700978474E-2</v>
      </c>
      <c r="M199" s="69">
        <f t="shared" si="75"/>
        <v>13.407811307932556</v>
      </c>
      <c r="N199" s="69">
        <f t="shared" si="76"/>
        <v>6.1205364098762596</v>
      </c>
      <c r="O199" s="69">
        <f t="shared" si="77"/>
        <v>29.371511258236048</v>
      </c>
      <c r="P199" s="69">
        <f t="shared" si="78"/>
        <v>1.9957391944267766</v>
      </c>
      <c r="Q199" s="69">
        <f t="shared" si="79"/>
        <v>-0.29749571205363257</v>
      </c>
      <c r="R199" s="43">
        <f t="shared" si="80"/>
        <v>-235.59258111827305</v>
      </c>
      <c r="S199" s="43">
        <f t="shared" si="81"/>
        <v>1407.7614583398001</v>
      </c>
      <c r="T199" s="43">
        <f>R199+Thrust!C$33*0.8</f>
        <v>1576.1674188817269</v>
      </c>
      <c r="U199" s="43"/>
      <c r="V199">
        <f t="shared" si="82"/>
        <v>1311111.5354456638</v>
      </c>
      <c r="W199">
        <f t="shared" si="83"/>
        <v>-219417.9624251567</v>
      </c>
      <c r="X199">
        <f t="shared" si="84"/>
        <v>-1530529.4978708206</v>
      </c>
      <c r="Y199">
        <f t="shared" si="85"/>
        <v>1530529.4978708206</v>
      </c>
      <c r="Z199">
        <f t="shared" si="86"/>
        <v>-4167.7717683040973</v>
      </c>
      <c r="AA199">
        <f t="shared" si="87"/>
        <v>-4.2772851814695363</v>
      </c>
      <c r="AB199">
        <f t="shared" si="88"/>
        <v>498.5770876186038</v>
      </c>
      <c r="AC199">
        <f t="shared" si="89"/>
        <v>0.51120947317252463</v>
      </c>
      <c r="AD199">
        <f t="shared" si="90"/>
        <v>-1.3315128630528323</v>
      </c>
      <c r="AE199">
        <f t="shared" si="91"/>
        <v>-734.73785176037359</v>
      </c>
      <c r="AH199">
        <v>3.8391320994326943</v>
      </c>
      <c r="AI199">
        <v>2139.1015120937022</v>
      </c>
      <c r="AJ199">
        <f t="shared" si="92"/>
        <v>-713.55364547237241</v>
      </c>
      <c r="AK199">
        <f t="shared" si="93"/>
        <v>535.89692241978719</v>
      </c>
      <c r="AO199" s="43"/>
      <c r="AP199" s="43"/>
    </row>
    <row r="200" spans="1:43">
      <c r="A200">
        <v>238</v>
      </c>
      <c r="B200">
        <f t="shared" si="65"/>
        <v>238</v>
      </c>
      <c r="D200" s="43">
        <f t="shared" si="66"/>
        <v>554.13509846293266</v>
      </c>
      <c r="E200" s="43">
        <f t="shared" si="67"/>
        <v>935.27468295780864</v>
      </c>
      <c r="F200" s="69">
        <f t="shared" si="68"/>
        <v>0.98389994832706362</v>
      </c>
      <c r="G200" s="98">
        <f t="shared" si="69"/>
        <v>191.85927898721226</v>
      </c>
      <c r="H200" s="69">
        <f t="shared" si="70"/>
        <v>0.20663599261638047</v>
      </c>
      <c r="I200" s="69">
        <f t="shared" si="71"/>
        <v>-1.5418529483610637</v>
      </c>
      <c r="J200" s="99">
        <f t="shared" si="72"/>
        <v>1.5047746178408776E-2</v>
      </c>
      <c r="K200" s="69">
        <f t="shared" si="73"/>
        <v>4.7838934061651412E-4</v>
      </c>
      <c r="L200" s="99">
        <f t="shared" si="74"/>
        <v>1.552613551902529E-2</v>
      </c>
      <c r="M200" s="69">
        <f t="shared" si="75"/>
        <v>13.308913371468034</v>
      </c>
      <c r="N200" s="69">
        <f t="shared" si="76"/>
        <v>6.0498636060795716</v>
      </c>
      <c r="O200" s="69">
        <f t="shared" si="77"/>
        <v>29.277879083297634</v>
      </c>
      <c r="P200" s="69">
        <f t="shared" si="78"/>
        <v>2.00416003490959</v>
      </c>
      <c r="Q200" s="69">
        <f t="shared" si="79"/>
        <v>-0.3152298255928776</v>
      </c>
      <c r="R200" s="43">
        <f t="shared" si="80"/>
        <v>-248.5876738700465</v>
      </c>
      <c r="S200" s="43">
        <f t="shared" si="81"/>
        <v>1418.2224703982727</v>
      </c>
      <c r="T200" s="43">
        <f>R200+Thrust!C$33*0.8</f>
        <v>1563.1723261299535</v>
      </c>
      <c r="U200" s="43"/>
      <c r="V200">
        <f t="shared" si="82"/>
        <v>1326427.5713653846</v>
      </c>
      <c r="W200">
        <f t="shared" si="83"/>
        <v>-232497.75786602686</v>
      </c>
      <c r="X200">
        <f t="shared" si="84"/>
        <v>-1558925.3292314115</v>
      </c>
      <c r="Y200">
        <f t="shared" si="85"/>
        <v>1558925.3292314115</v>
      </c>
      <c r="Z200">
        <f t="shared" si="86"/>
        <v>-4216.4585050025471</v>
      </c>
      <c r="AA200">
        <f t="shared" si="87"/>
        <v>-4.3091293355661957</v>
      </c>
      <c r="AB200">
        <f t="shared" si="88"/>
        <v>430.94441440284351</v>
      </c>
      <c r="AC200">
        <f t="shared" si="89"/>
        <v>0.44000511824185234</v>
      </c>
      <c r="AD200">
        <f t="shared" si="90"/>
        <v>-1.394594844465749</v>
      </c>
      <c r="AE200">
        <f t="shared" si="91"/>
        <v>-772.79395145392618</v>
      </c>
      <c r="AH200">
        <v>3.7848947945472258</v>
      </c>
      <c r="AI200">
        <v>2117.8240813067068</v>
      </c>
      <c r="AJ200">
        <f t="shared" si="92"/>
        <v>-741.19730279100429</v>
      </c>
      <c r="AK200">
        <f t="shared" si="93"/>
        <v>531.4785908841842</v>
      </c>
      <c r="AO200" s="43"/>
      <c r="AP200" s="43"/>
      <c r="AQ200" t="e">
        <f t="shared" ref="AQ200:AQ231" si="94">((325.9*Q385)/($J$12))*M385*LN(AO200/AP200)</f>
        <v>#DIV/0!</v>
      </c>
    </row>
    <row r="201" spans="1:43">
      <c r="A201">
        <v>239</v>
      </c>
      <c r="B201">
        <f t="shared" si="65"/>
        <v>239</v>
      </c>
      <c r="D201" s="43">
        <f t="shared" si="66"/>
        <v>556.46339719597029</v>
      </c>
      <c r="E201" s="43">
        <f t="shared" si="67"/>
        <v>939.20440851645503</v>
      </c>
      <c r="F201" s="69">
        <f t="shared" si="68"/>
        <v>0.98803398172339596</v>
      </c>
      <c r="G201" s="98">
        <f t="shared" si="69"/>
        <v>193.47492894266921</v>
      </c>
      <c r="H201" s="69">
        <f t="shared" si="70"/>
        <v>0.2049104386436206</v>
      </c>
      <c r="I201" s="69">
        <f t="shared" si="71"/>
        <v>-1.5563831798200403</v>
      </c>
      <c r="J201" s="99">
        <f t="shared" si="72"/>
        <v>1.5047746178408776E-2</v>
      </c>
      <c r="K201" s="69">
        <f t="shared" si="73"/>
        <v>4.6303227946602524E-4</v>
      </c>
      <c r="L201" s="99">
        <f t="shared" si="74"/>
        <v>1.5510778457874802E-2</v>
      </c>
      <c r="M201" s="69">
        <f t="shared" si="75"/>
        <v>13.210841686645834</v>
      </c>
      <c r="N201" s="69">
        <f t="shared" si="76"/>
        <v>5.980156226112368</v>
      </c>
      <c r="O201" s="69">
        <f t="shared" si="77"/>
        <v>29.18424393455636</v>
      </c>
      <c r="P201" s="69">
        <f t="shared" si="78"/>
        <v>2.0125808753924037</v>
      </c>
      <c r="Q201" s="69">
        <f t="shared" si="79"/>
        <v>-0.33309899267950227</v>
      </c>
      <c r="R201" s="43">
        <f t="shared" si="80"/>
        <v>-261.58007758804359</v>
      </c>
      <c r="S201" s="43">
        <f t="shared" si="81"/>
        <v>1428.7507524278165</v>
      </c>
      <c r="T201" s="43">
        <f>R201+Thrust!C$33*0.8</f>
        <v>1550.1799224119563</v>
      </c>
      <c r="U201" s="43"/>
      <c r="V201">
        <f t="shared" si="82"/>
        <v>1341889.0053514075</v>
      </c>
      <c r="W201">
        <f t="shared" si="83"/>
        <v>-245677.1620507669</v>
      </c>
      <c r="X201">
        <f t="shared" si="84"/>
        <v>-1587566.1674021743</v>
      </c>
      <c r="Y201">
        <f t="shared" si="85"/>
        <v>1587566.1674021743</v>
      </c>
      <c r="Z201">
        <f t="shared" si="86"/>
        <v>-4265.6074342296397</v>
      </c>
      <c r="AA201">
        <f t="shared" si="87"/>
        <v>-4.3411796113772869</v>
      </c>
      <c r="AB201">
        <f t="shared" si="88"/>
        <v>362.53291159183527</v>
      </c>
      <c r="AC201">
        <f t="shared" si="89"/>
        <v>0.36860540092750488</v>
      </c>
      <c r="AD201">
        <f t="shared" si="90"/>
        <v>-1.4566694735087979</v>
      </c>
      <c r="AE201">
        <f t="shared" si="91"/>
        <v>-810.58324382037108</v>
      </c>
      <c r="AH201">
        <v>3.7304458853477165</v>
      </c>
      <c r="AI201">
        <v>2096.1713619474081</v>
      </c>
      <c r="AJ201">
        <f t="shared" si="92"/>
        <v>-767.75392228406952</v>
      </c>
      <c r="AK201">
        <f t="shared" si="93"/>
        <v>527.06117362006523</v>
      </c>
      <c r="AO201" s="43"/>
      <c r="AP201" s="43"/>
      <c r="AQ201" t="e">
        <f t="shared" si="94"/>
        <v>#DIV/0!</v>
      </c>
    </row>
    <row r="202" spans="1:43">
      <c r="A202">
        <v>240</v>
      </c>
      <c r="B202">
        <f t="shared" si="65"/>
        <v>240</v>
      </c>
      <c r="D202" s="43">
        <f t="shared" si="66"/>
        <v>558.7916959290078</v>
      </c>
      <c r="E202" s="43">
        <f t="shared" si="67"/>
        <v>943.1341340751012</v>
      </c>
      <c r="F202" s="69">
        <f t="shared" si="68"/>
        <v>0.99216801511972808</v>
      </c>
      <c r="G202" s="98">
        <f t="shared" si="69"/>
        <v>195.09735311177579</v>
      </c>
      <c r="H202" s="69">
        <f t="shared" si="70"/>
        <v>0.2032064091278169</v>
      </c>
      <c r="I202" s="69">
        <f t="shared" si="71"/>
        <v>-1.5707321620416477</v>
      </c>
      <c r="J202" s="99">
        <f t="shared" si="72"/>
        <v>1.5047746178408776E-2</v>
      </c>
      <c r="K202" s="69">
        <f t="shared" si="73"/>
        <v>4.4811264391189523E-4</v>
      </c>
      <c r="L202" s="99">
        <f t="shared" si="74"/>
        <v>1.5495858822320671E-2</v>
      </c>
      <c r="M202" s="69">
        <f t="shared" si="75"/>
        <v>13.113594506624743</v>
      </c>
      <c r="N202" s="69">
        <f t="shared" si="76"/>
        <v>5.9114014147283394</v>
      </c>
      <c r="O202" s="69">
        <f t="shared" si="77"/>
        <v>29.090624848402619</v>
      </c>
      <c r="P202" s="69">
        <f t="shared" si="78"/>
        <v>2.0210017158752169</v>
      </c>
      <c r="Q202" s="69">
        <f t="shared" si="79"/>
        <v>-0.35110321331350702</v>
      </c>
      <c r="R202" s="43">
        <f t="shared" si="80"/>
        <v>-274.56982588518696</v>
      </c>
      <c r="S202" s="43">
        <f t="shared" si="81"/>
        <v>1439.3460153480196</v>
      </c>
      <c r="T202" s="43">
        <f>R202+Thrust!C$33*0.8</f>
        <v>1537.1901741148131</v>
      </c>
      <c r="U202" s="43"/>
      <c r="V202">
        <f t="shared" si="82"/>
        <v>1357496.3578197018</v>
      </c>
      <c r="W202">
        <f t="shared" si="83"/>
        <v>-258956.1749793771</v>
      </c>
      <c r="X202">
        <f t="shared" si="84"/>
        <v>-1616452.5327990789</v>
      </c>
      <c r="Y202">
        <f t="shared" si="85"/>
        <v>1616452.5327990789</v>
      </c>
      <c r="Z202">
        <f t="shared" si="86"/>
        <v>-4315.2202102877927</v>
      </c>
      <c r="AA202">
        <f t="shared" si="87"/>
        <v>-4.3734351650186998</v>
      </c>
      <c r="AB202">
        <f t="shared" si="88"/>
        <v>293.34092488315741</v>
      </c>
      <c r="AC202">
        <f t="shared" si="89"/>
        <v>0.29701099099728445</v>
      </c>
      <c r="AD202">
        <f t="shared" si="90"/>
        <v>-1.5177506425868215</v>
      </c>
      <c r="AE202">
        <f t="shared" si="91"/>
        <v>-848.10645556843156</v>
      </c>
      <c r="AH202">
        <v>3.6757859686676575</v>
      </c>
      <c r="AI202">
        <v>2074.1421814018781</v>
      </c>
      <c r="AJ202">
        <f t="shared" si="92"/>
        <v>-793.24426734390795</v>
      </c>
      <c r="AK202">
        <f t="shared" si="93"/>
        <v>522.64465919903648</v>
      </c>
      <c r="AO202" s="43"/>
      <c r="AP202" s="43"/>
      <c r="AQ202" t="e">
        <f t="shared" si="94"/>
        <v>#DIV/0!</v>
      </c>
    </row>
    <row r="203" spans="1:43">
      <c r="A203">
        <v>241</v>
      </c>
      <c r="B203">
        <f t="shared" si="65"/>
        <v>241</v>
      </c>
      <c r="D203" s="43">
        <f t="shared" si="66"/>
        <v>561.11999466204531</v>
      </c>
      <c r="E203" s="43">
        <f t="shared" si="67"/>
        <v>947.06385963374748</v>
      </c>
      <c r="F203" s="69">
        <f t="shared" si="68"/>
        <v>0.9963020485160603</v>
      </c>
      <c r="G203" s="98">
        <f t="shared" si="69"/>
        <v>196.72655149453212</v>
      </c>
      <c r="H203" s="69">
        <f t="shared" si="70"/>
        <v>0.20152354755879295</v>
      </c>
      <c r="I203" s="69">
        <f t="shared" si="71"/>
        <v>-1.5849028970620223</v>
      </c>
      <c r="J203" s="99">
        <f t="shared" si="72"/>
        <v>1.5047746178408776E-2</v>
      </c>
      <c r="K203" s="69">
        <f t="shared" si="73"/>
        <v>4.3361813019339489E-4</v>
      </c>
      <c r="L203" s="99">
        <f t="shared" si="74"/>
        <v>1.5481364308602171E-2</v>
      </c>
      <c r="M203" s="69">
        <f t="shared" si="75"/>
        <v>13.017169775328977</v>
      </c>
      <c r="N203" s="69">
        <f t="shared" si="76"/>
        <v>5.8435863912266015</v>
      </c>
      <c r="O203" s="69">
        <f t="shared" si="77"/>
        <v>28.997040107790788</v>
      </c>
      <c r="P203" s="69">
        <f t="shared" si="78"/>
        <v>2.0294225563580306</v>
      </c>
      <c r="Q203" s="69">
        <f t="shared" si="79"/>
        <v>-0.36924248749489141</v>
      </c>
      <c r="R203" s="43">
        <f t="shared" si="80"/>
        <v>-287.55695181650748</v>
      </c>
      <c r="S203" s="43">
        <f t="shared" si="81"/>
        <v>1450.0079760635203</v>
      </c>
      <c r="T203" s="43">
        <f>R203+Thrust!C$33*0.8</f>
        <v>1524.2030481834925</v>
      </c>
      <c r="U203" s="43"/>
      <c r="V203">
        <f t="shared" si="82"/>
        <v>1373250.150310436</v>
      </c>
      <c r="W203">
        <f t="shared" si="83"/>
        <v>-272334.79665185715</v>
      </c>
      <c r="X203">
        <f t="shared" si="84"/>
        <v>-1645584.9469622932</v>
      </c>
      <c r="Y203">
        <f t="shared" si="85"/>
        <v>1645584.9469622932</v>
      </c>
      <c r="Z203">
        <f t="shared" si="86"/>
        <v>-4365.2984910530422</v>
      </c>
      <c r="AA203">
        <f t="shared" si="87"/>
        <v>-4.4058951712391803</v>
      </c>
      <c r="AB203">
        <f t="shared" si="88"/>
        <v>223.36679640077944</v>
      </c>
      <c r="AC203">
        <f t="shared" si="89"/>
        <v>0.22522253991593014</v>
      </c>
      <c r="AD203">
        <f t="shared" si="90"/>
        <v>-1.5778521542244095</v>
      </c>
      <c r="AE203">
        <f t="shared" si="91"/>
        <v>-885.36439235589739</v>
      </c>
      <c r="AH203">
        <v>3.6209156271839733</v>
      </c>
      <c r="AI203">
        <v>2051.735365389226</v>
      </c>
      <c r="AJ203">
        <f t="shared" si="92"/>
        <v>-817.68880143758997</v>
      </c>
      <c r="AK203">
        <f t="shared" si="93"/>
        <v>518.22903638238745</v>
      </c>
      <c r="AO203" s="43"/>
      <c r="AP203" s="43"/>
      <c r="AQ203" t="e">
        <f t="shared" si="94"/>
        <v>#DIV/0!</v>
      </c>
    </row>
    <row r="204" spans="1:43">
      <c r="A204">
        <v>242</v>
      </c>
      <c r="B204">
        <f t="shared" si="65"/>
        <v>242</v>
      </c>
      <c r="D204" s="43">
        <f t="shared" si="66"/>
        <v>563.44829339508283</v>
      </c>
      <c r="E204" s="43">
        <f t="shared" si="67"/>
        <v>950.99358519239365</v>
      </c>
      <c r="F204" s="69">
        <f t="shared" si="68"/>
        <v>1.0004360819123923</v>
      </c>
      <c r="G204" s="98">
        <f t="shared" si="69"/>
        <v>198.36252409093814</v>
      </c>
      <c r="H204" s="69">
        <f t="shared" si="70"/>
        <v>0.1998615047770346</v>
      </c>
      <c r="I204" s="69">
        <f t="shared" si="71"/>
        <v>-1.598898325020178</v>
      </c>
      <c r="J204" s="99">
        <f t="shared" si="72"/>
        <v>1.5047746178408776E-2</v>
      </c>
      <c r="K204" s="69">
        <f t="shared" si="73"/>
        <v>4.1953681262088863E-4</v>
      </c>
      <c r="L204" s="99">
        <f t="shared" si="74"/>
        <v>1.5467282991029665E-2</v>
      </c>
      <c r="M204" s="69">
        <f t="shared" si="75"/>
        <v>12.921565144501809</v>
      </c>
      <c r="N204" s="69">
        <f t="shared" si="76"/>
        <v>5.7766984555354979</v>
      </c>
      <c r="O204" s="69">
        <f t="shared" si="77"/>
        <v>28.903507266093975</v>
      </c>
      <c r="P204" s="69">
        <f t="shared" si="78"/>
        <v>2.0378433968408438</v>
      </c>
      <c r="Q204" s="69">
        <f t="shared" si="79"/>
        <v>-0.387516815223655</v>
      </c>
      <c r="R204" s="43">
        <f t="shared" si="80"/>
        <v>-300.54148789067222</v>
      </c>
      <c r="S204" s="43">
        <f t="shared" si="81"/>
        <v>1460.7363573159255</v>
      </c>
      <c r="T204" s="43">
        <f>R204+Thrust!C$33*0.8</f>
        <v>1511.2185121093278</v>
      </c>
      <c r="U204" s="43"/>
      <c r="V204">
        <f t="shared" si="82"/>
        <v>1389150.9054647493</v>
      </c>
      <c r="W204">
        <f t="shared" si="83"/>
        <v>-285813.02706820675</v>
      </c>
      <c r="X204">
        <f t="shared" si="84"/>
        <v>-1674963.9325329561</v>
      </c>
      <c r="Y204">
        <f t="shared" si="85"/>
        <v>1674963.9325329561</v>
      </c>
      <c r="Z204">
        <f t="shared" si="86"/>
        <v>-4415.8439379011888</v>
      </c>
      <c r="AA204">
        <f t="shared" si="87"/>
        <v>-4.4385588229747599</v>
      </c>
      <c r="AB204">
        <f t="shared" si="88"/>
        <v>152.60886476889547</v>
      </c>
      <c r="AC204">
        <f t="shared" si="89"/>
        <v>0.15324068125813936</v>
      </c>
      <c r="AD204">
        <f t="shared" si="90"/>
        <v>-1.6369877150749641</v>
      </c>
      <c r="AE204">
        <f t="shared" si="91"/>
        <v>-922.35793436770462</v>
      </c>
      <c r="AH204">
        <v>3.5658354297435282</v>
      </c>
      <c r="AI204">
        <v>2028.949737996043</v>
      </c>
      <c r="AJ204">
        <f t="shared" si="92"/>
        <v>-841.10768729972415</v>
      </c>
      <c r="AK204">
        <f t="shared" si="93"/>
        <v>513.81429411717147</v>
      </c>
      <c r="AO204" s="43"/>
      <c r="AP204" s="43"/>
      <c r="AQ204" t="e">
        <f t="shared" si="94"/>
        <v>#DIV/0!</v>
      </c>
    </row>
    <row r="205" spans="1:43">
      <c r="A205">
        <v>243</v>
      </c>
      <c r="B205">
        <f t="shared" si="65"/>
        <v>243</v>
      </c>
      <c r="D205" s="43">
        <f t="shared" si="66"/>
        <v>565.77659212812034</v>
      </c>
      <c r="E205" s="43">
        <f t="shared" si="67"/>
        <v>954.92331075103993</v>
      </c>
      <c r="F205" s="69">
        <f t="shared" si="68"/>
        <v>1.0045701153087245</v>
      </c>
      <c r="G205" s="98">
        <f t="shared" si="69"/>
        <v>200.00527090099388</v>
      </c>
      <c r="H205" s="69">
        <f t="shared" si="70"/>
        <v>0.19821993879256641</v>
      </c>
      <c r="I205" s="69">
        <f t="shared" si="71"/>
        <v>-1.6127213256831803</v>
      </c>
      <c r="J205" s="99">
        <f t="shared" si="72"/>
        <v>1.5047746178408776E-2</v>
      </c>
      <c r="K205" s="69">
        <f t="shared" si="73"/>
        <v>4.0585713070625807E-4</v>
      </c>
      <c r="L205" s="99">
        <f t="shared" si="74"/>
        <v>1.5453603309115034E-2</v>
      </c>
      <c r="M205" s="69">
        <f t="shared" si="75"/>
        <v>12.826777990065908</v>
      </c>
      <c r="N205" s="69">
        <f t="shared" si="76"/>
        <v>5.710724993837462</v>
      </c>
      <c r="O205" s="69">
        <f t="shared" si="77"/>
        <v>28.810043170347416</v>
      </c>
      <c r="P205" s="69">
        <f t="shared" si="78"/>
        <v>2.046264237323657</v>
      </c>
      <c r="Q205" s="69">
        <f t="shared" si="79"/>
        <v>-0.40592619649979778</v>
      </c>
      <c r="R205" s="43">
        <f t="shared" si="80"/>
        <v>-313.5234660812261</v>
      </c>
      <c r="S205" s="43">
        <f t="shared" si="81"/>
        <v>1471.5308875399824</v>
      </c>
      <c r="T205" s="43">
        <f>R205+Thrust!C$33*0.8</f>
        <v>1498.2365339187738</v>
      </c>
      <c r="U205" s="43"/>
      <c r="V205">
        <f t="shared" si="82"/>
        <v>1405199.1470020963</v>
      </c>
      <c r="W205">
        <f t="shared" si="83"/>
        <v>-299390.86622842582</v>
      </c>
      <c r="X205">
        <f t="shared" si="84"/>
        <v>-1704590.0132305222</v>
      </c>
      <c r="Y205">
        <f t="shared" si="85"/>
        <v>1704590.0132305222</v>
      </c>
      <c r="Z205">
        <f t="shared" si="86"/>
        <v>-4466.8582156358034</v>
      </c>
      <c r="AA205">
        <f t="shared" si="87"/>
        <v>-4.4714253309161416</v>
      </c>
      <c r="AB205">
        <f t="shared" si="88"/>
        <v>81.065465183942678</v>
      </c>
      <c r="AC205">
        <f t="shared" si="89"/>
        <v>8.1066031109243014E-2</v>
      </c>
      <c r="AD205">
        <f t="shared" si="90"/>
        <v>-1.6951709303953864</v>
      </c>
      <c r="AE205">
        <f t="shared" si="91"/>
        <v>-959.08803207375672</v>
      </c>
      <c r="AH205">
        <v>3.5105459316798502</v>
      </c>
      <c r="AI205">
        <v>2005.7841217099942</v>
      </c>
      <c r="AJ205">
        <f t="shared" si="92"/>
        <v>-863.52078651285194</v>
      </c>
      <c r="AK205">
        <f t="shared" si="93"/>
        <v>509.40042153238312</v>
      </c>
      <c r="AO205" s="43"/>
      <c r="AP205" s="43"/>
      <c r="AQ205" t="e">
        <f t="shared" si="94"/>
        <v>#DIV/0!</v>
      </c>
    </row>
    <row r="206" spans="1:43">
      <c r="A206">
        <v>244</v>
      </c>
      <c r="B206">
        <f t="shared" si="65"/>
        <v>244</v>
      </c>
      <c r="D206" s="43">
        <f t="shared" si="66"/>
        <v>568.10489086115786</v>
      </c>
      <c r="E206" s="43">
        <f t="shared" si="67"/>
        <v>958.8530363096861</v>
      </c>
      <c r="F206" s="69">
        <f t="shared" si="68"/>
        <v>1.0087041487050568</v>
      </c>
      <c r="G206" s="98">
        <f t="shared" si="69"/>
        <v>201.65479192469931</v>
      </c>
      <c r="H206" s="69">
        <f t="shared" si="70"/>
        <v>0.19659851460901398</v>
      </c>
      <c r="I206" s="69">
        <f t="shared" si="71"/>
        <v>-1.6263747199276486</v>
      </c>
      <c r="J206" s="99">
        <f t="shared" si="72"/>
        <v>1.5047746178408776E-2</v>
      </c>
      <c r="K206" s="69">
        <f t="shared" si="73"/>
        <v>3.9256787677734086E-4</v>
      </c>
      <c r="L206" s="99">
        <f t="shared" si="74"/>
        <v>1.5440314055186118E-2</v>
      </c>
      <c r="M206" s="69">
        <f t="shared" si="75"/>
        <v>12.732805427813183</v>
      </c>
      <c r="N206" s="69">
        <f t="shared" si="76"/>
        <v>5.6456534837583403</v>
      </c>
      <c r="O206" s="69">
        <f t="shared" si="77"/>
        <v>28.716663983886924</v>
      </c>
      <c r="P206" s="69">
        <f t="shared" si="78"/>
        <v>2.0546850778064703</v>
      </c>
      <c r="Q206" s="69">
        <f t="shared" si="79"/>
        <v>-0.4244706313233193</v>
      </c>
      <c r="R206" s="43">
        <f t="shared" si="80"/>
        <v>-326.50291783755773</v>
      </c>
      <c r="S206" s="43">
        <f t="shared" si="81"/>
        <v>1482.391300723875</v>
      </c>
      <c r="T206" s="43">
        <f>R206+Thrust!C$33*0.8</f>
        <v>1485.2570821624422</v>
      </c>
      <c r="U206" s="43"/>
      <c r="V206">
        <f t="shared" si="82"/>
        <v>1421395.3996981524</v>
      </c>
      <c r="W206">
        <f t="shared" si="83"/>
        <v>-313068.31413251418</v>
      </c>
      <c r="X206">
        <f t="shared" si="84"/>
        <v>-1734463.7138306666</v>
      </c>
      <c r="Y206">
        <f t="shared" si="85"/>
        <v>1734463.7138306666</v>
      </c>
      <c r="Z206">
        <f t="shared" si="86"/>
        <v>-4518.3429924179682</v>
      </c>
      <c r="AA206">
        <f t="shared" si="87"/>
        <v>-4.5044939230886056</v>
      </c>
      <c r="AB206">
        <f t="shared" si="88"/>
        <v>8.7349294848325645</v>
      </c>
      <c r="AC206">
        <f t="shared" si="89"/>
        <v>8.6991884539173291E-3</v>
      </c>
      <c r="AD206">
        <f t="shared" si="90"/>
        <v>-1.7524152989626562</v>
      </c>
      <c r="AE206">
        <f t="shared" si="91"/>
        <v>-995.555702160603</v>
      </c>
      <c r="AH206">
        <v>3.4550476751203529</v>
      </c>
      <c r="AI206">
        <v>1982.2373374525837</v>
      </c>
      <c r="AJ206">
        <f t="shared" si="92"/>
        <v>-884.94765944919368</v>
      </c>
      <c r="AK206">
        <f t="shared" si="93"/>
        <v>504.98740793523041</v>
      </c>
      <c r="AO206" s="43"/>
      <c r="AP206" s="43"/>
      <c r="AQ206" t="e">
        <f t="shared" si="94"/>
        <v>#DIV/0!</v>
      </c>
    </row>
    <row r="207" spans="1:43">
      <c r="A207">
        <v>245</v>
      </c>
      <c r="B207">
        <f t="shared" si="65"/>
        <v>245</v>
      </c>
      <c r="D207" s="43">
        <f t="shared" si="66"/>
        <v>570.43318959419548</v>
      </c>
      <c r="E207" s="43">
        <f t="shared" si="67"/>
        <v>962.7827618683325</v>
      </c>
      <c r="F207" s="69">
        <f t="shared" si="68"/>
        <v>1.012838182101389</v>
      </c>
      <c r="G207" s="98">
        <f t="shared" si="69"/>
        <v>203.31108716205455</v>
      </c>
      <c r="H207" s="69">
        <f t="shared" si="70"/>
        <v>0.19499690405268227</v>
      </c>
      <c r="I207" s="69">
        <f t="shared" si="71"/>
        <v>-1.6398612711790237</v>
      </c>
      <c r="J207" s="99">
        <f t="shared" si="72"/>
        <v>1.5047746178408776E-2</v>
      </c>
      <c r="K207" s="69">
        <f t="shared" si="73"/>
        <v>3.7965818405639616E-4</v>
      </c>
      <c r="L207" s="99">
        <f t="shared" si="74"/>
        <v>1.5427404362465173E-2</v>
      </c>
      <c r="M207" s="69">
        <f t="shared" si="75"/>
        <v>12.639644328446407</v>
      </c>
      <c r="N207" s="69">
        <f t="shared" si="76"/>
        <v>5.5814714991433227</v>
      </c>
      <c r="O207" s="69">
        <f t="shared" si="77"/>
        <v>28.623385208389656</v>
      </c>
      <c r="P207" s="69">
        <f t="shared" si="78"/>
        <v>2.0631059182892839</v>
      </c>
      <c r="Q207" s="69">
        <f t="shared" si="79"/>
        <v>-0.44315011969422224</v>
      </c>
      <c r="R207" s="43">
        <f t="shared" si="80"/>
        <v>-339.47987409559801</v>
      </c>
      <c r="S207" s="43">
        <f t="shared" si="81"/>
        <v>1493.3173362734967</v>
      </c>
      <c r="T207" s="43">
        <f>R207+Thrust!C$33*0.8</f>
        <v>1472.280125904402</v>
      </c>
      <c r="U207" s="43"/>
      <c r="V207">
        <f t="shared" si="82"/>
        <v>1437740.1893632587</v>
      </c>
      <c r="W207">
        <f t="shared" si="83"/>
        <v>-326845.37078047363</v>
      </c>
      <c r="X207">
        <f t="shared" si="84"/>
        <v>-1764585.5601437322</v>
      </c>
      <c r="Y207">
        <f t="shared" si="85"/>
        <v>1764585.5601437322</v>
      </c>
      <c r="Z207">
        <f t="shared" si="86"/>
        <v>-4570.2999396977766</v>
      </c>
      <c r="AA207">
        <f t="shared" si="87"/>
        <v>-4.5377638444440613</v>
      </c>
      <c r="AB207">
        <f t="shared" si="88"/>
        <v>-64.384413778528767</v>
      </c>
      <c r="AC207">
        <f t="shared" si="89"/>
        <v>-6.3859264446655045E-2</v>
      </c>
      <c r="AD207">
        <f t="shared" si="90"/>
        <v>-1.8087342084095699</v>
      </c>
      <c r="AE207">
        <f t="shared" si="91"/>
        <v>-1031.7620236312032</v>
      </c>
      <c r="AH207">
        <v>3.3993411892844025</v>
      </c>
      <c r="AI207">
        <v>1958.3082046111133</v>
      </c>
      <c r="AJ207">
        <f t="shared" si="92"/>
        <v>-905.40756554884581</v>
      </c>
      <c r="AK207">
        <f t="shared" si="93"/>
        <v>500.57524280749669</v>
      </c>
      <c r="AO207" s="43"/>
      <c r="AP207" s="43"/>
      <c r="AQ207" t="e">
        <f t="shared" si="94"/>
        <v>#DIV/0!</v>
      </c>
    </row>
    <row r="208" spans="1:43">
      <c r="A208">
        <v>246</v>
      </c>
      <c r="B208">
        <f t="shared" si="65"/>
        <v>246</v>
      </c>
      <c r="D208" s="43">
        <f t="shared" si="66"/>
        <v>572.761488327233</v>
      </c>
      <c r="E208" s="43">
        <f t="shared" si="67"/>
        <v>966.71248742697878</v>
      </c>
      <c r="F208" s="69">
        <f t="shared" si="68"/>
        <v>1.0169722154977212</v>
      </c>
      <c r="G208" s="98">
        <f t="shared" si="69"/>
        <v>204.97415661305945</v>
      </c>
      <c r="H208" s="69">
        <f t="shared" si="70"/>
        <v>0.19341478560648839</v>
      </c>
      <c r="I208" s="69">
        <f t="shared" si="71"/>
        <v>-1.6531836868099563</v>
      </c>
      <c r="J208" s="99">
        <f t="shared" si="72"/>
        <v>1.5047746178408776E-2</v>
      </c>
      <c r="K208" s="69">
        <f t="shared" si="73"/>
        <v>3.6711751518352293E-4</v>
      </c>
      <c r="L208" s="99">
        <f t="shared" si="74"/>
        <v>1.5414863693592299E-2</v>
      </c>
      <c r="M208" s="69">
        <f t="shared" si="75"/>
        <v>12.547291331994566</v>
      </c>
      <c r="N208" s="69">
        <f t="shared" si="76"/>
        <v>5.5181667144409978</v>
      </c>
      <c r="O208" s="69">
        <f t="shared" si="77"/>
        <v>28.530221705324905</v>
      </c>
      <c r="P208" s="69">
        <f t="shared" si="78"/>
        <v>2.0715267587720971</v>
      </c>
      <c r="Q208" s="69">
        <f t="shared" si="79"/>
        <v>-0.46196466161250394</v>
      </c>
      <c r="R208" s="43">
        <f t="shared" si="80"/>
        <v>-352.45436528825115</v>
      </c>
      <c r="S208" s="43">
        <f t="shared" si="81"/>
        <v>1504.3087388805816</v>
      </c>
      <c r="T208" s="43">
        <f>R208+Thrust!C$33*0.8</f>
        <v>1459.3056347117488</v>
      </c>
      <c r="U208" s="43"/>
      <c r="V208">
        <f t="shared" si="82"/>
        <v>1454234.0428213885</v>
      </c>
      <c r="W208">
        <f t="shared" si="83"/>
        <v>-340722.03617230227</v>
      </c>
      <c r="X208">
        <f t="shared" si="84"/>
        <v>-1794956.0789936907</v>
      </c>
      <c r="Y208">
        <f t="shared" si="85"/>
        <v>1794956.0789936907</v>
      </c>
      <c r="Z208">
        <f t="shared" si="86"/>
        <v>-4622.73073214746</v>
      </c>
      <c r="AA208">
        <f t="shared" si="87"/>
        <v>-4.571234356464811</v>
      </c>
      <c r="AB208">
        <f t="shared" si="88"/>
        <v>-138.29423927837132</v>
      </c>
      <c r="AC208">
        <f t="shared" si="89"/>
        <v>-0.1366087616887883</v>
      </c>
      <c r="AD208">
        <f t="shared" si="90"/>
        <v>-1.8641409309577535</v>
      </c>
      <c r="AE208">
        <f t="shared" si="91"/>
        <v>-1067.7081340670763</v>
      </c>
      <c r="AH208">
        <v>3.3434269907725227</v>
      </c>
      <c r="AI208">
        <v>1933.9955410698731</v>
      </c>
      <c r="AJ208">
        <f t="shared" si="92"/>
        <v>-924.91946391077465</v>
      </c>
      <c r="AK208">
        <f t="shared" si="93"/>
        <v>496.16391580199462</v>
      </c>
      <c r="AO208" s="43"/>
      <c r="AP208" s="43"/>
      <c r="AQ208" t="e">
        <f t="shared" si="94"/>
        <v>#DIV/0!</v>
      </c>
    </row>
    <row r="209" spans="1:43">
      <c r="A209">
        <v>247</v>
      </c>
      <c r="B209">
        <f t="shared" si="65"/>
        <v>247</v>
      </c>
      <c r="D209" s="43">
        <f t="shared" si="66"/>
        <v>575.08978706027051</v>
      </c>
      <c r="E209" s="43">
        <f t="shared" si="67"/>
        <v>970.64221298562495</v>
      </c>
      <c r="F209" s="69">
        <f t="shared" si="68"/>
        <v>1.0211062488940534</v>
      </c>
      <c r="G209" s="98">
        <f t="shared" si="69"/>
        <v>206.64400027771401</v>
      </c>
      <c r="H209" s="69">
        <f t="shared" si="70"/>
        <v>0.19185184424859045</v>
      </c>
      <c r="I209" s="69">
        <f t="shared" si="71"/>
        <v>-1.6663446194991505</v>
      </c>
      <c r="J209" s="99">
        <f t="shared" si="72"/>
        <v>1.5047746178408776E-2</v>
      </c>
      <c r="K209" s="69">
        <f t="shared" si="73"/>
        <v>3.5493565116679102E-4</v>
      </c>
      <c r="L209" s="99">
        <f t="shared" si="74"/>
        <v>1.5402681829575568E-2</v>
      </c>
      <c r="M209" s="69">
        <f t="shared" si="75"/>
        <v>12.455742861623278</v>
      </c>
      <c r="N209" s="69">
        <f t="shared" si="76"/>
        <v>5.4557269087159259</v>
      </c>
      <c r="O209" s="69">
        <f t="shared" si="77"/>
        <v>28.437187716823367</v>
      </c>
      <c r="P209" s="69">
        <f t="shared" si="78"/>
        <v>2.0799475992549104</v>
      </c>
      <c r="Q209" s="69">
        <f t="shared" si="79"/>
        <v>-0.48091425707816482</v>
      </c>
      <c r="R209" s="43">
        <f t="shared" si="80"/>
        <v>-365.42642135558293</v>
      </c>
      <c r="S209" s="43">
        <f t="shared" si="81"/>
        <v>1515.3652583945636</v>
      </c>
      <c r="T209" s="43">
        <f>R209+Thrust!C$33*0.8</f>
        <v>1446.333578644417</v>
      </c>
      <c r="U209" s="43"/>
      <c r="V209">
        <f t="shared" si="82"/>
        <v>1470877.4878896326</v>
      </c>
      <c r="W209">
        <f t="shared" si="83"/>
        <v>-354698.31030800048</v>
      </c>
      <c r="X209">
        <f t="shared" si="84"/>
        <v>-1825575.7981976331</v>
      </c>
      <c r="Y209">
        <f t="shared" si="85"/>
        <v>1825575.7981976331</v>
      </c>
      <c r="Z209">
        <f t="shared" si="86"/>
        <v>-4675.637047596183</v>
      </c>
      <c r="AA209">
        <f t="shared" si="87"/>
        <v>-4.6049047367786855</v>
      </c>
      <c r="AB209">
        <f t="shared" si="88"/>
        <v>-212.99622484385844</v>
      </c>
      <c r="AC209">
        <f t="shared" si="89"/>
        <v>-0.20954875337116283</v>
      </c>
      <c r="AD209">
        <f t="shared" si="90"/>
        <v>-1.9186486195271537</v>
      </c>
      <c r="AE209">
        <f t="shared" si="91"/>
        <v>-1103.3952260473527</v>
      </c>
      <c r="AH209">
        <v>3.2873055838470027</v>
      </c>
      <c r="AI209">
        <v>1909.2981632405581</v>
      </c>
      <c r="AJ209">
        <f t="shared" si="92"/>
        <v>-943.50201417423875</v>
      </c>
      <c r="AK209">
        <f t="shared" si="93"/>
        <v>491.75341673910179</v>
      </c>
      <c r="AO209" s="43"/>
      <c r="AP209" s="43"/>
      <c r="AQ209" t="e">
        <f t="shared" si="94"/>
        <v>#DIV/0!</v>
      </c>
    </row>
    <row r="210" spans="1:43">
      <c r="A210">
        <v>248</v>
      </c>
      <c r="B210">
        <f t="shared" si="65"/>
        <v>248</v>
      </c>
      <c r="D210" s="43">
        <f t="shared" si="66"/>
        <v>577.41808579330802</v>
      </c>
      <c r="E210" s="43">
        <f t="shared" si="67"/>
        <v>974.57193854427123</v>
      </c>
      <c r="F210" s="69">
        <f t="shared" si="68"/>
        <v>1.0252402822903857</v>
      </c>
      <c r="G210" s="98">
        <f t="shared" si="69"/>
        <v>208.32061815601836</v>
      </c>
      <c r="H210" s="69">
        <f t="shared" si="70"/>
        <v>0.19030777129556217</v>
      </c>
      <c r="I210" s="69">
        <f t="shared" si="71"/>
        <v>-1.6793466685519325</v>
      </c>
      <c r="J210" s="99">
        <f t="shared" si="72"/>
        <v>1.5047746178408776E-2</v>
      </c>
      <c r="K210" s="69">
        <f t="shared" si="73"/>
        <v>3.4310268074167914E-4</v>
      </c>
      <c r="L210" s="99">
        <f t="shared" si="74"/>
        <v>1.5390848859150456E-2</v>
      </c>
      <c r="M210" s="69">
        <f t="shared" si="75"/>
        <v>12.364995136861268</v>
      </c>
      <c r="N210" s="69">
        <f t="shared" si="76"/>
        <v>5.3941399693094016</v>
      </c>
      <c r="O210" s="69">
        <f t="shared" si="77"/>
        <v>28.344296885973716</v>
      </c>
      <c r="P210" s="69">
        <f t="shared" si="78"/>
        <v>2.088368439737724</v>
      </c>
      <c r="Q210" s="69">
        <f t="shared" si="79"/>
        <v>-0.49999890609120712</v>
      </c>
      <c r="R210" s="43">
        <f t="shared" si="80"/>
        <v>-378.39607175475606</v>
      </c>
      <c r="S210" s="43">
        <f t="shared" si="81"/>
        <v>1526.4866496980471</v>
      </c>
      <c r="T210" s="43">
        <f>R210+Thrust!C$33*0.8</f>
        <v>1433.3639282452439</v>
      </c>
      <c r="U210" s="43"/>
      <c r="V210">
        <f t="shared" si="82"/>
        <v>1487671.0533581758</v>
      </c>
      <c r="W210">
        <f t="shared" si="83"/>
        <v>-368774.19318756979</v>
      </c>
      <c r="X210">
        <f t="shared" si="84"/>
        <v>-1856445.2465457455</v>
      </c>
      <c r="Y210">
        <f t="shared" si="85"/>
        <v>1856445.2465457455</v>
      </c>
      <c r="Z210">
        <f t="shared" si="86"/>
        <v>-4729.0205669663856</v>
      </c>
      <c r="AA210">
        <f t="shared" si="87"/>
        <v>-4.6387742787851547</v>
      </c>
      <c r="AB210">
        <f t="shared" si="88"/>
        <v>-288.49205139743617</v>
      </c>
      <c r="AC210">
        <f t="shared" si="89"/>
        <v>-0.28267870525014499</v>
      </c>
      <c r="AD210">
        <f t="shared" si="90"/>
        <v>-1.9722703042018814</v>
      </c>
      <c r="AE210">
        <f t="shared" si="91"/>
        <v>-1138.8245437192359</v>
      </c>
      <c r="AH210">
        <v>3.2309774607042203</v>
      </c>
      <c r="AI210">
        <v>1884.2148860919649</v>
      </c>
      <c r="AJ210">
        <f t="shared" si="92"/>
        <v>-961.17357766936527</v>
      </c>
      <c r="AK210">
        <f t="shared" si="93"/>
        <v>487.34373560338292</v>
      </c>
      <c r="AO210" s="43"/>
      <c r="AP210" s="43"/>
      <c r="AQ210" t="e">
        <f t="shared" si="94"/>
        <v>#DIV/0!</v>
      </c>
    </row>
    <row r="211" spans="1:43">
      <c r="A211">
        <v>249</v>
      </c>
      <c r="B211">
        <f t="shared" si="65"/>
        <v>249</v>
      </c>
      <c r="D211" s="43">
        <f t="shared" si="66"/>
        <v>579.74638452634554</v>
      </c>
      <c r="E211" s="43">
        <f t="shared" si="67"/>
        <v>978.5016641029174</v>
      </c>
      <c r="F211" s="69">
        <f t="shared" si="68"/>
        <v>1.0293743156867177</v>
      </c>
      <c r="G211" s="98">
        <f t="shared" si="69"/>
        <v>210.00401024797236</v>
      </c>
      <c r="H211" s="69">
        <f t="shared" si="70"/>
        <v>0.18878226424996783</v>
      </c>
      <c r="I211" s="69">
        <f t="shared" si="71"/>
        <v>-1.692192381183762</v>
      </c>
      <c r="J211" s="99">
        <f t="shared" si="72"/>
        <v>1.5047746178408776E-2</v>
      </c>
      <c r="K211" s="69">
        <f t="shared" si="73"/>
        <v>3.3160899012318201E-4</v>
      </c>
      <c r="L211" s="99">
        <f t="shared" si="74"/>
        <v>1.5379355168531958E-2</v>
      </c>
      <c r="M211" s="69">
        <f t="shared" si="75"/>
        <v>12.275044186263377</v>
      </c>
      <c r="N211" s="69">
        <f t="shared" si="76"/>
        <v>5.333393895167184</v>
      </c>
      <c r="O211" s="69">
        <f t="shared" si="77"/>
        <v>28.251562276555823</v>
      </c>
      <c r="P211" s="69">
        <f t="shared" si="78"/>
        <v>2.0967892802205372</v>
      </c>
      <c r="Q211" s="69">
        <f t="shared" si="79"/>
        <v>-0.51921860865162728</v>
      </c>
      <c r="R211" s="43">
        <f t="shared" si="80"/>
        <v>-391.36334546972182</v>
      </c>
      <c r="S211" s="43">
        <f t="shared" si="81"/>
        <v>1537.6726725857679</v>
      </c>
      <c r="T211" s="43">
        <f>R211+Thrust!C$33*0.8</f>
        <v>1420.3966545302783</v>
      </c>
      <c r="U211" s="43"/>
      <c r="V211">
        <f t="shared" si="82"/>
        <v>1504615.2689707545</v>
      </c>
      <c r="W211">
        <f t="shared" si="83"/>
        <v>-382949.68481100776</v>
      </c>
      <c r="X211">
        <f t="shared" si="84"/>
        <v>-1887564.9537817622</v>
      </c>
      <c r="Y211">
        <f t="shared" si="85"/>
        <v>1887564.9537817622</v>
      </c>
      <c r="Z211">
        <f t="shared" si="86"/>
        <v>-4782.8829742116686</v>
      </c>
      <c r="AA211">
        <f t="shared" si="87"/>
        <v>-4.6728422912920831</v>
      </c>
      <c r="AB211">
        <f t="shared" si="88"/>
        <v>-364.78340289269556</v>
      </c>
      <c r="AC211">
        <f t="shared" si="89"/>
        <v>-0.355998098405227</v>
      </c>
      <c r="AD211">
        <f t="shared" si="90"/>
        <v>-2.0250188890332717</v>
      </c>
      <c r="AE211">
        <f t="shared" si="91"/>
        <v>-1173.9973795145961</v>
      </c>
      <c r="AH211">
        <v>3.1744431017389108</v>
      </c>
      <c r="AI211">
        <v>1858.7445231789554</v>
      </c>
      <c r="AJ211">
        <f t="shared" si="92"/>
        <v>-977.95221881678322</v>
      </c>
      <c r="AK211">
        <f t="shared" si="93"/>
        <v>482.93486254029466</v>
      </c>
      <c r="AO211" s="43"/>
      <c r="AP211" s="43"/>
      <c r="AQ211" t="e">
        <f t="shared" si="94"/>
        <v>#DIV/0!</v>
      </c>
    </row>
    <row r="212" spans="1:43">
      <c r="A212">
        <v>250</v>
      </c>
      <c r="B212">
        <f t="shared" si="65"/>
        <v>250</v>
      </c>
      <c r="D212" s="43">
        <f t="shared" si="66"/>
        <v>582.07468325938305</v>
      </c>
      <c r="E212" s="43">
        <f t="shared" si="67"/>
        <v>982.43138966156368</v>
      </c>
      <c r="F212" s="69">
        <f t="shared" si="68"/>
        <v>1.0335083490830499</v>
      </c>
      <c r="G212" s="98">
        <f t="shared" si="69"/>
        <v>211.69417655357614</v>
      </c>
      <c r="H212" s="69">
        <f t="shared" si="70"/>
        <v>0.18727502665219606</v>
      </c>
      <c r="I212" s="69">
        <f t="shared" si="71"/>
        <v>-1.7048842537678852</v>
      </c>
      <c r="J212" s="99">
        <f t="shared" si="72"/>
        <v>1.5047746178408776E-2</v>
      </c>
      <c r="K212" s="69">
        <f t="shared" si="73"/>
        <v>3.2044525313467797E-4</v>
      </c>
      <c r="L212" s="99">
        <f t="shared" si="74"/>
        <v>1.5368191431543454E-2</v>
      </c>
      <c r="M212" s="69">
        <f t="shared" si="75"/>
        <v>12.185885859530037</v>
      </c>
      <c r="N212" s="69">
        <f t="shared" si="76"/>
        <v>5.2734767998521495</v>
      </c>
      <c r="O212" s="69">
        <f t="shared" si="77"/>
        <v>28.158996392220299</v>
      </c>
      <c r="P212" s="69">
        <f t="shared" si="78"/>
        <v>2.1052101207033509</v>
      </c>
      <c r="Q212" s="69">
        <f t="shared" si="79"/>
        <v>-0.53857336475942885</v>
      </c>
      <c r="R212" s="43">
        <f t="shared" si="80"/>
        <v>-404.32827102069297</v>
      </c>
      <c r="S212" s="43">
        <f t="shared" si="81"/>
        <v>1548.9230916469403</v>
      </c>
      <c r="T212" s="43">
        <f>R212+Thrust!C$33*0.8</f>
        <v>1407.4317289793071</v>
      </c>
      <c r="U212" s="43"/>
      <c r="V212">
        <f t="shared" si="82"/>
        <v>1521710.6654055892</v>
      </c>
      <c r="W212">
        <f t="shared" si="83"/>
        <v>-397224.78517831676</v>
      </c>
      <c r="X212">
        <f t="shared" si="84"/>
        <v>-1918935.4505839059</v>
      </c>
      <c r="Y212">
        <f t="shared" si="85"/>
        <v>1918935.4505839059</v>
      </c>
      <c r="Z212">
        <f t="shared" si="86"/>
        <v>-4837.2259562561785</v>
      </c>
      <c r="AA212">
        <f t="shared" si="87"/>
        <v>-4.7071080981627924</v>
      </c>
      <c r="AB212">
        <f t="shared" si="88"/>
        <v>-441.87196625378948</v>
      </c>
      <c r="AC212">
        <f t="shared" si="89"/>
        <v>-0.42950642891434804</v>
      </c>
      <c r="AD212">
        <f t="shared" si="90"/>
        <v>-2.0769071491619173</v>
      </c>
      <c r="AE212">
        <f t="shared" si="91"/>
        <v>-1208.9150710075712</v>
      </c>
      <c r="AH212">
        <v>3.1177029758007024</v>
      </c>
      <c r="AI212">
        <v>1832.8858866707556</v>
      </c>
      <c r="AJ212">
        <f t="shared" si="92"/>
        <v>-993.85570675731003</v>
      </c>
      <c r="AK212">
        <f t="shared" si="93"/>
        <v>478.52678785296445</v>
      </c>
      <c r="AO212" s="43"/>
      <c r="AP212" s="43"/>
      <c r="AQ212" t="e">
        <f t="shared" si="94"/>
        <v>#DIV/0!</v>
      </c>
    </row>
    <row r="213" spans="1:43">
      <c r="A213">
        <v>251</v>
      </c>
      <c r="B213">
        <f t="shared" si="65"/>
        <v>251</v>
      </c>
      <c r="D213" s="43">
        <f t="shared" si="66"/>
        <v>584.40298199242068</v>
      </c>
      <c r="E213" s="43">
        <f t="shared" si="67"/>
        <v>986.36111522021008</v>
      </c>
      <c r="F213" s="69">
        <f t="shared" si="68"/>
        <v>1.0376423824793823</v>
      </c>
      <c r="G213" s="98">
        <f t="shared" si="69"/>
        <v>213.39111707282967</v>
      </c>
      <c r="H213" s="69">
        <f t="shared" si="70"/>
        <v>0.18578576793641768</v>
      </c>
      <c r="I213" s="69">
        <f t="shared" si="71"/>
        <v>-1.717424733048257</v>
      </c>
      <c r="J213" s="99">
        <f t="shared" si="72"/>
        <v>1.5047746178408776E-2</v>
      </c>
      <c r="K213" s="69">
        <f t="shared" si="73"/>
        <v>3.0960242169836256E-4</v>
      </c>
      <c r="L213" s="99">
        <f t="shared" si="74"/>
        <v>1.5357348600107139E-2</v>
      </c>
      <c r="M213" s="69">
        <f t="shared" si="75"/>
        <v>12.097515839102693</v>
      </c>
      <c r="N213" s="69">
        <f t="shared" si="76"/>
        <v>5.2143769142590362</v>
      </c>
      <c r="O213" s="69">
        <f t="shared" si="77"/>
        <v>28.066611195124345</v>
      </c>
      <c r="P213" s="69">
        <f t="shared" si="78"/>
        <v>2.1136309611861646</v>
      </c>
      <c r="Q213" s="69">
        <f t="shared" si="79"/>
        <v>-0.55806317441461006</v>
      </c>
      <c r="R213" s="43">
        <f t="shared" si="80"/>
        <v>-417.29087647337354</v>
      </c>
      <c r="S213" s="43">
        <f t="shared" si="81"/>
        <v>1560.237676150876</v>
      </c>
      <c r="T213" s="43">
        <f>R213+Thrust!C$33*0.8</f>
        <v>1394.4691235266264</v>
      </c>
      <c r="U213" s="43"/>
      <c r="V213">
        <f t="shared" si="82"/>
        <v>1538957.774256767</v>
      </c>
      <c r="W213">
        <f t="shared" si="83"/>
        <v>-411599.49428949563</v>
      </c>
      <c r="X213">
        <f t="shared" si="84"/>
        <v>-1950557.2685462628</v>
      </c>
      <c r="Y213">
        <f t="shared" si="85"/>
        <v>1950557.2685462628</v>
      </c>
      <c r="Z213">
        <f t="shared" si="86"/>
        <v>-4892.0512029354186</v>
      </c>
      <c r="AA213">
        <f t="shared" si="87"/>
        <v>-4.7415710379730758</v>
      </c>
      <c r="AB213">
        <f t="shared" si="88"/>
        <v>-519.75943131622228</v>
      </c>
      <c r="AC213">
        <f t="shared" si="89"/>
        <v>-0.50320320753864645</v>
      </c>
      <c r="AD213">
        <f t="shared" si="90"/>
        <v>-2.127947728240998</v>
      </c>
      <c r="AE213">
        <f t="shared" si="91"/>
        <v>-1243.5789979080369</v>
      </c>
      <c r="AH213">
        <v>3.0607575404430416</v>
      </c>
      <c r="AI213">
        <v>1806.6377873785282</v>
      </c>
      <c r="AJ213">
        <f t="shared" si="92"/>
        <v>-1008.9015171936381</v>
      </c>
      <c r="AK213">
        <f t="shared" si="93"/>
        <v>474.119501999053</v>
      </c>
      <c r="AO213" s="43"/>
      <c r="AP213" s="43"/>
      <c r="AQ213" t="e">
        <f t="shared" si="94"/>
        <v>#DIV/0!</v>
      </c>
    </row>
    <row r="214" spans="1:43">
      <c r="A214">
        <v>252</v>
      </c>
      <c r="B214">
        <f t="shared" si="65"/>
        <v>252</v>
      </c>
      <c r="D214" s="43">
        <f t="shared" si="66"/>
        <v>586.73128072545819</v>
      </c>
      <c r="E214" s="43">
        <f t="shared" si="67"/>
        <v>990.29084077885625</v>
      </c>
      <c r="F214" s="69">
        <f t="shared" si="68"/>
        <v>1.0417764158757143</v>
      </c>
      <c r="G214" s="98">
        <f t="shared" si="69"/>
        <v>215.09483180573281</v>
      </c>
      <c r="H214" s="69">
        <f t="shared" si="70"/>
        <v>0.18431420329053688</v>
      </c>
      <c r="I214" s="69">
        <f t="shared" si="71"/>
        <v>-1.7298162173188394</v>
      </c>
      <c r="J214" s="99">
        <f t="shared" si="72"/>
        <v>1.5047746178408776E-2</v>
      </c>
      <c r="K214" s="69">
        <f t="shared" si="73"/>
        <v>2.9907171667271389E-4</v>
      </c>
      <c r="L214" s="99">
        <f t="shared" si="74"/>
        <v>1.534681789508149E-2</v>
      </c>
      <c r="M214" s="69">
        <f t="shared" si="75"/>
        <v>12.009929651254144</v>
      </c>
      <c r="N214" s="69">
        <f t="shared" si="76"/>
        <v>5.1560825890477133</v>
      </c>
      <c r="O214" s="69">
        <f t="shared" si="77"/>
        <v>27.97441812403418</v>
      </c>
      <c r="P214" s="69">
        <f t="shared" si="78"/>
        <v>2.1220518016689778</v>
      </c>
      <c r="Q214" s="69">
        <f t="shared" si="79"/>
        <v>-0.57768803761716825</v>
      </c>
      <c r="R214" s="43">
        <f t="shared" si="80"/>
        <v>-430.25118944797936</v>
      </c>
      <c r="S214" s="43">
        <f t="shared" si="81"/>
        <v>1571.616199935773</v>
      </c>
      <c r="T214" s="43">
        <f>R214+Thrust!C$33*0.8</f>
        <v>1381.5088105520206</v>
      </c>
      <c r="U214" s="43"/>
      <c r="V214">
        <f t="shared" si="82"/>
        <v>1556357.1280160677</v>
      </c>
      <c r="W214">
        <f t="shared" si="83"/>
        <v>-426073.81214454246</v>
      </c>
      <c r="X214">
        <f t="shared" si="84"/>
        <v>-1982430.9401606102</v>
      </c>
      <c r="Y214">
        <f t="shared" si="85"/>
        <v>1982430.9401606102</v>
      </c>
      <c r="Z214">
        <f t="shared" si="86"/>
        <v>-4947.3604069384937</v>
      </c>
      <c r="AA214">
        <f t="shared" si="87"/>
        <v>-4.7762304636778854</v>
      </c>
      <c r="AB214">
        <f t="shared" si="88"/>
        <v>-598.44749076909034</v>
      </c>
      <c r="AC214">
        <f t="shared" si="89"/>
        <v>-0.57708795941646085</v>
      </c>
      <c r="AD214">
        <f t="shared" si="90"/>
        <v>-2.1781531361443101</v>
      </c>
      <c r="AE214">
        <f t="shared" si="91"/>
        <v>-1277.990579186124</v>
      </c>
      <c r="AH214">
        <v>3.0036072421649291</v>
      </c>
      <c r="AI214">
        <v>1779.9990347823471</v>
      </c>
      <c r="AJ214">
        <f t="shared" si="92"/>
        <v>-1023.106834427059</v>
      </c>
      <c r="AK214">
        <f t="shared" si="93"/>
        <v>469.71299558768703</v>
      </c>
      <c r="AO214" s="43"/>
      <c r="AP214" s="43"/>
      <c r="AQ214" t="e">
        <f t="shared" si="94"/>
        <v>#DIV/0!</v>
      </c>
    </row>
    <row r="215" spans="1:43">
      <c r="A215">
        <v>253</v>
      </c>
      <c r="B215">
        <f t="shared" si="65"/>
        <v>253</v>
      </c>
      <c r="D215" s="43">
        <f t="shared" si="66"/>
        <v>589.0595794584957</v>
      </c>
      <c r="E215" s="43">
        <f t="shared" si="67"/>
        <v>994.22056633750253</v>
      </c>
      <c r="F215" s="69">
        <f t="shared" si="68"/>
        <v>1.0459104492720466</v>
      </c>
      <c r="G215" s="98">
        <f t="shared" si="69"/>
        <v>216.80532075228572</v>
      </c>
      <c r="H215" s="69">
        <f t="shared" si="70"/>
        <v>0.18286005352000895</v>
      </c>
      <c r="I215" s="69">
        <f t="shared" si="71"/>
        <v>-1.7420610575703412</v>
      </c>
      <c r="J215" s="99">
        <f t="shared" si="72"/>
        <v>1.5047746178408776E-2</v>
      </c>
      <c r="K215" s="69">
        <f t="shared" si="73"/>
        <v>2.88844619023093E-4</v>
      </c>
      <c r="L215" s="99">
        <f t="shared" si="74"/>
        <v>1.5336590797431869E-2</v>
      </c>
      <c r="M215" s="69">
        <f t="shared" si="75"/>
        <v>11.923122676692207</v>
      </c>
      <c r="N215" s="69">
        <f t="shared" si="76"/>
        <v>5.0985822968106547</v>
      </c>
      <c r="O215" s="69">
        <f t="shared" si="77"/>
        <v>27.882428111904481</v>
      </c>
      <c r="P215" s="69">
        <f t="shared" si="78"/>
        <v>2.130472642151791</v>
      </c>
      <c r="Q215" s="69">
        <f t="shared" si="79"/>
        <v>-0.59744795436710785</v>
      </c>
      <c r="R215" s="43">
        <f t="shared" si="80"/>
        <v>-443.20923712804807</v>
      </c>
      <c r="S215" s="43">
        <f t="shared" si="81"/>
        <v>1583.0584413005829</v>
      </c>
      <c r="T215" s="43">
        <f>R215+Thrust!C$33*0.8</f>
        <v>1368.550762871952</v>
      </c>
      <c r="U215" s="43"/>
      <c r="V215">
        <f t="shared" si="82"/>
        <v>1573909.2600552295</v>
      </c>
      <c r="W215">
        <f t="shared" si="83"/>
        <v>-440647.73874346039</v>
      </c>
      <c r="X215">
        <f t="shared" si="84"/>
        <v>-2014556.9987986898</v>
      </c>
      <c r="Y215">
        <f t="shared" si="85"/>
        <v>2014556.9987986898</v>
      </c>
      <c r="Z215">
        <f t="shared" si="86"/>
        <v>-5003.1552637517234</v>
      </c>
      <c r="AA215">
        <f t="shared" si="87"/>
        <v>-4.8110857422873838</v>
      </c>
      <c r="AB215">
        <f t="shared" si="88"/>
        <v>-677.93784009872184</v>
      </c>
      <c r="AC215">
        <f t="shared" si="89"/>
        <v>-0.65116022376627514</v>
      </c>
      <c r="AD215">
        <f t="shared" si="90"/>
        <v>-2.2275357469429484</v>
      </c>
      <c r="AE215">
        <f t="shared" si="91"/>
        <v>-1312.1512703229794</v>
      </c>
      <c r="AH215">
        <v>2.9462525166455267</v>
      </c>
      <c r="AI215">
        <v>1752.9684370574892</v>
      </c>
      <c r="AJ215">
        <f t="shared" si="92"/>
        <v>-1036.4885535731273</v>
      </c>
      <c r="AK215">
        <f t="shared" si="93"/>
        <v>465.30725937646372</v>
      </c>
      <c r="AO215" s="43"/>
      <c r="AP215" s="43"/>
      <c r="AQ215" t="e">
        <f t="shared" si="94"/>
        <v>#DIV/0!</v>
      </c>
    </row>
    <row r="216" spans="1:43">
      <c r="A216">
        <v>254</v>
      </c>
      <c r="B216">
        <f t="shared" si="65"/>
        <v>254</v>
      </c>
      <c r="D216" s="43">
        <f t="shared" si="66"/>
        <v>591.38787819153322</v>
      </c>
      <c r="E216" s="43">
        <f t="shared" si="67"/>
        <v>998.1502918961487</v>
      </c>
      <c r="F216" s="69">
        <f t="shared" si="68"/>
        <v>1.0500444826683788</v>
      </c>
      <c r="G216" s="98">
        <f t="shared" si="69"/>
        <v>218.52258391248827</v>
      </c>
      <c r="H216" s="69">
        <f t="shared" si="70"/>
        <v>0.18142304491540481</v>
      </c>
      <c r="I216" s="69">
        <f t="shared" si="71"/>
        <v>-1.7541615586054049</v>
      </c>
      <c r="J216" s="99">
        <f t="shared" si="72"/>
        <v>1.5047746178408776E-2</v>
      </c>
      <c r="K216" s="69">
        <f t="shared" si="73"/>
        <v>2.789128613121996E-4</v>
      </c>
      <c r="L216" s="99">
        <f t="shared" si="74"/>
        <v>1.5326659039720976E-2</v>
      </c>
      <c r="M216" s="69">
        <f t="shared" si="75"/>
        <v>11.837090160694776</v>
      </c>
      <c r="N216" s="69">
        <f t="shared" si="76"/>
        <v>5.0418646339895705</v>
      </c>
      <c r="O216" s="69">
        <f t="shared" si="77"/>
        <v>27.790651602945623</v>
      </c>
      <c r="P216" s="69">
        <f t="shared" si="78"/>
        <v>2.1388934826346042</v>
      </c>
      <c r="Q216" s="69">
        <f t="shared" si="79"/>
        <v>-0.61734292466442664</v>
      </c>
      <c r="R216" s="43">
        <f t="shared" si="80"/>
        <v>-456.16504626902537</v>
      </c>
      <c r="S216" s="43">
        <f t="shared" si="81"/>
        <v>1594.5641828998398</v>
      </c>
      <c r="T216" s="43">
        <f>R216+Thrust!C$33*0.8</f>
        <v>1355.5949537309746</v>
      </c>
      <c r="U216" s="43"/>
      <c r="V216">
        <f t="shared" si="82"/>
        <v>1591614.704608619</v>
      </c>
      <c r="W216">
        <f t="shared" si="83"/>
        <v>-455321.27408624784</v>
      </c>
      <c r="X216">
        <f t="shared" si="84"/>
        <v>-2046935.9786948669</v>
      </c>
      <c r="Y216">
        <f t="shared" si="85"/>
        <v>2046935.9786948669</v>
      </c>
      <c r="Z216">
        <f t="shared" si="86"/>
        <v>-5059.4374716035572</v>
      </c>
      <c r="AA216">
        <f t="shared" si="87"/>
        <v>-4.8461362545520155</v>
      </c>
      <c r="AB216">
        <f t="shared" si="88"/>
        <v>-758.23217753356482</v>
      </c>
      <c r="AC216">
        <f t="shared" si="89"/>
        <v>-0.72541955359822197</v>
      </c>
      <c r="AD216">
        <f t="shared" si="90"/>
        <v>-2.2761077971353139</v>
      </c>
      <c r="AE216">
        <f t="shared" si="91"/>
        <v>-1346.0625606830581</v>
      </c>
      <c r="AH216">
        <v>2.8886937889719353</v>
      </c>
      <c r="AI216">
        <v>1725.5448011001151</v>
      </c>
      <c r="AJ216">
        <f t="shared" si="92"/>
        <v>-1049.0632829410813</v>
      </c>
      <c r="AK216">
        <f t="shared" si="93"/>
        <v>460.90228426853139</v>
      </c>
      <c r="AO216" s="43"/>
      <c r="AP216" s="43"/>
      <c r="AQ216" t="e">
        <f t="shared" si="94"/>
        <v>#DIV/0!</v>
      </c>
    </row>
    <row r="217" spans="1:43">
      <c r="A217">
        <v>255</v>
      </c>
      <c r="B217">
        <f t="shared" si="65"/>
        <v>255</v>
      </c>
      <c r="D217" s="43">
        <f t="shared" si="66"/>
        <v>593.71617692457073</v>
      </c>
      <c r="E217" s="43">
        <f t="shared" si="67"/>
        <v>1002.080017454795</v>
      </c>
      <c r="F217" s="69">
        <f t="shared" si="68"/>
        <v>1.054178516064711</v>
      </c>
      <c r="G217" s="98">
        <f t="shared" si="69"/>
        <v>220.24662128634063</v>
      </c>
      <c r="H217" s="69">
        <f t="shared" si="70"/>
        <v>0.18000290912360253</v>
      </c>
      <c r="I217" s="69">
        <f t="shared" si="71"/>
        <v>-1.7661199801232557</v>
      </c>
      <c r="J217" s="99">
        <f t="shared" si="72"/>
        <v>1.5047746178408776E-2</v>
      </c>
      <c r="K217" s="69">
        <f t="shared" si="73"/>
        <v>2.6926841949765577E-4</v>
      </c>
      <c r="L217" s="99">
        <f t="shared" si="74"/>
        <v>1.5317014597906431E-2</v>
      </c>
      <c r="M217" s="69">
        <f t="shared" si="75"/>
        <v>11.751827222793519</v>
      </c>
      <c r="N217" s="69">
        <f t="shared" si="76"/>
        <v>4.9859183225554791</v>
      </c>
      <c r="O217" s="69">
        <f t="shared" si="77"/>
        <v>27.699098569189232</v>
      </c>
      <c r="P217" s="69">
        <f t="shared" si="78"/>
        <v>2.1473143231174179</v>
      </c>
      <c r="Q217" s="69">
        <f t="shared" si="79"/>
        <v>-0.63737294850912507</v>
      </c>
      <c r="R217" s="43">
        <f t="shared" si="80"/>
        <v>-469.11864320666558</v>
      </c>
      <c r="S217" s="43">
        <f t="shared" si="81"/>
        <v>1606.1332116413839</v>
      </c>
      <c r="T217" s="43">
        <f>R217+Thrust!C$33*0.8</f>
        <v>1342.6413567933344</v>
      </c>
      <c r="U217" s="43"/>
      <c r="V217">
        <f t="shared" si="82"/>
        <v>1609473.9967563238</v>
      </c>
      <c r="W217">
        <f t="shared" si="83"/>
        <v>-470094.41817290516</v>
      </c>
      <c r="X217">
        <f t="shared" si="84"/>
        <v>-2079568.4149292291</v>
      </c>
      <c r="Y217">
        <f t="shared" si="85"/>
        <v>2079568.4149292291</v>
      </c>
      <c r="Z217">
        <f t="shared" si="86"/>
        <v>-5116.2087314108312</v>
      </c>
      <c r="AA217">
        <f t="shared" si="87"/>
        <v>-4.881381394656418</v>
      </c>
      <c r="AB217">
        <f t="shared" si="88"/>
        <v>-839.33220399045251</v>
      </c>
      <c r="AC217">
        <f t="shared" si="89"/>
        <v>-0.79986551543403439</v>
      </c>
      <c r="AD217">
        <f t="shared" si="90"/>
        <v>-2.3238813841159995</v>
      </c>
      <c r="AE217">
        <f t="shared" si="91"/>
        <v>-1379.725971003531</v>
      </c>
      <c r="AH217">
        <v>2.8309314738603963</v>
      </c>
      <c r="AI217">
        <v>1697.7269325523607</v>
      </c>
      <c r="AJ217">
        <f t="shared" si="92"/>
        <v>-1060.8473465627344</v>
      </c>
      <c r="AK217">
        <f t="shared" si="93"/>
        <v>456.49806130973371</v>
      </c>
      <c r="AO217" s="43"/>
      <c r="AP217" s="43"/>
      <c r="AQ217" t="e">
        <f t="shared" si="94"/>
        <v>#DIV/0!</v>
      </c>
    </row>
    <row r="218" spans="1:43">
      <c r="A218">
        <v>256</v>
      </c>
      <c r="B218">
        <f t="shared" si="65"/>
        <v>256</v>
      </c>
      <c r="D218" s="43">
        <f t="shared" si="66"/>
        <v>596.04447565760825</v>
      </c>
      <c r="E218" s="43">
        <f t="shared" si="67"/>
        <v>1006.0097430134412</v>
      </c>
      <c r="F218" s="69">
        <f t="shared" si="68"/>
        <v>1.058312549461043</v>
      </c>
      <c r="G218" s="98">
        <f t="shared" si="69"/>
        <v>221.97743287384262</v>
      </c>
      <c r="H218" s="69">
        <f t="shared" si="70"/>
        <v>0.17859938302249539</v>
      </c>
      <c r="I218" s="69">
        <f t="shared" si="71"/>
        <v>-1.777938537774735</v>
      </c>
      <c r="J218" s="99">
        <f t="shared" si="72"/>
        <v>1.5047746178408776E-2</v>
      </c>
      <c r="K218" s="69">
        <f t="shared" si="73"/>
        <v>2.599035050245773E-4</v>
      </c>
      <c r="L218" s="99">
        <f t="shared" si="74"/>
        <v>1.5307649683433353E-2</v>
      </c>
      <c r="M218" s="69">
        <f t="shared" si="75"/>
        <v>11.667328866023366</v>
      </c>
      <c r="N218" s="69">
        <f t="shared" si="76"/>
        <v>4.930732211465898</v>
      </c>
      <c r="O218" s="69">
        <f t="shared" si="77"/>
        <v>27.607778526563276</v>
      </c>
      <c r="P218" s="69">
        <f t="shared" si="78"/>
        <v>2.1557351636002311</v>
      </c>
      <c r="Q218" s="69">
        <f t="shared" si="79"/>
        <v>-0.65753802590120314</v>
      </c>
      <c r="R218" s="43">
        <f t="shared" si="80"/>
        <v>-482.07005386522667</v>
      </c>
      <c r="S218" s="43">
        <f t="shared" si="81"/>
        <v>1617.7653185868637</v>
      </c>
      <c r="T218" s="43">
        <f>R218+Thrust!C$33*0.8</f>
        <v>1329.6899461347734</v>
      </c>
      <c r="U218" s="43"/>
      <c r="V218">
        <f t="shared" si="82"/>
        <v>1627487.6724076285</v>
      </c>
      <c r="W218">
        <f t="shared" si="83"/>
        <v>-484967.17100343242</v>
      </c>
      <c r="X218">
        <f t="shared" si="84"/>
        <v>-2112454.843411061</v>
      </c>
      <c r="Y218">
        <f t="shared" si="85"/>
        <v>2112454.843411061</v>
      </c>
      <c r="Z218">
        <f t="shared" si="86"/>
        <v>-5173.4707467262351</v>
      </c>
      <c r="AA218">
        <f t="shared" si="87"/>
        <v>-4.9168205699217626</v>
      </c>
      <c r="AB218">
        <f t="shared" si="88"/>
        <v>-921.23962302207826</v>
      </c>
      <c r="AC218">
        <f t="shared" si="89"/>
        <v>-0.87449768903505709</v>
      </c>
      <c r="AD218">
        <f t="shared" si="90"/>
        <v>-2.3708684648695835</v>
      </c>
      <c r="AE218">
        <f t="shared" si="91"/>
        <v>-1413.1430509963495</v>
      </c>
      <c r="AH218">
        <v>2.7729659758710365</v>
      </c>
      <c r="AI218">
        <v>1669.5136358268267</v>
      </c>
      <c r="AJ218">
        <f t="shared" si="92"/>
        <v>-1071.8567868573236</v>
      </c>
      <c r="AK218">
        <f t="shared" si="93"/>
        <v>452.09458168582302</v>
      </c>
      <c r="AO218" s="43"/>
      <c r="AP218" s="43"/>
      <c r="AQ218" t="e">
        <f t="shared" si="94"/>
        <v>#DIV/0!</v>
      </c>
    </row>
    <row r="219" spans="1:43">
      <c r="A219">
        <v>257</v>
      </c>
      <c r="B219">
        <f t="shared" ref="B219:B282" si="95">A219</f>
        <v>257</v>
      </c>
      <c r="D219" s="43">
        <f t="shared" ref="D219:D282" si="96">A219/SQRT(D$13)</f>
        <v>598.37277439064587</v>
      </c>
      <c r="E219" s="43">
        <f t="shared" ref="E219:E282" si="97">D219*1.68780986</f>
        <v>1009.9394685720875</v>
      </c>
      <c r="F219" s="69">
        <f t="shared" ref="F219:F282" si="98">E219/SQRT(1716.46*1.4*$D$15)</f>
        <v>1.0624465828573755</v>
      </c>
      <c r="G219" s="98">
        <f t="shared" ref="G219:G282" si="99">0.5*$D$14*E219^2</f>
        <v>223.71501867499444</v>
      </c>
      <c r="H219" s="69">
        <f t="shared" ref="H219:H282" si="100">2*$D$4/($D$14*E219^2*$D$7)</f>
        <v>0.1772122085991045</v>
      </c>
      <c r="I219" s="69">
        <f t="shared" ref="I219:I282" si="101">DEGREES((H219-$J$4)/$J$5)</f>
        <v>-1.7896194041886697</v>
      </c>
      <c r="J219" s="99">
        <f t="shared" ref="J219:J282" si="102">$J$7</f>
        <v>1.5047746178408776E-2</v>
      </c>
      <c r="K219" s="69">
        <f t="shared" ref="K219:K282" si="103">$J$9*(H219-$J$6)^2</f>
        <v>2.5081055720147498E-4</v>
      </c>
      <c r="L219" s="99">
        <f t="shared" ref="L219:L282" si="104">SUM(J219:K219)</f>
        <v>1.5298556735610251E-2</v>
      </c>
      <c r="M219" s="69">
        <f t="shared" ref="M219:M282" si="105">H219/L219</f>
        <v>11.583589985754012</v>
      </c>
      <c r="N219" s="69">
        <f t="shared" ref="N219:N282" si="106">H219^1.5/L219</f>
        <v>4.8762952779120416</v>
      </c>
      <c r="O219" s="69">
        <f t="shared" ref="O219:O282" si="107">H219^0.5/L219</f>
        <v>27.516700550487254</v>
      </c>
      <c r="P219" s="69">
        <f t="shared" ref="P219:P282" si="108">60*E219/($J$17*$J$13)</f>
        <v>2.1641560040830448</v>
      </c>
      <c r="Q219" s="69">
        <f t="shared" ref="Q219:Q282" si="109">0.096574+1.703049*P219-0.952281*P219^2</f>
        <v>-0.67783815684066173</v>
      </c>
      <c r="R219" s="43">
        <f t="shared" ref="R219:R282" si="110">Q219*550*$J$16/E219</f>
        <v>-495.01930376547642</v>
      </c>
      <c r="S219" s="43">
        <f t="shared" ref="S219:S282" si="111">$D$7*G219*L219</f>
        <v>1629.4602988549552</v>
      </c>
      <c r="T219" s="43">
        <f>R219+Thrust!C$33*0.8</f>
        <v>1316.7406962345235</v>
      </c>
      <c r="U219" s="43"/>
      <c r="V219">
        <f t="shared" ref="V219:V282" si="112">S219*E219</f>
        <v>1645656.2682848885</v>
      </c>
      <c r="W219">
        <f t="shared" ref="W219:W282" si="113">R219*E219</f>
        <v>-499939.53257783002</v>
      </c>
      <c r="X219">
        <f t="shared" ref="X219:X282" si="114">W219-V219</f>
        <v>-2145595.8008627184</v>
      </c>
      <c r="Y219">
        <f t="shared" ref="Y219:Y282" si="115">SQRT(X219^2)</f>
        <v>2145595.8008627184</v>
      </c>
      <c r="Z219">
        <f t="shared" ref="Z219:Z282" si="116">-(E219/M219)*60</f>
        <v>-5231.2252236870627</v>
      </c>
      <c r="AA219">
        <f t="shared" ref="AA219:AA282" si="117">ASIN((Z219/60)/E219)*180/PI()</f>
        <v>-4.9524532005164188</v>
      </c>
      <c r="AB219">
        <f t="shared" ref="AB219:AB282" si="118">60*(((T219*E219)-(S219*E219))/$D$4)</f>
        <v>-1003.956140765732</v>
      </c>
      <c r="AC219">
        <f t="shared" ref="AC219:AC282" si="119">ASIN((AB219/60)/E219)*180/PI()</f>
        <v>-0.94931566713815285</v>
      </c>
      <c r="AD219">
        <f t="shared" ref="AD219:AD282" si="120">((325.9*Q219)/($J$12*D219))*M219*LN($D$4/$D$6)</f>
        <v>-2.4170808548761</v>
      </c>
      <c r="AE219">
        <f t="shared" ref="AE219:AE282" si="121">((325.9*Q219)/($J$12))*M219*LN($D$4/$D$6)</f>
        <v>-1446.315377058726</v>
      </c>
      <c r="AH219">
        <v>2.7147976896164123</v>
      </c>
      <c r="AI219">
        <v>1640.9037141304959</v>
      </c>
      <c r="AJ219">
        <f t="shared" ref="AJ219:AJ282" si="122">($J$12*T219)*AD219</f>
        <v>-1082.1073674195959</v>
      </c>
      <c r="AK219">
        <f t="shared" ref="AK219:AK282" si="123">$J$12*T219</f>
        <v>447.69183671973803</v>
      </c>
      <c r="AO219" s="43"/>
      <c r="AP219" s="43"/>
      <c r="AQ219" t="e">
        <f t="shared" si="94"/>
        <v>#DIV/0!</v>
      </c>
    </row>
    <row r="220" spans="1:43">
      <c r="A220">
        <v>258</v>
      </c>
      <c r="B220">
        <f t="shared" si="95"/>
        <v>258</v>
      </c>
      <c r="D220" s="43">
        <f t="shared" si="96"/>
        <v>600.70107312368339</v>
      </c>
      <c r="E220" s="43">
        <f t="shared" si="97"/>
        <v>1013.8691941307338</v>
      </c>
      <c r="F220" s="69">
        <f t="shared" si="98"/>
        <v>1.0665806162537077</v>
      </c>
      <c r="G220" s="98">
        <f t="shared" si="99"/>
        <v>225.45937868979593</v>
      </c>
      <c r="H220" s="69">
        <f t="shared" si="100"/>
        <v>0.17584113283099351</v>
      </c>
      <c r="I220" s="69">
        <f t="shared" si="101"/>
        <v>-1.8011647099704315</v>
      </c>
      <c r="J220" s="99">
        <f t="shared" si="102"/>
        <v>1.5047746178408776E-2</v>
      </c>
      <c r="K220" s="69">
        <f t="shared" si="103"/>
        <v>2.4198223584837275E-4</v>
      </c>
      <c r="L220" s="99">
        <f t="shared" si="104"/>
        <v>1.5289728414257148E-2</v>
      </c>
      <c r="M220" s="69">
        <f t="shared" si="105"/>
        <v>11.500605378119579</v>
      </c>
      <c r="N220" s="69">
        <f t="shared" si="106"/>
        <v>4.822596628368518</v>
      </c>
      <c r="O220" s="69">
        <f t="shared" si="107"/>
        <v>27.425873290998801</v>
      </c>
      <c r="P220" s="69">
        <f t="shared" si="108"/>
        <v>2.1725768445658584</v>
      </c>
      <c r="Q220" s="69">
        <f t="shared" si="109"/>
        <v>-0.69827334132749996</v>
      </c>
      <c r="R220" s="43">
        <f t="shared" si="110"/>
        <v>-507.96641803251123</v>
      </c>
      <c r="S220" s="43">
        <f t="shared" si="111"/>
        <v>1641.2179515271901</v>
      </c>
      <c r="T220" s="43">
        <f>R220+Thrust!C$33*0.8</f>
        <v>1303.7935819674888</v>
      </c>
      <c r="U220" s="43"/>
      <c r="V220">
        <f t="shared" si="112"/>
        <v>1663980.3219077659</v>
      </c>
      <c r="W220">
        <f t="shared" si="113"/>
        <v>-515011.50289609761</v>
      </c>
      <c r="X220">
        <f t="shared" si="114"/>
        <v>-2178991.8248038637</v>
      </c>
      <c r="Y220">
        <f t="shared" si="115"/>
        <v>2178991.8248038637</v>
      </c>
      <c r="Z220">
        <f t="shared" si="116"/>
        <v>-5289.4738709650837</v>
      </c>
      <c r="AA220">
        <f t="shared" si="117"/>
        <v>-4.9882787191745264</v>
      </c>
      <c r="AB220">
        <f t="shared" si="118"/>
        <v>-1087.4834658931875</v>
      </c>
      <c r="AC220">
        <f t="shared" si="119"/>
        <v>-1.0243190551991868</v>
      </c>
      <c r="AD220">
        <f t="shared" si="120"/>
        <v>-2.4625302272155931</v>
      </c>
      <c r="AE220">
        <f t="shared" si="121"/>
        <v>-1479.2445500879148</v>
      </c>
      <c r="AH220">
        <v>2.6564269999640295</v>
      </c>
      <c r="AI220">
        <v>1611.8959694881003</v>
      </c>
      <c r="AJ220">
        <f t="shared" si="122"/>
        <v>-1091.614575919175</v>
      </c>
      <c r="AK220">
        <f t="shared" si="123"/>
        <v>443.28981786894622</v>
      </c>
      <c r="AO220" s="43"/>
      <c r="AP220" s="43"/>
      <c r="AQ220" t="e">
        <f t="shared" si="94"/>
        <v>#DIV/0!</v>
      </c>
    </row>
    <row r="221" spans="1:43">
      <c r="A221">
        <v>259</v>
      </c>
      <c r="B221">
        <f t="shared" si="95"/>
        <v>259</v>
      </c>
      <c r="D221" s="43">
        <f t="shared" si="96"/>
        <v>603.0293718567209</v>
      </c>
      <c r="E221" s="43">
        <f t="shared" si="97"/>
        <v>1017.79891968938</v>
      </c>
      <c r="F221" s="69">
        <f t="shared" si="98"/>
        <v>1.0707146496500397</v>
      </c>
      <c r="G221" s="98">
        <f t="shared" si="99"/>
        <v>227.21051291824705</v>
      </c>
      <c r="H221" s="69">
        <f t="shared" si="100"/>
        <v>0.17448590757088078</v>
      </c>
      <c r="I221" s="69">
        <f t="shared" si="101"/>
        <v>-1.8125765446735762</v>
      </c>
      <c r="J221" s="99">
        <f t="shared" si="102"/>
        <v>1.5047746178408776E-2</v>
      </c>
      <c r="K221" s="69">
        <f t="shared" si="103"/>
        <v>2.3341141420646269E-4</v>
      </c>
      <c r="L221" s="99">
        <f t="shared" si="104"/>
        <v>1.5281157592615238E-2</v>
      </c>
      <c r="M221" s="69">
        <f t="shared" si="105"/>
        <v>11.418369748061673</v>
      </c>
      <c r="N221" s="69">
        <f t="shared" si="106"/>
        <v>4.76962549945722</v>
      </c>
      <c r="O221" s="69">
        <f t="shared" si="107"/>
        <v>27.335304987422397</v>
      </c>
      <c r="P221" s="69">
        <f t="shared" si="108"/>
        <v>2.1809976850486716</v>
      </c>
      <c r="Q221" s="69">
        <f t="shared" si="109"/>
        <v>-0.71884357936171606</v>
      </c>
      <c r="R221" s="43">
        <f t="shared" si="110"/>
        <v>-520.91142140339389</v>
      </c>
      <c r="S221" s="43">
        <f t="shared" si="111"/>
        <v>1653.0380795563331</v>
      </c>
      <c r="T221" s="43">
        <f>R221+Thrust!C$33*0.8</f>
        <v>1290.8485785966061</v>
      </c>
      <c r="U221" s="43"/>
      <c r="V221">
        <f t="shared" si="112"/>
        <v>1682460.3715778431</v>
      </c>
      <c r="W221">
        <f t="shared" si="113"/>
        <v>-530183.08195823373</v>
      </c>
      <c r="X221">
        <f t="shared" si="114"/>
        <v>-2212643.4535360769</v>
      </c>
      <c r="Y221">
        <f t="shared" si="115"/>
        <v>2212643.4535360769</v>
      </c>
      <c r="Z221">
        <f t="shared" si="116"/>
        <v>-5348.218399717648</v>
      </c>
      <c r="AA221">
        <f t="shared" si="117"/>
        <v>-5.0242965709223739</v>
      </c>
      <c r="AB221">
        <f t="shared" si="118"/>
        <v>-1171.8233095617875</v>
      </c>
      <c r="AC221">
        <f t="shared" si="119"/>
        <v>-1.099507471143929</v>
      </c>
      <c r="AD221">
        <f t="shared" si="120"/>
        <v>-2.5072281118597108</v>
      </c>
      <c r="AE221">
        <f t="shared" si="121"/>
        <v>-1511.932193396274</v>
      </c>
      <c r="AH221">
        <v>2.5978542822330346</v>
      </c>
      <c r="AI221">
        <v>1582.4892027649414</v>
      </c>
      <c r="AJ221">
        <f t="shared" si="122"/>
        <v>-1100.3936270999307</v>
      </c>
      <c r="AK221">
        <f t="shared" si="123"/>
        <v>438.88851672284613</v>
      </c>
      <c r="AO221" s="43"/>
      <c r="AP221" s="43"/>
      <c r="AQ221" t="e">
        <f t="shared" si="94"/>
        <v>#DIV/0!</v>
      </c>
    </row>
    <row r="222" spans="1:43">
      <c r="A222">
        <v>260</v>
      </c>
      <c r="B222">
        <f t="shared" si="95"/>
        <v>260</v>
      </c>
      <c r="D222" s="43">
        <f t="shared" si="96"/>
        <v>605.35767058975841</v>
      </c>
      <c r="E222" s="43">
        <f t="shared" si="97"/>
        <v>1021.7286452480263</v>
      </c>
      <c r="F222" s="69">
        <f t="shared" si="98"/>
        <v>1.0748486830463719</v>
      </c>
      <c r="G222" s="98">
        <f t="shared" si="99"/>
        <v>228.96842136034797</v>
      </c>
      <c r="H222" s="69">
        <f t="shared" si="100"/>
        <v>0.17314628943435287</v>
      </c>
      <c r="I222" s="69">
        <f t="shared" si="101"/>
        <v>-1.8238569577453625</v>
      </c>
      <c r="J222" s="99">
        <f t="shared" si="102"/>
        <v>1.5047746178408776E-2</v>
      </c>
      <c r="K222" s="69">
        <f t="shared" si="103"/>
        <v>2.250911720991075E-4</v>
      </c>
      <c r="L222" s="99">
        <f t="shared" si="104"/>
        <v>1.5272837350507884E-2</v>
      </c>
      <c r="M222" s="69">
        <f t="shared" si="105"/>
        <v>11.336877717000963</v>
      </c>
      <c r="N222" s="69">
        <f t="shared" si="106"/>
        <v>4.7173712586367023</v>
      </c>
      <c r="O222" s="69">
        <f t="shared" si="107"/>
        <v>27.245003482591283</v>
      </c>
      <c r="P222" s="69">
        <f t="shared" si="108"/>
        <v>2.1894185255314849</v>
      </c>
      <c r="Q222" s="69">
        <f t="shared" si="109"/>
        <v>-0.73954887094331268</v>
      </c>
      <c r="R222" s="43">
        <f t="shared" si="110"/>
        <v>-533.8543382346204</v>
      </c>
      <c r="S222" s="43">
        <f t="shared" si="111"/>
        <v>1664.9204896772194</v>
      </c>
      <c r="T222" s="43">
        <f>R222+Thrust!C$33*0.8</f>
        <v>1277.9056617653796</v>
      </c>
      <c r="U222" s="43"/>
      <c r="V222">
        <f t="shared" si="112"/>
        <v>1701096.956363586</v>
      </c>
      <c r="W222">
        <f t="shared" si="113"/>
        <v>-545454.26976424025</v>
      </c>
      <c r="X222">
        <f t="shared" si="114"/>
        <v>-2246551.2261278261</v>
      </c>
      <c r="Y222">
        <f t="shared" si="115"/>
        <v>2246551.2261278261</v>
      </c>
      <c r="Z222">
        <f t="shared" si="116"/>
        <v>-5407.4605235398758</v>
      </c>
      <c r="AA222">
        <f t="shared" si="117"/>
        <v>-5.0605062128122436</v>
      </c>
      <c r="AB222">
        <f t="shared" si="118"/>
        <v>-1256.9773853666618</v>
      </c>
      <c r="AC222">
        <f t="shared" si="119"/>
        <v>-1.1748805451261248</v>
      </c>
      <c r="AD222">
        <f t="shared" si="120"/>
        <v>-2.551185895138937</v>
      </c>
      <c r="AE222">
        <f t="shared" si="121"/>
        <v>-1544.3799507227548</v>
      </c>
      <c r="AH222">
        <v>2.5390799023852622</v>
      </c>
      <c r="AI222">
        <v>1552.6822136891972</v>
      </c>
      <c r="AJ222">
        <f t="shared" si="122"/>
        <v>-1108.4594658687688</v>
      </c>
      <c r="AK222">
        <f t="shared" si="123"/>
        <v>434.4879250002291</v>
      </c>
      <c r="AO222" s="43"/>
      <c r="AP222" s="43"/>
      <c r="AQ222" t="e">
        <f t="shared" si="94"/>
        <v>#DIV/0!</v>
      </c>
    </row>
    <row r="223" spans="1:43">
      <c r="A223">
        <v>261</v>
      </c>
      <c r="B223">
        <f t="shared" si="95"/>
        <v>261</v>
      </c>
      <c r="D223" s="43">
        <f t="shared" si="96"/>
        <v>607.68596932279593</v>
      </c>
      <c r="E223" s="43">
        <f t="shared" si="97"/>
        <v>1025.6583708066726</v>
      </c>
      <c r="F223" s="69">
        <f t="shared" si="98"/>
        <v>1.0789827164427042</v>
      </c>
      <c r="G223" s="98">
        <f t="shared" si="99"/>
        <v>230.73310401609857</v>
      </c>
      <c r="H223" s="69">
        <f t="shared" si="100"/>
        <v>0.17182203969058374</v>
      </c>
      <c r="I223" s="69">
        <f t="shared" si="101"/>
        <v>-1.835007959446967</v>
      </c>
      <c r="J223" s="99">
        <f t="shared" si="102"/>
        <v>1.5047746178408776E-2</v>
      </c>
      <c r="K223" s="69">
        <f t="shared" si="103"/>
        <v>2.1701478933441583E-4</v>
      </c>
      <c r="L223" s="99">
        <f t="shared" si="104"/>
        <v>1.5264760967743192E-2</v>
      </c>
      <c r="M223" s="69">
        <f t="shared" si="105"/>
        <v>11.256123830151704</v>
      </c>
      <c r="N223" s="69">
        <f t="shared" si="106"/>
        <v>4.6658234047277007</v>
      </c>
      <c r="O223" s="69">
        <f t="shared" si="107"/>
        <v>27.154976236633502</v>
      </c>
      <c r="P223" s="69">
        <f t="shared" si="108"/>
        <v>2.1978393660142985</v>
      </c>
      <c r="Q223" s="69">
        <f t="shared" si="109"/>
        <v>-0.76038921607228982</v>
      </c>
      <c r="R223" s="43">
        <f t="shared" si="110"/>
        <v>-546.79519250940518</v>
      </c>
      <c r="S223" s="43">
        <f t="shared" si="111"/>
        <v>1676.8649923199728</v>
      </c>
      <c r="T223" s="43">
        <f>R223+Thrust!C$33*0.8</f>
        <v>1264.9648074905949</v>
      </c>
      <c r="U223" s="43"/>
      <c r="V223">
        <f t="shared" si="112"/>
        <v>1719890.6160856467</v>
      </c>
      <c r="W223">
        <f t="shared" si="113"/>
        <v>-560825.0663141174</v>
      </c>
      <c r="X223">
        <f t="shared" si="114"/>
        <v>-2280715.6823997642</v>
      </c>
      <c r="Y223">
        <f t="shared" si="115"/>
        <v>2280715.6823997642</v>
      </c>
      <c r="Z223">
        <f t="shared" si="116"/>
        <v>-5467.2019584179507</v>
      </c>
      <c r="AA223">
        <f t="shared" si="117"/>
        <v>-5.0969071136635558</v>
      </c>
      <c r="AB223">
        <f t="shared" si="118"/>
        <v>-1342.9474092939877</v>
      </c>
      <c r="AC223">
        <f t="shared" si="119"/>
        <v>-1.2504379192924493</v>
      </c>
      <c r="AD223">
        <f t="shared" si="120"/>
        <v>-2.594414819374514</v>
      </c>
      <c r="AE223">
        <f t="shared" si="121"/>
        <v>-1576.5894843370279</v>
      </c>
      <c r="AH223">
        <v>2.4801042172107559</v>
      </c>
      <c r="AI223">
        <v>1522.4738008736917</v>
      </c>
      <c r="AJ223">
        <f t="shared" si="122"/>
        <v>-1115.8267704638818</v>
      </c>
      <c r="AK223">
        <f t="shared" si="123"/>
        <v>430.08803454680231</v>
      </c>
      <c r="AO223" s="43"/>
      <c r="AP223" s="43"/>
      <c r="AQ223" t="e">
        <f t="shared" si="94"/>
        <v>#DIV/0!</v>
      </c>
    </row>
    <row r="224" spans="1:43">
      <c r="A224">
        <v>262</v>
      </c>
      <c r="B224">
        <f t="shared" si="95"/>
        <v>262</v>
      </c>
      <c r="D224" s="43">
        <f t="shared" si="96"/>
        <v>610.01426805583344</v>
      </c>
      <c r="E224" s="43">
        <f t="shared" si="97"/>
        <v>1029.5880963653187</v>
      </c>
      <c r="F224" s="69">
        <f t="shared" si="98"/>
        <v>1.0831167498390364</v>
      </c>
      <c r="G224" s="98">
        <f t="shared" si="99"/>
        <v>232.50456088549888</v>
      </c>
      <c r="H224" s="69">
        <f t="shared" si="100"/>
        <v>0.17051292415596783</v>
      </c>
      <c r="I224" s="69">
        <f t="shared" si="101"/>
        <v>-1.8460315217491576</v>
      </c>
      <c r="J224" s="99">
        <f t="shared" si="102"/>
        <v>1.5047746178408776E-2</v>
      </c>
      <c r="K224" s="69">
        <f t="shared" si="103"/>
        <v>2.0917573934003104E-4</v>
      </c>
      <c r="L224" s="99">
        <f t="shared" si="104"/>
        <v>1.5256921917748807E-2</v>
      </c>
      <c r="M224" s="69">
        <f t="shared" si="105"/>
        <v>11.176102563493187</v>
      </c>
      <c r="N224" s="69">
        <f t="shared" si="106"/>
        <v>4.6149715682849575</v>
      </c>
      <c r="O224" s="69">
        <f t="shared" si="107"/>
        <v>27.065230340332743</v>
      </c>
      <c r="P224" s="69">
        <f t="shared" si="108"/>
        <v>2.2062602064971117</v>
      </c>
      <c r="Q224" s="69">
        <f t="shared" si="109"/>
        <v>-0.78136461474864483</v>
      </c>
      <c r="R224" s="43">
        <f t="shared" si="110"/>
        <v>-559.73400784480486</v>
      </c>
      <c r="S224" s="43">
        <f t="shared" si="111"/>
        <v>1688.8714015255473</v>
      </c>
      <c r="T224" s="43">
        <f>R224+Thrust!C$33*0.8</f>
        <v>1252.0259921551951</v>
      </c>
      <c r="U224" s="43"/>
      <c r="V224">
        <f t="shared" si="112"/>
        <v>1738841.891302516</v>
      </c>
      <c r="W224">
        <f t="shared" si="113"/>
        <v>-576295.47160786297</v>
      </c>
      <c r="X224">
        <f t="shared" si="114"/>
        <v>-2315137.3629103787</v>
      </c>
      <c r="Y224">
        <f t="shared" si="115"/>
        <v>2315137.3629103787</v>
      </c>
      <c r="Z224">
        <f t="shared" si="116"/>
        <v>-5527.4444226834948</v>
      </c>
      <c r="AA224">
        <f t="shared" si="117"/>
        <v>-5.1334987538110477</v>
      </c>
      <c r="AB224">
        <f t="shared" si="118"/>
        <v>-1429.7350996753883</v>
      </c>
      <c r="AC224">
        <f t="shared" si="119"/>
        <v>-1.3261792475542655</v>
      </c>
      <c r="AD224">
        <f t="shared" si="120"/>
        <v>-2.6369259826647466</v>
      </c>
      <c r="AE224">
        <f t="shared" si="121"/>
        <v>-1608.5624732326446</v>
      </c>
      <c r="AH224">
        <v>2.4209275745080245</v>
      </c>
      <c r="AI224">
        <v>1491.8627618371906</v>
      </c>
      <c r="AJ224">
        <f t="shared" si="122"/>
        <v>-1122.5099556931184</v>
      </c>
      <c r="AK224">
        <f t="shared" si="123"/>
        <v>425.68883733276635</v>
      </c>
      <c r="AO224" s="43"/>
      <c r="AP224" s="43"/>
      <c r="AQ224" t="e">
        <f t="shared" si="94"/>
        <v>#DIV/0!</v>
      </c>
    </row>
    <row r="225" spans="1:43">
      <c r="A225">
        <v>263</v>
      </c>
      <c r="B225">
        <f t="shared" si="95"/>
        <v>263</v>
      </c>
      <c r="D225" s="43">
        <f t="shared" si="96"/>
        <v>612.34256678887107</v>
      </c>
      <c r="E225" s="43">
        <f t="shared" si="97"/>
        <v>1033.5178219239651</v>
      </c>
      <c r="F225" s="69">
        <f t="shared" si="98"/>
        <v>1.0872507832353686</v>
      </c>
      <c r="G225" s="98">
        <f t="shared" si="99"/>
        <v>234.28279196854899</v>
      </c>
      <c r="H225" s="69">
        <f t="shared" si="100"/>
        <v>0.1692187130905789</v>
      </c>
      <c r="I225" s="69">
        <f t="shared" si="101"/>
        <v>-1.8569295792041751</v>
      </c>
      <c r="J225" s="99">
        <f t="shared" si="102"/>
        <v>1.5047746178408776E-2</v>
      </c>
      <c r="K225" s="69">
        <f t="shared" si="103"/>
        <v>2.0156768302117542E-4</v>
      </c>
      <c r="L225" s="99">
        <f t="shared" si="104"/>
        <v>1.5249313861429952E-2</v>
      </c>
      <c r="M225" s="69">
        <f t="shared" si="105"/>
        <v>11.096808330411726</v>
      </c>
      <c r="N225" s="69">
        <f t="shared" si="106"/>
        <v>4.5648055118250372</v>
      </c>
      <c r="O225" s="69">
        <f t="shared" si="107"/>
        <v>26.97577252807497</v>
      </c>
      <c r="P225" s="69">
        <f t="shared" si="108"/>
        <v>2.2146810469799254</v>
      </c>
      <c r="Q225" s="69">
        <f t="shared" si="109"/>
        <v>-0.80247506697238125</v>
      </c>
      <c r="R225" s="43">
        <f t="shared" si="110"/>
        <v>-572.67080749868546</v>
      </c>
      <c r="S225" s="43">
        <f t="shared" si="111"/>
        <v>1700.939534863506</v>
      </c>
      <c r="T225" s="43">
        <f>R225+Thrust!C$33*0.8</f>
        <v>1239.0891925013145</v>
      </c>
      <c r="U225" s="43"/>
      <c r="V225">
        <f t="shared" si="112"/>
        <v>1757951.3232964932</v>
      </c>
      <c r="W225">
        <f t="shared" si="113"/>
        <v>-591865.48564547976</v>
      </c>
      <c r="X225">
        <f t="shared" si="114"/>
        <v>-2349816.8089419729</v>
      </c>
      <c r="Y225">
        <f t="shared" si="115"/>
        <v>2349816.8089419729</v>
      </c>
      <c r="Z225">
        <f t="shared" si="116"/>
        <v>-5588.1896369689848</v>
      </c>
      <c r="AA225">
        <f t="shared" si="117"/>
        <v>-5.1702806248598225</v>
      </c>
      <c r="AB225">
        <f t="shared" si="118"/>
        <v>-1517.342177143342</v>
      </c>
      <c r="AC225">
        <f t="shared" si="119"/>
        <v>-1.4021041953658797</v>
      </c>
      <c r="AD225">
        <f t="shared" si="120"/>
        <v>-2.6787303388158707</v>
      </c>
      <c r="AE225">
        <f t="shared" si="121"/>
        <v>-1640.3006114057328</v>
      </c>
      <c r="AH225">
        <v>2.361550313259114</v>
      </c>
      <c r="AI225">
        <v>1460.8478930251965</v>
      </c>
      <c r="AJ225">
        <f t="shared" si="122"/>
        <v>-1128.5231762337244</v>
      </c>
      <c r="AK225">
        <f t="shared" si="123"/>
        <v>421.29032545044697</v>
      </c>
      <c r="AN225">
        <f t="shared" ref="AN225:AN256" si="124">AM225*190</f>
        <v>0</v>
      </c>
      <c r="AO225" s="43"/>
      <c r="AP225" s="43"/>
      <c r="AQ225" t="e">
        <f t="shared" si="94"/>
        <v>#DIV/0!</v>
      </c>
    </row>
    <row r="226" spans="1:43">
      <c r="A226">
        <v>264</v>
      </c>
      <c r="B226">
        <f t="shared" si="95"/>
        <v>264</v>
      </c>
      <c r="D226" s="43">
        <f t="shared" si="96"/>
        <v>614.67086552190858</v>
      </c>
      <c r="E226" s="43">
        <f t="shared" si="97"/>
        <v>1037.4475474826113</v>
      </c>
      <c r="F226" s="69">
        <f t="shared" si="98"/>
        <v>1.0913848166317008</v>
      </c>
      <c r="G226" s="98">
        <f t="shared" si="99"/>
        <v>236.06779726524869</v>
      </c>
      <c r="H226" s="69">
        <f t="shared" si="100"/>
        <v>0.16793918109736936</v>
      </c>
      <c r="I226" s="69">
        <f t="shared" si="101"/>
        <v>-1.8677040297945349</v>
      </c>
      <c r="J226" s="99">
        <f t="shared" si="102"/>
        <v>1.5047746178408776E-2</v>
      </c>
      <c r="K226" s="69">
        <f t="shared" si="103"/>
        <v>1.9418446283336535E-4</v>
      </c>
      <c r="L226" s="99">
        <f t="shared" si="104"/>
        <v>1.5241930641242142E-2</v>
      </c>
      <c r="M226" s="69">
        <f t="shared" si="105"/>
        <v>11.018235488026283</v>
      </c>
      <c r="N226" s="69">
        <f t="shared" si="106"/>
        <v>4.5153151299193217</v>
      </c>
      <c r="O226" s="69">
        <f t="shared" si="107"/>
        <v>26.886609190391312</v>
      </c>
      <c r="P226" s="69">
        <f t="shared" si="108"/>
        <v>2.2231018874627386</v>
      </c>
      <c r="Q226" s="69">
        <f t="shared" si="109"/>
        <v>-0.82372057274349642</v>
      </c>
      <c r="R226" s="43">
        <f t="shared" si="110"/>
        <v>-585.60561437651734</v>
      </c>
      <c r="S226" s="43">
        <f t="shared" si="111"/>
        <v>1713.0692133519751</v>
      </c>
      <c r="T226" s="43">
        <f>R226+Thrust!C$33*0.8</f>
        <v>1226.1543856234825</v>
      </c>
      <c r="U226" s="43"/>
      <c r="V226">
        <f t="shared" si="112"/>
        <v>1777219.4540599729</v>
      </c>
      <c r="W226">
        <f t="shared" si="113"/>
        <v>-607535.10842696577</v>
      </c>
      <c r="X226">
        <f t="shared" si="114"/>
        <v>-2384754.5624869387</v>
      </c>
      <c r="Y226">
        <f t="shared" si="115"/>
        <v>2384754.5624869387</v>
      </c>
      <c r="Z226">
        <f t="shared" si="116"/>
        <v>-5649.4393241641519</v>
      </c>
      <c r="AA226">
        <f t="shared" si="117"/>
        <v>-5.2072522294469969</v>
      </c>
      <c r="AB226">
        <f t="shared" si="118"/>
        <v>-1605.7703645875804</v>
      </c>
      <c r="AC226">
        <f t="shared" si="119"/>
        <v>-1.4782124395091139</v>
      </c>
      <c r="AD226">
        <f t="shared" si="120"/>
        <v>-2.7198386974080253</v>
      </c>
      <c r="AE226">
        <f t="shared" si="121"/>
        <v>-1671.8056062157714</v>
      </c>
      <c r="AH226">
        <v>2.3019727637996898</v>
      </c>
      <c r="AI226">
        <v>1429.4279898302766</v>
      </c>
      <c r="AJ226">
        <f t="shared" si="122"/>
        <v>-1133.8803299852057</v>
      </c>
      <c r="AK226">
        <f t="shared" si="123"/>
        <v>416.8924911119841</v>
      </c>
      <c r="AN226">
        <f t="shared" si="124"/>
        <v>0</v>
      </c>
      <c r="AO226" s="43"/>
      <c r="AP226" s="43"/>
      <c r="AQ226" t="e">
        <f t="shared" si="94"/>
        <v>#DIV/0!</v>
      </c>
    </row>
    <row r="227" spans="1:43">
      <c r="A227">
        <v>265</v>
      </c>
      <c r="B227">
        <f t="shared" si="95"/>
        <v>265</v>
      </c>
      <c r="D227" s="43">
        <f t="shared" si="96"/>
        <v>616.99916425494609</v>
      </c>
      <c r="E227" s="43">
        <f t="shared" si="97"/>
        <v>1041.3772730412575</v>
      </c>
      <c r="F227" s="69">
        <f t="shared" si="98"/>
        <v>1.0955188500280328</v>
      </c>
      <c r="G227" s="98">
        <f t="shared" si="99"/>
        <v>237.85957677559813</v>
      </c>
      <c r="H227" s="69">
        <f t="shared" si="100"/>
        <v>0.16667410702402644</v>
      </c>
      <c r="I227" s="69">
        <f t="shared" si="101"/>
        <v>-1.8783567357594619</v>
      </c>
      <c r="J227" s="99">
        <f t="shared" si="102"/>
        <v>1.5047746178408776E-2</v>
      </c>
      <c r="K227" s="69">
        <f t="shared" si="103"/>
        <v>1.8702009706156607E-4</v>
      </c>
      <c r="L227" s="99">
        <f t="shared" si="104"/>
        <v>1.5234766275470343E-2</v>
      </c>
      <c r="M227" s="69">
        <f t="shared" si="105"/>
        <v>10.940378343210304</v>
      </c>
      <c r="N227" s="69">
        <f t="shared" si="106"/>
        <v>4.4664904491608466</v>
      </c>
      <c r="O227" s="69">
        <f t="shared" si="107"/>
        <v>26.797746386107786</v>
      </c>
      <c r="P227" s="69">
        <f t="shared" si="108"/>
        <v>2.2315227279455518</v>
      </c>
      <c r="Q227" s="69">
        <f t="shared" si="109"/>
        <v>-0.84510113206199078</v>
      </c>
      <c r="R227" s="43">
        <f t="shared" si="110"/>
        <v>-598.53845103802939</v>
      </c>
      <c r="S227" s="43">
        <f t="shared" si="111"/>
        <v>1725.2602613797167</v>
      </c>
      <c r="T227" s="43">
        <f>R227+Thrust!C$33*0.8</f>
        <v>1213.2215489619707</v>
      </c>
      <c r="U227" s="43"/>
      <c r="V227">
        <f t="shared" si="112"/>
        <v>1796646.8262820565</v>
      </c>
      <c r="W227">
        <f t="shared" si="113"/>
        <v>-623304.33995232126</v>
      </c>
      <c r="X227">
        <f t="shared" si="114"/>
        <v>-2419951.1662343778</v>
      </c>
      <c r="Y227">
        <f t="shared" si="115"/>
        <v>2419951.1662343778</v>
      </c>
      <c r="Z227">
        <f t="shared" si="116"/>
        <v>-5711.1952093734244</v>
      </c>
      <c r="AA227">
        <f t="shared" si="117"/>
        <v>-5.2444130810098422</v>
      </c>
      <c r="AB227">
        <f t="shared" si="118"/>
        <v>-1695.021387112527</v>
      </c>
      <c r="AC227">
        <f t="shared" si="119"/>
        <v>-1.5545036678840729</v>
      </c>
      <c r="AD227">
        <f t="shared" si="120"/>
        <v>-2.7602617239875578</v>
      </c>
      <c r="AE227">
        <f t="shared" si="121"/>
        <v>-1703.0791768252393</v>
      </c>
      <c r="AH227">
        <v>2.2421952479842751</v>
      </c>
      <c r="AI227">
        <v>1397.6018466119294</v>
      </c>
      <c r="AJ227">
        <f t="shared" si="122"/>
        <v>-1138.5950614676524</v>
      </c>
      <c r="AK227">
        <f t="shared" si="123"/>
        <v>412.49532664707004</v>
      </c>
      <c r="AN227">
        <f t="shared" si="124"/>
        <v>0</v>
      </c>
      <c r="AO227" s="43"/>
      <c r="AP227" s="43"/>
      <c r="AQ227" t="e">
        <f t="shared" si="94"/>
        <v>#DIV/0!</v>
      </c>
    </row>
    <row r="228" spans="1:43">
      <c r="A228">
        <v>266</v>
      </c>
      <c r="B228">
        <f t="shared" si="95"/>
        <v>266</v>
      </c>
      <c r="D228" s="43">
        <f t="shared" si="96"/>
        <v>619.32746298798361</v>
      </c>
      <c r="E228" s="43">
        <f t="shared" si="97"/>
        <v>1045.3069985999039</v>
      </c>
      <c r="F228" s="69">
        <f t="shared" si="98"/>
        <v>1.0996528834243653</v>
      </c>
      <c r="G228" s="98">
        <f t="shared" si="99"/>
        <v>239.65813049959738</v>
      </c>
      <c r="H228" s="69">
        <f t="shared" si="100"/>
        <v>0.16542327386740704</v>
      </c>
      <c r="I228" s="69">
        <f t="shared" si="101"/>
        <v>-1.8888895243996073</v>
      </c>
      <c r="J228" s="99">
        <f t="shared" si="102"/>
        <v>1.5047746178408776E-2</v>
      </c>
      <c r="K228" s="69">
        <f t="shared" si="103"/>
        <v>1.8006877429791371E-4</v>
      </c>
      <c r="L228" s="99">
        <f t="shared" si="104"/>
        <v>1.5227814952706691E-2</v>
      </c>
      <c r="M228" s="69">
        <f t="shared" si="105"/>
        <v>10.863231158322137</v>
      </c>
      <c r="N228" s="69">
        <f t="shared" si="106"/>
        <v>4.4183216280134028</v>
      </c>
      <c r="O228" s="69">
        <f t="shared" si="107"/>
        <v>26.709189854112388</v>
      </c>
      <c r="P228" s="69">
        <f t="shared" si="108"/>
        <v>2.2399435684283655</v>
      </c>
      <c r="Q228" s="69">
        <f t="shared" si="109"/>
        <v>-0.86661674492786567</v>
      </c>
      <c r="R228" s="43">
        <f t="shared" si="110"/>
        <v>-611.46933970370731</v>
      </c>
      <c r="S228" s="43">
        <f t="shared" si="111"/>
        <v>1737.512506630238</v>
      </c>
      <c r="T228" s="43">
        <f>R228+Thrust!C$33*0.8</f>
        <v>1200.2906602962926</v>
      </c>
      <c r="U228" s="43"/>
      <c r="V228">
        <f t="shared" si="112"/>
        <v>1816233.9833354496</v>
      </c>
      <c r="W228">
        <f t="shared" si="113"/>
        <v>-639173.18022154726</v>
      </c>
      <c r="X228">
        <f t="shared" si="114"/>
        <v>-2455407.1635569967</v>
      </c>
      <c r="Y228">
        <f t="shared" si="115"/>
        <v>2455407.1635569967</v>
      </c>
      <c r="Z228">
        <f t="shared" si="116"/>
        <v>-5773.4590198742771</v>
      </c>
      <c r="AA228">
        <f t="shared" si="117"/>
        <v>-5.2817627035601022</v>
      </c>
      <c r="AB228">
        <f t="shared" si="118"/>
        <v>-1785.0969719956613</v>
      </c>
      <c r="AC228">
        <f t="shared" si="119"/>
        <v>-1.6309775793058447</v>
      </c>
      <c r="AD228">
        <f t="shared" si="120"/>
        <v>-2.8000099403771483</v>
      </c>
      <c r="AE228">
        <f t="shared" si="121"/>
        <v>-1734.1230527149144</v>
      </c>
      <c r="AH228">
        <v>2.1822180793467862</v>
      </c>
      <c r="AI228">
        <v>1365.3682567160088</v>
      </c>
      <c r="AJ228">
        <f t="shared" si="122"/>
        <v>-1142.6807652583</v>
      </c>
      <c r="AK228">
        <f t="shared" si="123"/>
        <v>408.09882450073951</v>
      </c>
      <c r="AN228">
        <f t="shared" si="124"/>
        <v>0</v>
      </c>
      <c r="AO228" s="43"/>
      <c r="AP228" s="43"/>
      <c r="AQ228" t="e">
        <f t="shared" si="94"/>
        <v>#DIV/0!</v>
      </c>
    </row>
    <row r="229" spans="1:43">
      <c r="A229">
        <v>267</v>
      </c>
      <c r="B229">
        <f t="shared" si="95"/>
        <v>267</v>
      </c>
      <c r="D229" s="43">
        <f t="shared" si="96"/>
        <v>621.65576172102112</v>
      </c>
      <c r="E229" s="43">
        <f t="shared" si="97"/>
        <v>1049.23672415855</v>
      </c>
      <c r="F229" s="69">
        <f t="shared" si="98"/>
        <v>1.1037869168206973</v>
      </c>
      <c r="G229" s="98">
        <f t="shared" si="99"/>
        <v>241.46345843724623</v>
      </c>
      <c r="H229" s="69">
        <f t="shared" si="100"/>
        <v>0.16418646868047321</v>
      </c>
      <c r="I229" s="69">
        <f t="shared" si="101"/>
        <v>-1.8993041888607067</v>
      </c>
      <c r="J229" s="99">
        <f t="shared" si="102"/>
        <v>1.5047746178408776E-2</v>
      </c>
      <c r="K229" s="69">
        <f t="shared" si="103"/>
        <v>1.7332484811044416E-4</v>
      </c>
      <c r="L229" s="99">
        <f t="shared" si="104"/>
        <v>1.522107102651922E-2</v>
      </c>
      <c r="M229" s="69">
        <f t="shared" si="105"/>
        <v>10.78678815665573</v>
      </c>
      <c r="N229" s="69">
        <f t="shared" si="106"/>
        <v>4.3707989565506606</v>
      </c>
      <c r="O229" s="69">
        <f t="shared" si="107"/>
        <v>26.620945024749666</v>
      </c>
      <c r="P229" s="69">
        <f t="shared" si="108"/>
        <v>2.2483644089111787</v>
      </c>
      <c r="Q229" s="69">
        <f t="shared" si="109"/>
        <v>-0.88826741134111931</v>
      </c>
      <c r="R229" s="43">
        <f t="shared" si="110"/>
        <v>-624.39830226114361</v>
      </c>
      <c r="S229" s="43">
        <f t="shared" si="111"/>
        <v>1749.8257800078916</v>
      </c>
      <c r="T229" s="43">
        <f>R229+Thrust!C$33*0.8</f>
        <v>1187.3616977388565</v>
      </c>
      <c r="U229" s="43"/>
      <c r="V229">
        <f t="shared" si="112"/>
        <v>1835981.4692636598</v>
      </c>
      <c r="W229">
        <f t="shared" si="113"/>
        <v>-655141.62923464249</v>
      </c>
      <c r="X229">
        <f t="shared" si="114"/>
        <v>-2491123.0984983025</v>
      </c>
      <c r="Y229">
        <f t="shared" si="115"/>
        <v>2491123.0984983025</v>
      </c>
      <c r="Z229">
        <f t="shared" si="116"/>
        <v>-5836.2324850765344</v>
      </c>
      <c r="AA229">
        <f t="shared" si="117"/>
        <v>-5.3193006314644338</v>
      </c>
      <c r="AB229">
        <f t="shared" si="118"/>
        <v>-1875.9988486468051</v>
      </c>
      <c r="AC229">
        <f t="shared" si="119"/>
        <v>-1.7076338833069804</v>
      </c>
      <c r="AD229">
        <f t="shared" si="120"/>
        <v>-2.8390937250957582</v>
      </c>
      <c r="AE229">
        <f t="shared" si="121"/>
        <v>-1764.9389722717749</v>
      </c>
      <c r="AH229">
        <v>2.1220415632564853</v>
      </c>
      <c r="AI229">
        <v>1332.7260124936925</v>
      </c>
      <c r="AJ229">
        <f t="shared" si="122"/>
        <v>-1146.1505894596075</v>
      </c>
      <c r="AK229">
        <f t="shared" si="123"/>
        <v>403.70297723121126</v>
      </c>
      <c r="AN229">
        <f t="shared" si="124"/>
        <v>0</v>
      </c>
      <c r="AO229" s="43"/>
      <c r="AP229" s="43"/>
      <c r="AQ229" t="e">
        <f t="shared" si="94"/>
        <v>#DIV/0!</v>
      </c>
    </row>
    <row r="230" spans="1:43">
      <c r="A230">
        <v>268</v>
      </c>
      <c r="B230">
        <f t="shared" si="95"/>
        <v>268</v>
      </c>
      <c r="D230" s="43">
        <f t="shared" si="96"/>
        <v>623.98406045405864</v>
      </c>
      <c r="E230" s="43">
        <f t="shared" si="97"/>
        <v>1053.1664497171962</v>
      </c>
      <c r="F230" s="69">
        <f t="shared" si="98"/>
        <v>1.1079209502170295</v>
      </c>
      <c r="G230" s="98">
        <f t="shared" si="99"/>
        <v>243.27556058854481</v>
      </c>
      <c r="H230" s="69">
        <f t="shared" si="100"/>
        <v>0.16296348248165318</v>
      </c>
      <c r="I230" s="69">
        <f t="shared" si="101"/>
        <v>-1.9096024888968204</v>
      </c>
      <c r="J230" s="99">
        <f t="shared" si="102"/>
        <v>1.5047746178408776E-2</v>
      </c>
      <c r="K230" s="69">
        <f t="shared" si="103"/>
        <v>1.6678283189558646E-4</v>
      </c>
      <c r="L230" s="99">
        <f t="shared" si="104"/>
        <v>1.5214529010304362E-2</v>
      </c>
      <c r="M230" s="69">
        <f t="shared" si="105"/>
        <v>10.711043527623017</v>
      </c>
      <c r="N230" s="69">
        <f t="shared" si="106"/>
        <v>4.3239128560928179</v>
      </c>
      <c r="O230" s="69">
        <f t="shared" si="107"/>
        <v>26.533017030852996</v>
      </c>
      <c r="P230" s="69">
        <f t="shared" si="108"/>
        <v>2.2567852493939919</v>
      </c>
      <c r="Q230" s="69">
        <f t="shared" si="109"/>
        <v>-0.91005313130175214</v>
      </c>
      <c r="R230" s="43">
        <f t="shared" si="110"/>
        <v>-637.32536027125184</v>
      </c>
      <c r="S230" s="43">
        <f t="shared" si="111"/>
        <v>1762.1999155659037</v>
      </c>
      <c r="T230" s="43">
        <f>R230+Thrust!C$33*0.8</f>
        <v>1174.4346397287482</v>
      </c>
      <c r="U230" s="43"/>
      <c r="V230">
        <f t="shared" si="112"/>
        <v>1855889.8287684857</v>
      </c>
      <c r="W230">
        <f t="shared" si="113"/>
        <v>-671209.6869916073</v>
      </c>
      <c r="X230">
        <f t="shared" si="114"/>
        <v>-2527099.515760093</v>
      </c>
      <c r="Y230">
        <f t="shared" si="115"/>
        <v>2527099.515760093</v>
      </c>
      <c r="Z230">
        <f t="shared" si="116"/>
        <v>-5899.5173364826032</v>
      </c>
      <c r="AA230">
        <f t="shared" si="117"/>
        <v>-5.3570264092306887</v>
      </c>
      <c r="AB230">
        <f t="shared" si="118"/>
        <v>-1967.7287485683678</v>
      </c>
      <c r="AC230">
        <f t="shared" si="119"/>
        <v>-1.7844722999456315</v>
      </c>
      <c r="AD230">
        <f t="shared" si="120"/>
        <v>-2.8775233138808201</v>
      </c>
      <c r="AE230">
        <f t="shared" si="121"/>
        <v>-1795.5286814465728</v>
      </c>
      <c r="AH230">
        <v>2.0616659970695457</v>
      </c>
      <c r="AI230">
        <v>1299.673905320054</v>
      </c>
      <c r="AJ230">
        <f t="shared" si="122"/>
        <v>-1149.0174391925561</v>
      </c>
      <c r="AK230">
        <f t="shared" si="123"/>
        <v>399.3077775077744</v>
      </c>
      <c r="AN230">
        <f t="shared" si="124"/>
        <v>0</v>
      </c>
      <c r="AO230" s="43"/>
      <c r="AP230" s="43"/>
      <c r="AQ230" t="e">
        <f t="shared" si="94"/>
        <v>#DIV/0!</v>
      </c>
    </row>
    <row r="231" spans="1:43">
      <c r="A231">
        <v>269</v>
      </c>
      <c r="B231">
        <f t="shared" si="95"/>
        <v>269</v>
      </c>
      <c r="D231" s="43">
        <f t="shared" si="96"/>
        <v>626.31235918709626</v>
      </c>
      <c r="E231" s="43">
        <f t="shared" si="97"/>
        <v>1057.0961752758426</v>
      </c>
      <c r="F231" s="69">
        <f t="shared" si="98"/>
        <v>1.1120549836133617</v>
      </c>
      <c r="G231" s="98">
        <f t="shared" si="99"/>
        <v>245.09443695349319</v>
      </c>
      <c r="H231" s="69">
        <f t="shared" si="100"/>
        <v>0.1617541101665573</v>
      </c>
      <c r="I231" s="69">
        <f t="shared" si="101"/>
        <v>-1.9197861516137369</v>
      </c>
      <c r="J231" s="99">
        <f t="shared" si="102"/>
        <v>1.5047746178408776E-2</v>
      </c>
      <c r="K231" s="69">
        <f t="shared" si="103"/>
        <v>1.6043739390748379E-4</v>
      </c>
      <c r="L231" s="99">
        <f t="shared" si="104"/>
        <v>1.520818357231626E-2</v>
      </c>
      <c r="M231" s="69">
        <f t="shared" si="105"/>
        <v>10.635991431679015</v>
      </c>
      <c r="N231" s="69">
        <f t="shared" si="106"/>
        <v>4.2776538787478868</v>
      </c>
      <c r="O231" s="69">
        <f t="shared" si="107"/>
        <v>26.445410718424473</v>
      </c>
      <c r="P231" s="69">
        <f t="shared" si="108"/>
        <v>2.2652060898768056</v>
      </c>
      <c r="Q231" s="69">
        <f t="shared" si="109"/>
        <v>-0.93197390480976638</v>
      </c>
      <c r="R231" s="43">
        <f t="shared" si="110"/>
        <v>-650.25053497433805</v>
      </c>
      <c r="S231" s="43">
        <f t="shared" si="111"/>
        <v>1774.6347504362705</v>
      </c>
      <c r="T231" s="43">
        <f>R231+Thrust!C$33*0.8</f>
        <v>1161.5094650256619</v>
      </c>
      <c r="U231" s="43"/>
      <c r="V231">
        <f t="shared" si="112"/>
        <v>1875959.6071977809</v>
      </c>
      <c r="W231">
        <f t="shared" si="113"/>
        <v>-687377.35349244322</v>
      </c>
      <c r="X231">
        <f t="shared" si="114"/>
        <v>-2563336.9606902241</v>
      </c>
      <c r="Y231">
        <f t="shared" si="115"/>
        <v>2563336.9606902241</v>
      </c>
      <c r="Z231">
        <f t="shared" si="116"/>
        <v>-5963.3153076485751</v>
      </c>
      <c r="AA231">
        <f t="shared" si="117"/>
        <v>-5.3949395912999289</v>
      </c>
      <c r="AB231">
        <f t="shared" si="118"/>
        <v>-2060.2884053164403</v>
      </c>
      <c r="AC231">
        <f t="shared" si="119"/>
        <v>-1.861492559619111</v>
      </c>
      <c r="AD231">
        <f t="shared" si="120"/>
        <v>-2.915308800305433</v>
      </c>
      <c r="AE231">
        <f t="shared" si="121"/>
        <v>-1825.8939324781993</v>
      </c>
      <c r="AH231">
        <v>2.0010916702762835</v>
      </c>
      <c r="AI231">
        <v>1266.210725612196</v>
      </c>
      <c r="AJ231">
        <f t="shared" si="122"/>
        <v>-1151.293980109305</v>
      </c>
      <c r="AK231">
        <f t="shared" si="123"/>
        <v>394.91321810872506</v>
      </c>
      <c r="AN231">
        <f t="shared" si="124"/>
        <v>0</v>
      </c>
      <c r="AO231" s="43"/>
      <c r="AP231" s="43"/>
      <c r="AQ231" t="e">
        <f t="shared" si="94"/>
        <v>#DIV/0!</v>
      </c>
    </row>
    <row r="232" spans="1:43">
      <c r="A232">
        <v>270</v>
      </c>
      <c r="B232">
        <f t="shared" si="95"/>
        <v>270</v>
      </c>
      <c r="D232" s="43">
        <f t="shared" si="96"/>
        <v>628.64065792013378</v>
      </c>
      <c r="E232" s="43">
        <f t="shared" si="97"/>
        <v>1061.0259008344888</v>
      </c>
      <c r="F232" s="69">
        <f t="shared" si="98"/>
        <v>1.116189017009694</v>
      </c>
      <c r="G232" s="98">
        <f t="shared" si="99"/>
        <v>246.9200875320912</v>
      </c>
      <c r="H232" s="69">
        <f t="shared" si="100"/>
        <v>0.16055815042197882</v>
      </c>
      <c r="I232" s="69">
        <f t="shared" si="101"/>
        <v>-1.9298568721931399</v>
      </c>
      <c r="J232" s="99">
        <f t="shared" si="102"/>
        <v>1.5047746178408776E-2</v>
      </c>
      <c r="K232" s="69">
        <f t="shared" si="103"/>
        <v>1.542833524574853E-4</v>
      </c>
      <c r="L232" s="99">
        <f t="shared" si="104"/>
        <v>1.5202029530866261E-2</v>
      </c>
      <c r="M232" s="69">
        <f t="shared" si="105"/>
        <v>10.561626005000248</v>
      </c>
      <c r="N232" s="69">
        <f t="shared" si="106"/>
        <v>4.2320127068643405</v>
      </c>
      <c r="O232" s="69">
        <f t="shared" si="107"/>
        <v>26.358130656972357</v>
      </c>
      <c r="P232" s="69">
        <f t="shared" si="108"/>
        <v>2.2736269303596188</v>
      </c>
      <c r="Q232" s="69">
        <f t="shared" si="109"/>
        <v>-0.95402973186515938</v>
      </c>
      <c r="R232" s="43">
        <f t="shared" si="110"/>
        <v>-663.17384729603418</v>
      </c>
      <c r="S232" s="43">
        <f t="shared" si="111"/>
        <v>1787.1301247614626</v>
      </c>
      <c r="T232" s="43">
        <f>R232+Thrust!C$33*0.8</f>
        <v>1148.5861527039658</v>
      </c>
      <c r="U232" s="43"/>
      <c r="V232">
        <f t="shared" si="112"/>
        <v>1896191.3505334831</v>
      </c>
      <c r="W232">
        <f t="shared" si="113"/>
        <v>-703644.62873714836</v>
      </c>
      <c r="X232">
        <f t="shared" si="114"/>
        <v>-2599835.9792706314</v>
      </c>
      <c r="Y232">
        <f t="shared" si="115"/>
        <v>2599835.9792706314</v>
      </c>
      <c r="Z232">
        <f t="shared" si="116"/>
        <v>-6027.6281341461718</v>
      </c>
      <c r="AA232">
        <f t="shared" si="117"/>
        <v>-5.4330397418439382</v>
      </c>
      <c r="AB232">
        <f t="shared" si="118"/>
        <v>-2153.6795544627435</v>
      </c>
      <c r="AC232">
        <f t="shared" si="119"/>
        <v>-1.9386944028827438</v>
      </c>
      <c r="AD232">
        <f t="shared" si="120"/>
        <v>-2.9524601364837406</v>
      </c>
      <c r="AE232">
        <f t="shared" si="121"/>
        <v>-1856.0364826821062</v>
      </c>
      <c r="AH232">
        <v>1.940318864644264</v>
      </c>
      <c r="AI232">
        <v>1232.335262847002</v>
      </c>
      <c r="AJ232">
        <f t="shared" si="122"/>
        <v>-1152.9926419197332</v>
      </c>
      <c r="AK232">
        <f t="shared" si="123"/>
        <v>390.5192919193484</v>
      </c>
      <c r="AN232">
        <f t="shared" si="124"/>
        <v>0</v>
      </c>
      <c r="AO232" s="43"/>
      <c r="AP232" s="43"/>
      <c r="AQ232" t="e">
        <f t="shared" ref="AQ232:AQ263" si="125">((325.9*Q417)/($J$12))*M417*LN(AO232/AP232)</f>
        <v>#DIV/0!</v>
      </c>
    </row>
    <row r="233" spans="1:43">
      <c r="A233">
        <v>271</v>
      </c>
      <c r="B233">
        <f t="shared" si="95"/>
        <v>271</v>
      </c>
      <c r="D233" s="43">
        <f t="shared" si="96"/>
        <v>630.96895665317129</v>
      </c>
      <c r="E233" s="43">
        <f t="shared" si="97"/>
        <v>1064.9556263931352</v>
      </c>
      <c r="F233" s="69">
        <f t="shared" si="98"/>
        <v>1.1203230504060262</v>
      </c>
      <c r="G233" s="98">
        <f t="shared" si="99"/>
        <v>248.75251232433902</v>
      </c>
      <c r="H233" s="69">
        <f t="shared" si="100"/>
        <v>0.1593754056421107</v>
      </c>
      <c r="I233" s="69">
        <f t="shared" si="101"/>
        <v>-1.9398163145981167</v>
      </c>
      <c r="J233" s="99">
        <f t="shared" si="102"/>
        <v>1.5047746178408776E-2</v>
      </c>
      <c r="K233" s="69">
        <f t="shared" si="103"/>
        <v>1.483156712774164E-4</v>
      </c>
      <c r="L233" s="99">
        <f t="shared" si="104"/>
        <v>1.5196061849686193E-2</v>
      </c>
      <c r="M233" s="69">
        <f t="shared" si="105"/>
        <v>10.487941363926595</v>
      </c>
      <c r="N233" s="69">
        <f t="shared" si="106"/>
        <v>4.1869801524013877</v>
      </c>
      <c r="O233" s="69">
        <f t="shared" si="107"/>
        <v>26.271181149515396</v>
      </c>
      <c r="P233" s="69">
        <f t="shared" si="108"/>
        <v>2.2820477708424325</v>
      </c>
      <c r="Q233" s="69">
        <f t="shared" si="109"/>
        <v>-0.97622061246793201</v>
      </c>
      <c r="R233" s="43">
        <f t="shared" si="110"/>
        <v>-676.09531785310867</v>
      </c>
      <c r="S233" s="43">
        <f t="shared" si="111"/>
        <v>1799.6858816279046</v>
      </c>
      <c r="T233" s="43">
        <f>R233+Thrust!C$33*0.8</f>
        <v>1135.6646821468912</v>
      </c>
      <c r="U233" s="43"/>
      <c r="V233">
        <f t="shared" si="112"/>
        <v>1916585.6053799267</v>
      </c>
      <c r="W233">
        <f t="shared" si="113"/>
        <v>-720011.51272572321</v>
      </c>
      <c r="X233">
        <f t="shared" si="114"/>
        <v>-2636597.1181056499</v>
      </c>
      <c r="Y233">
        <f t="shared" si="115"/>
        <v>2636597.1181056499</v>
      </c>
      <c r="Z233">
        <f t="shared" si="116"/>
        <v>-6092.4575535255944</v>
      </c>
      <c r="AA233">
        <f t="shared" si="117"/>
        <v>-5.4713264345681756</v>
      </c>
      <c r="AB233">
        <f t="shared" si="118"/>
        <v>-2247.9039335574785</v>
      </c>
      <c r="AC233">
        <f t="shared" si="119"/>
        <v>-2.0160775802739104</v>
      </c>
      <c r="AD233">
        <f t="shared" si="120"/>
        <v>-2.988987133858021</v>
      </c>
      <c r="AE233">
        <f t="shared" si="121"/>
        <v>-1885.9580933001482</v>
      </c>
      <c r="AH233">
        <v>1.879347854357295</v>
      </c>
      <c r="AI233">
        <v>1198.046305578468</v>
      </c>
      <c r="AJ233">
        <f t="shared" si="122"/>
        <v>-1154.1256219267657</v>
      </c>
      <c r="AK233">
        <f t="shared" si="123"/>
        <v>386.12599192994304</v>
      </c>
      <c r="AN233">
        <f t="shared" si="124"/>
        <v>0</v>
      </c>
      <c r="AO233" s="43"/>
      <c r="AP233" s="43"/>
      <c r="AQ233" t="e">
        <f t="shared" si="125"/>
        <v>#DIV/0!</v>
      </c>
    </row>
    <row r="234" spans="1:43">
      <c r="A234">
        <v>272</v>
      </c>
      <c r="B234">
        <f t="shared" si="95"/>
        <v>272</v>
      </c>
      <c r="D234" s="43">
        <f t="shared" si="96"/>
        <v>633.2972553862088</v>
      </c>
      <c r="E234" s="43">
        <f t="shared" si="97"/>
        <v>1068.8853519517813</v>
      </c>
      <c r="F234" s="69">
        <f t="shared" si="98"/>
        <v>1.1244570838023584</v>
      </c>
      <c r="G234" s="98">
        <f t="shared" si="99"/>
        <v>250.59171133023642</v>
      </c>
      <c r="H234" s="69">
        <f t="shared" si="100"/>
        <v>0.1582056818469163</v>
      </c>
      <c r="I234" s="69">
        <f t="shared" si="101"/>
        <v>-1.9496661122605237</v>
      </c>
      <c r="J234" s="99">
        <f t="shared" si="102"/>
        <v>1.5047746178408776E-2</v>
      </c>
      <c r="K234" s="69">
        <f t="shared" si="103"/>
        <v>1.4252945504052055E-4</v>
      </c>
      <c r="L234" s="99">
        <f t="shared" si="104"/>
        <v>1.5190275633449296E-2</v>
      </c>
      <c r="M234" s="69">
        <f t="shared" si="105"/>
        <v>10.414931609176609</v>
      </c>
      <c r="N234" s="69">
        <f t="shared" si="106"/>
        <v>4.1425471562231095</v>
      </c>
      <c r="O234" s="69">
        <f t="shared" si="107"/>
        <v>26.184566242263919</v>
      </c>
      <c r="P234" s="69">
        <f t="shared" si="108"/>
        <v>2.2904686113252457</v>
      </c>
      <c r="Q234" s="69">
        <f t="shared" si="109"/>
        <v>-0.9985465466180834</v>
      </c>
      <c r="R234" s="43">
        <f t="shared" si="110"/>
        <v>-689.01496695914193</v>
      </c>
      <c r="S234" s="43">
        <f t="shared" si="111"/>
        <v>1812.3018670011445</v>
      </c>
      <c r="T234" s="43">
        <f>R234+Thrust!C$33*0.8</f>
        <v>1122.7450330408581</v>
      </c>
      <c r="U234" s="43"/>
      <c r="V234">
        <f t="shared" si="112"/>
        <v>1937142.9189523887</v>
      </c>
      <c r="W234">
        <f t="shared" si="113"/>
        <v>-736478.0054581674</v>
      </c>
      <c r="X234">
        <f t="shared" si="114"/>
        <v>-2673620.924410556</v>
      </c>
      <c r="Y234">
        <f t="shared" si="115"/>
        <v>2673620.924410556</v>
      </c>
      <c r="Z234">
        <f t="shared" si="116"/>
        <v>-6157.8053052791156</v>
      </c>
      <c r="AA234">
        <f t="shared" si="117"/>
        <v>-5.5097992525198816</v>
      </c>
      <c r="AB234">
        <f t="shared" si="118"/>
        <v>-2342.9632820929169</v>
      </c>
      <c r="AC234">
        <f t="shared" si="119"/>
        <v>-2.0936418521410149</v>
      </c>
      <c r="AD234">
        <f t="shared" si="120"/>
        <v>-3.0248994640613622</v>
      </c>
      <c r="AE234">
        <f t="shared" si="121"/>
        <v>-1915.6605284092748</v>
      </c>
      <c r="AH234">
        <v>1.8181789061505564</v>
      </c>
      <c r="AI234">
        <v>1163.3426414546743</v>
      </c>
      <c r="AJ234">
        <f t="shared" si="122"/>
        <v>-1154.7048885657684</v>
      </c>
      <c r="AK234">
        <f t="shared" si="123"/>
        <v>381.73331123389175</v>
      </c>
      <c r="AN234">
        <f t="shared" si="124"/>
        <v>0</v>
      </c>
      <c r="AO234" s="43"/>
      <c r="AP234" s="43"/>
      <c r="AQ234" t="e">
        <f t="shared" si="125"/>
        <v>#DIV/0!</v>
      </c>
    </row>
    <row r="235" spans="1:43">
      <c r="A235">
        <v>273</v>
      </c>
      <c r="B235">
        <f t="shared" si="95"/>
        <v>273</v>
      </c>
      <c r="D235" s="43">
        <f t="shared" si="96"/>
        <v>635.62555411924632</v>
      </c>
      <c r="E235" s="43">
        <f t="shared" si="97"/>
        <v>1072.8150775104275</v>
      </c>
      <c r="F235" s="69">
        <f t="shared" si="98"/>
        <v>1.1285911171986904</v>
      </c>
      <c r="G235" s="98">
        <f t="shared" si="99"/>
        <v>252.4376845497836</v>
      </c>
      <c r="H235" s="69">
        <f t="shared" si="100"/>
        <v>0.15704878860258767</v>
      </c>
      <c r="I235" s="69">
        <f t="shared" si="101"/>
        <v>-1.9594078687507799</v>
      </c>
      <c r="J235" s="99">
        <f t="shared" si="102"/>
        <v>1.5047746178408776E-2</v>
      </c>
      <c r="K235" s="69">
        <f t="shared" si="103"/>
        <v>1.3691994503418157E-4</v>
      </c>
      <c r="L235" s="99">
        <f t="shared" si="104"/>
        <v>1.5184666123442958E-2</v>
      </c>
      <c r="M235" s="69">
        <f t="shared" si="105"/>
        <v>10.342590829845561</v>
      </c>
      <c r="N235" s="69">
        <f t="shared" si="106"/>
        <v>4.0987047873219344</v>
      </c>
      <c r="O235" s="69">
        <f t="shared" si="107"/>
        <v>26.098289733986526</v>
      </c>
      <c r="P235" s="69">
        <f t="shared" si="108"/>
        <v>2.2988894518080589</v>
      </c>
      <c r="Q235" s="69">
        <f t="shared" si="109"/>
        <v>-1.0210075343156149</v>
      </c>
      <c r="R235" s="43">
        <f t="shared" si="110"/>
        <v>-701.93281463007986</v>
      </c>
      <c r="S235" s="43">
        <f t="shared" si="111"/>
        <v>1824.9779296627023</v>
      </c>
      <c r="T235" s="43">
        <f>R235+Thrust!C$33*0.8</f>
        <v>1109.8271853699202</v>
      </c>
      <c r="U235" s="43"/>
      <c r="V235">
        <f t="shared" si="112"/>
        <v>1957863.8390659115</v>
      </c>
      <c r="W235">
        <f t="shared" si="113"/>
        <v>-753044.10693448165</v>
      </c>
      <c r="X235">
        <f t="shared" si="114"/>
        <v>-2710907.946000393</v>
      </c>
      <c r="Y235">
        <f t="shared" si="115"/>
        <v>2710907.946000393</v>
      </c>
      <c r="Z235">
        <f t="shared" si="116"/>
        <v>-6223.673130805546</v>
      </c>
      <c r="AA235">
        <f t="shared" si="117"/>
        <v>-5.5484577879013139</v>
      </c>
      <c r="AB235">
        <f t="shared" si="118"/>
        <v>-2438.8593414678703</v>
      </c>
      <c r="AC235">
        <f t="shared" si="119"/>
        <v>-2.171386988477376</v>
      </c>
      <c r="AD235">
        <f t="shared" si="120"/>
        <v>-3.060206659850083</v>
      </c>
      <c r="AE235">
        <f t="shared" si="121"/>
        <v>-1945.1455538866167</v>
      </c>
      <c r="AH235">
        <v>1.7568122794418985</v>
      </c>
      <c r="AI235">
        <v>1128.2230572343858</v>
      </c>
      <c r="AJ235">
        <f t="shared" si="122"/>
        <v>-1154.7421849435789</v>
      </c>
      <c r="AK235">
        <f t="shared" si="123"/>
        <v>377.34124302577288</v>
      </c>
      <c r="AN235">
        <f t="shared" si="124"/>
        <v>0</v>
      </c>
      <c r="AO235" s="43"/>
      <c r="AP235" s="43"/>
      <c r="AQ235" t="e">
        <f t="shared" si="125"/>
        <v>#DIV/0!</v>
      </c>
    </row>
    <row r="236" spans="1:43">
      <c r="A236">
        <v>274</v>
      </c>
      <c r="B236">
        <f t="shared" si="95"/>
        <v>274</v>
      </c>
      <c r="D236" s="43">
        <f t="shared" si="96"/>
        <v>637.95385285228383</v>
      </c>
      <c r="E236" s="43">
        <f t="shared" si="97"/>
        <v>1076.7448030690737</v>
      </c>
      <c r="F236" s="69">
        <f t="shared" si="98"/>
        <v>1.1327251505950227</v>
      </c>
      <c r="G236" s="98">
        <f t="shared" si="99"/>
        <v>254.29043198298044</v>
      </c>
      <c r="H236" s="69">
        <f t="shared" si="100"/>
        <v>0.1559045389440335</v>
      </c>
      <c r="I236" s="69">
        <f t="shared" si="101"/>
        <v>-1.9690431584305663</v>
      </c>
      <c r="J236" s="99">
        <f t="shared" si="102"/>
        <v>1.5047746178408776E-2</v>
      </c>
      <c r="K236" s="69">
        <f t="shared" si="103"/>
        <v>1.314825149788072E-4</v>
      </c>
      <c r="L236" s="99">
        <f t="shared" si="104"/>
        <v>1.5179228693387583E-2</v>
      </c>
      <c r="M236" s="69">
        <f t="shared" si="105"/>
        <v>10.270913107195563</v>
      </c>
      <c r="N236" s="69">
        <f t="shared" si="106"/>
        <v>4.0554442419770602</v>
      </c>
      <c r="O236" s="69">
        <f t="shared" si="107"/>
        <v>26.012355185071812</v>
      </c>
      <c r="P236" s="69">
        <f t="shared" si="108"/>
        <v>2.3073102922908721</v>
      </c>
      <c r="Q236" s="69">
        <f t="shared" si="109"/>
        <v>-1.0436035755605255</v>
      </c>
      <c r="R236" s="43">
        <f t="shared" si="110"/>
        <v>-714.84888058966408</v>
      </c>
      <c r="S236" s="43">
        <f t="shared" si="111"/>
        <v>1837.7139211485116</v>
      </c>
      <c r="T236" s="43">
        <f>R236+Thrust!C$33*0.8</f>
        <v>1096.9111194103359</v>
      </c>
      <c r="U236" s="43"/>
      <c r="V236">
        <f t="shared" si="112"/>
        <v>1978748.9141243494</v>
      </c>
      <c r="W236">
        <f t="shared" si="113"/>
        <v>-769709.81715466559</v>
      </c>
      <c r="X236">
        <f t="shared" si="114"/>
        <v>-2748458.7312790151</v>
      </c>
      <c r="Y236">
        <f t="shared" si="115"/>
        <v>2748458.7312790151</v>
      </c>
      <c r="Z236">
        <f t="shared" si="116"/>
        <v>-6290.0627733754145</v>
      </c>
      <c r="AA236">
        <f t="shared" si="117"/>
        <v>-5.5873016418878425</v>
      </c>
      <c r="AB236">
        <f t="shared" si="118"/>
        <v>-2535.5938549528687</v>
      </c>
      <c r="AC236">
        <f t="shared" si="119"/>
        <v>-2.2493127687597751</v>
      </c>
      <c r="AD236">
        <f t="shared" si="120"/>
        <v>-3.0949181161004335</v>
      </c>
      <c r="AE236">
        <f t="shared" si="121"/>
        <v>-1974.4149364286036</v>
      </c>
      <c r="AH236">
        <v>1.6952482264594104</v>
      </c>
      <c r="AI236">
        <v>1092.6863388032668</v>
      </c>
      <c r="AJ236">
        <f t="shared" si="122"/>
        <v>-1154.2490323731186</v>
      </c>
      <c r="AK236">
        <f t="shared" si="123"/>
        <v>372.94978059951421</v>
      </c>
      <c r="AN236">
        <f t="shared" si="124"/>
        <v>0</v>
      </c>
      <c r="AO236" s="43"/>
      <c r="AP236" s="43"/>
      <c r="AQ236" t="e">
        <f t="shared" si="125"/>
        <v>#DIV/0!</v>
      </c>
    </row>
    <row r="237" spans="1:43">
      <c r="A237">
        <v>275</v>
      </c>
      <c r="B237">
        <f t="shared" si="95"/>
        <v>275</v>
      </c>
      <c r="D237" s="43">
        <f t="shared" si="96"/>
        <v>640.28215158532146</v>
      </c>
      <c r="E237" s="43">
        <f t="shared" si="97"/>
        <v>1080.6745286277203</v>
      </c>
      <c r="F237" s="69">
        <f t="shared" si="98"/>
        <v>1.1368591839913553</v>
      </c>
      <c r="G237" s="98">
        <f t="shared" si="99"/>
        <v>256.14995362982722</v>
      </c>
      <c r="H237" s="69">
        <f t="shared" si="100"/>
        <v>0.15477274929933554</v>
      </c>
      <c r="I237" s="69">
        <f t="shared" si="101"/>
        <v>-1.9785735270889464</v>
      </c>
      <c r="J237" s="99">
        <f t="shared" si="102"/>
        <v>1.5047746178408776E-2</v>
      </c>
      <c r="K237" s="69">
        <f t="shared" si="103"/>
        <v>1.2621266698745404E-4</v>
      </c>
      <c r="L237" s="99">
        <f t="shared" si="104"/>
        <v>1.517395884539623E-2</v>
      </c>
      <c r="M237" s="69">
        <f t="shared" si="105"/>
        <v>10.199892518246385</v>
      </c>
      <c r="N237" s="69">
        <f t="shared" si="106"/>
        <v>4.0127568428528191</v>
      </c>
      <c r="O237" s="69">
        <f t="shared" si="107"/>
        <v>25.926765926293754</v>
      </c>
      <c r="P237" s="69">
        <f t="shared" si="108"/>
        <v>2.3157311327736863</v>
      </c>
      <c r="Q237" s="69">
        <f t="shared" si="109"/>
        <v>-1.0663346703528189</v>
      </c>
      <c r="R237" s="43">
        <f t="shared" si="110"/>
        <v>-727.76318427474757</v>
      </c>
      <c r="S237" s="43">
        <f t="shared" si="111"/>
        <v>1850.509695688939</v>
      </c>
      <c r="T237" s="43">
        <f>R237+Thrust!C$33*0.8</f>
        <v>1083.9968157252524</v>
      </c>
      <c r="U237" s="43"/>
      <c r="V237">
        <f t="shared" si="112"/>
        <v>1999798.6931096702</v>
      </c>
      <c r="W237">
        <f t="shared" si="113"/>
        <v>-786475.13611872157</v>
      </c>
      <c r="X237">
        <f t="shared" si="114"/>
        <v>-2786273.8292283919</v>
      </c>
      <c r="Y237">
        <f t="shared" si="115"/>
        <v>2786273.8292283919</v>
      </c>
      <c r="Z237">
        <f t="shared" si="116"/>
        <v>-6356.9759780969644</v>
      </c>
      <c r="AA237">
        <f t="shared" si="117"/>
        <v>-5.6263304244508943</v>
      </c>
      <c r="AB237">
        <f t="shared" si="118"/>
        <v>-2633.1685676561592</v>
      </c>
      <c r="AC237">
        <f t="shared" si="119"/>
        <v>-2.3274189817916251</v>
      </c>
      <c r="AD237">
        <f t="shared" si="120"/>
        <v>-3.1290430908643843</v>
      </c>
      <c r="AE237">
        <f t="shared" si="121"/>
        <v>-2003.4704426218325</v>
      </c>
      <c r="AH237">
        <v>1.6334869923654187</v>
      </c>
      <c r="AI237">
        <v>1056.7312711897623</v>
      </c>
      <c r="AJ237">
        <f t="shared" si="122"/>
        <v>-1153.2367338997922</v>
      </c>
      <c r="AK237">
        <f t="shared" si="123"/>
        <v>368.55891734658587</v>
      </c>
      <c r="AN237">
        <f t="shared" si="124"/>
        <v>0</v>
      </c>
      <c r="AO237" s="43"/>
      <c r="AP237" s="43"/>
      <c r="AQ237" t="e">
        <f t="shared" si="125"/>
        <v>#DIV/0!</v>
      </c>
    </row>
    <row r="238" spans="1:43">
      <c r="A238">
        <v>276</v>
      </c>
      <c r="B238">
        <f t="shared" si="95"/>
        <v>276</v>
      </c>
      <c r="D238" s="43">
        <f t="shared" si="96"/>
        <v>642.61045031835897</v>
      </c>
      <c r="E238" s="43">
        <f t="shared" si="97"/>
        <v>1084.6042541863665</v>
      </c>
      <c r="F238" s="69">
        <f t="shared" si="98"/>
        <v>1.1409932173876873</v>
      </c>
      <c r="G238" s="98">
        <f t="shared" si="99"/>
        <v>258.0162494903235</v>
      </c>
      <c r="H238" s="69">
        <f t="shared" si="100"/>
        <v>0.15365323941611864</v>
      </c>
      <c r="I238" s="69">
        <f t="shared" si="101"/>
        <v>-1.9880004925623802</v>
      </c>
      <c r="J238" s="99">
        <f t="shared" si="102"/>
        <v>1.5047746178408776E-2</v>
      </c>
      <c r="K238" s="69">
        <f t="shared" si="103"/>
        <v>1.2110602766101564E-4</v>
      </c>
      <c r="L238" s="99">
        <f t="shared" si="104"/>
        <v>1.5168852206069791E-2</v>
      </c>
      <c r="M238" s="69">
        <f t="shared" si="105"/>
        <v>10.129523139175589</v>
      </c>
      <c r="N238" s="69">
        <f t="shared" si="106"/>
        <v>3.9706340380419016</v>
      </c>
      <c r="O238" s="69">
        <f t="shared" si="107"/>
        <v>25.841525067289737</v>
      </c>
      <c r="P238" s="69">
        <f t="shared" si="108"/>
        <v>2.3241519732564995</v>
      </c>
      <c r="Q238" s="69">
        <f t="shared" si="109"/>
        <v>-1.0892008186924889</v>
      </c>
      <c r="R238" s="43">
        <f t="shared" si="110"/>
        <v>-740.67574484048453</v>
      </c>
      <c r="S238" s="43">
        <f t="shared" si="111"/>
        <v>1863.3651101503065</v>
      </c>
      <c r="T238" s="43">
        <f>R238+Thrust!C$33*0.8</f>
        <v>1071.0842551595156</v>
      </c>
      <c r="U238" s="43"/>
      <c r="V238">
        <f t="shared" si="112"/>
        <v>2021013.7255714696</v>
      </c>
      <c r="W238">
        <f t="shared" si="113"/>
        <v>-803340.06382664514</v>
      </c>
      <c r="X238">
        <f t="shared" si="114"/>
        <v>-2824353.7893981147</v>
      </c>
      <c r="Y238">
        <f t="shared" si="115"/>
        <v>2824353.7893981147</v>
      </c>
      <c r="Z238">
        <f t="shared" si="116"/>
        <v>-6424.4144918828179</v>
      </c>
      <c r="AA238">
        <f t="shared" si="117"/>
        <v>-5.6655437541854647</v>
      </c>
      <c r="AB238">
        <f t="shared" si="118"/>
        <v>-2731.5852264903524</v>
      </c>
      <c r="AC238">
        <f t="shared" si="119"/>
        <v>-2.4057054255505266</v>
      </c>
      <c r="AD238">
        <f t="shared" si="120"/>
        <v>-3.162590706479528</v>
      </c>
      <c r="AE238">
        <f t="shared" si="121"/>
        <v>-2032.3138380634664</v>
      </c>
      <c r="AH238">
        <v>1.5715288153769891</v>
      </c>
      <c r="AI238">
        <v>1020.3566385806287</v>
      </c>
      <c r="AJ238">
        <f t="shared" si="122"/>
        <v>-1151.7163778161707</v>
      </c>
      <c r="AK238">
        <f t="shared" si="123"/>
        <v>364.16864675423534</v>
      </c>
      <c r="AN238">
        <f t="shared" si="124"/>
        <v>0</v>
      </c>
      <c r="AO238" s="43"/>
      <c r="AP238" s="43"/>
      <c r="AQ238" t="e">
        <f t="shared" si="125"/>
        <v>#DIV/0!</v>
      </c>
    </row>
    <row r="239" spans="1:43">
      <c r="A239">
        <v>277</v>
      </c>
      <c r="B239">
        <f t="shared" si="95"/>
        <v>277</v>
      </c>
      <c r="D239" s="43">
        <f t="shared" si="96"/>
        <v>644.93874905139648</v>
      </c>
      <c r="E239" s="43">
        <f t="shared" si="97"/>
        <v>1088.5339797450126</v>
      </c>
      <c r="F239" s="69">
        <f t="shared" si="98"/>
        <v>1.1451272507840193</v>
      </c>
      <c r="G239" s="98">
        <f t="shared" si="99"/>
        <v>259.88931956446953</v>
      </c>
      <c r="H239" s="69">
        <f t="shared" si="100"/>
        <v>0.15254583228977642</v>
      </c>
      <c r="I239" s="69">
        <f t="shared" si="101"/>
        <v>-1.9973255453391048</v>
      </c>
      <c r="J239" s="99">
        <f t="shared" si="102"/>
        <v>1.5047746178408776E-2</v>
      </c>
      <c r="K239" s="69">
        <f t="shared" si="103"/>
        <v>1.1615834431397883E-4</v>
      </c>
      <c r="L239" s="99">
        <f t="shared" si="104"/>
        <v>1.5163904522722755E-2</v>
      </c>
      <c r="M239" s="69">
        <f t="shared" si="105"/>
        <v>10.059799048535954</v>
      </c>
      <c r="N239" s="69">
        <f t="shared" si="106"/>
        <v>3.9290674000579306</v>
      </c>
      <c r="O239" s="69">
        <f t="shared" si="107"/>
        <v>25.756635504759419</v>
      </c>
      <c r="P239" s="69">
        <f t="shared" si="108"/>
        <v>2.3325728137393127</v>
      </c>
      <c r="Q239" s="69">
        <f t="shared" si="109"/>
        <v>-1.1122020205795389</v>
      </c>
      <c r="R239" s="43">
        <f t="shared" si="110"/>
        <v>-753.58658116542574</v>
      </c>
      <c r="S239" s="43">
        <f t="shared" si="111"/>
        <v>1876.2800239779106</v>
      </c>
      <c r="T239" s="43">
        <f>R239+Thrust!C$33*0.8</f>
        <v>1058.1734188345742</v>
      </c>
      <c r="U239" s="43"/>
      <c r="V239">
        <f t="shared" si="112"/>
        <v>2042394.5616167428</v>
      </c>
      <c r="W239">
        <f t="shared" si="113"/>
        <v>-820304.60027843888</v>
      </c>
      <c r="X239">
        <f t="shared" si="114"/>
        <v>-2862699.1618951815</v>
      </c>
      <c r="Y239">
        <f t="shared" si="115"/>
        <v>2862699.1618951815</v>
      </c>
      <c r="Z239">
        <f t="shared" si="116"/>
        <v>-6492.3800634174595</v>
      </c>
      <c r="AA239">
        <f t="shared" si="117"/>
        <v>-5.7049412581422168</v>
      </c>
      <c r="AB239">
        <f t="shared" si="118"/>
        <v>-2830.8455801399446</v>
      </c>
      <c r="AC239">
        <f t="shared" si="119"/>
        <v>-2.4841719070402712</v>
      </c>
      <c r="AD239">
        <f t="shared" si="120"/>
        <v>-3.1955699507285682</v>
      </c>
      <c r="AE239">
        <f t="shared" si="121"/>
        <v>-2060.9468865291151</v>
      </c>
      <c r="AH239">
        <v>1.5093739268830275</v>
      </c>
      <c r="AI239">
        <v>983.56122433612632</v>
      </c>
      <c r="AJ239">
        <f t="shared" si="122"/>
        <v>-1149.6988411617435</v>
      </c>
      <c r="AK239">
        <f t="shared" si="123"/>
        <v>359.77896240375526</v>
      </c>
      <c r="AN239">
        <f t="shared" si="124"/>
        <v>0</v>
      </c>
      <c r="AO239" s="43"/>
      <c r="AP239" s="43"/>
      <c r="AQ239" t="e">
        <f t="shared" si="125"/>
        <v>#DIV/0!</v>
      </c>
    </row>
    <row r="240" spans="1:43">
      <c r="A240">
        <v>278</v>
      </c>
      <c r="B240">
        <f t="shared" si="95"/>
        <v>278</v>
      </c>
      <c r="D240" s="43">
        <f t="shared" si="96"/>
        <v>647.267047784434</v>
      </c>
      <c r="E240" s="43">
        <f t="shared" si="97"/>
        <v>1092.4637053036588</v>
      </c>
      <c r="F240" s="69">
        <f t="shared" si="98"/>
        <v>1.1492612841803516</v>
      </c>
      <c r="G240" s="98">
        <f t="shared" si="99"/>
        <v>261.76916385226525</v>
      </c>
      <c r="H240" s="69">
        <f t="shared" si="100"/>
        <v>0.1514503540935026</v>
      </c>
      <c r="I240" s="69">
        <f t="shared" si="101"/>
        <v>-2.0065501491483166</v>
      </c>
      <c r="J240" s="99">
        <f t="shared" si="102"/>
        <v>1.5047746178408776E-2</v>
      </c>
      <c r="K240" s="69">
        <f t="shared" si="103"/>
        <v>1.1136548132598204E-4</v>
      </c>
      <c r="L240" s="99">
        <f t="shared" si="104"/>
        <v>1.5159111659734758E-2</v>
      </c>
      <c r="M240" s="69">
        <f t="shared" si="105"/>
        <v>9.9907143302982018</v>
      </c>
      <c r="N240" s="69">
        <f t="shared" si="106"/>
        <v>3.8880486247818093</v>
      </c>
      <c r="O240" s="69">
        <f t="shared" si="107"/>
        <v>25.672099930393042</v>
      </c>
      <c r="P240" s="69">
        <f t="shared" si="108"/>
        <v>2.3409936542221259</v>
      </c>
      <c r="Q240" s="69">
        <f t="shared" si="109"/>
        <v>-1.1353382760139681</v>
      </c>
      <c r="R240" s="43">
        <f t="shared" si="110"/>
        <v>-766.49571185648597</v>
      </c>
      <c r="S240" s="43">
        <f t="shared" si="111"/>
        <v>1889.2542991404521</v>
      </c>
      <c r="T240" s="43">
        <f>R240+Thrust!C$33*0.8</f>
        <v>1045.264288143514</v>
      </c>
      <c r="U240" s="43"/>
      <c r="V240">
        <f t="shared" si="112"/>
        <v>2063941.7518998452</v>
      </c>
      <c r="W240">
        <f t="shared" si="113"/>
        <v>-837368.74547410221</v>
      </c>
      <c r="X240">
        <f t="shared" si="114"/>
        <v>-2901310.4973739474</v>
      </c>
      <c r="Y240">
        <f t="shared" si="115"/>
        <v>2901310.4973739474</v>
      </c>
      <c r="Z240">
        <f t="shared" si="116"/>
        <v>-6560.8744431253353</v>
      </c>
      <c r="AA240">
        <f t="shared" si="117"/>
        <v>-5.7445225716639019</v>
      </c>
      <c r="AB240">
        <f t="shared" si="118"/>
        <v>-2930.951379029374</v>
      </c>
      <c r="AC240">
        <f t="shared" si="119"/>
        <v>-2.5628182421469075</v>
      </c>
      <c r="AD240">
        <f t="shared" si="120"/>
        <v>-3.2279896780438642</v>
      </c>
      <c r="AE240">
        <f t="shared" si="121"/>
        <v>-2089.3713491860776</v>
      </c>
      <c r="AH240">
        <v>1.4470225515580779</v>
      </c>
      <c r="AI240">
        <v>946.34381100487701</v>
      </c>
      <c r="AJ240">
        <f t="shared" si="122"/>
        <v>-1147.1947932047444</v>
      </c>
      <c r="AK240">
        <f t="shared" si="123"/>
        <v>355.38985796879479</v>
      </c>
      <c r="AN240">
        <f t="shared" si="124"/>
        <v>0</v>
      </c>
      <c r="AO240" s="43"/>
      <c r="AP240" s="43"/>
      <c r="AQ240" t="e">
        <f t="shared" si="125"/>
        <v>#DIV/0!</v>
      </c>
    </row>
    <row r="241" spans="1:43">
      <c r="A241">
        <v>279</v>
      </c>
      <c r="B241">
        <f t="shared" si="95"/>
        <v>279</v>
      </c>
      <c r="D241" s="43">
        <f t="shared" si="96"/>
        <v>649.59534651747151</v>
      </c>
      <c r="E241" s="43">
        <f t="shared" si="97"/>
        <v>1096.393430862305</v>
      </c>
      <c r="F241" s="69">
        <f t="shared" si="98"/>
        <v>1.1533953175766836</v>
      </c>
      <c r="G241" s="98">
        <f t="shared" si="99"/>
        <v>263.65578235371066</v>
      </c>
      <c r="H241" s="69">
        <f t="shared" si="100"/>
        <v>0.15036663411007384</v>
      </c>
      <c r="I241" s="69">
        <f t="shared" si="101"/>
        <v>-2.0156757415345998</v>
      </c>
      <c r="J241" s="99">
        <f t="shared" si="102"/>
        <v>1.5047746178408776E-2</v>
      </c>
      <c r="K241" s="69">
        <f t="shared" si="103"/>
        <v>1.067234166145731E-4</v>
      </c>
      <c r="L241" s="99">
        <f t="shared" si="104"/>
        <v>1.5154469595023349E-2</v>
      </c>
      <c r="M241" s="69">
        <f t="shared" si="105"/>
        <v>9.9222630767264519</v>
      </c>
      <c r="N241" s="69">
        <f t="shared" si="106"/>
        <v>3.8475695303658517</v>
      </c>
      <c r="O241" s="69">
        <f t="shared" si="107"/>
        <v>25.587920838537169</v>
      </c>
      <c r="P241" s="69">
        <f t="shared" si="108"/>
        <v>2.3494144947049391</v>
      </c>
      <c r="Q241" s="69">
        <f t="shared" si="109"/>
        <v>-1.1586095849957774</v>
      </c>
      <c r="R241" s="43">
        <f t="shared" si="110"/>
        <v>-779.4031552538147</v>
      </c>
      <c r="S241" s="43">
        <f t="shared" si="111"/>
        <v>1902.2878000758706</v>
      </c>
      <c r="T241" s="43">
        <f>R241+Thrust!C$33*0.8</f>
        <v>1032.3568447461853</v>
      </c>
      <c r="U241" s="43"/>
      <c r="V241">
        <f t="shared" si="112"/>
        <v>2085655.8476126902</v>
      </c>
      <c r="W241">
        <f t="shared" si="113"/>
        <v>-854532.49941363558</v>
      </c>
      <c r="X241">
        <f t="shared" si="114"/>
        <v>-2940188.3470263258</v>
      </c>
      <c r="Y241">
        <f t="shared" si="115"/>
        <v>2940188.3470263258</v>
      </c>
      <c r="Z241">
        <f t="shared" si="116"/>
        <v>-6629.8993831396765</v>
      </c>
      <c r="AA241">
        <f t="shared" si="117"/>
        <v>-5.7842873382260631</v>
      </c>
      <c r="AB241">
        <f t="shared" si="118"/>
        <v>-3031.904375291876</v>
      </c>
      <c r="AC241">
        <f t="shared" si="119"/>
        <v>-2.6416442554989916</v>
      </c>
      <c r="AD241">
        <f t="shared" si="120"/>
        <v>-3.259858610753005</v>
      </c>
      <c r="AE241">
        <f t="shared" si="121"/>
        <v>-2117.5889838500611</v>
      </c>
      <c r="AH241">
        <v>1.3844749074729317</v>
      </c>
      <c r="AI241">
        <v>908.7031803384175</v>
      </c>
      <c r="AJ241">
        <f t="shared" si="122"/>
        <v>-1144.2146989033229</v>
      </c>
      <c r="AK241">
        <f t="shared" si="123"/>
        <v>351.00132721370301</v>
      </c>
      <c r="AN241">
        <f t="shared" si="124"/>
        <v>0</v>
      </c>
      <c r="AO241" s="43"/>
      <c r="AP241" s="43"/>
      <c r="AQ241" t="e">
        <f t="shared" si="125"/>
        <v>#DIV/0!</v>
      </c>
    </row>
    <row r="242" spans="1:43">
      <c r="A242">
        <v>280</v>
      </c>
      <c r="B242">
        <f t="shared" si="95"/>
        <v>280</v>
      </c>
      <c r="D242" s="43">
        <f t="shared" si="96"/>
        <v>651.92364525050903</v>
      </c>
      <c r="E242" s="43">
        <f t="shared" si="97"/>
        <v>1100.3231564209514</v>
      </c>
      <c r="F242" s="69">
        <f t="shared" si="98"/>
        <v>1.157529350973016</v>
      </c>
      <c r="G242" s="98">
        <f t="shared" si="99"/>
        <v>265.54917506880588</v>
      </c>
      <c r="H242" s="69">
        <f t="shared" si="100"/>
        <v>0.14929450466533489</v>
      </c>
      <c r="I242" s="69">
        <f t="shared" si="101"/>
        <v>-2.0247037344180239</v>
      </c>
      <c r="J242" s="99">
        <f t="shared" si="102"/>
        <v>1.5047746178408776E-2</v>
      </c>
      <c r="K242" s="69">
        <f t="shared" si="103"/>
        <v>1.0222823822476154E-4</v>
      </c>
      <c r="L242" s="99">
        <f t="shared" si="104"/>
        <v>1.5149974416633539E-2</v>
      </c>
      <c r="M242" s="69">
        <f t="shared" si="105"/>
        <v>9.8544393910936705</v>
      </c>
      <c r="N242" s="69">
        <f t="shared" si="106"/>
        <v>3.8076220560995817</v>
      </c>
      <c r="O242" s="69">
        <f t="shared" si="107"/>
        <v>25.504100533605804</v>
      </c>
      <c r="P242" s="69">
        <f t="shared" si="108"/>
        <v>2.3578353351877528</v>
      </c>
      <c r="Q242" s="69">
        <f t="shared" si="109"/>
        <v>-1.1820159475249667</v>
      </c>
      <c r="R242" s="43">
        <f t="shared" si="110"/>
        <v>-792.30892943555909</v>
      </c>
      <c r="S242" s="43">
        <f t="shared" si="111"/>
        <v>1915.3803936385268</v>
      </c>
      <c r="T242" s="43">
        <f>R242+Thrust!C$33*0.8</f>
        <v>1019.4510705644409</v>
      </c>
      <c r="U242" s="43"/>
      <c r="V242">
        <f t="shared" si="112"/>
        <v>2107537.4004751481</v>
      </c>
      <c r="W242">
        <f t="shared" si="113"/>
        <v>-871795.86209703924</v>
      </c>
      <c r="X242">
        <f t="shared" si="114"/>
        <v>-2979333.2625721875</v>
      </c>
      <c r="Y242">
        <f t="shared" si="115"/>
        <v>2979333.2625721875</v>
      </c>
      <c r="Z242">
        <f t="shared" si="116"/>
        <v>-6699.4566372719946</v>
      </c>
      <c r="AA242">
        <f t="shared" si="117"/>
        <v>-5.8242352092818841</v>
      </c>
      <c r="AB242">
        <f t="shared" si="118"/>
        <v>-3133.7063227389604</v>
      </c>
      <c r="AC242">
        <f t="shared" si="119"/>
        <v>-2.7206497803317782</v>
      </c>
      <c r="AD242">
        <f t="shared" si="120"/>
        <v>-3.2911853403614337</v>
      </c>
      <c r="AE242">
        <f t="shared" si="121"/>
        <v>-2145.6015442834628</v>
      </c>
      <c r="AH242">
        <v>1.3217312062021302</v>
      </c>
      <c r="AI242">
        <v>870.63811330543797</v>
      </c>
      <c r="AJ242">
        <f t="shared" si="122"/>
        <v>-1140.7688223435355</v>
      </c>
      <c r="AK242">
        <f t="shared" si="123"/>
        <v>346.61336399190992</v>
      </c>
      <c r="AN242">
        <f t="shared" si="124"/>
        <v>0</v>
      </c>
      <c r="AO242" s="43"/>
      <c r="AP242" s="43"/>
      <c r="AQ242" t="e">
        <f t="shared" si="125"/>
        <v>#DIV/0!</v>
      </c>
    </row>
    <row r="243" spans="1:43">
      <c r="A243">
        <v>281</v>
      </c>
      <c r="B243">
        <f t="shared" si="95"/>
        <v>281</v>
      </c>
      <c r="D243" s="43">
        <f t="shared" si="96"/>
        <v>654.25194398354665</v>
      </c>
      <c r="E243" s="43">
        <f t="shared" si="97"/>
        <v>1104.2528819795978</v>
      </c>
      <c r="F243" s="69">
        <f t="shared" si="98"/>
        <v>1.1616633843693485</v>
      </c>
      <c r="G243" s="98">
        <f t="shared" si="99"/>
        <v>267.44934199755085</v>
      </c>
      <c r="H243" s="69">
        <f t="shared" si="100"/>
        <v>0.14823380106333828</v>
      </c>
      <c r="I243" s="69">
        <f t="shared" si="101"/>
        <v>-2.0336355146403089</v>
      </c>
      <c r="J243" s="99">
        <f t="shared" si="102"/>
        <v>1.5047746178408776E-2</v>
      </c>
      <c r="K243" s="69">
        <f t="shared" si="103"/>
        <v>9.7876141031133138E-5</v>
      </c>
      <c r="L243" s="99">
        <f t="shared" si="104"/>
        <v>1.5145622319439909E-2</v>
      </c>
      <c r="M243" s="69">
        <f t="shared" si="105"/>
        <v>9.7872373902441279</v>
      </c>
      <c r="N243" s="69">
        <f t="shared" si="106"/>
        <v>3.7681982612408382</v>
      </c>
      <c r="O243" s="69">
        <f t="shared" si="107"/>
        <v>25.420641137244665</v>
      </c>
      <c r="P243" s="69">
        <f t="shared" si="108"/>
        <v>2.3662561756705665</v>
      </c>
      <c r="Q243" s="69">
        <f t="shared" si="109"/>
        <v>-1.2055573636015362</v>
      </c>
      <c r="R243" s="43">
        <f t="shared" si="110"/>
        <v>-805.21305222252636</v>
      </c>
      <c r="S243" s="43">
        <f t="shared" si="111"/>
        <v>1928.5319490476968</v>
      </c>
      <c r="T243" s="43">
        <f>R243+Thrust!C$33*0.8</f>
        <v>1006.5469477774736</v>
      </c>
      <c r="U243" s="43"/>
      <c r="V243">
        <f t="shared" si="112"/>
        <v>2129586.9627256501</v>
      </c>
      <c r="W243">
        <f t="shared" si="113"/>
        <v>-889158.83352431306</v>
      </c>
      <c r="X243">
        <f t="shared" si="114"/>
        <v>-3018745.7962499633</v>
      </c>
      <c r="Y243">
        <f t="shared" si="115"/>
        <v>3018745.7962499633</v>
      </c>
      <c r="Z243">
        <f t="shared" si="116"/>
        <v>-6769.5479609821978</v>
      </c>
      <c r="AA243">
        <f t="shared" si="117"/>
        <v>-5.864365844111032</v>
      </c>
      <c r="AB243">
        <f t="shared" si="118"/>
        <v>-3236.3589768305392</v>
      </c>
      <c r="AC243">
        <f t="shared" si="119"/>
        <v>-2.7998346583552722</v>
      </c>
      <c r="AD243">
        <f t="shared" si="120"/>
        <v>-3.3219783288684877</v>
      </c>
      <c r="AE243">
        <f t="shared" si="121"/>
        <v>-2173.4107795334216</v>
      </c>
      <c r="AH243">
        <v>1.2587916529283991</v>
      </c>
      <c r="AI243">
        <v>832.14739010569542</v>
      </c>
      <c r="AJ243">
        <f t="shared" si="122"/>
        <v>-1136.8672301518664</v>
      </c>
      <c r="AK243">
        <f t="shared" si="123"/>
        <v>342.22596224434108</v>
      </c>
      <c r="AN243">
        <f t="shared" si="124"/>
        <v>0</v>
      </c>
      <c r="AO243" s="43"/>
      <c r="AP243" s="43"/>
      <c r="AQ243" t="e">
        <f t="shared" si="125"/>
        <v>#DIV/0!</v>
      </c>
    </row>
    <row r="244" spans="1:43">
      <c r="A244">
        <v>282</v>
      </c>
      <c r="B244">
        <f t="shared" si="95"/>
        <v>282</v>
      </c>
      <c r="D244" s="43">
        <f t="shared" si="96"/>
        <v>656.58024271658417</v>
      </c>
      <c r="E244" s="43">
        <f t="shared" si="97"/>
        <v>1108.1826075382439</v>
      </c>
      <c r="F244" s="69">
        <f t="shared" si="98"/>
        <v>1.1657974177656805</v>
      </c>
      <c r="G244" s="98">
        <f t="shared" si="99"/>
        <v>269.35628313994545</v>
      </c>
      <c r="H244" s="69">
        <f t="shared" si="100"/>
        <v>0.14718436152309056</v>
      </c>
      <c r="I244" s="69">
        <f t="shared" si="101"/>
        <v>-2.0424724444974562</v>
      </c>
      <c r="J244" s="99">
        <f t="shared" si="102"/>
        <v>1.5047746178408776E-2</v>
      </c>
      <c r="K244" s="69">
        <f t="shared" si="103"/>
        <v>9.3663423548456034E-5</v>
      </c>
      <c r="L244" s="99">
        <f t="shared" si="104"/>
        <v>1.5141409601957232E-2</v>
      </c>
      <c r="M244" s="69">
        <f t="shared" si="105"/>
        <v>9.7206512070094835</v>
      </c>
      <c r="N244" s="69">
        <f t="shared" si="106"/>
        <v>3.7292903238156048</v>
      </c>
      <c r="O244" s="69">
        <f t="shared" si="107"/>
        <v>25.337544595256105</v>
      </c>
      <c r="P244" s="69">
        <f t="shared" si="108"/>
        <v>2.3746770161533797</v>
      </c>
      <c r="Q244" s="69">
        <f t="shared" si="109"/>
        <v>-1.229233833225484</v>
      </c>
      <c r="R244" s="43">
        <f t="shared" si="110"/>
        <v>-818.11554118274489</v>
      </c>
      <c r="S244" s="43">
        <f t="shared" si="111"/>
        <v>1941.7423378373446</v>
      </c>
      <c r="T244" s="43">
        <f>R244+Thrust!C$33*0.8</f>
        <v>993.6444588172551</v>
      </c>
      <c r="U244" s="43"/>
      <c r="V244">
        <f t="shared" si="112"/>
        <v>2151805.0871119942</v>
      </c>
      <c r="W244">
        <f t="shared" si="113"/>
        <v>-906621.41369545588</v>
      </c>
      <c r="X244">
        <f t="shared" si="114"/>
        <v>-3058426.5008074502</v>
      </c>
      <c r="Y244">
        <f t="shared" si="115"/>
        <v>3058426.5008074502</v>
      </c>
      <c r="Z244">
        <f t="shared" si="116"/>
        <v>-6840.1751113493856</v>
      </c>
      <c r="AA244">
        <f t="shared" si="117"/>
        <v>-5.9046789096724339</v>
      </c>
      <c r="AB244">
        <f t="shared" si="118"/>
        <v>-3339.864094645704</v>
      </c>
      <c r="AC244">
        <f t="shared" si="119"/>
        <v>-2.879198739626049</v>
      </c>
      <c r="AD244">
        <f t="shared" si="120"/>
        <v>-3.3522459101133282</v>
      </c>
      <c r="AE244">
        <f t="shared" si="121"/>
        <v>-2201.0184333078851</v>
      </c>
      <c r="AH244">
        <v>1.1956564465441883</v>
      </c>
      <c r="AI244">
        <v>793.22979018365902</v>
      </c>
      <c r="AJ244">
        <f t="shared" si="122"/>
        <v>-1132.519794880151</v>
      </c>
      <c r="AK244">
        <f t="shared" si="123"/>
        <v>337.83911599786677</v>
      </c>
      <c r="AN244">
        <f t="shared" si="124"/>
        <v>0</v>
      </c>
      <c r="AO244" s="43"/>
      <c r="AP244" s="43"/>
      <c r="AQ244" t="e">
        <f t="shared" si="125"/>
        <v>#DIV/0!</v>
      </c>
    </row>
    <row r="245" spans="1:43">
      <c r="A245">
        <v>283</v>
      </c>
      <c r="B245">
        <f t="shared" si="95"/>
        <v>283</v>
      </c>
      <c r="D245" s="43">
        <f t="shared" si="96"/>
        <v>658.90854144962168</v>
      </c>
      <c r="E245" s="43">
        <f t="shared" si="97"/>
        <v>1112.1123330968901</v>
      </c>
      <c r="F245" s="69">
        <f t="shared" si="98"/>
        <v>1.1699314511620125</v>
      </c>
      <c r="G245" s="98">
        <f t="shared" si="99"/>
        <v>271.26999849598974</v>
      </c>
      <c r="H245" s="69">
        <f t="shared" si="100"/>
        <v>0.1461460271168607</v>
      </c>
      <c r="I245" s="69">
        <f t="shared" si="101"/>
        <v>-2.0512158622592365</v>
      </c>
      <c r="J245" s="99">
        <f t="shared" si="102"/>
        <v>1.5047746178408776E-2</v>
      </c>
      <c r="K245" s="69">
        <f t="shared" si="103"/>
        <v>8.9586484846873891E-5</v>
      </c>
      <c r="L245" s="99">
        <f t="shared" si="104"/>
        <v>1.513733266325565E-2</v>
      </c>
      <c r="M245" s="69">
        <f t="shared" si="105"/>
        <v>9.6546749924850008</v>
      </c>
      <c r="N245" s="69">
        <f t="shared" si="106"/>
        <v>3.6908905393897955</v>
      </c>
      <c r="O245" s="69">
        <f t="shared" si="107"/>
        <v>25.254812684292133</v>
      </c>
      <c r="P245" s="69">
        <f t="shared" si="108"/>
        <v>2.3830978566361929</v>
      </c>
      <c r="Q245" s="69">
        <f t="shared" si="109"/>
        <v>-1.2530453563968118</v>
      </c>
      <c r="R245" s="43">
        <f t="shared" si="110"/>
        <v>-831.01641363593376</v>
      </c>
      <c r="S245" s="43">
        <f t="shared" si="111"/>
        <v>1955.011433807136</v>
      </c>
      <c r="T245" s="43">
        <f>R245+Thrust!C$33*0.8</f>
        <v>980.74358636406623</v>
      </c>
      <c r="U245" s="43"/>
      <c r="V245">
        <f t="shared" si="112"/>
        <v>2174192.3268823503</v>
      </c>
      <c r="W245">
        <f t="shared" si="113"/>
        <v>-924183.60261046852</v>
      </c>
      <c r="X245">
        <f t="shared" si="114"/>
        <v>-3098375.9294928187</v>
      </c>
      <c r="Y245">
        <f t="shared" si="115"/>
        <v>3098375.9294928187</v>
      </c>
      <c r="Z245">
        <f t="shared" si="116"/>
        <v>-6911.3398470432321</v>
      </c>
      <c r="AA245">
        <f t="shared" si="117"/>
        <v>-5.9451740804608342</v>
      </c>
      <c r="AB245">
        <f t="shared" si="118"/>
        <v>-3444.2234348541374</v>
      </c>
      <c r="AC245">
        <f t="shared" si="119"/>
        <v>-2.9587418824227498</v>
      </c>
      <c r="AD245">
        <f t="shared" si="120"/>
        <v>-3.3819962911475421</v>
      </c>
      <c r="AE245">
        <f t="shared" si="121"/>
        <v>-2228.4262433880576</v>
      </c>
      <c r="AH245">
        <v>1.1323257797503321</v>
      </c>
      <c r="AI245">
        <v>753.88409224185284</v>
      </c>
      <c r="AJ245">
        <f t="shared" si="122"/>
        <v>-1127.736198361004</v>
      </c>
      <c r="AK245">
        <f t="shared" si="123"/>
        <v>333.45281936378257</v>
      </c>
      <c r="AN245">
        <f t="shared" si="124"/>
        <v>0</v>
      </c>
      <c r="AO245" s="43"/>
      <c r="AP245" s="43"/>
      <c r="AQ245" t="e">
        <f t="shared" si="125"/>
        <v>#DIV/0!</v>
      </c>
    </row>
    <row r="246" spans="1:43">
      <c r="A246">
        <v>284</v>
      </c>
      <c r="B246">
        <f t="shared" si="95"/>
        <v>284</v>
      </c>
      <c r="D246" s="43">
        <f t="shared" si="96"/>
        <v>661.23684018265919</v>
      </c>
      <c r="E246" s="43">
        <f t="shared" si="97"/>
        <v>1116.0420586555365</v>
      </c>
      <c r="F246" s="69">
        <f t="shared" si="98"/>
        <v>1.1740654845583449</v>
      </c>
      <c r="G246" s="98">
        <f t="shared" si="99"/>
        <v>273.19048806568389</v>
      </c>
      <c r="H246" s="69">
        <f t="shared" si="100"/>
        <v>0.14511864171000607</v>
      </c>
      <c r="I246" s="69">
        <f t="shared" si="101"/>
        <v>-2.0598670826758871</v>
      </c>
      <c r="J246" s="99">
        <f t="shared" si="102"/>
        <v>1.5047746178408776E-2</v>
      </c>
      <c r="K246" s="69">
        <f t="shared" si="103"/>
        <v>8.5641821567930836E-5</v>
      </c>
      <c r="L246" s="99">
        <f t="shared" si="104"/>
        <v>1.5133387999976707E-2</v>
      </c>
      <c r="M246" s="69">
        <f t="shared" si="105"/>
        <v>9.5893029181720202</v>
      </c>
      <c r="N246" s="69">
        <f t="shared" si="106"/>
        <v>3.6529913198160702</v>
      </c>
      <c r="O246" s="69">
        <f t="shared" si="107"/>
        <v>25.172447018322615</v>
      </c>
      <c r="P246" s="69">
        <f t="shared" si="108"/>
        <v>2.3915186971190066</v>
      </c>
      <c r="Q246" s="69">
        <f t="shared" si="109"/>
        <v>-1.2769919331155197</v>
      </c>
      <c r="R246" s="43">
        <f t="shared" si="110"/>
        <v>-843.91568665787145</v>
      </c>
      <c r="S246" s="43">
        <f t="shared" si="111"/>
        <v>1968.3391129746565</v>
      </c>
      <c r="T246" s="43">
        <f>R246+Thrust!C$33*0.8</f>
        <v>967.84431334212854</v>
      </c>
      <c r="U246" s="43"/>
      <c r="V246">
        <f t="shared" si="112"/>
        <v>2196749.2357764482</v>
      </c>
      <c r="W246">
        <f t="shared" si="113"/>
        <v>-941845.40026935155</v>
      </c>
      <c r="X246">
        <f t="shared" si="114"/>
        <v>-3138594.6360457996</v>
      </c>
      <c r="Y246">
        <f t="shared" si="115"/>
        <v>3138594.6360457996</v>
      </c>
      <c r="Z246">
        <f t="shared" si="116"/>
        <v>-6983.0439282959942</v>
      </c>
      <c r="AA246">
        <f t="shared" si="117"/>
        <v>-5.985851038367076</v>
      </c>
      <c r="AB246">
        <f t="shared" si="118"/>
        <v>-3549.4387576880895</v>
      </c>
      <c r="AC246">
        <f t="shared" si="119"/>
        <v>-3.0384639531250981</v>
      </c>
      <c r="AD246">
        <f t="shared" si="120"/>
        <v>-3.4112375536312749</v>
      </c>
      <c r="AE246">
        <f t="shared" si="121"/>
        <v>-2255.635941075569</v>
      </c>
      <c r="AH246">
        <v>1.068799839151932</v>
      </c>
      <c r="AI246">
        <v>714.10907425392008</v>
      </c>
      <c r="AJ246">
        <f t="shared" si="122"/>
        <v>-1122.5259350319891</v>
      </c>
      <c r="AK246">
        <f t="shared" si="123"/>
        <v>329.06706653632375</v>
      </c>
      <c r="AN246">
        <f t="shared" si="124"/>
        <v>0</v>
      </c>
      <c r="AO246" s="43"/>
      <c r="AP246" s="43"/>
      <c r="AQ246" t="e">
        <f t="shared" si="125"/>
        <v>#DIV/0!</v>
      </c>
    </row>
    <row r="247" spans="1:43">
      <c r="A247">
        <v>285</v>
      </c>
      <c r="B247">
        <f t="shared" si="95"/>
        <v>285</v>
      </c>
      <c r="D247" s="43">
        <f t="shared" si="96"/>
        <v>663.56513891569671</v>
      </c>
      <c r="E247" s="43">
        <f t="shared" si="97"/>
        <v>1119.9717842141827</v>
      </c>
      <c r="F247" s="69">
        <f t="shared" si="98"/>
        <v>1.1781995179546769</v>
      </c>
      <c r="G247" s="98">
        <f t="shared" si="99"/>
        <v>275.11775184902757</v>
      </c>
      <c r="H247" s="69">
        <f t="shared" si="100"/>
        <v>0.1441020519022746</v>
      </c>
      <c r="I247" s="69">
        <f t="shared" si="101"/>
        <v>-2.0684273974723868</v>
      </c>
      <c r="J247" s="99">
        <f t="shared" si="102"/>
        <v>1.5047746178408776E-2</v>
      </c>
      <c r="K247" s="69">
        <f t="shared" si="103"/>
        <v>8.1826025037824555E-5</v>
      </c>
      <c r="L247" s="99">
        <f t="shared" si="104"/>
        <v>1.5129572203446601E-2</v>
      </c>
      <c r="M247" s="69">
        <f t="shared" si="105"/>
        <v>9.5245291779927097</v>
      </c>
      <c r="N247" s="69">
        <f t="shared" si="106"/>
        <v>3.61558519195852</v>
      </c>
      <c r="O247" s="69">
        <f t="shared" si="107"/>
        <v>25.090449054885731</v>
      </c>
      <c r="P247" s="69">
        <f t="shared" si="108"/>
        <v>2.3999395376018198</v>
      </c>
      <c r="Q247" s="69">
        <f t="shared" si="109"/>
        <v>-1.301073563381606</v>
      </c>
      <c r="R247" s="43">
        <f t="shared" si="110"/>
        <v>-856.81337708467561</v>
      </c>
      <c r="S247" s="43">
        <f t="shared" si="111"/>
        <v>1981.7252535287942</v>
      </c>
      <c r="T247" s="43">
        <f>R247+Thrust!C$33*0.8</f>
        <v>954.94662291532438</v>
      </c>
      <c r="U247" s="43"/>
      <c r="V247">
        <f t="shared" si="112"/>
        <v>2219476.3680169471</v>
      </c>
      <c r="W247">
        <f t="shared" si="113"/>
        <v>-959606.80667210347</v>
      </c>
      <c r="X247">
        <f t="shared" si="114"/>
        <v>-3179083.1746890508</v>
      </c>
      <c r="Y247">
        <f t="shared" si="115"/>
        <v>3179083.1746890508</v>
      </c>
      <c r="Z247">
        <f t="shared" si="116"/>
        <v>-7055.289116875063</v>
      </c>
      <c r="AA247">
        <f t="shared" si="117"/>
        <v>-6.0267094725419099</v>
      </c>
      <c r="AB247">
        <f t="shared" si="118"/>
        <v>-3655.5118249149546</v>
      </c>
      <c r="AC247">
        <f t="shared" si="119"/>
        <v>-3.1183648260963928</v>
      </c>
      <c r="AD247">
        <f t="shared" si="120"/>
        <v>-3.4399776552500514</v>
      </c>
      <c r="AE247">
        <f t="shared" si="121"/>
        <v>-2282.6492506728928</v>
      </c>
      <c r="AH247">
        <v>1.00507880535153</v>
      </c>
      <c r="AI247">
        <v>673.90351347740705</v>
      </c>
      <c r="AJ247">
        <f t="shared" si="122"/>
        <v>-1116.8983152269723</v>
      </c>
      <c r="AK247">
        <f t="shared" si="123"/>
        <v>324.68185179121031</v>
      </c>
      <c r="AN247">
        <f t="shared" si="124"/>
        <v>0</v>
      </c>
      <c r="AO247" s="43"/>
      <c r="AP247" s="43"/>
      <c r="AQ247" t="e">
        <f t="shared" si="125"/>
        <v>#DIV/0!</v>
      </c>
    </row>
    <row r="248" spans="1:43">
      <c r="A248">
        <v>286</v>
      </c>
      <c r="B248">
        <f t="shared" si="95"/>
        <v>286</v>
      </c>
      <c r="D248" s="43">
        <f t="shared" si="96"/>
        <v>665.89343764873422</v>
      </c>
      <c r="E248" s="43">
        <f t="shared" si="97"/>
        <v>1123.9015097728288</v>
      </c>
      <c r="F248" s="69">
        <f t="shared" si="98"/>
        <v>1.1823335513510091</v>
      </c>
      <c r="G248" s="98">
        <f t="shared" si="99"/>
        <v>277.05178984602099</v>
      </c>
      <c r="H248" s="69">
        <f t="shared" si="100"/>
        <v>0.14309610697053959</v>
      </c>
      <c r="I248" s="69">
        <f t="shared" si="101"/>
        <v>-2.0768980758306625</v>
      </c>
      <c r="J248" s="99">
        <f t="shared" si="102"/>
        <v>1.5047746178408776E-2</v>
      </c>
      <c r="K248" s="69">
        <f t="shared" si="103"/>
        <v>7.8135778474412303E-5</v>
      </c>
      <c r="L248" s="99">
        <f t="shared" si="104"/>
        <v>1.5125881956883188E-2</v>
      </c>
      <c r="M248" s="69">
        <f t="shared" si="105"/>
        <v>9.4603479901826315</v>
      </c>
      <c r="N248" s="69">
        <f t="shared" si="106"/>
        <v>3.5786647963978986</v>
      </c>
      <c r="O248" s="69">
        <f t="shared" si="107"/>
        <v>25.008820101127341</v>
      </c>
      <c r="P248" s="69">
        <f t="shared" si="108"/>
        <v>2.408360378084633</v>
      </c>
      <c r="Q248" s="69">
        <f t="shared" si="109"/>
        <v>-1.3252902471950723</v>
      </c>
      <c r="R248" s="43">
        <f t="shared" si="110"/>
        <v>-869.70950151699549</v>
      </c>
      <c r="S248" s="43">
        <f t="shared" si="111"/>
        <v>1995.1697357842772</v>
      </c>
      <c r="T248" s="43">
        <f>R248+Thrust!C$33*0.8</f>
        <v>942.0504984830045</v>
      </c>
      <c r="U248" s="43"/>
      <c r="V248">
        <f t="shared" si="112"/>
        <v>2242374.2783010053</v>
      </c>
      <c r="W248">
        <f t="shared" si="113"/>
        <v>-977467.82181872556</v>
      </c>
      <c r="X248">
        <f t="shared" si="114"/>
        <v>-3219842.1001197309</v>
      </c>
      <c r="Y248">
        <f t="shared" si="115"/>
        <v>3219842.1001197309</v>
      </c>
      <c r="Z248">
        <f t="shared" si="116"/>
        <v>-7128.0771760561756</v>
      </c>
      <c r="AA248">
        <f t="shared" si="117"/>
        <v>-6.0677490792633755</v>
      </c>
      <c r="AB248">
        <f t="shared" si="118"/>
        <v>-3762.4443998104703</v>
      </c>
      <c r="AC248">
        <f t="shared" si="119"/>
        <v>-3.1984443835694036</v>
      </c>
      <c r="AD248">
        <f t="shared" si="120"/>
        <v>-3.4682244311495132</v>
      </c>
      <c r="AE248">
        <f t="shared" si="121"/>
        <v>-2309.4678889954753</v>
      </c>
      <c r="AH248">
        <v>0.94116285303964287</v>
      </c>
      <c r="AI248">
        <v>633.26618646627571</v>
      </c>
      <c r="AJ248">
        <f t="shared" si="122"/>
        <v>-1110.8624684332135</v>
      </c>
      <c r="AK248">
        <f t="shared" si="123"/>
        <v>320.29716948422157</v>
      </c>
      <c r="AN248">
        <f t="shared" si="124"/>
        <v>0</v>
      </c>
      <c r="AO248" s="43"/>
      <c r="AP248" s="43"/>
      <c r="AQ248" t="e">
        <f t="shared" si="125"/>
        <v>#DIV/0!</v>
      </c>
    </row>
    <row r="249" spans="1:43">
      <c r="A249">
        <v>287</v>
      </c>
      <c r="B249">
        <f t="shared" si="95"/>
        <v>287</v>
      </c>
      <c r="D249" s="43">
        <f t="shared" si="96"/>
        <v>668.22173638177185</v>
      </c>
      <c r="E249" s="43">
        <f t="shared" si="97"/>
        <v>1127.8312353314752</v>
      </c>
      <c r="F249" s="69">
        <f t="shared" si="98"/>
        <v>1.1864675847473416</v>
      </c>
      <c r="G249" s="98">
        <f t="shared" si="99"/>
        <v>278.99260205666423</v>
      </c>
      <c r="H249" s="69">
        <f t="shared" si="100"/>
        <v>0.14210065881293027</v>
      </c>
      <c r="I249" s="69">
        <f t="shared" si="101"/>
        <v>-2.0852803648600466</v>
      </c>
      <c r="J249" s="99">
        <f t="shared" si="102"/>
        <v>1.5047746178408776E-2</v>
      </c>
      <c r="K249" s="69">
        <f t="shared" si="103"/>
        <v>7.4567854284648304E-5</v>
      </c>
      <c r="L249" s="99">
        <f t="shared" si="104"/>
        <v>1.5122314032693424E-2</v>
      </c>
      <c r="M249" s="69">
        <f t="shared" si="105"/>
        <v>9.3967535990667983</v>
      </c>
      <c r="N249" s="69">
        <f t="shared" si="106"/>
        <v>3.5422228861200074</v>
      </c>
      <c r="O249" s="69">
        <f t="shared" si="107"/>
        <v>24.927561319636098</v>
      </c>
      <c r="P249" s="69">
        <f t="shared" si="108"/>
        <v>2.4167812185674467</v>
      </c>
      <c r="Q249" s="69">
        <f t="shared" si="109"/>
        <v>-1.3496419845559195</v>
      </c>
      <c r="R249" s="43">
        <f t="shared" si="110"/>
        <v>-882.6040763241117</v>
      </c>
      <c r="S249" s="43">
        <f t="shared" si="111"/>
        <v>2008.6724421373033</v>
      </c>
      <c r="T249" s="43">
        <f>R249+Thrust!C$33*0.8</f>
        <v>929.15592367588829</v>
      </c>
      <c r="U249" s="43"/>
      <c r="V249">
        <f t="shared" si="112"/>
        <v>2265443.5217920057</v>
      </c>
      <c r="W249">
        <f t="shared" si="113"/>
        <v>-995428.4457092185</v>
      </c>
      <c r="X249">
        <f t="shared" si="114"/>
        <v>-3260871.967501224</v>
      </c>
      <c r="Y249">
        <f t="shared" si="115"/>
        <v>3260871.967501224</v>
      </c>
      <c r="Z249">
        <f t="shared" si="116"/>
        <v>-7201.4098705971055</v>
      </c>
      <c r="AA249">
        <f t="shared" si="117"/>
        <v>-6.108969561807517</v>
      </c>
      <c r="AB249">
        <f t="shared" si="118"/>
        <v>-3870.2382471324099</v>
      </c>
      <c r="AC249">
        <f t="shared" si="119"/>
        <v>-3.278702515535497</v>
      </c>
      <c r="AD249">
        <f t="shared" si="120"/>
        <v>-3.4959855953855352</v>
      </c>
      <c r="AE249">
        <f t="shared" si="121"/>
        <v>-2336.0935649141848</v>
      </c>
      <c r="AH249">
        <v>0.87705215108277557</v>
      </c>
      <c r="AI249">
        <v>592.19586908317524</v>
      </c>
      <c r="AJ249">
        <f t="shared" si="122"/>
        <v>-1104.4273465129361</v>
      </c>
      <c r="AK249">
        <f t="shared" si="123"/>
        <v>315.91301404980203</v>
      </c>
      <c r="AN249">
        <f t="shared" si="124"/>
        <v>0</v>
      </c>
      <c r="AO249" s="43"/>
      <c r="AP249" s="43"/>
      <c r="AQ249" t="e">
        <f t="shared" si="125"/>
        <v>#DIV/0!</v>
      </c>
    </row>
    <row r="250" spans="1:43">
      <c r="A250">
        <v>288</v>
      </c>
      <c r="B250">
        <f t="shared" si="95"/>
        <v>288</v>
      </c>
      <c r="D250" s="43">
        <f t="shared" si="96"/>
        <v>670.55003511480936</v>
      </c>
      <c r="E250" s="43">
        <f t="shared" si="97"/>
        <v>1131.7609608901214</v>
      </c>
      <c r="F250" s="69">
        <f t="shared" si="98"/>
        <v>1.1906016181436736</v>
      </c>
      <c r="G250" s="98">
        <f t="shared" si="99"/>
        <v>280.94018848095709</v>
      </c>
      <c r="H250" s="69">
        <f t="shared" si="100"/>
        <v>0.14111556189431732</v>
      </c>
      <c r="I250" s="69">
        <f t="shared" si="101"/>
        <v>-2.0935754900563204</v>
      </c>
      <c r="J250" s="99">
        <f t="shared" si="102"/>
        <v>1.5047746178408776E-2</v>
      </c>
      <c r="K250" s="69">
        <f t="shared" si="103"/>
        <v>7.1119111449242299E-5</v>
      </c>
      <c r="L250" s="99">
        <f t="shared" si="104"/>
        <v>1.5118865289858018E-2</v>
      </c>
      <c r="M250" s="69">
        <f t="shared" si="105"/>
        <v>9.3337402767243347</v>
      </c>
      <c r="N250" s="69">
        <f t="shared" si="106"/>
        <v>3.5062523251895521</v>
      </c>
      <c r="O250" s="69">
        <f t="shared" si="107"/>
        <v>24.846673734080543</v>
      </c>
      <c r="P250" s="69">
        <f t="shared" si="108"/>
        <v>2.4252020590502599</v>
      </c>
      <c r="Q250" s="69">
        <f t="shared" si="109"/>
        <v>-1.3741287754641451</v>
      </c>
      <c r="R250" s="43">
        <f t="shared" si="110"/>
        <v>-895.497117647952</v>
      </c>
      <c r="S250" s="43">
        <f t="shared" si="111"/>
        <v>2022.2332570222491</v>
      </c>
      <c r="T250" s="43">
        <f>R250+Thrust!C$33*0.8</f>
        <v>916.262882352048</v>
      </c>
      <c r="U250" s="43"/>
      <c r="V250">
        <f t="shared" si="112"/>
        <v>2288684.6541114603</v>
      </c>
      <c r="W250">
        <f t="shared" si="113"/>
        <v>-1013488.6783435802</v>
      </c>
      <c r="X250">
        <f t="shared" si="114"/>
        <v>-3302173.3324550404</v>
      </c>
      <c r="Y250">
        <f t="shared" si="115"/>
        <v>3302173.3324550404</v>
      </c>
      <c r="Z250">
        <f t="shared" si="116"/>
        <v>-7275.2889667119271</v>
      </c>
      <c r="AA250">
        <f t="shared" si="117"/>
        <v>-6.1503706303224268</v>
      </c>
      <c r="AB250">
        <f t="shared" si="118"/>
        <v>-3978.895133094848</v>
      </c>
      <c r="AC250">
        <f t="shared" si="119"/>
        <v>-3.3591391196369718</v>
      </c>
      <c r="AD250">
        <f t="shared" si="120"/>
        <v>-3.5232687423872995</v>
      </c>
      <c r="AE250">
        <f t="shared" si="121"/>
        <v>-2362.5279789267142</v>
      </c>
      <c r="AH250">
        <v>0.81274686260891005</v>
      </c>
      <c r="AI250">
        <v>550.6913365114375</v>
      </c>
      <c r="AJ250">
        <f t="shared" si="122"/>
        <v>-1097.6017268882254</v>
      </c>
      <c r="AK250">
        <f t="shared" si="123"/>
        <v>311.52937999969635</v>
      </c>
      <c r="AN250">
        <f t="shared" si="124"/>
        <v>0</v>
      </c>
      <c r="AO250" s="43"/>
      <c r="AP250" s="43"/>
      <c r="AQ250" t="e">
        <f t="shared" si="125"/>
        <v>#DIV/0!</v>
      </c>
    </row>
    <row r="251" spans="1:43">
      <c r="A251">
        <v>289</v>
      </c>
      <c r="B251">
        <f t="shared" si="95"/>
        <v>289</v>
      </c>
      <c r="D251" s="43">
        <f t="shared" si="96"/>
        <v>672.87833384784687</v>
      </c>
      <c r="E251" s="43">
        <f t="shared" si="97"/>
        <v>1135.6906864487678</v>
      </c>
      <c r="F251" s="69">
        <f t="shared" si="98"/>
        <v>1.194735651540006</v>
      </c>
      <c r="G251" s="98">
        <f t="shared" si="99"/>
        <v>282.89454911889982</v>
      </c>
      <c r="H251" s="69">
        <f t="shared" si="100"/>
        <v>0.14014067319311613</v>
      </c>
      <c r="I251" s="69">
        <f t="shared" si="101"/>
        <v>-2.1017846557496651</v>
      </c>
      <c r="J251" s="99">
        <f t="shared" si="102"/>
        <v>1.5047746178408776E-2</v>
      </c>
      <c r="K251" s="69">
        <f t="shared" si="103"/>
        <v>6.7786492991459224E-5</v>
      </c>
      <c r="L251" s="99">
        <f t="shared" si="104"/>
        <v>1.5115532671400235E-2</v>
      </c>
      <c r="M251" s="69">
        <f t="shared" si="105"/>
        <v>9.2713023245468023</v>
      </c>
      <c r="N251" s="69">
        <f t="shared" si="106"/>
        <v>3.4707460874117237</v>
      </c>
      <c r="O251" s="69">
        <f t="shared" si="107"/>
        <v>24.766158234654547</v>
      </c>
      <c r="P251" s="69">
        <f t="shared" si="108"/>
        <v>2.433622899533074</v>
      </c>
      <c r="Q251" s="69">
        <f t="shared" si="109"/>
        <v>-1.3987506199197526</v>
      </c>
      <c r="R251" s="43">
        <f t="shared" si="110"/>
        <v>-908.38864140703015</v>
      </c>
      <c r="S251" s="43">
        <f t="shared" si="111"/>
        <v>2035.8520668694348</v>
      </c>
      <c r="T251" s="43">
        <f>R251+Thrust!C$33*0.8</f>
        <v>903.37135859296984</v>
      </c>
      <c r="U251" s="43"/>
      <c r="V251">
        <f t="shared" si="112"/>
        <v>2312098.2313310909</v>
      </c>
      <c r="W251">
        <f t="shared" si="113"/>
        <v>-1031648.5197218136</v>
      </c>
      <c r="X251">
        <f t="shared" si="114"/>
        <v>-3343746.7510529044</v>
      </c>
      <c r="Y251">
        <f t="shared" si="115"/>
        <v>3343746.7510529044</v>
      </c>
      <c r="Z251">
        <f t="shared" si="116"/>
        <v>-7349.7162320458519</v>
      </c>
      <c r="AA251">
        <f t="shared" si="117"/>
        <v>-6.1919520017055021</v>
      </c>
      <c r="AB251">
        <f t="shared" si="118"/>
        <v>-4088.4168253429989</v>
      </c>
      <c r="AC251">
        <f t="shared" si="119"/>
        <v>-3.4397541010625381</v>
      </c>
      <c r="AD251">
        <f t="shared" si="120"/>
        <v>-3.5500813484310956</v>
      </c>
      <c r="AE251">
        <f t="shared" si="121"/>
        <v>-2388.7728227566331</v>
      </c>
      <c r="AH251">
        <v>0.74824714509058532</v>
      </c>
      <c r="AI251">
        <v>508.75136326683122</v>
      </c>
      <c r="AJ251">
        <f t="shared" si="122"/>
        <v>-1090.394215688239</v>
      </c>
      <c r="AK251">
        <f t="shared" si="123"/>
        <v>307.14626192160978</v>
      </c>
      <c r="AN251">
        <f t="shared" si="124"/>
        <v>0</v>
      </c>
      <c r="AO251" s="43"/>
      <c r="AP251" s="43"/>
      <c r="AQ251" t="e">
        <f t="shared" si="125"/>
        <v>#DIV/0!</v>
      </c>
    </row>
    <row r="252" spans="1:43">
      <c r="A252">
        <v>290</v>
      </c>
      <c r="B252">
        <f t="shared" si="95"/>
        <v>290</v>
      </c>
      <c r="D252" s="43">
        <f t="shared" si="96"/>
        <v>675.20663258088439</v>
      </c>
      <c r="E252" s="43">
        <f t="shared" si="97"/>
        <v>1139.620412007414</v>
      </c>
      <c r="F252" s="69">
        <f t="shared" si="98"/>
        <v>1.1988696849363381</v>
      </c>
      <c r="G252" s="98">
        <f t="shared" si="99"/>
        <v>284.85568397049207</v>
      </c>
      <c r="H252" s="69">
        <f t="shared" si="100"/>
        <v>0.13917585214937281</v>
      </c>
      <c r="I252" s="69">
        <f t="shared" si="101"/>
        <v>-2.1099090455418081</v>
      </c>
      <c r="J252" s="99">
        <f t="shared" si="102"/>
        <v>1.5047746178408776E-2</v>
      </c>
      <c r="K252" s="69">
        <f t="shared" si="103"/>
        <v>6.4567023527103938E-5</v>
      </c>
      <c r="L252" s="99">
        <f t="shared" si="104"/>
        <v>1.511231320193588E-2</v>
      </c>
      <c r="M252" s="69">
        <f t="shared" si="105"/>
        <v>9.2094340746950945</v>
      </c>
      <c r="N252" s="69">
        <f t="shared" si="106"/>
        <v>3.4356972549836473</v>
      </c>
      <c r="O252" s="69">
        <f t="shared" si="107"/>
        <v>24.686015583337173</v>
      </c>
      <c r="P252" s="69">
        <f t="shared" si="108"/>
        <v>2.4420437400158872</v>
      </c>
      <c r="Q252" s="69">
        <f t="shared" si="109"/>
        <v>-1.4235075179227374</v>
      </c>
      <c r="R252" s="43">
        <f t="shared" si="110"/>
        <v>-921.27866330028905</v>
      </c>
      <c r="S252" s="43">
        <f t="shared" si="111"/>
        <v>2049.5287600638926</v>
      </c>
      <c r="T252" s="43">
        <f>R252+Thrust!C$33*0.8</f>
        <v>890.48133669971094</v>
      </c>
      <c r="U252" s="43"/>
      <c r="V252">
        <f t="shared" si="112"/>
        <v>2335684.8099650578</v>
      </c>
      <c r="W252">
        <f t="shared" si="113"/>
        <v>-1049907.969843915</v>
      </c>
      <c r="X252">
        <f t="shared" si="114"/>
        <v>-3385592.779808973</v>
      </c>
      <c r="Y252">
        <f t="shared" si="115"/>
        <v>3385592.779808973</v>
      </c>
      <c r="Z252">
        <f t="shared" si="116"/>
        <v>-7424.6934356505144</v>
      </c>
      <c r="AA252">
        <f t="shared" si="117"/>
        <v>-6.2337133994838121</v>
      </c>
      <c r="AB252">
        <f t="shared" si="118"/>
        <v>-4198.8050929284891</v>
      </c>
      <c r="AC252">
        <f t="shared" si="119"/>
        <v>-3.5205473724457548</v>
      </c>
      <c r="AD252">
        <f t="shared" si="120"/>
        <v>-3.5764307731226666</v>
      </c>
      <c r="AE252">
        <f t="shared" si="121"/>
        <v>-2414.8297789788048</v>
      </c>
      <c r="AH252">
        <v>0.68355315042560627</v>
      </c>
      <c r="AI252">
        <v>466.37472320906181</v>
      </c>
      <c r="AJ252">
        <f t="shared" si="122"/>
        <v>-1082.813250857846</v>
      </c>
      <c r="AK252">
        <f t="shared" si="123"/>
        <v>302.76365447790175</v>
      </c>
      <c r="AN252">
        <f t="shared" si="124"/>
        <v>0</v>
      </c>
      <c r="AO252" s="43"/>
      <c r="AP252" s="43"/>
      <c r="AQ252" t="e">
        <f t="shared" si="125"/>
        <v>#DIV/0!</v>
      </c>
    </row>
    <row r="253" spans="1:43">
      <c r="A253">
        <v>291</v>
      </c>
      <c r="B253">
        <f t="shared" si="95"/>
        <v>291</v>
      </c>
      <c r="D253" s="43">
        <f t="shared" si="96"/>
        <v>677.5349313139219</v>
      </c>
      <c r="E253" s="43">
        <f t="shared" si="97"/>
        <v>1143.5501375660601</v>
      </c>
      <c r="F253" s="69">
        <f t="shared" si="98"/>
        <v>1.2030037183326701</v>
      </c>
      <c r="G253" s="98">
        <f t="shared" si="99"/>
        <v>286.82359303573406</v>
      </c>
      <c r="H253" s="69">
        <f t="shared" si="100"/>
        <v>0.13822096061409592</v>
      </c>
      <c r="I253" s="69">
        <f t="shared" si="101"/>
        <v>-2.1179498227326827</v>
      </c>
      <c r="J253" s="99">
        <f t="shared" si="102"/>
        <v>1.5047746178408776E-2</v>
      </c>
      <c r="K253" s="69">
        <f t="shared" si="103"/>
        <v>6.1457806892836067E-5</v>
      </c>
      <c r="L253" s="99">
        <f t="shared" si="104"/>
        <v>1.5109203985301613E-2</v>
      </c>
      <c r="M253" s="69">
        <f t="shared" si="105"/>
        <v>9.1481298914594493</v>
      </c>
      <c r="N253" s="69">
        <f t="shared" si="106"/>
        <v>3.4010990171375872</v>
      </c>
      <c r="O253" s="69">
        <f t="shared" si="107"/>
        <v>24.606246418972862</v>
      </c>
      <c r="P253" s="69">
        <f t="shared" si="108"/>
        <v>2.4504645804987004</v>
      </c>
      <c r="Q253" s="69">
        <f t="shared" si="109"/>
        <v>-1.4483994694731024</v>
      </c>
      <c r="R253" s="43">
        <f t="shared" si="110"/>
        <v>-934.16719881088329</v>
      </c>
      <c r="S253" s="43">
        <f t="shared" si="111"/>
        <v>2063.263226905141</v>
      </c>
      <c r="T253" s="43">
        <f>R253+Thrust!C$33*0.8</f>
        <v>877.5928011891167</v>
      </c>
      <c r="U253" s="43"/>
      <c r="V253">
        <f t="shared" si="112"/>
        <v>2359444.9469623673</v>
      </c>
      <c r="W253">
        <f t="shared" si="113"/>
        <v>-1068267.0287098866</v>
      </c>
      <c r="X253">
        <f t="shared" si="114"/>
        <v>-3427711.9756722539</v>
      </c>
      <c r="Y253">
        <f t="shared" si="115"/>
        <v>3427711.9756722539</v>
      </c>
      <c r="Z253">
        <f t="shared" si="116"/>
        <v>-7500.2223479598424</v>
      </c>
      <c r="AA253">
        <f t="shared" si="117"/>
        <v>-6.2756545536975388</v>
      </c>
      <c r="AB253">
        <f t="shared" si="118"/>
        <v>-4310.0617062852516</v>
      </c>
      <c r="AC253">
        <f t="shared" si="119"/>
        <v>-3.601518853766501</v>
      </c>
      <c r="AD253">
        <f t="shared" si="120"/>
        <v>-3.6023242608862147</v>
      </c>
      <c r="AE253">
        <f t="shared" si="121"/>
        <v>-2440.7005206700155</v>
      </c>
      <c r="AH253">
        <v>0.61866502501550147</v>
      </c>
      <c r="AI253">
        <v>423.56018955306291</v>
      </c>
      <c r="AJ253">
        <f t="shared" si="122"/>
        <v>-1074.8671052269003</v>
      </c>
      <c r="AK253">
        <f t="shared" si="123"/>
        <v>298.38155240429973</v>
      </c>
      <c r="AN253">
        <f t="shared" si="124"/>
        <v>0</v>
      </c>
      <c r="AO253" s="43">
        <f t="shared" ref="AO253:AO284" si="126">$D$4-2280</f>
        <v>16595</v>
      </c>
      <c r="AP253" s="43"/>
      <c r="AQ253" t="e">
        <f t="shared" si="125"/>
        <v>#DIV/0!</v>
      </c>
    </row>
    <row r="254" spans="1:43">
      <c r="A254">
        <v>292</v>
      </c>
      <c r="B254">
        <f t="shared" si="95"/>
        <v>292</v>
      </c>
      <c r="D254" s="43">
        <f t="shared" si="96"/>
        <v>679.86323004695942</v>
      </c>
      <c r="E254" s="43">
        <f t="shared" si="97"/>
        <v>1147.4798631247063</v>
      </c>
      <c r="F254" s="69">
        <f t="shared" si="98"/>
        <v>1.2071377517290023</v>
      </c>
      <c r="G254" s="98">
        <f t="shared" si="99"/>
        <v>288.79827631462575</v>
      </c>
      <c r="H254" s="69">
        <f t="shared" si="100"/>
        <v>0.13727586279980133</v>
      </c>
      <c r="I254" s="69">
        <f t="shared" si="101"/>
        <v>-2.1259081307368706</v>
      </c>
      <c r="J254" s="99">
        <f t="shared" si="102"/>
        <v>1.5047746178408776E-2</v>
      </c>
      <c r="K254" s="69">
        <f t="shared" si="103"/>
        <v>5.8456023850081135E-5</v>
      </c>
      <c r="L254" s="99">
        <f t="shared" si="104"/>
        <v>1.5106202202258858E-2</v>
      </c>
      <c r="M254" s="69">
        <f t="shared" si="105"/>
        <v>9.0873841725271109</v>
      </c>
      <c r="N254" s="69">
        <f t="shared" si="106"/>
        <v>3.3669446687778399</v>
      </c>
      <c r="O254" s="69">
        <f t="shared" si="107"/>
        <v>24.526851262177701</v>
      </c>
      <c r="P254" s="69">
        <f t="shared" si="108"/>
        <v>2.4588854209815136</v>
      </c>
      <c r="Q254" s="69">
        <f t="shared" si="109"/>
        <v>-1.4734264745708465</v>
      </c>
      <c r="R254" s="43">
        <f t="shared" si="110"/>
        <v>-947.05426320986714</v>
      </c>
      <c r="S254" s="43">
        <f t="shared" si="111"/>
        <v>2077.0553595679066</v>
      </c>
      <c r="T254" s="43">
        <f>R254+Thrust!C$33*0.8</f>
        <v>864.70573679013285</v>
      </c>
      <c r="U254" s="43"/>
      <c r="V254">
        <f t="shared" si="112"/>
        <v>2383379.1996994191</v>
      </c>
      <c r="W254">
        <f t="shared" si="113"/>
        <v>-1086725.6963197279</v>
      </c>
      <c r="X254">
        <f t="shared" si="114"/>
        <v>-3470104.8960191468</v>
      </c>
      <c r="Y254">
        <f t="shared" si="115"/>
        <v>3470104.8960191468</v>
      </c>
      <c r="Z254">
        <f t="shared" si="116"/>
        <v>-7576.3047407663644</v>
      </c>
      <c r="AA254">
        <f t="shared" si="117"/>
        <v>-6.3177752007863344</v>
      </c>
      <c r="AB254">
        <f t="shared" si="118"/>
        <v>-4422.1884372058139</v>
      </c>
      <c r="AC254">
        <f t="shared" si="119"/>
        <v>-3.6826684722552492</v>
      </c>
      <c r="AD254">
        <f t="shared" si="120"/>
        <v>-3.6277689424581006</v>
      </c>
      <c r="AE254">
        <f t="shared" si="121"/>
        <v>-2466.3867110836063</v>
      </c>
      <c r="AH254">
        <v>0.55358290984169645</v>
      </c>
      <c r="AI254">
        <v>380.30653488002207</v>
      </c>
      <c r="AJ254">
        <f t="shared" si="122"/>
        <v>-1066.5638895394818</v>
      </c>
      <c r="AK254">
        <f t="shared" si="123"/>
        <v>293.99995050864521</v>
      </c>
      <c r="AN254">
        <f t="shared" si="124"/>
        <v>0</v>
      </c>
      <c r="AO254" s="43">
        <f t="shared" si="126"/>
        <v>16595</v>
      </c>
      <c r="AP254" s="43"/>
      <c r="AQ254" t="e">
        <f t="shared" si="125"/>
        <v>#DIV/0!</v>
      </c>
    </row>
    <row r="255" spans="1:43">
      <c r="A255">
        <v>293</v>
      </c>
      <c r="B255">
        <f t="shared" si="95"/>
        <v>293</v>
      </c>
      <c r="D255" s="43">
        <f t="shared" si="96"/>
        <v>682.19152877999704</v>
      </c>
      <c r="E255" s="43">
        <f t="shared" si="97"/>
        <v>1151.4095886833527</v>
      </c>
      <c r="F255" s="69">
        <f t="shared" si="98"/>
        <v>1.2112717851253347</v>
      </c>
      <c r="G255" s="98">
        <f t="shared" si="99"/>
        <v>290.77973380716736</v>
      </c>
      <c r="H255" s="69">
        <f t="shared" si="100"/>
        <v>0.1363404252322363</v>
      </c>
      <c r="I255" s="69">
        <f t="shared" si="101"/>
        <v>-2.1337850934901144</v>
      </c>
      <c r="J255" s="99">
        <f t="shared" si="102"/>
        <v>1.5047746178408776E-2</v>
      </c>
      <c r="K255" s="69">
        <f t="shared" si="103"/>
        <v>5.5558929861899365E-5</v>
      </c>
      <c r="L255" s="99">
        <f t="shared" si="104"/>
        <v>1.5103305108270676E-2</v>
      </c>
      <c r="M255" s="69">
        <f t="shared" si="105"/>
        <v>9.0271913501618481</v>
      </c>
      <c r="N255" s="69">
        <f t="shared" si="106"/>
        <v>3.3332276091129884</v>
      </c>
      <c r="O255" s="69">
        <f t="shared" si="107"/>
        <v>24.447830520077328</v>
      </c>
      <c r="P255" s="69">
        <f t="shared" si="108"/>
        <v>2.4673062614643273</v>
      </c>
      <c r="Q255" s="69">
        <f t="shared" si="109"/>
        <v>-1.4985885332159716</v>
      </c>
      <c r="R255" s="43">
        <f t="shared" si="110"/>
        <v>-959.93987155981745</v>
      </c>
      <c r="S255" s="43">
        <f t="shared" si="111"/>
        <v>2090.9050520637952</v>
      </c>
      <c r="T255" s="43">
        <f>R255+Thrust!C$33*0.8</f>
        <v>851.82012844018254</v>
      </c>
      <c r="U255" s="43"/>
      <c r="V255">
        <f t="shared" si="112"/>
        <v>2407488.1259727185</v>
      </c>
      <c r="W255">
        <f t="shared" si="113"/>
        <v>-1105283.9726734399</v>
      </c>
      <c r="X255">
        <f t="shared" si="114"/>
        <v>-3512772.0986461584</v>
      </c>
      <c r="Y255">
        <f t="shared" si="115"/>
        <v>3512772.0986461584</v>
      </c>
      <c r="Z255">
        <f t="shared" si="116"/>
        <v>-7652.9423871980462</v>
      </c>
      <c r="AA255">
        <f t="shared" si="117"/>
        <v>-6.3600750834785975</v>
      </c>
      <c r="AB255">
        <f t="shared" si="118"/>
        <v>-4535.1870588181418</v>
      </c>
      <c r="AC255">
        <f t="shared" si="119"/>
        <v>-3.763996162300181</v>
      </c>
      <c r="AD255">
        <f t="shared" si="120"/>
        <v>-3.6527718363835771</v>
      </c>
      <c r="AE255">
        <f t="shared" si="121"/>
        <v>-2491.8900033470295</v>
      </c>
      <c r="AH255">
        <v>0.48830694053953566</v>
      </c>
      <c r="AI255">
        <v>336.61253114819328</v>
      </c>
      <c r="AJ255">
        <f t="shared" si="122"/>
        <v>-1057.9115554425198</v>
      </c>
      <c r="AK255">
        <f t="shared" si="123"/>
        <v>289.61884366966211</v>
      </c>
      <c r="AN255">
        <f t="shared" si="124"/>
        <v>0</v>
      </c>
      <c r="AO255" s="43">
        <f t="shared" si="126"/>
        <v>16595</v>
      </c>
      <c r="AP255" s="43"/>
      <c r="AQ255" t="e">
        <f t="shared" si="125"/>
        <v>#DIV/0!</v>
      </c>
    </row>
    <row r="256" spans="1:43">
      <c r="A256">
        <v>294</v>
      </c>
      <c r="B256">
        <f t="shared" si="95"/>
        <v>294</v>
      </c>
      <c r="D256" s="43">
        <f t="shared" si="96"/>
        <v>684.51982751303456</v>
      </c>
      <c r="E256" s="43">
        <f t="shared" si="97"/>
        <v>1155.3393142419991</v>
      </c>
      <c r="F256" s="69">
        <f t="shared" si="98"/>
        <v>1.215405818521667</v>
      </c>
      <c r="G256" s="98">
        <f t="shared" si="99"/>
        <v>292.7679655133586</v>
      </c>
      <c r="H256" s="69">
        <f t="shared" si="100"/>
        <v>0.13541451670325155</v>
      </c>
      <c r="I256" s="69">
        <f t="shared" si="101"/>
        <v>-2.1415818158461652</v>
      </c>
      <c r="J256" s="99">
        <f t="shared" si="102"/>
        <v>1.5047746178408776E-2</v>
      </c>
      <c r="K256" s="69">
        <f t="shared" si="103"/>
        <v>5.2763852940280521E-5</v>
      </c>
      <c r="L256" s="99">
        <f t="shared" si="104"/>
        <v>1.5100510031349056E-2</v>
      </c>
      <c r="M256" s="69">
        <f t="shared" si="105"/>
        <v>8.9675458922994959</v>
      </c>
      <c r="N256" s="69">
        <f t="shared" si="106"/>
        <v>3.2999413402851614</v>
      </c>
      <c r="O256" s="69">
        <f t="shared" si="107"/>
        <v>24.369184490882013</v>
      </c>
      <c r="P256" s="69">
        <f t="shared" si="108"/>
        <v>2.475727101947141</v>
      </c>
      <c r="Q256" s="69">
        <f t="shared" si="109"/>
        <v>-1.5238856454084759</v>
      </c>
      <c r="R256" s="43">
        <f t="shared" si="110"/>
        <v>-972.82403871837676</v>
      </c>
      <c r="S256" s="43">
        <f t="shared" si="111"/>
        <v>2104.8122002038613</v>
      </c>
      <c r="T256" s="43">
        <f>R256+Thrust!C$33*0.8</f>
        <v>838.93596128162324</v>
      </c>
      <c r="U256" s="43"/>
      <c r="V256">
        <f t="shared" si="112"/>
        <v>2431772.2839917224</v>
      </c>
      <c r="W256">
        <f t="shared" si="113"/>
        <v>-1123941.8577710213</v>
      </c>
      <c r="X256">
        <f t="shared" si="114"/>
        <v>-3555714.1417627437</v>
      </c>
      <c r="Y256">
        <f t="shared" si="115"/>
        <v>3555714.1417627437</v>
      </c>
      <c r="Z256">
        <f t="shared" si="116"/>
        <v>-7730.1370616955401</v>
      </c>
      <c r="AA256">
        <f t="shared" si="117"/>
        <v>-6.402553950683509</v>
      </c>
      <c r="AB256">
        <f t="shared" si="118"/>
        <v>-4649.0593455628914</v>
      </c>
      <c r="AC256">
        <f t="shared" si="119"/>
        <v>-3.8455018653569879</v>
      </c>
      <c r="AD256">
        <f t="shared" si="120"/>
        <v>-3.677339850514902</v>
      </c>
      <c r="AE256">
        <f t="shared" si="121"/>
        <v>-2517.212040181269</v>
      </c>
      <c r="AH256">
        <v>0.42283724747021673</v>
      </c>
      <c r="AI256">
        <v>292.47694970350921</v>
      </c>
      <c r="AJ256">
        <f t="shared" si="122"/>
        <v>-1048.9178984333196</v>
      </c>
      <c r="AK256">
        <f t="shared" si="123"/>
        <v>285.2382268357519</v>
      </c>
      <c r="AN256">
        <f t="shared" si="124"/>
        <v>0</v>
      </c>
      <c r="AO256" s="43">
        <f t="shared" si="126"/>
        <v>16595</v>
      </c>
      <c r="AP256" s="43"/>
      <c r="AQ256" t="e">
        <f t="shared" si="125"/>
        <v>#DIV/0!</v>
      </c>
    </row>
    <row r="257" spans="1:43">
      <c r="A257">
        <v>295</v>
      </c>
      <c r="B257">
        <f t="shared" si="95"/>
        <v>295</v>
      </c>
      <c r="D257" s="43">
        <f t="shared" si="96"/>
        <v>686.84812624607207</v>
      </c>
      <c r="E257" s="43">
        <f t="shared" si="97"/>
        <v>1159.2690398006453</v>
      </c>
      <c r="F257" s="69">
        <f t="shared" si="98"/>
        <v>1.2195398519179992</v>
      </c>
      <c r="G257" s="98">
        <f t="shared" si="99"/>
        <v>294.76297143319948</v>
      </c>
      <c r="H257" s="69">
        <f t="shared" si="100"/>
        <v>0.13449800822478888</v>
      </c>
      <c r="I257" s="69">
        <f t="shared" si="101"/>
        <v>-2.1492993839642338</v>
      </c>
      <c r="J257" s="99">
        <f t="shared" si="102"/>
        <v>1.5047746178408776E-2</v>
      </c>
      <c r="K257" s="69">
        <f t="shared" si="103"/>
        <v>5.0068191561420042E-5</v>
      </c>
      <c r="L257" s="99">
        <f t="shared" si="104"/>
        <v>1.5097814369970196E-2</v>
      </c>
      <c r="M257" s="69">
        <f t="shared" si="105"/>
        <v>8.9084423035633336</v>
      </c>
      <c r="N257" s="69">
        <f t="shared" si="106"/>
        <v>3.2670794659977802</v>
      </c>
      <c r="O257" s="69">
        <f t="shared" si="107"/>
        <v>24.290913368303951</v>
      </c>
      <c r="P257" s="69">
        <f t="shared" si="108"/>
        <v>2.4841479424299542</v>
      </c>
      <c r="Q257" s="69">
        <f t="shared" si="109"/>
        <v>-1.5493178111483594</v>
      </c>
      <c r="R257" s="43">
        <f t="shared" si="110"/>
        <v>-985.70677934172875</v>
      </c>
      <c r="S257" s="43">
        <f t="shared" si="111"/>
        <v>2118.776701562078</v>
      </c>
      <c r="T257" s="43">
        <f>R257+Thrust!C$33*0.8</f>
        <v>826.05322065827124</v>
      </c>
      <c r="U257" s="43"/>
      <c r="V257">
        <f t="shared" si="112"/>
        <v>2456232.2323718485</v>
      </c>
      <c r="W257">
        <f t="shared" si="113"/>
        <v>-1142699.3516124724</v>
      </c>
      <c r="X257">
        <f t="shared" si="114"/>
        <v>-3598931.583984321</v>
      </c>
      <c r="Y257">
        <f t="shared" si="115"/>
        <v>3598931.583984321</v>
      </c>
      <c r="Z257">
        <f t="shared" si="116"/>
        <v>-7807.8905399899832</v>
      </c>
      <c r="AA257">
        <f t="shared" si="117"/>
        <v>-6.4452115573858446</v>
      </c>
      <c r="AB257">
        <f t="shared" si="118"/>
        <v>-4763.8070731711914</v>
      </c>
      <c r="AC257">
        <f t="shared" si="119"/>
        <v>-3.9271855298613896</v>
      </c>
      <c r="AD257">
        <f t="shared" si="120"/>
        <v>-3.7014797835093058</v>
      </c>
      <c r="AE257">
        <f t="shared" si="121"/>
        <v>-2542.3544536410827</v>
      </c>
      <c r="AH257">
        <v>0.35717395579061106</v>
      </c>
      <c r="AI257">
        <v>247.89856128994128</v>
      </c>
      <c r="AJ257">
        <f t="shared" si="122"/>
        <v>-1039.5905607655766</v>
      </c>
      <c r="AK257">
        <f t="shared" si="123"/>
        <v>280.85809502381227</v>
      </c>
      <c r="AN257">
        <f t="shared" ref="AN257:AN288" si="127">AM257*190</f>
        <v>0</v>
      </c>
      <c r="AO257" s="43">
        <f t="shared" si="126"/>
        <v>16595</v>
      </c>
      <c r="AP257" s="43"/>
      <c r="AQ257" t="e">
        <f t="shared" si="125"/>
        <v>#DIV/0!</v>
      </c>
    </row>
    <row r="258" spans="1:43">
      <c r="A258">
        <v>296</v>
      </c>
      <c r="B258">
        <f t="shared" si="95"/>
        <v>296</v>
      </c>
      <c r="D258" s="43">
        <f t="shared" si="96"/>
        <v>689.17642497910958</v>
      </c>
      <c r="E258" s="43">
        <f t="shared" si="97"/>
        <v>1163.1987653592914</v>
      </c>
      <c r="F258" s="69">
        <f t="shared" si="98"/>
        <v>1.2236738853143312</v>
      </c>
      <c r="G258" s="98">
        <f t="shared" si="99"/>
        <v>296.76475156668999</v>
      </c>
      <c r="H258" s="69">
        <f t="shared" si="100"/>
        <v>0.13359077298395564</v>
      </c>
      <c r="I258" s="69">
        <f t="shared" si="101"/>
        <v>-2.156938865687291</v>
      </c>
      <c r="J258" s="99">
        <f t="shared" si="102"/>
        <v>1.5047746178408776E-2</v>
      </c>
      <c r="K258" s="69">
        <f t="shared" si="103"/>
        <v>4.746941264663438E-5</v>
      </c>
      <c r="L258" s="99">
        <f t="shared" si="104"/>
        <v>1.5095215591055412E-2</v>
      </c>
      <c r="M258" s="69">
        <f t="shared" si="105"/>
        <v>8.849875126203175</v>
      </c>
      <c r="N258" s="69">
        <f t="shared" si="106"/>
        <v>3.2346356901432252</v>
      </c>
      <c r="O258" s="69">
        <f t="shared" si="107"/>
        <v>24.213017245822119</v>
      </c>
      <c r="P258" s="69">
        <f t="shared" si="108"/>
        <v>2.4925687829127674</v>
      </c>
      <c r="Q258" s="69">
        <f t="shared" si="109"/>
        <v>-1.5748850304356221</v>
      </c>
      <c r="R258" s="43">
        <f t="shared" si="110"/>
        <v>-998.58810788800042</v>
      </c>
      <c r="S258" s="43">
        <f t="shared" si="111"/>
        <v>2132.7984554396603</v>
      </c>
      <c r="T258" s="43">
        <f>R258+Thrust!C$33*0.8</f>
        <v>813.17189211199957</v>
      </c>
      <c r="U258" s="43"/>
      <c r="V258">
        <f t="shared" si="112"/>
        <v>2480868.5301276166</v>
      </c>
      <c r="W258">
        <f t="shared" si="113"/>
        <v>-1161556.454197793</v>
      </c>
      <c r="X258">
        <f t="shared" si="114"/>
        <v>-3642424.9843254099</v>
      </c>
      <c r="Y258">
        <f t="shared" si="115"/>
        <v>3642424.9843254099</v>
      </c>
      <c r="Z258">
        <f t="shared" si="116"/>
        <v>-7886.2045990811648</v>
      </c>
      <c r="AA258">
        <f t="shared" si="117"/>
        <v>-6.4880476645434104</v>
      </c>
      <c r="AB258">
        <f t="shared" si="118"/>
        <v>-4879.4320186428386</v>
      </c>
      <c r="AC258">
        <f t="shared" si="119"/>
        <v>-4.0090471111441941</v>
      </c>
      <c r="AD258">
        <f t="shared" si="120"/>
        <v>-3.7251983263254203</v>
      </c>
      <c r="AE258">
        <f t="shared" si="121"/>
        <v>-2567.3188648751157</v>
      </c>
      <c r="AH258">
        <v>0.29131718552111618</v>
      </c>
      <c r="AI258">
        <v>202.87613605967564</v>
      </c>
      <c r="AJ258">
        <f t="shared" si="122"/>
        <v>-1029.9370343135688</v>
      </c>
      <c r="AK258">
        <f t="shared" si="123"/>
        <v>276.47844331807988</v>
      </c>
      <c r="AN258">
        <f t="shared" si="127"/>
        <v>0</v>
      </c>
      <c r="AO258" s="43">
        <f t="shared" si="126"/>
        <v>16595</v>
      </c>
      <c r="AP258" s="43"/>
      <c r="AQ258" t="e">
        <f t="shared" si="125"/>
        <v>#DIV/0!</v>
      </c>
    </row>
    <row r="259" spans="1:43">
      <c r="A259">
        <v>297</v>
      </c>
      <c r="B259">
        <f t="shared" si="95"/>
        <v>297</v>
      </c>
      <c r="D259" s="43">
        <f t="shared" si="96"/>
        <v>691.5047237121471</v>
      </c>
      <c r="E259" s="43">
        <f t="shared" si="97"/>
        <v>1167.1284909179376</v>
      </c>
      <c r="F259" s="69">
        <f t="shared" si="98"/>
        <v>1.2278079187106632</v>
      </c>
      <c r="G259" s="98">
        <f t="shared" si="99"/>
        <v>298.77330591383031</v>
      </c>
      <c r="H259" s="69">
        <f t="shared" si="100"/>
        <v>0.13269268629915607</v>
      </c>
      <c r="I259" s="69">
        <f t="shared" si="101"/>
        <v>-2.1645013109114708</v>
      </c>
      <c r="J259" s="99">
        <f t="shared" si="102"/>
        <v>1.5047746178408776E-2</v>
      </c>
      <c r="K259" s="69">
        <f t="shared" si="103"/>
        <v>4.4965049606653624E-5</v>
      </c>
      <c r="L259" s="99">
        <f t="shared" si="104"/>
        <v>1.5092711228015429E-2</v>
      </c>
      <c r="M259" s="69">
        <f t="shared" si="105"/>
        <v>8.7918389409617088</v>
      </c>
      <c r="N259" s="69">
        <f t="shared" si="106"/>
        <v>3.2026038154317495</v>
      </c>
      <c r="O259" s="69">
        <f t="shared" si="107"/>
        <v>24.135496120799516</v>
      </c>
      <c r="P259" s="69">
        <f t="shared" si="108"/>
        <v>2.5009896233955806</v>
      </c>
      <c r="Q259" s="69">
        <f t="shared" si="109"/>
        <v>-1.6005873032702631</v>
      </c>
      <c r="R259" s="43">
        <f t="shared" si="110"/>
        <v>-1011.4680386205962</v>
      </c>
      <c r="S259" s="43">
        <f t="shared" si="111"/>
        <v>2146.8773628302306</v>
      </c>
      <c r="T259" s="43">
        <f>R259+Thrust!C$33*0.8</f>
        <v>800.2919613794038</v>
      </c>
      <c r="U259" s="43"/>
      <c r="V259">
        <f t="shared" si="112"/>
        <v>2505681.7366659287</v>
      </c>
      <c r="W259">
        <f t="shared" si="113"/>
        <v>-1180513.1655269826</v>
      </c>
      <c r="X259">
        <f t="shared" si="114"/>
        <v>-3686194.9021929111</v>
      </c>
      <c r="Y259">
        <f t="shared" si="115"/>
        <v>3686194.9021929111</v>
      </c>
      <c r="Z259">
        <f t="shared" si="116"/>
        <v>-7965.0810172161964</v>
      </c>
      <c r="AA259">
        <f t="shared" si="117"/>
        <v>-6.5310620389870762</v>
      </c>
      <c r="AB259">
        <f t="shared" si="118"/>
        <v>-4995.9359602249397</v>
      </c>
      <c r="AC259">
        <f t="shared" si="119"/>
        <v>-4.091086571348912</v>
      </c>
      <c r="AD259">
        <f t="shared" si="120"/>
        <v>-3.748502063716836</v>
      </c>
      <c r="AE259">
        <f t="shared" si="121"/>
        <v>-2592.106883904924</v>
      </c>
      <c r="AH259">
        <v>0.22526705161154192</v>
      </c>
      <c r="AI259">
        <v>157.40844358307575</v>
      </c>
      <c r="AJ259">
        <f t="shared" si="122"/>
        <v>-1019.9646633942745</v>
      </c>
      <c r="AK259">
        <f t="shared" si="123"/>
        <v>272.09926686899729</v>
      </c>
      <c r="AN259">
        <f t="shared" si="127"/>
        <v>0</v>
      </c>
      <c r="AO259" s="43">
        <f t="shared" si="126"/>
        <v>16595</v>
      </c>
      <c r="AP259" s="43"/>
      <c r="AQ259" t="e">
        <f t="shared" si="125"/>
        <v>#DIV/0!</v>
      </c>
    </row>
    <row r="260" spans="1:43">
      <c r="A260">
        <v>298</v>
      </c>
      <c r="B260">
        <f t="shared" si="95"/>
        <v>298</v>
      </c>
      <c r="D260" s="43">
        <f t="shared" si="96"/>
        <v>693.83302244518461</v>
      </c>
      <c r="E260" s="43">
        <f t="shared" si="97"/>
        <v>1171.058216476584</v>
      </c>
      <c r="F260" s="69">
        <f t="shared" si="98"/>
        <v>1.2319419521069956</v>
      </c>
      <c r="G260" s="98">
        <f t="shared" si="99"/>
        <v>300.78863447462044</v>
      </c>
      <c r="H260" s="69">
        <f t="shared" si="100"/>
        <v>0.13180362557725162</v>
      </c>
      <c r="I260" s="69">
        <f t="shared" si="101"/>
        <v>-2.1719877519468067</v>
      </c>
      <c r="J260" s="99">
        <f t="shared" si="102"/>
        <v>1.5047746178408776E-2</v>
      </c>
      <c r="K260" s="69">
        <f t="shared" si="103"/>
        <v>4.2552700447117797E-5</v>
      </c>
      <c r="L260" s="99">
        <f t="shared" si="104"/>
        <v>1.5090298878855895E-2</v>
      </c>
      <c r="M260" s="69">
        <f t="shared" si="105"/>
        <v>8.7343283678715711</v>
      </c>
      <c r="N260" s="69">
        <f t="shared" si="106"/>
        <v>3.1709777420228193</v>
      </c>
      <c r="O260" s="69">
        <f t="shared" si="107"/>
        <v>24.058349898457628</v>
      </c>
      <c r="P260" s="69">
        <f t="shared" si="108"/>
        <v>2.5094104638783943</v>
      </c>
      <c r="Q260" s="69">
        <f t="shared" si="109"/>
        <v>-1.6264246296522868</v>
      </c>
      <c r="R260" s="43">
        <f t="shared" si="110"/>
        <v>-1024.3465856114681</v>
      </c>
      <c r="S260" s="43">
        <f t="shared" si="111"/>
        <v>2161.0133263857997</v>
      </c>
      <c r="T260" s="43">
        <f>R260+Thrust!C$33*0.8</f>
        <v>787.41341438853192</v>
      </c>
      <c r="U260" s="43"/>
      <c r="V260">
        <f t="shared" si="112"/>
        <v>2530672.4117794847</v>
      </c>
      <c r="W260">
        <f t="shared" si="113"/>
        <v>-1199569.4856000443</v>
      </c>
      <c r="X260">
        <f t="shared" si="114"/>
        <v>-3730241.8973795287</v>
      </c>
      <c r="Y260">
        <f t="shared" si="115"/>
        <v>3730241.8973795287</v>
      </c>
      <c r="Z260">
        <f t="shared" si="116"/>
        <v>-8044.521573868562</v>
      </c>
      <c r="AA260">
        <f t="shared" si="117"/>
        <v>-6.5742544533233227</v>
      </c>
      <c r="AB260">
        <f t="shared" si="118"/>
        <v>-5113.3206773909824</v>
      </c>
      <c r="AC260">
        <f t="shared" si="119"/>
        <v>-4.1733038793518222</v>
      </c>
      <c r="AD260">
        <f t="shared" si="120"/>
        <v>-3.7713974757215851</v>
      </c>
      <c r="AE260">
        <f t="shared" si="121"/>
        <v>-2616.7201094220477</v>
      </c>
      <c r="AH260">
        <v>0.15902366400508514</v>
      </c>
      <c r="AI260">
        <v>111.49425285843915</v>
      </c>
      <c r="AJ260">
        <f t="shared" si="122"/>
        <v>-1009.6806475472362</v>
      </c>
      <c r="AK260">
        <f t="shared" si="123"/>
        <v>267.72056089210088</v>
      </c>
      <c r="AN260">
        <f t="shared" si="127"/>
        <v>0</v>
      </c>
      <c r="AO260" s="43">
        <f t="shared" si="126"/>
        <v>16595</v>
      </c>
      <c r="AP260" s="43"/>
      <c r="AQ260" t="e">
        <f t="shared" si="125"/>
        <v>#DIV/0!</v>
      </c>
    </row>
    <row r="261" spans="1:43">
      <c r="A261">
        <v>299</v>
      </c>
      <c r="B261">
        <f t="shared" si="95"/>
        <v>299</v>
      </c>
      <c r="D261" s="43">
        <f t="shared" si="96"/>
        <v>696.16132117822224</v>
      </c>
      <c r="E261" s="43">
        <f t="shared" si="97"/>
        <v>1174.9879420352304</v>
      </c>
      <c r="F261" s="69">
        <f t="shared" si="98"/>
        <v>1.2360759855033281</v>
      </c>
      <c r="G261" s="98">
        <f t="shared" si="99"/>
        <v>302.81073724906025</v>
      </c>
      <c r="H261" s="69">
        <f t="shared" si="100"/>
        <v>0.13092347027172235</v>
      </c>
      <c r="I261" s="69">
        <f t="shared" si="101"/>
        <v>-2.1793992038695373</v>
      </c>
      <c r="J261" s="99">
        <f t="shared" si="102"/>
        <v>1.5047746178408776E-2</v>
      </c>
      <c r="K261" s="69">
        <f t="shared" si="103"/>
        <v>4.0230025933182521E-5</v>
      </c>
      <c r="L261" s="99">
        <f t="shared" si="104"/>
        <v>1.5087976204341959E-2</v>
      </c>
      <c r="M261" s="69">
        <f t="shared" si="105"/>
        <v>8.6773380669864597</v>
      </c>
      <c r="N261" s="69">
        <f t="shared" si="106"/>
        <v>3.1397514661600838</v>
      </c>
      <c r="O261" s="69">
        <f t="shared" si="107"/>
        <v>23.981578395712805</v>
      </c>
      <c r="P261" s="69">
        <f t="shared" si="108"/>
        <v>2.5178313043612079</v>
      </c>
      <c r="Q261" s="69">
        <f t="shared" si="109"/>
        <v>-1.6523970095816889</v>
      </c>
      <c r="R261" s="43">
        <f t="shared" si="110"/>
        <v>-1037.2237627443099</v>
      </c>
      <c r="S261" s="43">
        <f t="shared" si="111"/>
        <v>2175.2062503835432</v>
      </c>
      <c r="T261" s="43">
        <f>R261+Thrust!C$33*0.8</f>
        <v>774.53623725569014</v>
      </c>
      <c r="U261" s="43"/>
      <c r="V261">
        <f t="shared" si="112"/>
        <v>2555841.1156403297</v>
      </c>
      <c r="W261">
        <f t="shared" si="113"/>
        <v>-1218725.4144169746</v>
      </c>
      <c r="X261">
        <f t="shared" si="114"/>
        <v>-3774566.5300573045</v>
      </c>
      <c r="Y261">
        <f t="shared" si="115"/>
        <v>3774566.5300573045</v>
      </c>
      <c r="Z261">
        <f t="shared" si="116"/>
        <v>-8124.5280497176045</v>
      </c>
      <c r="AA261">
        <f t="shared" si="117"/>
        <v>-6.6176246858392238</v>
      </c>
      <c r="AB261">
        <f t="shared" si="118"/>
        <v>-5231.5879508203079</v>
      </c>
      <c r="AC261">
        <f t="shared" si="119"/>
        <v>-4.2556990106844301</v>
      </c>
      <c r="AD261">
        <f t="shared" si="120"/>
        <v>-3.7938909391463471</v>
      </c>
      <c r="AE261">
        <f t="shared" si="121"/>
        <v>-2641.1601286022069</v>
      </c>
      <c r="AH261">
        <v>9.258712770047843E-2</v>
      </c>
      <c r="AI261">
        <v>65.132332321579639</v>
      </c>
      <c r="AJ261">
        <f t="shared" si="122"/>
        <v>-999.0920442720552</v>
      </c>
      <c r="AK261">
        <f t="shared" si="123"/>
        <v>263.34232066693465</v>
      </c>
      <c r="AN261">
        <f t="shared" si="127"/>
        <v>0</v>
      </c>
      <c r="AO261" s="43">
        <f t="shared" si="126"/>
        <v>16595</v>
      </c>
      <c r="AP261" s="43"/>
      <c r="AQ261" t="e">
        <f t="shared" si="125"/>
        <v>#DIV/0!</v>
      </c>
    </row>
    <row r="262" spans="1:43">
      <c r="A262">
        <v>300</v>
      </c>
      <c r="B262">
        <f t="shared" si="95"/>
        <v>300</v>
      </c>
      <c r="D262" s="43">
        <f t="shared" si="96"/>
        <v>698.48961991125975</v>
      </c>
      <c r="E262" s="43">
        <f t="shared" si="97"/>
        <v>1178.9176675938766</v>
      </c>
      <c r="F262" s="69">
        <f t="shared" si="98"/>
        <v>1.2402100188996601</v>
      </c>
      <c r="G262" s="98">
        <f t="shared" si="99"/>
        <v>304.8396142371497</v>
      </c>
      <c r="H262" s="69">
        <f t="shared" si="100"/>
        <v>0.1300521018418028</v>
      </c>
      <c r="I262" s="69">
        <f t="shared" si="101"/>
        <v>-2.1867366648662081</v>
      </c>
      <c r="J262" s="99">
        <f t="shared" si="102"/>
        <v>1.5047746178408776E-2</v>
      </c>
      <c r="K262" s="69">
        <f t="shared" si="103"/>
        <v>3.7994747811218361E-5</v>
      </c>
      <c r="L262" s="99">
        <f t="shared" si="104"/>
        <v>1.5085740926219995E-2</v>
      </c>
      <c r="M262" s="69">
        <f t="shared" si="105"/>
        <v>8.6208627390494179</v>
      </c>
      <c r="N262" s="69">
        <f t="shared" si="106"/>
        <v>3.1089190788109726</v>
      </c>
      <c r="O262" s="69">
        <f t="shared" si="107"/>
        <v>23.905181344879043</v>
      </c>
      <c r="P262" s="69">
        <f t="shared" si="108"/>
        <v>2.5262521448440212</v>
      </c>
      <c r="Q262" s="69">
        <f t="shared" si="109"/>
        <v>-1.6785044430584701</v>
      </c>
      <c r="R262" s="43">
        <f t="shared" si="110"/>
        <v>-1050.0995837177027</v>
      </c>
      <c r="S262" s="43">
        <f t="shared" si="111"/>
        <v>2189.4560406933538</v>
      </c>
      <c r="T262" s="43">
        <f>R262+Thrust!C$33*0.8</f>
        <v>761.66041628229732</v>
      </c>
      <c r="U262" s="43"/>
      <c r="V262">
        <f t="shared" si="112"/>
        <v>2581188.4087935323</v>
      </c>
      <c r="W262">
        <f t="shared" si="113"/>
        <v>-1237980.9519777747</v>
      </c>
      <c r="X262">
        <f t="shared" si="114"/>
        <v>-3819169.3607713068</v>
      </c>
      <c r="Y262">
        <f t="shared" si="115"/>
        <v>3819169.3607713068</v>
      </c>
      <c r="Z262">
        <f t="shared" si="116"/>
        <v>-8205.1022266284472</v>
      </c>
      <c r="AA262">
        <f t="shared" si="117"/>
        <v>-6.6611725204098633</v>
      </c>
      <c r="AB262">
        <f t="shared" si="118"/>
        <v>-5350.7395623780403</v>
      </c>
      <c r="AC262">
        <f t="shared" si="119"/>
        <v>-4.3382719474582982</v>
      </c>
      <c r="AD262">
        <f t="shared" si="120"/>
        <v>-3.8159887290444168</v>
      </c>
      <c r="AE262">
        <f t="shared" si="121"/>
        <v>-2665.4285169358859</v>
      </c>
      <c r="AH262">
        <v>2.5957542812278956E-2</v>
      </c>
      <c r="AI262">
        <v>18.321449855180738</v>
      </c>
      <c r="AJ262">
        <f t="shared" si="122"/>
        <v>-988.2057717234585</v>
      </c>
      <c r="AK262">
        <f t="shared" si="123"/>
        <v>258.96454153598108</v>
      </c>
      <c r="AN262">
        <f t="shared" si="127"/>
        <v>0</v>
      </c>
      <c r="AO262" s="43">
        <f t="shared" si="126"/>
        <v>16595</v>
      </c>
      <c r="AP262" s="43"/>
      <c r="AQ262" t="e">
        <f t="shared" si="125"/>
        <v>#DIV/0!</v>
      </c>
    </row>
    <row r="263" spans="1:43">
      <c r="A263">
        <v>301</v>
      </c>
      <c r="B263">
        <f t="shared" si="95"/>
        <v>301</v>
      </c>
      <c r="D263" s="43">
        <f t="shared" si="96"/>
        <v>700.81791864429727</v>
      </c>
      <c r="E263" s="43">
        <f t="shared" si="97"/>
        <v>1182.8473931525227</v>
      </c>
      <c r="F263" s="69">
        <f t="shared" si="98"/>
        <v>1.2443440522959923</v>
      </c>
      <c r="G263" s="98">
        <f t="shared" si="99"/>
        <v>306.87526543888885</v>
      </c>
      <c r="H263" s="69">
        <f t="shared" si="100"/>
        <v>0.12918940371256671</v>
      </c>
      <c r="I263" s="69">
        <f t="shared" si="101"/>
        <v>-2.1940011165697837</v>
      </c>
      <c r="J263" s="99">
        <f t="shared" si="102"/>
        <v>1.5047746178408776E-2</v>
      </c>
      <c r="K263" s="69">
        <f t="shared" si="103"/>
        <v>3.584464708566398E-5</v>
      </c>
      <c r="L263" s="99">
        <f t="shared" si="104"/>
        <v>1.5083590825494441E-2</v>
      </c>
      <c r="M263" s="69">
        <f t="shared" si="105"/>
        <v>8.5648971261013944</v>
      </c>
      <c r="N263" s="69">
        <f t="shared" si="106"/>
        <v>3.0784747643119355</v>
      </c>
      <c r="O263" s="69">
        <f t="shared" si="107"/>
        <v>23.829158397241539</v>
      </c>
      <c r="P263" s="69">
        <f t="shared" si="108"/>
        <v>2.5346729853268344</v>
      </c>
      <c r="Q263" s="69">
        <f t="shared" si="109"/>
        <v>-1.7047469300826315</v>
      </c>
      <c r="R263" s="43">
        <f t="shared" si="110"/>
        <v>-1062.9740620481859</v>
      </c>
      <c r="S263" s="43">
        <f t="shared" si="111"/>
        <v>2203.7626047461472</v>
      </c>
      <c r="T263" s="43">
        <f>R263+Thrust!C$33*0.8</f>
        <v>748.78593795181405</v>
      </c>
      <c r="V263">
        <f t="shared" si="112"/>
        <v>2606714.8521509934</v>
      </c>
      <c r="W263">
        <f t="shared" si="113"/>
        <v>-1257336.0982824448</v>
      </c>
      <c r="X263">
        <f t="shared" si="114"/>
        <v>-3864050.9504334382</v>
      </c>
      <c r="Y263">
        <f t="shared" si="115"/>
        <v>3864050.9504334382</v>
      </c>
      <c r="Z263">
        <f t="shared" si="116"/>
        <v>-8286.245887632298</v>
      </c>
      <c r="AA263">
        <f t="shared" si="117"/>
        <v>-6.7048977464080286</v>
      </c>
      <c r="AB263">
        <f t="shared" si="118"/>
        <v>-5470.7772950953859</v>
      </c>
      <c r="AC263">
        <f t="shared" si="119"/>
        <v>-4.4210226782921538</v>
      </c>
      <c r="AD263">
        <f t="shared" si="120"/>
        <v>-3.8376970201863787</v>
      </c>
      <c r="AE263">
        <f t="shared" si="121"/>
        <v>-2689.5268380744392</v>
      </c>
      <c r="AH263">
        <v>2.5957542812278956E-2</v>
      </c>
      <c r="AI263">
        <v>18.321449855180738</v>
      </c>
      <c r="AJ263">
        <f t="shared" si="122"/>
        <v>-977.02861136394745</v>
      </c>
      <c r="AK263">
        <f t="shared" si="123"/>
        <v>254.58721890361679</v>
      </c>
      <c r="AN263">
        <f t="shared" si="127"/>
        <v>0</v>
      </c>
      <c r="AO263" s="43">
        <f t="shared" si="126"/>
        <v>16595</v>
      </c>
      <c r="AP263" s="43"/>
      <c r="AQ263" t="e">
        <f t="shared" si="125"/>
        <v>#DIV/0!</v>
      </c>
    </row>
    <row r="264" spans="1:43">
      <c r="A264">
        <v>302</v>
      </c>
      <c r="B264">
        <f t="shared" si="95"/>
        <v>302</v>
      </c>
      <c r="D264" s="43">
        <f t="shared" si="96"/>
        <v>703.14621737733478</v>
      </c>
      <c r="E264" s="43">
        <f t="shared" si="97"/>
        <v>1186.7771187111689</v>
      </c>
      <c r="F264" s="69">
        <f t="shared" si="98"/>
        <v>1.2484780856923243</v>
      </c>
      <c r="G264" s="98">
        <f t="shared" si="99"/>
        <v>308.91769085427768</v>
      </c>
      <c r="H264" s="69">
        <f t="shared" si="100"/>
        <v>0.12833526123593547</v>
      </c>
      <c r="I264" s="69">
        <f t="shared" si="101"/>
        <v>-2.2011935243879783</v>
      </c>
      <c r="J264" s="99">
        <f t="shared" si="102"/>
        <v>1.5047746178408776E-2</v>
      </c>
      <c r="K264" s="69">
        <f t="shared" si="103"/>
        <v>3.3777562349163369E-5</v>
      </c>
      <c r="L264" s="99">
        <f t="shared" si="104"/>
        <v>1.5081523740757941E-2</v>
      </c>
      <c r="M264" s="69">
        <f t="shared" si="105"/>
        <v>8.509436012032948</v>
      </c>
      <c r="N264" s="69">
        <f t="shared" si="106"/>
        <v>3.0484127990202441</v>
      </c>
      <c r="O264" s="69">
        <f t="shared" si="107"/>
        <v>23.753509126505378</v>
      </c>
      <c r="P264" s="69">
        <f t="shared" si="108"/>
        <v>2.5430938258096476</v>
      </c>
      <c r="Q264" s="69">
        <f t="shared" si="109"/>
        <v>-1.7311244706541711</v>
      </c>
      <c r="R264" s="43">
        <f t="shared" si="110"/>
        <v>-1075.8472110732716</v>
      </c>
      <c r="S264" s="43">
        <f t="shared" si="111"/>
        <v>2218.1258515028976</v>
      </c>
      <c r="T264" s="43">
        <f>R264+Thrust!C$33*0.8</f>
        <v>735.91278892672835</v>
      </c>
      <c r="V264">
        <f t="shared" si="112"/>
        <v>2632421.0069853668</v>
      </c>
      <c r="W264">
        <f t="shared" si="113"/>
        <v>-1276790.853330984</v>
      </c>
      <c r="X264">
        <f t="shared" si="114"/>
        <v>-3909211.8603163511</v>
      </c>
      <c r="Y264">
        <f t="shared" si="115"/>
        <v>3909211.8603163511</v>
      </c>
      <c r="Z264">
        <f t="shared" si="116"/>
        <v>-8367.9608169071253</v>
      </c>
      <c r="AA264">
        <f t="shared" si="117"/>
        <v>-6.7488001586161968</v>
      </c>
      <c r="AB264">
        <f t="shared" si="118"/>
        <v>-5591.7029331503163</v>
      </c>
      <c r="AC264">
        <f t="shared" si="119"/>
        <v>-4.5039511982412126</v>
      </c>
      <c r="AD264">
        <f t="shared" si="120"/>
        <v>-3.8590218885225935</v>
      </c>
      <c r="AE264">
        <f t="shared" si="121"/>
        <v>-2713.4566436910004</v>
      </c>
      <c r="AH264">
        <v>2.5957542812278956E-2</v>
      </c>
      <c r="AI264">
        <v>18.321449855180738</v>
      </c>
      <c r="AJ264">
        <f t="shared" si="122"/>
        <v>-965.56721057406378</v>
      </c>
      <c r="AK264">
        <f t="shared" si="123"/>
        <v>250.21034823508765</v>
      </c>
      <c r="AN264">
        <f t="shared" si="127"/>
        <v>0</v>
      </c>
      <c r="AO264" s="43">
        <f t="shared" si="126"/>
        <v>16595</v>
      </c>
      <c r="AP264" s="43"/>
      <c r="AQ264" t="e">
        <f t="shared" ref="AQ264:AQ295" si="128">((325.9*Q449)/($J$12))*M449*LN(AO264/AP264)</f>
        <v>#DIV/0!</v>
      </c>
    </row>
    <row r="265" spans="1:43">
      <c r="A265">
        <v>303</v>
      </c>
      <c r="B265">
        <f t="shared" si="95"/>
        <v>303</v>
      </c>
      <c r="D265" s="43">
        <f t="shared" si="96"/>
        <v>705.47451611037229</v>
      </c>
      <c r="E265" s="43">
        <f t="shared" si="97"/>
        <v>1190.7068442698153</v>
      </c>
      <c r="F265" s="69">
        <f t="shared" si="98"/>
        <v>1.2526121190886568</v>
      </c>
      <c r="G265" s="98">
        <f t="shared" si="99"/>
        <v>310.96689048331638</v>
      </c>
      <c r="H265" s="69">
        <f t="shared" si="100"/>
        <v>0.12748956165258585</v>
      </c>
      <c r="I265" s="69">
        <f t="shared" si="101"/>
        <v>-2.20831483782402</v>
      </c>
      <c r="J265" s="99">
        <f t="shared" si="102"/>
        <v>1.5047746178408776E-2</v>
      </c>
      <c r="K265" s="69">
        <f t="shared" si="103"/>
        <v>3.1791388164187216E-5</v>
      </c>
      <c r="L265" s="99">
        <f t="shared" si="104"/>
        <v>1.5079537566572964E-2</v>
      </c>
      <c r="M265" s="69">
        <f t="shared" si="105"/>
        <v>8.4544742230818706</v>
      </c>
      <c r="N265" s="69">
        <f t="shared" si="106"/>
        <v>3.018727549973184</v>
      </c>
      <c r="O265" s="69">
        <f t="shared" si="107"/>
        <v>23.678233032123345</v>
      </c>
      <c r="P265" s="69">
        <f t="shared" si="108"/>
        <v>2.5515146662924613</v>
      </c>
      <c r="Q265" s="69">
        <f t="shared" si="109"/>
        <v>-1.7576370647730917</v>
      </c>
      <c r="R265" s="43">
        <f t="shared" si="110"/>
        <v>-1088.7190439543997</v>
      </c>
      <c r="S265" s="43">
        <f t="shared" si="111"/>
        <v>2232.5456914243905</v>
      </c>
      <c r="T265" s="43">
        <f>R265+Thrust!C$33*0.8</f>
        <v>723.0409560456003</v>
      </c>
      <c r="V265">
        <f t="shared" si="112"/>
        <v>2658307.4349241089</v>
      </c>
      <c r="W265">
        <f t="shared" si="113"/>
        <v>-1296345.2171233937</v>
      </c>
      <c r="X265">
        <f t="shared" si="114"/>
        <v>-3954652.6520475028</v>
      </c>
      <c r="Y265">
        <f t="shared" si="115"/>
        <v>3954652.6520475028</v>
      </c>
      <c r="Z265">
        <f t="shared" si="116"/>
        <v>-8450.2487997587559</v>
      </c>
      <c r="AA265">
        <f t="shared" si="117"/>
        <v>-6.7928795571407141</v>
      </c>
      <c r="AB265">
        <f t="shared" si="118"/>
        <v>-5713.5182618486524</v>
      </c>
      <c r="AC265">
        <f t="shared" si="119"/>
        <v>-4.5870575087286989</v>
      </c>
      <c r="AD265">
        <f t="shared" si="120"/>
        <v>-3.8799693126367094</v>
      </c>
      <c r="AE265">
        <f t="shared" si="121"/>
        <v>-2737.219473355477</v>
      </c>
      <c r="AH265">
        <v>2.5957542812278956E-2</v>
      </c>
      <c r="AI265">
        <v>18.321449855180738</v>
      </c>
      <c r="AJ265">
        <f t="shared" si="122"/>
        <v>-953.82808522038863</v>
      </c>
      <c r="AK265">
        <f t="shared" si="123"/>
        <v>245.83392505550412</v>
      </c>
      <c r="AN265">
        <f t="shared" si="127"/>
        <v>0</v>
      </c>
      <c r="AO265" s="43">
        <f t="shared" si="126"/>
        <v>16595</v>
      </c>
      <c r="AP265" s="43"/>
      <c r="AQ265" t="e">
        <f t="shared" si="128"/>
        <v>#DIV/0!</v>
      </c>
    </row>
    <row r="266" spans="1:43">
      <c r="A266">
        <v>304</v>
      </c>
      <c r="B266">
        <f t="shared" si="95"/>
        <v>304</v>
      </c>
      <c r="D266" s="43">
        <f t="shared" si="96"/>
        <v>707.80281484340981</v>
      </c>
      <c r="E266" s="43">
        <f t="shared" si="97"/>
        <v>1194.6365698284615</v>
      </c>
      <c r="F266" s="69">
        <f t="shared" si="98"/>
        <v>1.2567461524849888</v>
      </c>
      <c r="G266" s="98">
        <f t="shared" si="99"/>
        <v>313.02286432600465</v>
      </c>
      <c r="H266" s="69">
        <f t="shared" si="100"/>
        <v>0.12665219405473355</v>
      </c>
      <c r="I266" s="69">
        <f t="shared" si="101"/>
        <v>-2.2153659907900334</v>
      </c>
      <c r="J266" s="99">
        <f t="shared" si="102"/>
        <v>1.5047746178408776E-2</v>
      </c>
      <c r="K266" s="69">
        <f t="shared" si="103"/>
        <v>2.9884073494404515E-5</v>
      </c>
      <c r="L266" s="99">
        <f t="shared" si="104"/>
        <v>1.507763025190318E-2</v>
      </c>
      <c r="M266" s="69">
        <f t="shared" si="105"/>
        <v>8.4000066282794545</v>
      </c>
      <c r="N266" s="69">
        <f t="shared" si="106"/>
        <v>2.9894134735554134</v>
      </c>
      <c r="O266" s="69">
        <f t="shared" si="107"/>
        <v>23.603329542506938</v>
      </c>
      <c r="P266" s="69">
        <f t="shared" si="108"/>
        <v>2.5599355067752745</v>
      </c>
      <c r="Q266" s="69">
        <f t="shared" si="109"/>
        <v>-1.7842847124393915</v>
      </c>
      <c r="R266" s="43">
        <f t="shared" si="110"/>
        <v>-1101.5895736798332</v>
      </c>
      <c r="S266" s="43">
        <f t="shared" si="111"/>
        <v>2247.0220364416664</v>
      </c>
      <c r="T266" s="43">
        <f>R266+Thrust!C$33*0.8</f>
        <v>710.17042632016683</v>
      </c>
      <c r="V266">
        <f t="shared" si="112"/>
        <v>2684374.6979436367</v>
      </c>
      <c r="W266">
        <f t="shared" si="113"/>
        <v>-1315999.189659673</v>
      </c>
      <c r="X266">
        <f t="shared" si="114"/>
        <v>-4000373.8876033099</v>
      </c>
      <c r="Y266">
        <f t="shared" si="115"/>
        <v>4000373.8876033099</v>
      </c>
      <c r="Z266">
        <f t="shared" si="116"/>
        <v>-8533.1116226022896</v>
      </c>
      <c r="AA266">
        <f t="shared" si="117"/>
        <v>-6.8371357473281291</v>
      </c>
      <c r="AB266">
        <f t="shared" si="118"/>
        <v>-5836.2250676054991</v>
      </c>
      <c r="AC266">
        <f t="shared" si="119"/>
        <v>-4.6703416174794734</v>
      </c>
      <c r="AD266">
        <f t="shared" si="120"/>
        <v>-3.900545175189353</v>
      </c>
      <c r="AE266">
        <f t="shared" si="121"/>
        <v>-2760.8168544229047</v>
      </c>
      <c r="AH266">
        <v>2.5957542812278956E-2</v>
      </c>
      <c r="AI266">
        <v>18.321449855180738</v>
      </c>
      <c r="AJ266">
        <f t="shared" si="122"/>
        <v>-941.81762218139954</v>
      </c>
      <c r="AK266">
        <f t="shared" si="123"/>
        <v>241.45794494885675</v>
      </c>
      <c r="AN266">
        <f t="shared" si="127"/>
        <v>0</v>
      </c>
      <c r="AO266" s="43">
        <f t="shared" si="126"/>
        <v>16595</v>
      </c>
      <c r="AP266" s="43"/>
      <c r="AQ266" t="e">
        <f t="shared" si="128"/>
        <v>#DIV/0!</v>
      </c>
    </row>
    <row r="267" spans="1:43">
      <c r="A267">
        <v>305</v>
      </c>
      <c r="B267">
        <f t="shared" si="95"/>
        <v>305</v>
      </c>
      <c r="D267" s="43">
        <f t="shared" si="96"/>
        <v>710.13111357644743</v>
      </c>
      <c r="E267" s="43">
        <f t="shared" si="97"/>
        <v>1198.5662953871079</v>
      </c>
      <c r="F267" s="69">
        <f t="shared" si="98"/>
        <v>1.2608801858813212</v>
      </c>
      <c r="G267" s="98">
        <f t="shared" si="99"/>
        <v>315.08561238234279</v>
      </c>
      <c r="H267" s="69">
        <f t="shared" si="100"/>
        <v>0.1258230493497689</v>
      </c>
      <c r="I267" s="69">
        <f t="shared" si="101"/>
        <v>-2.222347901913249</v>
      </c>
      <c r="J267" s="99">
        <f t="shared" si="102"/>
        <v>1.5047746178408776E-2</v>
      </c>
      <c r="K267" s="69">
        <f t="shared" si="103"/>
        <v>2.805362018413202E-5</v>
      </c>
      <c r="L267" s="99">
        <f t="shared" si="104"/>
        <v>1.5075799798592908E-2</v>
      </c>
      <c r="M267" s="69">
        <f t="shared" si="105"/>
        <v>8.3460281398478458</v>
      </c>
      <c r="N267" s="69">
        <f t="shared" si="106"/>
        <v>2.9604651141752103</v>
      </c>
      <c r="O267" s="69">
        <f t="shared" si="107"/>
        <v>23.528798018124395</v>
      </c>
      <c r="P267" s="69">
        <f t="shared" si="108"/>
        <v>2.5683563472580886</v>
      </c>
      <c r="Q267" s="69">
        <f t="shared" si="109"/>
        <v>-1.811067413653074</v>
      </c>
      <c r="R267" s="43">
        <f t="shared" si="110"/>
        <v>-1114.4588130674983</v>
      </c>
      <c r="S267" s="43">
        <f t="shared" si="111"/>
        <v>2261.5547999271548</v>
      </c>
      <c r="T267" s="43">
        <f>R267+Thrust!C$33*0.8</f>
        <v>697.30118693250165</v>
      </c>
      <c r="V267">
        <f t="shared" si="112"/>
        <v>2710623.3583636219</v>
      </c>
      <c r="W267">
        <f t="shared" si="113"/>
        <v>-1335752.7709398249</v>
      </c>
      <c r="X267">
        <f t="shared" si="114"/>
        <v>-4046376.129303447</v>
      </c>
      <c r="Y267">
        <f t="shared" si="115"/>
        <v>4046376.129303447</v>
      </c>
      <c r="Z267">
        <f t="shared" si="116"/>
        <v>-8616.5510729439648</v>
      </c>
      <c r="AA267">
        <f t="shared" si="117"/>
        <v>-6.8815685396836406</v>
      </c>
      <c r="AB267">
        <f t="shared" si="118"/>
        <v>-5959.8251379271005</v>
      </c>
      <c r="AC267">
        <f t="shared" si="119"/>
        <v>-4.7538035384557782</v>
      </c>
      <c r="AD267">
        <f t="shared" si="120"/>
        <v>-3.9207552643513401</v>
      </c>
      <c r="AE267">
        <f t="shared" si="121"/>
        <v>-2784.2503019345354</v>
      </c>
      <c r="AH267">
        <v>2.5957542812278956E-2</v>
      </c>
      <c r="AI267">
        <v>18.321449855180738</v>
      </c>
      <c r="AJ267">
        <f t="shared" si="122"/>
        <v>-929.54208183137496</v>
      </c>
      <c r="AK267">
        <f t="shared" si="123"/>
        <v>237.08240355705058</v>
      </c>
      <c r="AN267">
        <f t="shared" si="127"/>
        <v>0</v>
      </c>
      <c r="AO267" s="43">
        <f t="shared" si="126"/>
        <v>16595</v>
      </c>
      <c r="AP267" s="43"/>
      <c r="AQ267" t="e">
        <f t="shared" si="128"/>
        <v>#DIV/0!</v>
      </c>
    </row>
    <row r="268" spans="1:43">
      <c r="A268">
        <v>306</v>
      </c>
      <c r="B268">
        <f t="shared" si="95"/>
        <v>306</v>
      </c>
      <c r="D268" s="43">
        <f t="shared" si="96"/>
        <v>712.45941230948495</v>
      </c>
      <c r="E268" s="43">
        <f t="shared" si="97"/>
        <v>1202.496020945754</v>
      </c>
      <c r="F268" s="69">
        <f t="shared" si="98"/>
        <v>1.2650142192776532</v>
      </c>
      <c r="G268" s="98">
        <f t="shared" si="99"/>
        <v>317.1551346523305</v>
      </c>
      <c r="H268" s="69">
        <f t="shared" si="100"/>
        <v>0.12500202022472395</v>
      </c>
      <c r="I268" s="69">
        <f t="shared" si="101"/>
        <v>-2.2292614748352153</v>
      </c>
      <c r="J268" s="99">
        <f t="shared" si="102"/>
        <v>1.5047746178408776E-2</v>
      </c>
      <c r="K268" s="69">
        <f t="shared" si="103"/>
        <v>2.6298081484255681E-5</v>
      </c>
      <c r="L268" s="99">
        <f t="shared" si="104"/>
        <v>1.5074044259893032E-2</v>
      </c>
      <c r="M268" s="69">
        <f t="shared" si="105"/>
        <v>8.2925337135510695</v>
      </c>
      <c r="N268" s="69">
        <f t="shared" si="106"/>
        <v>2.931877102950279</v>
      </c>
      <c r="O268" s="69">
        <f t="shared" si="107"/>
        <v>23.454637754489568</v>
      </c>
      <c r="P268" s="69">
        <f t="shared" si="108"/>
        <v>2.5767771877409018</v>
      </c>
      <c r="Q268" s="69">
        <f t="shared" si="109"/>
        <v>-1.8379851684141322</v>
      </c>
      <c r="R268" s="43">
        <f t="shared" si="110"/>
        <v>-1127.3267747677612</v>
      </c>
      <c r="S268" s="43">
        <f t="shared" si="111"/>
        <v>2276.143896666445</v>
      </c>
      <c r="T268" s="43">
        <f>R268+Thrust!C$33*0.8</f>
        <v>684.43322523223878</v>
      </c>
      <c r="V268">
        <f t="shared" si="112"/>
        <v>2737053.9788413635</v>
      </c>
      <c r="W268">
        <f t="shared" si="113"/>
        <v>-1355605.9609638432</v>
      </c>
      <c r="X268">
        <f t="shared" si="114"/>
        <v>-4092659.9398052068</v>
      </c>
      <c r="Y268">
        <f t="shared" si="115"/>
        <v>4092659.9398052068</v>
      </c>
      <c r="Z268">
        <f t="shared" si="116"/>
        <v>-8700.5689393632765</v>
      </c>
      <c r="AA268">
        <f t="shared" si="117"/>
        <v>-6.926177749791548</v>
      </c>
      <c r="AB268">
        <f t="shared" si="118"/>
        <v>-6084.3202613929334</v>
      </c>
      <c r="AC268">
        <f t="shared" si="119"/>
        <v>-4.837443291794929</v>
      </c>
      <c r="AD268">
        <f t="shared" si="120"/>
        <v>-3.9406052752257308</v>
      </c>
      <c r="AE268">
        <f t="shared" si="121"/>
        <v>-2807.5213185309804</v>
      </c>
      <c r="AH268">
        <v>2.5957542812278956E-2</v>
      </c>
      <c r="AI268">
        <v>18.321449855180738</v>
      </c>
      <c r="AJ268">
        <f t="shared" si="122"/>
        <v>-917.00760048257314</v>
      </c>
      <c r="AK268">
        <f t="shared" si="123"/>
        <v>232.70729657896121</v>
      </c>
      <c r="AN268">
        <f t="shared" si="127"/>
        <v>0</v>
      </c>
      <c r="AO268" s="43">
        <f t="shared" si="126"/>
        <v>16595</v>
      </c>
      <c r="AP268" s="43"/>
      <c r="AQ268" t="e">
        <f t="shared" si="128"/>
        <v>#DIV/0!</v>
      </c>
    </row>
    <row r="269" spans="1:43">
      <c r="A269">
        <v>307</v>
      </c>
      <c r="B269">
        <f t="shared" si="95"/>
        <v>307</v>
      </c>
      <c r="D269" s="43">
        <f t="shared" si="96"/>
        <v>714.78771104252246</v>
      </c>
      <c r="E269" s="43">
        <f t="shared" si="97"/>
        <v>1206.4257465044002</v>
      </c>
      <c r="F269" s="69">
        <f t="shared" si="98"/>
        <v>1.2691482526739855</v>
      </c>
      <c r="G269" s="98">
        <f t="shared" si="99"/>
        <v>319.23143113596791</v>
      </c>
      <c r="H269" s="69">
        <f t="shared" si="100"/>
        <v>0.12418900111154768</v>
      </c>
      <c r="I269" s="69">
        <f t="shared" si="101"/>
        <v>-2.2361075985042009</v>
      </c>
      <c r="J269" s="99">
        <f t="shared" si="102"/>
        <v>1.5047746178408776E-2</v>
      </c>
      <c r="K269" s="69">
        <f t="shared" si="103"/>
        <v>2.4615560623069151E-5</v>
      </c>
      <c r="L269" s="99">
        <f t="shared" si="104"/>
        <v>1.5072361739031846E-2</v>
      </c>
      <c r="M269" s="69">
        <f t="shared" si="105"/>
        <v>8.2395183490019406</v>
      </c>
      <c r="N269" s="69">
        <f t="shared" si="106"/>
        <v>2.9036441564037019</v>
      </c>
      <c r="O269" s="69">
        <f t="shared" si="107"/>
        <v>23.380847985045165</v>
      </c>
      <c r="P269" s="69">
        <f t="shared" si="108"/>
        <v>2.585198028223715</v>
      </c>
      <c r="Q269" s="69">
        <f t="shared" si="109"/>
        <v>-1.8650379767225704</v>
      </c>
      <c r="R269" s="43">
        <f t="shared" si="110"/>
        <v>-1140.1934712661694</v>
      </c>
      <c r="S269" s="43">
        <f t="shared" si="111"/>
        <v>2290.7892428307227</v>
      </c>
      <c r="T269" s="43">
        <f>R269+Thrust!C$33*0.8</f>
        <v>671.56652873383064</v>
      </c>
      <c r="V269">
        <f t="shared" si="112"/>
        <v>2763667.1223663045</v>
      </c>
      <c r="W269">
        <f t="shared" si="113"/>
        <v>-1375558.7597317318</v>
      </c>
      <c r="X269">
        <f t="shared" si="114"/>
        <v>-4139225.8820980364</v>
      </c>
      <c r="Y269">
        <f t="shared" si="115"/>
        <v>4139225.8820980364</v>
      </c>
      <c r="Z269">
        <f t="shared" si="116"/>
        <v>-8785.1670114955359</v>
      </c>
      <c r="AA269">
        <f t="shared" si="117"/>
        <v>-6.9709631982377287</v>
      </c>
      <c r="AB269">
        <f t="shared" si="118"/>
        <v>-6209.7122276383279</v>
      </c>
      <c r="AC269">
        <f t="shared" si="119"/>
        <v>-4.9212609037491051</v>
      </c>
      <c r="AD269">
        <f t="shared" si="120"/>
        <v>-3.9601008112581884</v>
      </c>
      <c r="AE269">
        <f t="shared" si="121"/>
        <v>-2830.6313943768769</v>
      </c>
      <c r="AH269">
        <v>2.5957542812278956E-2</v>
      </c>
      <c r="AI269">
        <v>18.321449855180738</v>
      </c>
      <c r="AJ269">
        <f t="shared" si="122"/>
        <v>-904.22019278591404</v>
      </c>
      <c r="AK269">
        <f t="shared" si="123"/>
        <v>228.33261976950243</v>
      </c>
      <c r="AN269">
        <f t="shared" si="127"/>
        <v>0</v>
      </c>
      <c r="AO269" s="43">
        <f t="shared" si="126"/>
        <v>16595</v>
      </c>
      <c r="AP269" s="43"/>
      <c r="AQ269" t="e">
        <f t="shared" si="128"/>
        <v>#DIV/0!</v>
      </c>
    </row>
    <row r="270" spans="1:43">
      <c r="A270">
        <v>308</v>
      </c>
      <c r="B270">
        <f t="shared" si="95"/>
        <v>308</v>
      </c>
      <c r="D270" s="43">
        <f t="shared" si="96"/>
        <v>717.11600977555997</v>
      </c>
      <c r="E270" s="43">
        <f t="shared" si="97"/>
        <v>1210.3554720630466</v>
      </c>
      <c r="F270" s="69">
        <f t="shared" si="98"/>
        <v>1.2732822860703177</v>
      </c>
      <c r="G270" s="98">
        <f t="shared" si="99"/>
        <v>321.31450183325518</v>
      </c>
      <c r="H270" s="69">
        <f t="shared" si="100"/>
        <v>0.12338388815316932</v>
      </c>
      <c r="I270" s="69">
        <f t="shared" si="101"/>
        <v>-2.2428871474609622</v>
      </c>
      <c r="J270" s="99">
        <f t="shared" si="102"/>
        <v>1.5047746178408776E-2</v>
      </c>
      <c r="K270" s="69">
        <f t="shared" si="103"/>
        <v>2.3004209420536937E-5</v>
      </c>
      <c r="L270" s="99">
        <f t="shared" si="104"/>
        <v>1.5070750387829313E-2</v>
      </c>
      <c r="M270" s="69">
        <f t="shared" si="105"/>
        <v>8.1869770899271526</v>
      </c>
      <c r="N270" s="69">
        <f t="shared" si="106"/>
        <v>2.8757610751706038</v>
      </c>
      <c r="O270" s="69">
        <f t="shared" si="107"/>
        <v>23.30742788394398</v>
      </c>
      <c r="P270" s="69">
        <f t="shared" si="108"/>
        <v>2.5936188687065287</v>
      </c>
      <c r="Q270" s="69">
        <f t="shared" si="109"/>
        <v>-1.8922258385783897</v>
      </c>
      <c r="R270" s="43">
        <f t="shared" si="110"/>
        <v>-1153.0589148861179</v>
      </c>
      <c r="S270" s="43">
        <f t="shared" si="111"/>
        <v>2305.4907559498192</v>
      </c>
      <c r="T270" s="43">
        <f>R270+Thrust!C$33*0.8</f>
        <v>658.70108511388207</v>
      </c>
      <c r="V270">
        <f t="shared" si="112"/>
        <v>2790463.3522546338</v>
      </c>
      <c r="W270">
        <f t="shared" si="113"/>
        <v>-1395611.1672434916</v>
      </c>
      <c r="X270">
        <f t="shared" si="114"/>
        <v>-4186074.5194981256</v>
      </c>
      <c r="Y270">
        <f t="shared" si="115"/>
        <v>4186074.5194981256</v>
      </c>
      <c r="Z270">
        <f t="shared" si="116"/>
        <v>-8870.3470800147279</v>
      </c>
      <c r="AA270">
        <f t="shared" si="117"/>
        <v>-7.0159247105340556</v>
      </c>
      <c r="AB270">
        <f t="shared" si="118"/>
        <v>-6336.0028273372609</v>
      </c>
      <c r="AC270">
        <f t="shared" si="119"/>
        <v>-5.0052564066269651</v>
      </c>
      <c r="AD270">
        <f t="shared" si="120"/>
        <v>-3.9792473856349804</v>
      </c>
      <c r="AE270">
        <f t="shared" si="121"/>
        <v>-2853.582007096386</v>
      </c>
      <c r="AH270">
        <v>2.5957542812278956E-2</v>
      </c>
      <c r="AI270">
        <v>18.321449855180738</v>
      </c>
      <c r="AJ270">
        <f t="shared" si="122"/>
        <v>-891.18575409047571</v>
      </c>
      <c r="AK270">
        <f t="shared" si="123"/>
        <v>223.95836893871993</v>
      </c>
      <c r="AN270">
        <f t="shared" si="127"/>
        <v>0</v>
      </c>
      <c r="AO270" s="43">
        <f t="shared" si="126"/>
        <v>16595</v>
      </c>
      <c r="AP270" s="43"/>
      <c r="AQ270" t="e">
        <f t="shared" si="128"/>
        <v>#DIV/0!</v>
      </c>
    </row>
    <row r="271" spans="1:43">
      <c r="A271">
        <v>309</v>
      </c>
      <c r="B271">
        <f t="shared" si="95"/>
        <v>309</v>
      </c>
      <c r="D271" s="43">
        <f t="shared" si="96"/>
        <v>719.44430850859749</v>
      </c>
      <c r="E271" s="43">
        <f t="shared" si="97"/>
        <v>1214.2851976216928</v>
      </c>
      <c r="F271" s="69">
        <f t="shared" si="98"/>
        <v>1.2774163194666499</v>
      </c>
      <c r="G271" s="98">
        <f t="shared" si="99"/>
        <v>323.40434674419208</v>
      </c>
      <c r="H271" s="69">
        <f t="shared" si="100"/>
        <v>0.12258657917032972</v>
      </c>
      <c r="I271" s="69">
        <f t="shared" si="101"/>
        <v>-2.2496009821180438</v>
      </c>
      <c r="J271" s="99">
        <f t="shared" si="102"/>
        <v>1.5047746178408776E-2</v>
      </c>
      <c r="K271" s="69">
        <f t="shared" si="103"/>
        <v>2.1462226944542002E-5</v>
      </c>
      <c r="L271" s="99">
        <f t="shared" si="104"/>
        <v>1.5069208405353317E-2</v>
      </c>
      <c r="M271" s="69">
        <f t="shared" si="105"/>
        <v>8.1349050243927206</v>
      </c>
      <c r="N271" s="69">
        <f t="shared" si="106"/>
        <v>2.8482227427160547</v>
      </c>
      <c r="O271" s="69">
        <f t="shared" si="107"/>
        <v>23.234376568731467</v>
      </c>
      <c r="P271" s="69">
        <f t="shared" si="108"/>
        <v>2.6020397091893419</v>
      </c>
      <c r="Q271" s="69">
        <f t="shared" si="109"/>
        <v>-1.9195487539815881</v>
      </c>
      <c r="R271" s="43">
        <f t="shared" si="110"/>
        <v>-1165.9231177914742</v>
      </c>
      <c r="S271" s="43">
        <f t="shared" si="111"/>
        <v>2320.248354885869</v>
      </c>
      <c r="T271" s="43">
        <f>R271+Thrust!C$33*0.8</f>
        <v>645.83688220852582</v>
      </c>
      <c r="V271">
        <f t="shared" si="112"/>
        <v>2817443.2321439949</v>
      </c>
      <c r="W271">
        <f t="shared" si="113"/>
        <v>-1415763.1834991204</v>
      </c>
      <c r="X271">
        <f t="shared" si="114"/>
        <v>-4233206.4156431155</v>
      </c>
      <c r="Y271">
        <f t="shared" si="115"/>
        <v>4233206.4156431155</v>
      </c>
      <c r="Z271">
        <f t="shared" si="116"/>
        <v>-8956.1109366166729</v>
      </c>
      <c r="AA271">
        <f t="shared" si="117"/>
        <v>-7.0610621170446599</v>
      </c>
      <c r="AB271">
        <f t="shared" si="118"/>
        <v>-6463.1938521855491</v>
      </c>
      <c r="AC271">
        <f t="shared" si="119"/>
        <v>-5.0894298387371988</v>
      </c>
      <c r="AD271">
        <f t="shared" si="120"/>
        <v>-3.9980504226682543</v>
      </c>
      <c r="AE271">
        <f t="shared" si="121"/>
        <v>-2876.3746217190678</v>
      </c>
      <c r="AH271">
        <v>2.5957542812278956E-2</v>
      </c>
      <c r="AI271">
        <v>18.321449855180738</v>
      </c>
      <c r="AJ271">
        <f t="shared" si="122"/>
        <v>-877.9100627621051</v>
      </c>
      <c r="AK271">
        <f t="shared" si="123"/>
        <v>219.5845399508988</v>
      </c>
      <c r="AN271">
        <f t="shared" si="127"/>
        <v>0</v>
      </c>
      <c r="AO271" s="43">
        <f t="shared" si="126"/>
        <v>16595</v>
      </c>
      <c r="AP271" s="43"/>
      <c r="AQ271" t="e">
        <f t="shared" si="128"/>
        <v>#DIV/0!</v>
      </c>
    </row>
    <row r="272" spans="1:43">
      <c r="A272">
        <v>310</v>
      </c>
      <c r="B272">
        <f t="shared" si="95"/>
        <v>310</v>
      </c>
      <c r="D272" s="43">
        <f t="shared" si="96"/>
        <v>721.772607241635</v>
      </c>
      <c r="E272" s="43">
        <f t="shared" si="97"/>
        <v>1218.2149231803389</v>
      </c>
      <c r="F272" s="69">
        <f t="shared" si="98"/>
        <v>1.2815503528629819</v>
      </c>
      <c r="G272" s="98">
        <f t="shared" si="99"/>
        <v>325.50096586877862</v>
      </c>
      <c r="H272" s="69">
        <f t="shared" si="100"/>
        <v>0.12179697362915981</v>
      </c>
      <c r="I272" s="69">
        <f t="shared" si="101"/>
        <v>-2.2562499490327901</v>
      </c>
      <c r="J272" s="99">
        <f t="shared" si="102"/>
        <v>1.5047746178408776E-2</v>
      </c>
      <c r="K272" s="69">
        <f t="shared" si="103"/>
        <v>1.9987858207726842E-5</v>
      </c>
      <c r="L272" s="99">
        <f t="shared" si="104"/>
        <v>1.5067734036616503E-2</v>
      </c>
      <c r="M272" s="69">
        <f t="shared" si="105"/>
        <v>8.0832972849917404</v>
      </c>
      <c r="N272" s="69">
        <f t="shared" si="106"/>
        <v>2.8210241240646159</v>
      </c>
      <c r="O272" s="69">
        <f t="shared" si="107"/>
        <v>23.161693102932936</v>
      </c>
      <c r="P272" s="69">
        <f t="shared" si="108"/>
        <v>2.6104605496721551</v>
      </c>
      <c r="Q272" s="69">
        <f t="shared" si="109"/>
        <v>-1.9470067229321648</v>
      </c>
      <c r="R272" s="43">
        <f t="shared" si="110"/>
        <v>-1178.7860919891532</v>
      </c>
      <c r="S272" s="43">
        <f t="shared" si="111"/>
        <v>2335.0619598075673</v>
      </c>
      <c r="T272" s="43">
        <f>R272+Thrust!C$33*0.8</f>
        <v>632.9739080108468</v>
      </c>
      <c r="V272">
        <f t="shared" si="112"/>
        <v>2844607.3259883071</v>
      </c>
      <c r="W272">
        <f t="shared" si="113"/>
        <v>-1436014.8084986182</v>
      </c>
      <c r="X272">
        <f t="shared" si="114"/>
        <v>-4280622.1344869249</v>
      </c>
      <c r="Y272">
        <f t="shared" si="115"/>
        <v>4280622.1344869249</v>
      </c>
      <c r="Z272">
        <f t="shared" si="116"/>
        <v>-9042.460374002565</v>
      </c>
      <c r="AA272">
        <f t="shared" si="117"/>
        <v>-7.1063752529140878</v>
      </c>
      <c r="AB272">
        <f t="shared" si="118"/>
        <v>-6591.2870948843902</v>
      </c>
      <c r="AC272">
        <f t="shared" si="119"/>
        <v>-5.1737812443339335</v>
      </c>
      <c r="AD272">
        <f t="shared" si="120"/>
        <v>-4.0165152591680613</v>
      </c>
      <c r="AE272">
        <f t="shared" si="121"/>
        <v>-2899.0106906355422</v>
      </c>
      <c r="AH272">
        <v>2.5957542812278956E-2</v>
      </c>
      <c r="AI272">
        <v>18.321449855180738</v>
      </c>
      <c r="AJ272">
        <f t="shared" si="122"/>
        <v>-864.39878246147441</v>
      </c>
      <c r="AK272">
        <f t="shared" si="123"/>
        <v>215.21112872368792</v>
      </c>
      <c r="AN272">
        <f t="shared" si="127"/>
        <v>0</v>
      </c>
      <c r="AO272" s="43">
        <f t="shared" si="126"/>
        <v>16595</v>
      </c>
      <c r="AP272" s="43"/>
      <c r="AQ272" t="e">
        <f t="shared" si="128"/>
        <v>#DIV/0!</v>
      </c>
    </row>
    <row r="273" spans="1:43">
      <c r="A273">
        <v>311</v>
      </c>
      <c r="B273">
        <f t="shared" si="95"/>
        <v>311</v>
      </c>
      <c r="D273" s="43">
        <f t="shared" si="96"/>
        <v>724.10090597467263</v>
      </c>
      <c r="E273" s="43">
        <f t="shared" si="97"/>
        <v>1222.1446487389853</v>
      </c>
      <c r="F273" s="69">
        <f t="shared" si="98"/>
        <v>1.2856843862593144</v>
      </c>
      <c r="G273" s="98">
        <f t="shared" si="99"/>
        <v>327.60435920701502</v>
      </c>
      <c r="H273" s="69">
        <f t="shared" si="100"/>
        <v>0.12101497260948765</v>
      </c>
      <c r="I273" s="69">
        <f t="shared" si="101"/>
        <v>-2.2628348811742161</v>
      </c>
      <c r="J273" s="99">
        <f t="shared" si="102"/>
        <v>1.5047746178408776E-2</v>
      </c>
      <c r="K273" s="69">
        <f t="shared" si="103"/>
        <v>1.8579392903590833E-5</v>
      </c>
      <c r="L273" s="99">
        <f t="shared" si="104"/>
        <v>1.5066325571312367E-2</v>
      </c>
      <c r="M273" s="69">
        <f t="shared" si="105"/>
        <v>8.0321490489964589</v>
      </c>
      <c r="N273" s="69">
        <f t="shared" si="106"/>
        <v>2.7941602645420103</v>
      </c>
      <c r="O273" s="69">
        <f t="shared" si="107"/>
        <v>23.089376498548628</v>
      </c>
      <c r="P273" s="69">
        <f t="shared" si="108"/>
        <v>2.6188813901549688</v>
      </c>
      <c r="Q273" s="69">
        <f t="shared" si="109"/>
        <v>-1.9745997454301234</v>
      </c>
      <c r="R273" s="43">
        <f t="shared" si="110"/>
        <v>-1191.6478493316424</v>
      </c>
      <c r="S273" s="43">
        <f t="shared" si="111"/>
        <v>2349.9314921650084</v>
      </c>
      <c r="T273" s="43">
        <f>R273+Thrust!C$33*0.8</f>
        <v>620.11215066835757</v>
      </c>
      <c r="V273">
        <f t="shared" si="112"/>
        <v>2871956.1980526838</v>
      </c>
      <c r="W273">
        <f t="shared" si="113"/>
        <v>-1456366.0422419875</v>
      </c>
      <c r="X273">
        <f t="shared" si="114"/>
        <v>-4328322.2402946716</v>
      </c>
      <c r="Y273">
        <f t="shared" si="115"/>
        <v>4328322.2402946716</v>
      </c>
      <c r="Z273">
        <f t="shared" si="116"/>
        <v>-9129.3971858628356</v>
      </c>
      <c r="AA273">
        <f t="shared" si="117"/>
        <v>-7.1518639579972607</v>
      </c>
      <c r="AB273">
        <f t="shared" si="118"/>
        <v>-6720.2843491242193</v>
      </c>
      <c r="AC273">
        <f t="shared" si="119"/>
        <v>-5.2583106735639626</v>
      </c>
      <c r="AD273">
        <f t="shared" si="120"/>
        <v>-4.0346471458007498</v>
      </c>
      <c r="AE273">
        <f t="shared" si="121"/>
        <v>-2921.4916535624502</v>
      </c>
      <c r="AH273">
        <v>2.5957542812278956E-2</v>
      </c>
      <c r="AI273">
        <v>18.321449855180738</v>
      </c>
      <c r="AJ273">
        <f t="shared" si="122"/>
        <v>-850.65746438195413</v>
      </c>
      <c r="AK273">
        <f t="shared" si="123"/>
        <v>210.83813122724158</v>
      </c>
      <c r="AN273">
        <f t="shared" si="127"/>
        <v>0</v>
      </c>
      <c r="AO273" s="43">
        <f t="shared" si="126"/>
        <v>16595</v>
      </c>
      <c r="AP273" s="43"/>
      <c r="AQ273" t="e">
        <f t="shared" si="128"/>
        <v>#DIV/0!</v>
      </c>
    </row>
    <row r="274" spans="1:43">
      <c r="A274">
        <v>312</v>
      </c>
      <c r="B274">
        <f t="shared" si="95"/>
        <v>312</v>
      </c>
      <c r="D274" s="43">
        <f t="shared" si="96"/>
        <v>726.42920470771014</v>
      </c>
      <c r="E274" s="43">
        <f t="shared" si="97"/>
        <v>1226.0743742976315</v>
      </c>
      <c r="F274" s="69">
        <f t="shared" si="98"/>
        <v>1.2898184196556464</v>
      </c>
      <c r="G274" s="98">
        <f t="shared" si="99"/>
        <v>329.71452675890106</v>
      </c>
      <c r="H274" s="69">
        <f t="shared" si="100"/>
        <v>0.12024047877385616</v>
      </c>
      <c r="I274" s="69">
        <f t="shared" si="101"/>
        <v>-2.2693565981839008</v>
      </c>
      <c r="J274" s="99">
        <f t="shared" si="102"/>
        <v>1.5047746178408776E-2</v>
      </c>
      <c r="K274" s="69">
        <f t="shared" si="103"/>
        <v>1.7235164180554172E-5</v>
      </c>
      <c r="L274" s="99">
        <f t="shared" si="104"/>
        <v>1.506498134258933E-2</v>
      </c>
      <c r="M274" s="69">
        <f t="shared" si="105"/>
        <v>7.9814555384765935</v>
      </c>
      <c r="N274" s="69">
        <f t="shared" si="106"/>
        <v>2.7676262885292653</v>
      </c>
      <c r="O274" s="69">
        <f t="shared" si="107"/>
        <v>23.017425718459705</v>
      </c>
      <c r="P274" s="69">
        <f t="shared" si="108"/>
        <v>2.627302230637782</v>
      </c>
      <c r="Q274" s="69">
        <f t="shared" si="109"/>
        <v>-2.0023278214754594</v>
      </c>
      <c r="R274" s="43">
        <f t="shared" si="110"/>
        <v>-1204.5084015194705</v>
      </c>
      <c r="S274" s="43">
        <f t="shared" si="111"/>
        <v>2364.8568746650735</v>
      </c>
      <c r="T274" s="43">
        <f>R274+Thrust!C$33*0.8</f>
        <v>607.25159848052954</v>
      </c>
      <c r="V274">
        <f t="shared" si="112"/>
        <v>2899490.4129084325</v>
      </c>
      <c r="W274">
        <f t="shared" si="113"/>
        <v>-1476816.884729225</v>
      </c>
      <c r="X274">
        <f t="shared" si="114"/>
        <v>-4376307.2976376573</v>
      </c>
      <c r="Y274">
        <f t="shared" si="115"/>
        <v>4376307.2976376573</v>
      </c>
      <c r="Z274">
        <f t="shared" si="116"/>
        <v>-9216.9231668612429</v>
      </c>
      <c r="AA274">
        <f t="shared" si="117"/>
        <v>-7.1975280767911221</v>
      </c>
      <c r="AB274">
        <f t="shared" si="118"/>
        <v>-6850.1874095687863</v>
      </c>
      <c r="AC274">
        <f t="shared" si="119"/>
        <v>-5.3430181824156575</v>
      </c>
      <c r="AD274">
        <f t="shared" si="120"/>
        <v>-4.0524512484333526</v>
      </c>
      <c r="AE274">
        <f t="shared" si="121"/>
        <v>-2943.8189375162074</v>
      </c>
      <c r="AH274">
        <v>2.5957542812278956E-2</v>
      </c>
      <c r="AI274">
        <v>18.321449855180738</v>
      </c>
      <c r="AJ274">
        <f t="shared" si="122"/>
        <v>-836.69154944769411</v>
      </c>
      <c r="AK274">
        <f t="shared" si="123"/>
        <v>206.46554348338006</v>
      </c>
      <c r="AN274">
        <f t="shared" si="127"/>
        <v>0</v>
      </c>
      <c r="AO274" s="43">
        <f t="shared" si="126"/>
        <v>16595</v>
      </c>
      <c r="AP274" s="43"/>
      <c r="AQ274" t="e">
        <f t="shared" si="128"/>
        <v>#DIV/0!</v>
      </c>
    </row>
    <row r="275" spans="1:43">
      <c r="A275">
        <v>313</v>
      </c>
      <c r="B275">
        <f t="shared" si="95"/>
        <v>313</v>
      </c>
      <c r="D275" s="43">
        <f t="shared" si="96"/>
        <v>728.75750344074766</v>
      </c>
      <c r="E275" s="43">
        <f t="shared" si="97"/>
        <v>1230.0040998562779</v>
      </c>
      <c r="F275" s="69">
        <f t="shared" si="98"/>
        <v>1.2939524530519788</v>
      </c>
      <c r="G275" s="98">
        <f t="shared" si="99"/>
        <v>331.8314685244369</v>
      </c>
      <c r="H275" s="69">
        <f t="shared" si="100"/>
        <v>0.11947339633723168</v>
      </c>
      <c r="I275" s="69">
        <f t="shared" si="101"/>
        <v>-2.2758159066310553</v>
      </c>
      <c r="J275" s="99">
        <f t="shared" si="102"/>
        <v>1.5047746178408776E-2</v>
      </c>
      <c r="K275" s="69">
        <f t="shared" si="103"/>
        <v>1.5953547452740931E-5</v>
      </c>
      <c r="L275" s="99">
        <f t="shared" si="104"/>
        <v>1.5063699725861517E-2</v>
      </c>
      <c r="M275" s="69">
        <f t="shared" si="105"/>
        <v>7.93121202038557</v>
      </c>
      <c r="N275" s="69">
        <f t="shared" si="106"/>
        <v>2.7414173982296552</v>
      </c>
      <c r="O275" s="69">
        <f t="shared" si="107"/>
        <v>22.945839678748158</v>
      </c>
      <c r="P275" s="69">
        <f t="shared" si="108"/>
        <v>2.6357230711205957</v>
      </c>
      <c r="Q275" s="69">
        <f t="shared" si="109"/>
        <v>-2.0301909510681764</v>
      </c>
      <c r="R275" s="43">
        <f t="shared" si="110"/>
        <v>-1217.3677601036422</v>
      </c>
      <c r="S275" s="43">
        <f t="shared" si="111"/>
        <v>2379.838031247386</v>
      </c>
      <c r="T275" s="43">
        <f>R275+Thrust!C$33*0.8</f>
        <v>594.39223989635775</v>
      </c>
      <c r="V275">
        <f t="shared" si="112"/>
        <v>2927210.5354281776</v>
      </c>
      <c r="W275">
        <f t="shared" si="113"/>
        <v>-1497367.3359603337</v>
      </c>
      <c r="X275">
        <f t="shared" si="114"/>
        <v>-4424577.8713885117</v>
      </c>
      <c r="Y275">
        <f t="shared" si="115"/>
        <v>4424577.8713885117</v>
      </c>
      <c r="Z275">
        <f t="shared" si="116"/>
        <v>-9305.0401126193738</v>
      </c>
      <c r="AA275">
        <f t="shared" si="117"/>
        <v>-7.2433674583680752</v>
      </c>
      <c r="AB275">
        <f t="shared" si="118"/>
        <v>-6980.9980718396855</v>
      </c>
      <c r="AC275">
        <f t="shared" si="119"/>
        <v>-5.4279038326697302</v>
      </c>
      <c r="AD275">
        <f t="shared" si="120"/>
        <v>-4.0699326494636638</v>
      </c>
      <c r="AE275">
        <f t="shared" si="121"/>
        <v>-2965.9939567951274</v>
      </c>
      <c r="AH275">
        <v>2.5957542812278956E-2</v>
      </c>
      <c r="AI275">
        <v>18.321449855180738</v>
      </c>
      <c r="AJ275">
        <f t="shared" si="122"/>
        <v>-822.50637047228849</v>
      </c>
      <c r="AK275">
        <f t="shared" si="123"/>
        <v>202.09336156476164</v>
      </c>
      <c r="AN275">
        <f t="shared" si="127"/>
        <v>0</v>
      </c>
      <c r="AO275" s="43">
        <f t="shared" si="126"/>
        <v>16595</v>
      </c>
      <c r="AP275" s="43"/>
      <c r="AQ275" t="e">
        <f t="shared" si="128"/>
        <v>#DIV/0!</v>
      </c>
    </row>
    <row r="276" spans="1:43">
      <c r="A276">
        <v>314</v>
      </c>
      <c r="B276">
        <f t="shared" si="95"/>
        <v>314</v>
      </c>
      <c r="D276" s="43">
        <f t="shared" si="96"/>
        <v>731.08580217378517</v>
      </c>
      <c r="E276" s="43">
        <f t="shared" si="97"/>
        <v>1233.9338254149241</v>
      </c>
      <c r="F276" s="69">
        <f t="shared" si="98"/>
        <v>1.2980864864483108</v>
      </c>
      <c r="G276" s="98">
        <f t="shared" si="99"/>
        <v>333.95518450362226</v>
      </c>
      <c r="H276" s="69">
        <f t="shared" si="100"/>
        <v>0.11871363103738747</v>
      </c>
      <c r="I276" s="69">
        <f t="shared" si="101"/>
        <v>-2.282213600261918</v>
      </c>
      <c r="J276" s="99">
        <f t="shared" si="102"/>
        <v>1.5047746178408776E-2</v>
      </c>
      <c r="K276" s="69">
        <f t="shared" si="103"/>
        <v>1.4732959246283653E-5</v>
      </c>
      <c r="L276" s="99">
        <f t="shared" si="104"/>
        <v>1.5062479137655059E-2</v>
      </c>
      <c r="M276" s="69">
        <f t="shared" si="105"/>
        <v>7.8814138066164929</v>
      </c>
      <c r="N276" s="69">
        <f t="shared" si="106"/>
        <v>2.7155288724487834</v>
      </c>
      <c r="O276" s="69">
        <f t="shared" si="107"/>
        <v>22.87461725093355</v>
      </c>
      <c r="P276" s="69">
        <f t="shared" si="108"/>
        <v>2.6441439116034089</v>
      </c>
      <c r="Q276" s="69">
        <f t="shared" si="109"/>
        <v>-2.0581891342082725</v>
      </c>
      <c r="R276" s="43">
        <f t="shared" si="110"/>
        <v>-1230.2259364880131</v>
      </c>
      <c r="S276" s="43">
        <f t="shared" si="111"/>
        <v>2394.8748870607869</v>
      </c>
      <c r="T276" s="43">
        <f>R276+Thrust!C$33*0.8</f>
        <v>581.53406351198691</v>
      </c>
      <c r="V276">
        <f t="shared" si="112"/>
        <v>2955117.1307810512</v>
      </c>
      <c r="W276">
        <f t="shared" si="113"/>
        <v>-1518017.3959353114</v>
      </c>
      <c r="X276">
        <f t="shared" si="114"/>
        <v>-4473134.5267163627</v>
      </c>
      <c r="Y276">
        <f t="shared" si="115"/>
        <v>4473134.5267163627</v>
      </c>
      <c r="Z276">
        <f t="shared" si="116"/>
        <v>-9393.7498197013538</v>
      </c>
      <c r="AA276">
        <f t="shared" si="117"/>
        <v>-7.2893819563110327</v>
      </c>
      <c r="AB276">
        <f t="shared" si="118"/>
        <v>-7112.7181325010433</v>
      </c>
      <c r="AC276">
        <f t="shared" si="119"/>
        <v>-5.5129676918515651</v>
      </c>
      <c r="AD276">
        <f t="shared" si="120"/>
        <v>-4.0870963491356802</v>
      </c>
      <c r="AE276">
        <f t="shared" si="121"/>
        <v>-2988.0181129694079</v>
      </c>
      <c r="AH276">
        <v>2.5957542812278956E-2</v>
      </c>
      <c r="AI276">
        <v>18.321449855180738</v>
      </c>
      <c r="AJ276">
        <f t="shared" si="122"/>
        <v>-808.10715427847867</v>
      </c>
      <c r="AK276">
        <f t="shared" si="123"/>
        <v>197.72158159407556</v>
      </c>
      <c r="AN276">
        <f t="shared" si="127"/>
        <v>0</v>
      </c>
      <c r="AO276" s="43">
        <f t="shared" si="126"/>
        <v>16595</v>
      </c>
      <c r="AP276" s="43"/>
      <c r="AQ276" t="e">
        <f t="shared" si="128"/>
        <v>#DIV/0!</v>
      </c>
    </row>
    <row r="277" spans="1:43">
      <c r="A277">
        <v>315</v>
      </c>
      <c r="B277">
        <f t="shared" si="95"/>
        <v>315</v>
      </c>
      <c r="D277" s="43">
        <f t="shared" si="96"/>
        <v>733.41410090682268</v>
      </c>
      <c r="E277" s="43">
        <f t="shared" si="97"/>
        <v>1237.8635509735702</v>
      </c>
      <c r="F277" s="69">
        <f t="shared" si="98"/>
        <v>1.302220519844643</v>
      </c>
      <c r="G277" s="98">
        <f t="shared" si="99"/>
        <v>336.08567469645749</v>
      </c>
      <c r="H277" s="69">
        <f t="shared" si="100"/>
        <v>0.11796109010594362</v>
      </c>
      <c r="I277" s="69">
        <f t="shared" si="101"/>
        <v>-2.2885504602436106</v>
      </c>
      <c r="J277" s="99">
        <f t="shared" si="102"/>
        <v>1.5047746178408776E-2</v>
      </c>
      <c r="K277" s="69">
        <f t="shared" si="103"/>
        <v>1.3571856079989762E-5</v>
      </c>
      <c r="L277" s="99">
        <f t="shared" si="104"/>
        <v>1.5061318034488767E-2</v>
      </c>
      <c r="M277" s="69">
        <f t="shared" si="105"/>
        <v>7.8320562540294052</v>
      </c>
      <c r="N277" s="69">
        <f t="shared" si="106"/>
        <v>2.6899560653880306</v>
      </c>
      <c r="O277" s="69">
        <f t="shared" si="107"/>
        <v>22.803757264129363</v>
      </c>
      <c r="P277" s="69">
        <f t="shared" si="108"/>
        <v>2.6525647520862221</v>
      </c>
      <c r="Q277" s="69">
        <f t="shared" si="109"/>
        <v>-2.0863223708957479</v>
      </c>
      <c r="R277" s="43">
        <f t="shared" si="110"/>
        <v>-1243.0829419316292</v>
      </c>
      <c r="S277" s="43">
        <f t="shared" si="111"/>
        <v>2409.967368440346</v>
      </c>
      <c r="T277" s="43">
        <f>R277+Thrust!C$33*0.8</f>
        <v>568.6770580683708</v>
      </c>
      <c r="V277">
        <f t="shared" si="112"/>
        <v>2983210.7644279972</v>
      </c>
      <c r="W277">
        <f t="shared" si="113"/>
        <v>-1538767.0646541589</v>
      </c>
      <c r="X277">
        <f t="shared" si="114"/>
        <v>-4521977.8290821556</v>
      </c>
      <c r="Y277">
        <f t="shared" si="115"/>
        <v>4521977.8290821556</v>
      </c>
      <c r="Z277">
        <f t="shared" si="116"/>
        <v>-9483.0540855989311</v>
      </c>
      <c r="AA277">
        <f t="shared" si="117"/>
        <v>-7.3355714286501339</v>
      </c>
      <c r="AB277">
        <f t="shared" si="118"/>
        <v>-7245.3493890446007</v>
      </c>
      <c r="AC277">
        <f t="shared" si="119"/>
        <v>-5.5982098331853019</v>
      </c>
      <c r="AD277">
        <f t="shared" si="120"/>
        <v>-4.1039472668401782</v>
      </c>
      <c r="AE277">
        <f t="shared" si="121"/>
        <v>-3009.8927948786018</v>
      </c>
      <c r="AH277">
        <v>2.5957542812278956E-2</v>
      </c>
      <c r="AI277">
        <v>18.321449855180738</v>
      </c>
      <c r="AJ277">
        <f t="shared" si="122"/>
        <v>-793.49902377929732</v>
      </c>
      <c r="AK277">
        <f t="shared" si="123"/>
        <v>193.35019974324609</v>
      </c>
      <c r="AN277">
        <f t="shared" si="127"/>
        <v>0</v>
      </c>
      <c r="AO277" s="43">
        <f t="shared" si="126"/>
        <v>16595</v>
      </c>
      <c r="AP277" s="43"/>
      <c r="AQ277" t="e">
        <f t="shared" si="128"/>
        <v>#DIV/0!</v>
      </c>
    </row>
    <row r="278" spans="1:43">
      <c r="A278">
        <v>316</v>
      </c>
      <c r="B278">
        <f t="shared" si="95"/>
        <v>316</v>
      </c>
      <c r="D278" s="43">
        <f t="shared" si="96"/>
        <v>735.7423996398602</v>
      </c>
      <c r="E278" s="43">
        <f t="shared" si="97"/>
        <v>1241.7932765322164</v>
      </c>
      <c r="F278" s="69">
        <f t="shared" si="98"/>
        <v>1.306354553240975</v>
      </c>
      <c r="G278" s="98">
        <f t="shared" si="99"/>
        <v>338.22293910294229</v>
      </c>
      <c r="H278" s="69">
        <f t="shared" si="100"/>
        <v>0.11721568224004826</v>
      </c>
      <c r="I278" s="69">
        <f t="shared" si="101"/>
        <v>-2.2948272554026041</v>
      </c>
      <c r="J278" s="99">
        <f t="shared" si="102"/>
        <v>1.5047746178408776E-2</v>
      </c>
      <c r="K278" s="69">
        <f t="shared" si="103"/>
        <v>1.246873337925525E-5</v>
      </c>
      <c r="L278" s="99">
        <f t="shared" si="104"/>
        <v>1.5060214911788031E-2</v>
      </c>
      <c r="M278" s="69">
        <f t="shared" si="105"/>
        <v>7.7831347644514972</v>
      </c>
      <c r="N278" s="69">
        <f t="shared" si="106"/>
        <v>2.6646944054516539</v>
      </c>
      <c r="O278" s="69">
        <f t="shared" si="107"/>
        <v>22.733258507121722</v>
      </c>
      <c r="P278" s="69">
        <f t="shared" si="108"/>
        <v>2.6609855925690353</v>
      </c>
      <c r="Q278" s="69">
        <f t="shared" si="109"/>
        <v>-2.1145906611306033</v>
      </c>
      <c r="R278" s="43">
        <f t="shared" si="110"/>
        <v>-1255.938787551017</v>
      </c>
      <c r="S278" s="43">
        <f t="shared" si="111"/>
        <v>2425.1154028848664</v>
      </c>
      <c r="T278" s="43">
        <f>R278+Thrust!C$33*0.8</f>
        <v>555.82121244898303</v>
      </c>
      <c r="V278">
        <f t="shared" si="112"/>
        <v>3011492.0021171444</v>
      </c>
      <c r="W278">
        <f t="shared" si="113"/>
        <v>-1559616.3421168765</v>
      </c>
      <c r="X278">
        <f t="shared" si="114"/>
        <v>-4571108.3442340214</v>
      </c>
      <c r="Y278">
        <f t="shared" si="115"/>
        <v>4571108.3442340214</v>
      </c>
      <c r="Z278">
        <f t="shared" si="116"/>
        <v>-9572.9547087167484</v>
      </c>
      <c r="AA278">
        <f t="shared" si="117"/>
        <v>-7.3819357378010082</v>
      </c>
      <c r="AB278">
        <f t="shared" si="118"/>
        <v>-7378.8936398750066</v>
      </c>
      <c r="AC278">
        <f t="shared" si="119"/>
        <v>-5.6836303355494682</v>
      </c>
      <c r="AD278">
        <f t="shared" si="120"/>
        <v>-4.1204902424002112</v>
      </c>
      <c r="AE278">
        <f t="shared" si="121"/>
        <v>-3031.6193786361605</v>
      </c>
      <c r="AH278">
        <v>2.5957542812278956E-2</v>
      </c>
      <c r="AI278">
        <v>18.321449855180738</v>
      </c>
      <c r="AJ278">
        <f t="shared" si="122"/>
        <v>-778.68700002113042</v>
      </c>
      <c r="AK278">
        <f t="shared" si="123"/>
        <v>188.97921223265425</v>
      </c>
      <c r="AN278">
        <f t="shared" si="127"/>
        <v>0</v>
      </c>
      <c r="AO278" s="43">
        <f t="shared" si="126"/>
        <v>16595</v>
      </c>
      <c r="AP278" s="43"/>
      <c r="AQ278" t="e">
        <f t="shared" si="128"/>
        <v>#DIV/0!</v>
      </c>
    </row>
    <row r="279" spans="1:43">
      <c r="A279">
        <v>317</v>
      </c>
      <c r="B279">
        <f t="shared" si="95"/>
        <v>317</v>
      </c>
      <c r="D279" s="43">
        <f t="shared" si="96"/>
        <v>738.07069837289782</v>
      </c>
      <c r="E279" s="43">
        <f t="shared" si="97"/>
        <v>1245.7230020908628</v>
      </c>
      <c r="F279" s="69">
        <f t="shared" si="98"/>
        <v>1.3104885866373075</v>
      </c>
      <c r="G279" s="98">
        <f t="shared" si="99"/>
        <v>340.36697772307701</v>
      </c>
      <c r="H279" s="69">
        <f t="shared" si="100"/>
        <v>0.11647731757468235</v>
      </c>
      <c r="I279" s="69">
        <f t="shared" si="101"/>
        <v>-2.3010447424579277</v>
      </c>
      <c r="J279" s="99">
        <f t="shared" si="102"/>
        <v>1.5047746178408776E-2</v>
      </c>
      <c r="K279" s="69">
        <f t="shared" si="103"/>
        <v>1.1422124422146151E-5</v>
      </c>
      <c r="L279" s="99">
        <f t="shared" si="104"/>
        <v>1.5059168302830923E-2</v>
      </c>
      <c r="M279" s="69">
        <f t="shared" si="105"/>
        <v>7.7346447846516311</v>
      </c>
      <c r="N279" s="69">
        <f t="shared" si="106"/>
        <v>2.6397393940677052</v>
      </c>
      <c r="O279" s="69">
        <f t="shared" si="107"/>
        <v>22.663119730373001</v>
      </c>
      <c r="P279" s="69">
        <f t="shared" si="108"/>
        <v>2.669406433051849</v>
      </c>
      <c r="Q279" s="69">
        <f t="shared" si="109"/>
        <v>-2.142994004912838</v>
      </c>
      <c r="R279" s="43">
        <f t="shared" si="110"/>
        <v>-1268.79348432243</v>
      </c>
      <c r="S279" s="43">
        <f t="shared" si="111"/>
        <v>2440.3189190349008</v>
      </c>
      <c r="T279" s="43">
        <f>R279+Thrust!C$33*0.8</f>
        <v>542.96651567756999</v>
      </c>
      <c r="V279">
        <f t="shared" si="112"/>
        <v>3039961.4098792858</v>
      </c>
      <c r="W279">
        <f t="shared" si="113"/>
        <v>-1580565.2283234636</v>
      </c>
      <c r="X279">
        <f t="shared" si="114"/>
        <v>-4620526.6382027492</v>
      </c>
      <c r="Y279">
        <f t="shared" si="115"/>
        <v>4620526.6382027492</v>
      </c>
      <c r="Z279">
        <f t="shared" si="116"/>
        <v>-9663.4534883579927</v>
      </c>
      <c r="AA279">
        <f t="shared" si="117"/>
        <v>-7.4284747505046358</v>
      </c>
      <c r="AB279">
        <f t="shared" si="118"/>
        <v>-7513.3526842954425</v>
      </c>
      <c r="AC279">
        <f t="shared" si="119"/>
        <v>-5.7692292834342309</v>
      </c>
      <c r="AD279">
        <f t="shared" si="120"/>
        <v>-4.1367300373412847</v>
      </c>
      <c r="AE279">
        <f t="shared" si="121"/>
        <v>-3053.1992276406258</v>
      </c>
      <c r="AH279">
        <v>2.5957542812278956E-2</v>
      </c>
      <c r="AI279">
        <v>18.321449855180738</v>
      </c>
      <c r="AJ279">
        <f t="shared" si="122"/>
        <v>-763.67600418914014</v>
      </c>
      <c r="AK279">
        <f t="shared" si="123"/>
        <v>184.60861533037382</v>
      </c>
      <c r="AN279">
        <f t="shared" si="127"/>
        <v>0</v>
      </c>
      <c r="AO279" s="43">
        <f t="shared" si="126"/>
        <v>16595</v>
      </c>
      <c r="AP279" s="43"/>
      <c r="AQ279" t="e">
        <f t="shared" si="128"/>
        <v>#DIV/0!</v>
      </c>
    </row>
    <row r="280" spans="1:43">
      <c r="A280">
        <v>318</v>
      </c>
      <c r="B280">
        <f t="shared" si="95"/>
        <v>318</v>
      </c>
      <c r="D280" s="43">
        <f t="shared" si="96"/>
        <v>740.39899710593534</v>
      </c>
      <c r="E280" s="43">
        <f t="shared" si="97"/>
        <v>1249.6527276495092</v>
      </c>
      <c r="F280" s="69">
        <f t="shared" si="98"/>
        <v>1.3146226200336397</v>
      </c>
      <c r="G280" s="98">
        <f t="shared" si="99"/>
        <v>342.51779055686143</v>
      </c>
      <c r="H280" s="69">
        <f t="shared" si="100"/>
        <v>0.11574590765557385</v>
      </c>
      <c r="I280" s="69">
        <f t="shared" si="101"/>
        <v>-2.3072036662492481</v>
      </c>
      <c r="J280" s="99">
        <f t="shared" si="102"/>
        <v>1.5047746178408776E-2</v>
      </c>
      <c r="K280" s="69">
        <f t="shared" si="103"/>
        <v>1.0430599316610657E-5</v>
      </c>
      <c r="L280" s="99">
        <f t="shared" si="104"/>
        <v>1.5058176777725387E-2</v>
      </c>
      <c r="M280" s="69">
        <f t="shared" si="105"/>
        <v>7.6865818062907518</v>
      </c>
      <c r="N280" s="69">
        <f t="shared" si="106"/>
        <v>2.6150866045229848</v>
      </c>
      <c r="O280" s="69">
        <f t="shared" si="107"/>
        <v>22.593339647953016</v>
      </c>
      <c r="P280" s="69">
        <f t="shared" si="108"/>
        <v>2.6778272735346622</v>
      </c>
      <c r="Q280" s="69">
        <f t="shared" si="109"/>
        <v>-2.1715324022424527</v>
      </c>
      <c r="R280" s="43">
        <f t="shared" si="110"/>
        <v>-1281.6470430840579</v>
      </c>
      <c r="S280" s="43">
        <f t="shared" si="111"/>
        <v>2455.5778466512343</v>
      </c>
      <c r="T280" s="43">
        <f>R280+Thrust!C$33*0.8</f>
        <v>530.11295691594205</v>
      </c>
      <c r="V280">
        <f t="shared" si="112"/>
        <v>3068619.5540234232</v>
      </c>
      <c r="W280">
        <f t="shared" si="113"/>
        <v>-1601613.7232739211</v>
      </c>
      <c r="X280">
        <f t="shared" si="114"/>
        <v>-4670233.2772973441</v>
      </c>
      <c r="Y280">
        <f t="shared" si="115"/>
        <v>4670233.2772973441</v>
      </c>
      <c r="Z280">
        <f t="shared" si="116"/>
        <v>-9754.5522247102199</v>
      </c>
      <c r="AA280">
        <f t="shared" si="117"/>
        <v>-7.4751883377686665</v>
      </c>
      <c r="AB280">
        <f t="shared" si="118"/>
        <v>-7648.7283224934663</v>
      </c>
      <c r="AC280">
        <f t="shared" si="119"/>
        <v>-5.8550067669001802</v>
      </c>
      <c r="AD280">
        <f t="shared" si="120"/>
        <v>-4.152671336146132</v>
      </c>
      <c r="AE280">
        <f t="shared" si="121"/>
        <v>-3074.63369259316</v>
      </c>
      <c r="AH280">
        <v>2.5957542812278956E-2</v>
      </c>
      <c r="AI280">
        <v>18.321449855180738</v>
      </c>
      <c r="AJ280">
        <f t="shared" si="122"/>
        <v>-748.47085957553077</v>
      </c>
      <c r="AK280">
        <f t="shared" si="123"/>
        <v>180.23840535142031</v>
      </c>
      <c r="AN280">
        <f t="shared" si="127"/>
        <v>0</v>
      </c>
      <c r="AO280" s="43">
        <f t="shared" si="126"/>
        <v>16595</v>
      </c>
      <c r="AP280" s="43"/>
      <c r="AQ280" t="e">
        <f t="shared" si="128"/>
        <v>#DIV/0!</v>
      </c>
    </row>
    <row r="281" spans="1:43">
      <c r="A281">
        <v>319</v>
      </c>
      <c r="B281">
        <f t="shared" si="95"/>
        <v>319</v>
      </c>
      <c r="D281" s="43">
        <f t="shared" si="96"/>
        <v>742.72729583897285</v>
      </c>
      <c r="E281" s="43">
        <f t="shared" si="97"/>
        <v>1253.5824532081554</v>
      </c>
      <c r="F281" s="69">
        <f t="shared" si="98"/>
        <v>1.3187566534299719</v>
      </c>
      <c r="G281" s="98">
        <f t="shared" si="99"/>
        <v>344.67537760429542</v>
      </c>
      <c r="H281" s="69">
        <f t="shared" si="100"/>
        <v>0.1150213654127048</v>
      </c>
      <c r="I281" s="69">
        <f t="shared" si="101"/>
        <v>-2.3133047599599568</v>
      </c>
      <c r="J281" s="99">
        <f t="shared" si="102"/>
        <v>1.5047746178408776E-2</v>
      </c>
      <c r="K281" s="69">
        <f t="shared" si="103"/>
        <v>9.4927640078172703E-6</v>
      </c>
      <c r="L281" s="99">
        <f t="shared" si="104"/>
        <v>1.5057238942416593E-2</v>
      </c>
      <c r="M281" s="69">
        <f t="shared" si="105"/>
        <v>7.6389413658494147</v>
      </c>
      <c r="N281" s="69">
        <f t="shared" si="106"/>
        <v>2.5907316808121506</v>
      </c>
      <c r="O281" s="69">
        <f t="shared" si="107"/>
        <v>22.523916939400102</v>
      </c>
      <c r="P281" s="69">
        <f t="shared" si="108"/>
        <v>2.6862481140174754</v>
      </c>
      <c r="Q281" s="69">
        <f t="shared" si="109"/>
        <v>-2.2002058531194457</v>
      </c>
      <c r="R281" s="43">
        <f t="shared" si="110"/>
        <v>-1294.499474538186</v>
      </c>
      <c r="S281" s="43">
        <f t="shared" si="111"/>
        <v>2470.8921165938532</v>
      </c>
      <c r="T281" s="43">
        <f>R281+Thrust!C$33*0.8</f>
        <v>517.26052546181404</v>
      </c>
      <c r="V281">
        <f t="shared" si="112"/>
        <v>3097467.0011324137</v>
      </c>
      <c r="W281">
        <f t="shared" si="113"/>
        <v>-1622761.8269682471</v>
      </c>
      <c r="X281">
        <f t="shared" si="114"/>
        <v>-4720228.8281006608</v>
      </c>
      <c r="Y281">
        <f t="shared" si="115"/>
        <v>4720228.8281006608</v>
      </c>
      <c r="Z281">
        <f t="shared" si="116"/>
        <v>-9846.2527188315144</v>
      </c>
      <c r="AA281">
        <f t="shared" si="117"/>
        <v>-7.5220763748102506</v>
      </c>
      <c r="AB281">
        <f t="shared" si="118"/>
        <v>-7785.0223555271632</v>
      </c>
      <c r="AC281">
        <f t="shared" si="119"/>
        <v>-5.9409628815386419</v>
      </c>
      <c r="AD281">
        <f t="shared" si="120"/>
        <v>-4.1683187474938288</v>
      </c>
      <c r="AE281">
        <f t="shared" si="121"/>
        <v>-3095.9241115209857</v>
      </c>
      <c r="AH281">
        <v>2.5957542812278956E-2</v>
      </c>
      <c r="AI281">
        <v>18.321449855180738</v>
      </c>
      <c r="AJ281">
        <f t="shared" si="122"/>
        <v>-733.07629351113621</v>
      </c>
      <c r="AK281">
        <f t="shared" si="123"/>
        <v>175.8685786570168</v>
      </c>
      <c r="AN281">
        <f t="shared" si="127"/>
        <v>0</v>
      </c>
      <c r="AO281" s="43">
        <f t="shared" si="126"/>
        <v>16595</v>
      </c>
      <c r="AP281" s="43"/>
      <c r="AQ281" t="e">
        <f t="shared" si="128"/>
        <v>#DIV/0!</v>
      </c>
    </row>
    <row r="282" spans="1:43">
      <c r="A282">
        <v>320</v>
      </c>
      <c r="B282">
        <f t="shared" si="95"/>
        <v>320</v>
      </c>
      <c r="D282" s="43">
        <f t="shared" si="96"/>
        <v>745.05559457201036</v>
      </c>
      <c r="E282" s="43">
        <f t="shared" si="97"/>
        <v>1257.5121787668015</v>
      </c>
      <c r="F282" s="69">
        <f t="shared" si="98"/>
        <v>1.322890686826304</v>
      </c>
      <c r="G282" s="98">
        <f t="shared" si="99"/>
        <v>346.83973886537916</v>
      </c>
      <c r="H282" s="69">
        <f t="shared" si="100"/>
        <v>0.11430360513439701</v>
      </c>
      <c r="I282" s="69">
        <f t="shared" si="101"/>
        <v>-2.3193487453353843</v>
      </c>
      <c r="J282" s="99">
        <f t="shared" si="102"/>
        <v>1.5047746178408776E-2</v>
      </c>
      <c r="K282" s="69">
        <f t="shared" si="103"/>
        <v>8.6072593146521088E-6</v>
      </c>
      <c r="L282" s="99">
        <f t="shared" si="104"/>
        <v>1.5056353437723428E-2</v>
      </c>
      <c r="M282" s="69">
        <f t="shared" si="105"/>
        <v>7.5917190445338072</v>
      </c>
      <c r="N282" s="69">
        <f t="shared" si="106"/>
        <v>2.5666703365011312</v>
      </c>
      <c r="O282" s="69">
        <f t="shared" si="107"/>
        <v>22.454850251514522</v>
      </c>
      <c r="P282" s="69">
        <f t="shared" si="108"/>
        <v>2.6946689545002886</v>
      </c>
      <c r="Q282" s="69">
        <f t="shared" si="109"/>
        <v>-2.2290143575438197</v>
      </c>
      <c r="R282" s="43">
        <f t="shared" si="110"/>
        <v>-1307.3507892533232</v>
      </c>
      <c r="S282" s="43">
        <f t="shared" si="111"/>
        <v>2486.2616608013682</v>
      </c>
      <c r="T282" s="43">
        <f>R282+Thrust!C$33*0.8</f>
        <v>504.40921074667676</v>
      </c>
      <c r="V282">
        <f t="shared" si="112"/>
        <v>3126504.3180586952</v>
      </c>
      <c r="W282">
        <f t="shared" si="113"/>
        <v>-1644009.5394064442</v>
      </c>
      <c r="X282">
        <f t="shared" si="114"/>
        <v>-4770513.8574651396</v>
      </c>
      <c r="Y282">
        <f t="shared" si="115"/>
        <v>4770513.8574651396</v>
      </c>
      <c r="Z282">
        <f t="shared" si="116"/>
        <v>-9938.5567726369118</v>
      </c>
      <c r="AA282">
        <f t="shared" si="117"/>
        <v>-7.5691387410003212</v>
      </c>
      <c r="AB282">
        <f t="shared" si="118"/>
        <v>-7922.2365853115716</v>
      </c>
      <c r="AC282">
        <f t="shared" si="119"/>
        <v>-6.0270977284334872</v>
      </c>
      <c r="AD282">
        <f t="shared" si="120"/>
        <v>-4.1836768054832598</v>
      </c>
      <c r="AE282">
        <f t="shared" si="121"/>
        <v>-3117.0718098064594</v>
      </c>
      <c r="AH282">
        <v>2.5957542812278956E-2</v>
      </c>
      <c r="AI282">
        <v>18.321449855180738</v>
      </c>
      <c r="AJ282">
        <f t="shared" si="122"/>
        <v>-717.49693926081625</v>
      </c>
      <c r="AK282">
        <f t="shared" si="123"/>
        <v>171.49913165387011</v>
      </c>
      <c r="AN282">
        <f t="shared" si="127"/>
        <v>0</v>
      </c>
      <c r="AO282" s="43">
        <f t="shared" si="126"/>
        <v>16595</v>
      </c>
      <c r="AP282" s="43"/>
      <c r="AQ282" t="e">
        <f t="shared" si="128"/>
        <v>#DIV/0!</v>
      </c>
    </row>
    <row r="283" spans="1:43">
      <c r="A283">
        <v>321</v>
      </c>
      <c r="B283">
        <f t="shared" ref="B283:B312" si="129">A283</f>
        <v>321</v>
      </c>
      <c r="D283" s="43">
        <f t="shared" ref="D283:D312" si="130">A283/SQRT(D$13)</f>
        <v>747.38389330504788</v>
      </c>
      <c r="E283" s="43">
        <f t="shared" ref="E283:E312" si="131">D283*1.68780986</f>
        <v>1261.4419043254477</v>
      </c>
      <c r="F283" s="69">
        <f t="shared" ref="F283:F312" si="132">E283/SQRT(1716.46*1.4*$D$15)</f>
        <v>1.3270247202226362</v>
      </c>
      <c r="G283" s="98">
        <f t="shared" ref="G283:G312" si="133">0.5*$D$14*E283^2</f>
        <v>349.01087434011254</v>
      </c>
      <c r="H283" s="69">
        <f t="shared" ref="H283:H312" si="134">2*$D$4/($D$14*E283^2*$D$7)</f>
        <v>0.11359254244196249</v>
      </c>
      <c r="I283" s="69">
        <f t="shared" ref="I283:I312" si="135">DEGREES((H283-$J$4)/$J$5)</f>
        <v>-2.32533633289626</v>
      </c>
      <c r="J283" s="99">
        <f t="shared" ref="J283:J312" si="136">$J$7</f>
        <v>1.5047746178408776E-2</v>
      </c>
      <c r="K283" s="69">
        <f t="shared" ref="K283:K312" si="137">$J$9*(H283-$J$6)^2</f>
        <v>7.77275999444198E-6</v>
      </c>
      <c r="L283" s="99">
        <f t="shared" ref="L283:L312" si="138">SUM(J283:K283)</f>
        <v>1.5055518938403218E-2</v>
      </c>
      <c r="M283" s="69">
        <f t="shared" ref="M283:M312" si="139">H283/L283</f>
        <v>7.5449104681615218</v>
      </c>
      <c r="N283" s="69">
        <f t="shared" ref="N283:N312" si="140">H283^1.5/L283</f>
        <v>2.5428983536049663</v>
      </c>
      <c r="O283" s="69">
        <f t="shared" ref="O283:O312" si="141">H283^0.5/L283</f>
        <v>22.386138200086535</v>
      </c>
      <c r="P283" s="69">
        <f t="shared" ref="P283:P312" si="142">60*E283/($J$17*$J$13)</f>
        <v>2.7030897949831019</v>
      </c>
      <c r="Q283" s="69">
        <f t="shared" ref="Q283:Q312" si="143">0.096574+1.703049*P283-0.952281*P283^2</f>
        <v>-2.2579579155155729</v>
      </c>
      <c r="R283" s="43">
        <f t="shared" ref="R283:R312" si="144">Q283*550*$J$16/E283</f>
        <v>-1320.2009976662821</v>
      </c>
      <c r="S283" s="43">
        <f t="shared" ref="S283:S312" si="145">$D$7*G283*L283</f>
        <v>2501.6864122708794</v>
      </c>
      <c r="T283" s="43">
        <f>R283+Thrust!C$33*0.8</f>
        <v>491.5590023337179</v>
      </c>
      <c r="V283">
        <f t="shared" ref="V283:V312" si="146">S283*E283</f>
        <v>3155732.071920075</v>
      </c>
      <c r="W283">
        <f t="shared" ref="W283:W312" si="147">R283*E283</f>
        <v>-1665356.8605885108</v>
      </c>
      <c r="X283">
        <f t="shared" ref="X283:X312" si="148">W283-V283</f>
        <v>-4821088.932508586</v>
      </c>
      <c r="Y283">
        <f t="shared" ref="Y283:Y312" si="149">SQRT(X283^2)</f>
        <v>4821088.932508586</v>
      </c>
      <c r="Z283">
        <f t="shared" ref="Z283:Z312" si="150">-(E283/M283)*60</f>
        <v>-10031.466188885008</v>
      </c>
      <c r="AA283">
        <f t="shared" ref="AA283:AA312" si="151">ASIN((Z283/60)/E283)*180/PI()</f>
        <v>-7.6163753198092365</v>
      </c>
      <c r="AB283">
        <f t="shared" ref="AB283:AB312" si="152">60*(((T283*E283)-(S283*E283))/$D$4)</f>
        <v>-8060.3728146052863</v>
      </c>
      <c r="AC283">
        <f t="shared" ref="AC283:AC312" si="153">ASIN((AB283/60)/E283)*180/PI()</f>
        <v>-6.1134114141243616</v>
      </c>
      <c r="AD283">
        <f t="shared" ref="AD283:AD312" si="154">((325.9*Q283)/($J$12*D283))*M283*LN($D$4/$D$6)</f>
        <v>-4.1987499708407583</v>
      </c>
      <c r="AE283">
        <f t="shared" ref="AE283:AE312" si="155">((325.9*Q283)/($J$12))*M283*LN($D$4/$D$6)</f>
        <v>-3138.0781002214217</v>
      </c>
      <c r="AH283">
        <v>2.5957542812278956E-2</v>
      </c>
      <c r="AI283">
        <v>18.321449855180738</v>
      </c>
      <c r="AJ283">
        <f t="shared" ref="AJ283:AJ312" si="156">($J$12*T283)*AD283</f>
        <v>-701.73733788317156</v>
      </c>
      <c r="AK283">
        <f t="shared" ref="AK283:AK312" si="157">$J$12*T283</f>
        <v>167.13006079346411</v>
      </c>
      <c r="AN283">
        <f t="shared" si="127"/>
        <v>0</v>
      </c>
      <c r="AO283" s="43">
        <f t="shared" si="126"/>
        <v>16595</v>
      </c>
      <c r="AP283" s="43"/>
      <c r="AQ283" t="e">
        <f t="shared" si="128"/>
        <v>#DIV/0!</v>
      </c>
    </row>
    <row r="284" spans="1:43">
      <c r="A284">
        <v>322</v>
      </c>
      <c r="B284">
        <f t="shared" si="129"/>
        <v>322</v>
      </c>
      <c r="D284" s="43">
        <f t="shared" si="130"/>
        <v>749.71219203808539</v>
      </c>
      <c r="E284" s="43">
        <f t="shared" si="131"/>
        <v>1265.3716298840941</v>
      </c>
      <c r="F284" s="69">
        <f t="shared" si="132"/>
        <v>1.3311587536189684</v>
      </c>
      <c r="G284" s="98">
        <f t="shared" si="133"/>
        <v>351.18878402849583</v>
      </c>
      <c r="H284" s="69">
        <f t="shared" si="134"/>
        <v>0.11288809426490348</v>
      </c>
      <c r="I284" s="69">
        <f t="shared" si="135"/>
        <v>-2.3312682221475423</v>
      </c>
      <c r="J284" s="99">
        <f t="shared" si="136"/>
        <v>1.5047746178408776E-2</v>
      </c>
      <c r="K284" s="69">
        <f t="shared" si="137"/>
        <v>6.9879738350004141E-6</v>
      </c>
      <c r="L284" s="99">
        <f t="shared" si="138"/>
        <v>1.5054734152243777E-2</v>
      </c>
      <c r="M284" s="69">
        <f t="shared" si="139"/>
        <v>7.4985113070281946</v>
      </c>
      <c r="N284" s="69">
        <f t="shared" si="140"/>
        <v>2.5194115814801261</v>
      </c>
      <c r="O284" s="69">
        <f t="shared" si="141"/>
        <v>22.317779371561258</v>
      </c>
      <c r="P284" s="69">
        <f t="shared" si="142"/>
        <v>2.7115106354659155</v>
      </c>
      <c r="Q284" s="69">
        <f t="shared" si="143"/>
        <v>-2.2870365270347071</v>
      </c>
      <c r="R284" s="43">
        <f t="shared" si="144"/>
        <v>-1333.0501100842262</v>
      </c>
      <c r="S284" s="43">
        <f t="shared" si="145"/>
        <v>2517.1663050382899</v>
      </c>
      <c r="T284" s="43">
        <f>R284+Thrust!C$33*0.8</f>
        <v>478.70988991577383</v>
      </c>
      <c r="V284">
        <f t="shared" si="146"/>
        <v>3185150.8300956236</v>
      </c>
      <c r="W284">
        <f t="shared" si="147"/>
        <v>-1686803.7905144484</v>
      </c>
      <c r="X284">
        <f t="shared" si="148"/>
        <v>-4871954.6206100723</v>
      </c>
      <c r="Y284">
        <f t="shared" si="149"/>
        <v>4871954.6206100723</v>
      </c>
      <c r="Z284">
        <f t="shared" si="150"/>
        <v>-10124.982771164896</v>
      </c>
      <c r="AA284">
        <f t="shared" si="151"/>
        <v>-7.6637859987538404</v>
      </c>
      <c r="AB284">
        <f t="shared" si="152"/>
        <v>-8199.4328469974007</v>
      </c>
      <c r="AC284">
        <f t="shared" si="153"/>
        <v>-6.1999040505713872</v>
      </c>
      <c r="AD284">
        <f t="shared" si="154"/>
        <v>-4.2135426321118814</v>
      </c>
      <c r="AE284">
        <f t="shared" si="155"/>
        <v>-3158.9442829665231</v>
      </c>
      <c r="AH284">
        <v>2.5957542812278956E-2</v>
      </c>
      <c r="AI284">
        <v>18.321449855180738</v>
      </c>
      <c r="AJ284">
        <f t="shared" si="156"/>
        <v>-685.80194005505757</v>
      </c>
      <c r="AK284">
        <f t="shared" si="157"/>
        <v>162.76136257136312</v>
      </c>
      <c r="AN284">
        <f t="shared" si="127"/>
        <v>0</v>
      </c>
      <c r="AO284" s="43">
        <f t="shared" si="126"/>
        <v>16595</v>
      </c>
      <c r="AP284" s="43"/>
      <c r="AQ284" t="e">
        <f t="shared" si="128"/>
        <v>#DIV/0!</v>
      </c>
    </row>
    <row r="285" spans="1:43">
      <c r="A285">
        <v>323</v>
      </c>
      <c r="B285">
        <f t="shared" si="129"/>
        <v>323</v>
      </c>
      <c r="D285" s="43">
        <f t="shared" si="130"/>
        <v>752.04049077112302</v>
      </c>
      <c r="E285" s="43">
        <f t="shared" si="131"/>
        <v>1269.3013554427405</v>
      </c>
      <c r="F285" s="69">
        <f t="shared" si="132"/>
        <v>1.3352927870153009</v>
      </c>
      <c r="G285" s="98">
        <f t="shared" si="133"/>
        <v>353.37346793052882</v>
      </c>
      <c r="H285" s="69">
        <f t="shared" si="134"/>
        <v>0.11219017881664975</v>
      </c>
      <c r="I285" s="69">
        <f t="shared" si="135"/>
        <v>-2.3371451017827258</v>
      </c>
      <c r="J285" s="99">
        <f t="shared" si="136"/>
        <v>1.5047746178408776E-2</v>
      </c>
      <c r="K285" s="69">
        <f t="shared" si="137"/>
        <v>6.251640773127874E-6</v>
      </c>
      <c r="L285" s="99">
        <f t="shared" si="138"/>
        <v>1.5053997819181904E-2</v>
      </c>
      <c r="M285" s="69">
        <f t="shared" si="139"/>
        <v>7.4525172757562297</v>
      </c>
      <c r="N285" s="69">
        <f t="shared" si="140"/>
        <v>2.4962059357313975</v>
      </c>
      <c r="O285" s="69">
        <f t="shared" si="141"/>
        <v>22.249772324642603</v>
      </c>
      <c r="P285" s="69">
        <f t="shared" si="142"/>
        <v>2.7199314759487296</v>
      </c>
      <c r="Q285" s="69">
        <f t="shared" si="143"/>
        <v>-2.3162501921012213</v>
      </c>
      <c r="R285" s="43">
        <f t="shared" si="144"/>
        <v>-1345.8981366866751</v>
      </c>
      <c r="S285" s="43">
        <f t="shared" si="145"/>
        <v>2532.701274159032</v>
      </c>
      <c r="T285" s="43">
        <f>R285+Thrust!C$33*0.8</f>
        <v>465.86186331332487</v>
      </c>
      <c r="V285">
        <f t="shared" si="146"/>
        <v>3214761.1602216153</v>
      </c>
      <c r="W285">
        <f t="shared" si="147"/>
        <v>-1708350.3291842556</v>
      </c>
      <c r="X285">
        <f t="shared" si="148"/>
        <v>-4923111.4894058704</v>
      </c>
      <c r="Y285">
        <f t="shared" si="149"/>
        <v>4923111.4894058704</v>
      </c>
      <c r="Z285">
        <f t="shared" si="150"/>
        <v>-10219.10832388328</v>
      </c>
      <c r="AA285">
        <f t="shared" si="151"/>
        <v>-7.7113706693458273</v>
      </c>
      <c r="AB285">
        <f t="shared" si="152"/>
        <v>-8339.4184868946159</v>
      </c>
      <c r="AC285">
        <f t="shared" si="153"/>
        <v>-6.2865757551212234</v>
      </c>
      <c r="AD285">
        <f t="shared" si="154"/>
        <v>-4.228059106837291</v>
      </c>
      <c r="AE285">
        <f t="shared" si="155"/>
        <v>-3179.6716457152315</v>
      </c>
      <c r="AH285">
        <v>2.5957542812278956E-2</v>
      </c>
      <c r="AI285">
        <v>18.321449855180738</v>
      </c>
      <c r="AJ285">
        <f t="shared" si="156"/>
        <v>-669.69510786143155</v>
      </c>
      <c r="AK285">
        <f t="shared" si="157"/>
        <v>158.39303352653047</v>
      </c>
      <c r="AN285">
        <f t="shared" si="127"/>
        <v>0</v>
      </c>
      <c r="AO285" s="43">
        <f t="shared" ref="AO285:AO312" si="158">$D$4-2280</f>
        <v>16595</v>
      </c>
      <c r="AP285" s="43"/>
      <c r="AQ285" t="e">
        <f t="shared" si="128"/>
        <v>#DIV/0!</v>
      </c>
    </row>
    <row r="286" spans="1:43">
      <c r="A286">
        <v>324</v>
      </c>
      <c r="B286">
        <f t="shared" si="129"/>
        <v>324</v>
      </c>
      <c r="D286" s="43">
        <f t="shared" si="130"/>
        <v>754.36878950416053</v>
      </c>
      <c r="E286" s="43">
        <f t="shared" si="131"/>
        <v>1273.2310810013867</v>
      </c>
      <c r="F286" s="69">
        <f t="shared" si="132"/>
        <v>1.3394268204116329</v>
      </c>
      <c r="G286" s="98">
        <f t="shared" si="133"/>
        <v>355.56492604621138</v>
      </c>
      <c r="H286" s="69">
        <f t="shared" si="134"/>
        <v>0.11149871557081861</v>
      </c>
      <c r="I286" s="69">
        <f t="shared" si="135"/>
        <v>-2.3429676498837462</v>
      </c>
      <c r="J286" s="99">
        <f t="shared" si="136"/>
        <v>1.5047746178408776E-2</v>
      </c>
      <c r="K286" s="69">
        <f t="shared" si="137"/>
        <v>5.5625320387247816E-6</v>
      </c>
      <c r="L286" s="99">
        <f t="shared" si="138"/>
        <v>1.5053308710447501E-2</v>
      </c>
      <c r="M286" s="69">
        <f t="shared" si="139"/>
        <v>7.4069241331266111</v>
      </c>
      <c r="N286" s="69">
        <f t="shared" si="140"/>
        <v>2.4732773971333852</v>
      </c>
      <c r="O286" s="69">
        <f t="shared" si="141"/>
        <v>22.182115591838173</v>
      </c>
      <c r="P286" s="69">
        <f t="shared" si="142"/>
        <v>2.7283523164315429</v>
      </c>
      <c r="Q286" s="69">
        <f t="shared" si="143"/>
        <v>-2.3455989107151138</v>
      </c>
      <c r="R286" s="43">
        <f t="shared" si="144"/>
        <v>-1358.7450875274762</v>
      </c>
      <c r="S286" s="43">
        <f t="shared" si="145"/>
        <v>2548.2912556892202</v>
      </c>
      <c r="T286" s="43">
        <f>R286+Thrust!C$33*0.8</f>
        <v>453.01491247252375</v>
      </c>
      <c r="V286">
        <f t="shared" si="146"/>
        <v>3244563.6301875669</v>
      </c>
      <c r="W286">
        <f t="shared" si="147"/>
        <v>-1729996.4765979324</v>
      </c>
      <c r="X286">
        <f t="shared" si="148"/>
        <v>-4974560.1067854995</v>
      </c>
      <c r="Y286">
        <f t="shared" si="149"/>
        <v>4974560.1067854995</v>
      </c>
      <c r="Z286">
        <f t="shared" si="150"/>
        <v>-10313.844652251868</v>
      </c>
      <c r="AA286">
        <f t="shared" si="151"/>
        <v>-7.7591292270414369</v>
      </c>
      <c r="AB286">
        <f t="shared" si="152"/>
        <v>-8480.3315395086411</v>
      </c>
      <c r="AC286">
        <f t="shared" si="153"/>
        <v>-6.3734266504745252</v>
      </c>
      <c r="AD286">
        <f t="shared" si="154"/>
        <v>-4.2423036427126535</v>
      </c>
      <c r="AE286">
        <f t="shared" si="155"/>
        <v>-3200.2614636622357</v>
      </c>
      <c r="AH286">
        <v>2.5957542812278956E-2</v>
      </c>
      <c r="AI286">
        <v>18.321449855180738</v>
      </c>
      <c r="AJ286">
        <f t="shared" si="156"/>
        <v>-653.42111655101621</v>
      </c>
      <c r="AK286">
        <f t="shared" si="157"/>
        <v>154.0250702406581</v>
      </c>
      <c r="AN286">
        <f t="shared" si="127"/>
        <v>0</v>
      </c>
      <c r="AO286" s="43">
        <f t="shared" si="158"/>
        <v>16595</v>
      </c>
      <c r="AP286" s="43"/>
      <c r="AQ286" t="e">
        <f t="shared" si="128"/>
        <v>#DIV/0!</v>
      </c>
    </row>
    <row r="287" spans="1:43">
      <c r="A287">
        <v>325</v>
      </c>
      <c r="B287">
        <f t="shared" si="129"/>
        <v>325</v>
      </c>
      <c r="D287" s="43">
        <f t="shared" si="130"/>
        <v>756.69708823719805</v>
      </c>
      <c r="E287" s="43">
        <f t="shared" si="131"/>
        <v>1277.1608065600328</v>
      </c>
      <c r="F287" s="69">
        <f t="shared" si="132"/>
        <v>1.3435608538079651</v>
      </c>
      <c r="G287" s="98">
        <f t="shared" si="133"/>
        <v>357.7631583755437</v>
      </c>
      <c r="H287" s="69">
        <f t="shared" si="134"/>
        <v>0.11081362523798582</v>
      </c>
      <c r="I287" s="69">
        <f t="shared" si="135"/>
        <v>-2.3487365341165858</v>
      </c>
      <c r="J287" s="99">
        <f t="shared" si="136"/>
        <v>1.5047746178408776E-2</v>
      </c>
      <c r="K287" s="69">
        <f t="shared" si="137"/>
        <v>4.9194493237071456E-6</v>
      </c>
      <c r="L287" s="99">
        <f t="shared" si="138"/>
        <v>1.5052665627732484E-2</v>
      </c>
      <c r="M287" s="69">
        <f t="shared" si="139"/>
        <v>7.361727681894882</v>
      </c>
      <c r="N287" s="69">
        <f t="shared" si="140"/>
        <v>2.4506220105666259</v>
      </c>
      <c r="O287" s="69">
        <f t="shared" si="141"/>
        <v>22.114807680947315</v>
      </c>
      <c r="P287" s="69">
        <f t="shared" si="142"/>
        <v>2.7367731569143561</v>
      </c>
      <c r="Q287" s="69">
        <f t="shared" si="143"/>
        <v>-2.3750826828763847</v>
      </c>
      <c r="R287" s="43">
        <f t="shared" si="144"/>
        <v>-1371.5909725367358</v>
      </c>
      <c r="S287" s="43">
        <f t="shared" si="145"/>
        <v>2563.9361866672093</v>
      </c>
      <c r="T287" s="43">
        <f>R287+Thrust!C$33*0.8</f>
        <v>440.16902746326423</v>
      </c>
      <c r="V287">
        <f t="shared" si="146"/>
        <v>3274558.8081323481</v>
      </c>
      <c r="W287">
        <f t="shared" si="147"/>
        <v>-1751742.2327554773</v>
      </c>
      <c r="X287">
        <f t="shared" si="148"/>
        <v>-5026301.0408878252</v>
      </c>
      <c r="Y287">
        <f t="shared" si="149"/>
        <v>5026301.0408878252</v>
      </c>
      <c r="Z287">
        <f t="shared" si="150"/>
        <v>-10409.193562275013</v>
      </c>
      <c r="AA287">
        <f t="shared" si="151"/>
        <v>-7.8070615711924454</v>
      </c>
      <c r="AB287">
        <f t="shared" si="152"/>
        <v>-8622.1738108438258</v>
      </c>
      <c r="AC287">
        <f t="shared" si="153"/>
        <v>-6.4604568646547564</v>
      </c>
      <c r="AD287">
        <f t="shared" si="154"/>
        <v>-4.2562804187326222</v>
      </c>
      <c r="AE287">
        <f t="shared" si="155"/>
        <v>-3220.7149995759773</v>
      </c>
      <c r="AH287">
        <v>2.5957542812278956E-2</v>
      </c>
      <c r="AI287">
        <v>18.321449855180738</v>
      </c>
      <c r="AJ287">
        <f t="shared" si="156"/>
        <v>-636.98415625832092</v>
      </c>
      <c r="AK287">
        <f t="shared" si="157"/>
        <v>149.65746933750984</v>
      </c>
      <c r="AN287">
        <f t="shared" si="127"/>
        <v>0</v>
      </c>
      <c r="AO287" s="43">
        <f t="shared" si="158"/>
        <v>16595</v>
      </c>
      <c r="AP287" s="43"/>
      <c r="AQ287" t="e">
        <f t="shared" si="128"/>
        <v>#DIV/0!</v>
      </c>
    </row>
    <row r="288" spans="1:43">
      <c r="A288">
        <v>326</v>
      </c>
      <c r="B288">
        <f t="shared" si="129"/>
        <v>326</v>
      </c>
      <c r="D288" s="43">
        <f t="shared" si="130"/>
        <v>759.02538697023556</v>
      </c>
      <c r="E288" s="43">
        <f t="shared" si="131"/>
        <v>1281.090532118679</v>
      </c>
      <c r="F288" s="69">
        <f t="shared" si="132"/>
        <v>1.3476948872042971</v>
      </c>
      <c r="G288" s="98">
        <f t="shared" si="133"/>
        <v>359.96816491852564</v>
      </c>
      <c r="H288" s="69">
        <f t="shared" si="134"/>
        <v>0.11013482974295473</v>
      </c>
      <c r="I288" s="69">
        <f t="shared" si="135"/>
        <v>-2.3544524119226775</v>
      </c>
      <c r="J288" s="99">
        <f t="shared" si="136"/>
        <v>1.5047746178408776E-2</v>
      </c>
      <c r="K288" s="69">
        <f t="shared" si="137"/>
        <v>4.3212239749415984E-6</v>
      </c>
      <c r="L288" s="99">
        <f t="shared" si="138"/>
        <v>1.5052067402383717E-2</v>
      </c>
      <c r="M288" s="69">
        <f t="shared" si="139"/>
        <v>7.3169237685922965</v>
      </c>
      <c r="N288" s="69">
        <f t="shared" si="140"/>
        <v>2.4282358839683926</v>
      </c>
      <c r="O288" s="69">
        <f t="shared" si="141"/>
        <v>22.047847076494222</v>
      </c>
      <c r="P288" s="69">
        <f t="shared" si="142"/>
        <v>2.7451939973971693</v>
      </c>
      <c r="Q288" s="69">
        <f t="shared" si="143"/>
        <v>-2.4047015085850356</v>
      </c>
      <c r="R288" s="43">
        <f t="shared" si="144"/>
        <v>-1384.4358015227215</v>
      </c>
      <c r="S288" s="43">
        <f t="shared" si="145"/>
        <v>2579.636005095535</v>
      </c>
      <c r="T288" s="43">
        <f>R288+Thrust!C$33*0.8</f>
        <v>427.32419847727851</v>
      </c>
      <c r="V288">
        <f t="shared" si="146"/>
        <v>3304747.2624403425</v>
      </c>
      <c r="W288">
        <f t="shared" si="147"/>
        <v>-1773587.5976568931</v>
      </c>
      <c r="X288">
        <f t="shared" si="148"/>
        <v>-5078334.8600972351</v>
      </c>
      <c r="Y288">
        <f t="shared" si="149"/>
        <v>5078334.8600972351</v>
      </c>
      <c r="Z288">
        <f t="shared" si="150"/>
        <v>-10505.156860737512</v>
      </c>
      <c r="AA288">
        <f t="shared" si="151"/>
        <v>-7.8551676049983428</v>
      </c>
      <c r="AB288">
        <f t="shared" si="152"/>
        <v>-8764.9471076849732</v>
      </c>
      <c r="AC288">
        <f t="shared" si="153"/>
        <v>-6.5476665309782902</v>
      </c>
      <c r="AD288">
        <f t="shared" si="154"/>
        <v>-4.2699935463188465</v>
      </c>
      <c r="AE288">
        <f t="shared" si="155"/>
        <v>-3241.0335038550711</v>
      </c>
      <c r="AH288">
        <v>2.5957542812278956E-2</v>
      </c>
      <c r="AI288">
        <v>18.321449855180738</v>
      </c>
      <c r="AJ288">
        <f t="shared" si="156"/>
        <v>-620.38833369251006</v>
      </c>
      <c r="AK288">
        <f t="shared" si="157"/>
        <v>145.2902274822747</v>
      </c>
      <c r="AN288">
        <f t="shared" si="127"/>
        <v>0</v>
      </c>
      <c r="AO288" s="43">
        <f t="shared" si="158"/>
        <v>16595</v>
      </c>
      <c r="AP288" s="43"/>
      <c r="AQ288" t="e">
        <f t="shared" si="128"/>
        <v>#DIV/0!</v>
      </c>
    </row>
    <row r="289" spans="1:43">
      <c r="A289">
        <v>327</v>
      </c>
      <c r="B289">
        <f t="shared" si="129"/>
        <v>327</v>
      </c>
      <c r="D289" s="43">
        <f t="shared" si="130"/>
        <v>761.35368570327307</v>
      </c>
      <c r="E289" s="43">
        <f t="shared" si="131"/>
        <v>1285.0202576773254</v>
      </c>
      <c r="F289" s="69">
        <f t="shared" si="132"/>
        <v>1.3518289206006295</v>
      </c>
      <c r="G289" s="98">
        <f t="shared" si="133"/>
        <v>362.17994567515751</v>
      </c>
      <c r="H289" s="69">
        <f t="shared" si="134"/>
        <v>0.10946225220251057</v>
      </c>
      <c r="I289" s="69">
        <f t="shared" si="135"/>
        <v>-2.360115930706232</v>
      </c>
      <c r="J289" s="99">
        <f t="shared" si="136"/>
        <v>1.5047746178408776E-2</v>
      </c>
      <c r="K289" s="69">
        <f t="shared" si="137"/>
        <v>3.7667162104425036E-6</v>
      </c>
      <c r="L289" s="99">
        <f t="shared" si="138"/>
        <v>1.5051512894619219E-2</v>
      </c>
      <c r="M289" s="69">
        <f t="shared" si="139"/>
        <v>7.2725082833129919</v>
      </c>
      <c r="N289" s="69">
        <f t="shared" si="140"/>
        <v>2.4061151872980973</v>
      </c>
      <c r="O289" s="69">
        <f t="shared" si="141"/>
        <v>21.981232241107794</v>
      </c>
      <c r="P289" s="69">
        <f t="shared" si="142"/>
        <v>2.753614837879983</v>
      </c>
      <c r="Q289" s="69">
        <f t="shared" si="143"/>
        <v>-2.4344553878410675</v>
      </c>
      <c r="R289" s="43">
        <f t="shared" si="144"/>
        <v>-1397.2795841737195</v>
      </c>
      <c r="S289" s="43">
        <f t="shared" si="145"/>
        <v>2595.3906499232603</v>
      </c>
      <c r="T289" s="43">
        <f>R289+Thrust!C$33*0.8</f>
        <v>414.48041582628048</v>
      </c>
      <c r="V289">
        <f t="shared" si="146"/>
        <v>3335129.5617377087</v>
      </c>
      <c r="W289">
        <f t="shared" si="147"/>
        <v>-1795532.571302179</v>
      </c>
      <c r="X289">
        <f t="shared" si="148"/>
        <v>-5130662.133039888</v>
      </c>
      <c r="Y289">
        <f t="shared" si="149"/>
        <v>5130662.133039888</v>
      </c>
      <c r="Z289">
        <f t="shared" si="150"/>
        <v>-10601.736355192717</v>
      </c>
      <c r="AA289">
        <f t="shared" si="151"/>
        <v>-7.9034472354598062</v>
      </c>
      <c r="AB289">
        <f t="shared" si="152"/>
        <v>-8908.6532375854313</v>
      </c>
      <c r="AC289">
        <f t="shared" si="153"/>
        <v>-6.635055788025829</v>
      </c>
      <c r="AD289">
        <f t="shared" si="154"/>
        <v>-4.2834470704320422</v>
      </c>
      <c r="AE289">
        <f t="shared" si="155"/>
        <v>-3261.218214588323</v>
      </c>
      <c r="AH289">
        <v>2.5957542812278956E-2</v>
      </c>
      <c r="AI289">
        <v>18.321449855180738</v>
      </c>
      <c r="AJ289">
        <f t="shared" si="156"/>
        <v>-603.6376737936622</v>
      </c>
      <c r="AK289">
        <f t="shared" si="157"/>
        <v>140.92334138093537</v>
      </c>
      <c r="AN289">
        <f t="shared" ref="AN289:AN312" si="159">AM289*190</f>
        <v>0</v>
      </c>
      <c r="AO289" s="43">
        <f t="shared" si="158"/>
        <v>16595</v>
      </c>
      <c r="AP289" s="43"/>
      <c r="AQ289" t="e">
        <f t="shared" si="128"/>
        <v>#DIV/0!</v>
      </c>
    </row>
    <row r="290" spans="1:43">
      <c r="A290">
        <v>328</v>
      </c>
      <c r="B290">
        <f t="shared" si="129"/>
        <v>328</v>
      </c>
      <c r="D290" s="43">
        <f t="shared" si="130"/>
        <v>763.68198443631059</v>
      </c>
      <c r="E290" s="43">
        <f t="shared" si="131"/>
        <v>1288.9499832359716</v>
      </c>
      <c r="F290" s="69">
        <f t="shared" si="132"/>
        <v>1.3559629539969615</v>
      </c>
      <c r="G290" s="98">
        <f t="shared" si="133"/>
        <v>364.39850064543896</v>
      </c>
      <c r="H290" s="69">
        <f t="shared" si="134"/>
        <v>0.10879581690364974</v>
      </c>
      <c r="I290" s="69">
        <f t="shared" si="135"/>
        <v>-2.3657277280175575</v>
      </c>
      <c r="J290" s="99">
        <f t="shared" si="136"/>
        <v>1.5047746178408776E-2</v>
      </c>
      <c r="K290" s="69">
        <f t="shared" si="137"/>
        <v>3.254814358102164E-6</v>
      </c>
      <c r="L290" s="99">
        <f t="shared" si="138"/>
        <v>1.5051000992766879E-2</v>
      </c>
      <c r="M290" s="69">
        <f t="shared" si="139"/>
        <v>7.2284771594882091</v>
      </c>
      <c r="N290" s="69">
        <f t="shared" si="140"/>
        <v>2.3842561515173717</v>
      </c>
      <c r="O290" s="69">
        <f t="shared" si="141"/>
        <v>21.91496161685043</v>
      </c>
      <c r="P290" s="69">
        <f t="shared" si="142"/>
        <v>2.7620356783627962</v>
      </c>
      <c r="Q290" s="69">
        <f t="shared" si="143"/>
        <v>-2.4643443206444786</v>
      </c>
      <c r="R290" s="43">
        <f t="shared" si="144"/>
        <v>-1410.1223300598674</v>
      </c>
      <c r="S290" s="43">
        <f t="shared" si="145"/>
        <v>2611.2000610286755</v>
      </c>
      <c r="T290" s="43">
        <f>R290+Thrust!C$33*0.8</f>
        <v>401.63766994013258</v>
      </c>
      <c r="V290">
        <f t="shared" si="146"/>
        <v>3365706.2748886789</v>
      </c>
      <c r="W290">
        <f t="shared" si="147"/>
        <v>-1817577.1536913353</v>
      </c>
      <c r="X290">
        <f t="shared" si="148"/>
        <v>-5183283.428580014</v>
      </c>
      <c r="Y290">
        <f t="shared" si="149"/>
        <v>5183283.428580014</v>
      </c>
      <c r="Z290">
        <f t="shared" si="150"/>
        <v>-10698.93385395077</v>
      </c>
      <c r="AA290">
        <f t="shared" si="151"/>
        <v>-7.9519003733333005</v>
      </c>
      <c r="AB290">
        <f t="shared" si="152"/>
        <v>-9053.2940088553441</v>
      </c>
      <c r="AC290">
        <f t="shared" si="153"/>
        <v>-6.7226247796150735</v>
      </c>
      <c r="AD290">
        <f t="shared" si="154"/>
        <v>-4.296644970668182</v>
      </c>
      <c r="AE290">
        <f t="shared" si="155"/>
        <v>-3281.2703576181711</v>
      </c>
      <c r="AH290">
        <v>2.5957542812278956E-2</v>
      </c>
      <c r="AI290">
        <v>18.321449855180738</v>
      </c>
      <c r="AJ290">
        <f t="shared" si="156"/>
        <v>-586.73612135691371</v>
      </c>
      <c r="AK290">
        <f t="shared" si="157"/>
        <v>136.55680777964508</v>
      </c>
      <c r="AN290">
        <f t="shared" si="159"/>
        <v>0</v>
      </c>
      <c r="AO290" s="43">
        <f t="shared" si="158"/>
        <v>16595</v>
      </c>
      <c r="AP290" s="43"/>
      <c r="AQ290" t="e">
        <f t="shared" si="128"/>
        <v>#DIV/0!</v>
      </c>
    </row>
    <row r="291" spans="1:43">
      <c r="A291">
        <v>329</v>
      </c>
      <c r="B291">
        <f t="shared" si="129"/>
        <v>329</v>
      </c>
      <c r="D291" s="43">
        <f t="shared" si="130"/>
        <v>766.01028316934821</v>
      </c>
      <c r="E291" s="43">
        <f t="shared" si="131"/>
        <v>1292.879708794618</v>
      </c>
      <c r="F291" s="69">
        <f t="shared" si="132"/>
        <v>1.360096987393294</v>
      </c>
      <c r="G291" s="98">
        <f t="shared" si="133"/>
        <v>366.62382982937021</v>
      </c>
      <c r="H291" s="69">
        <f t="shared" si="134"/>
        <v>0.10813544928227062</v>
      </c>
      <c r="I291" s="69">
        <f t="shared" si="135"/>
        <v>-2.3712884317324963</v>
      </c>
      <c r="J291" s="99">
        <f t="shared" si="136"/>
        <v>1.5047746178408776E-2</v>
      </c>
      <c r="K291" s="69">
        <f t="shared" si="137"/>
        <v>2.784434116246939E-6</v>
      </c>
      <c r="L291" s="99">
        <f t="shared" si="138"/>
        <v>1.5050530612525023E-2</v>
      </c>
      <c r="M291" s="69">
        <f t="shared" si="139"/>
        <v>7.1848263736482822</v>
      </c>
      <c r="N291" s="69">
        <f t="shared" si="140"/>
        <v>2.3626550675847011</v>
      </c>
      <c r="O291" s="69">
        <f t="shared" si="141"/>
        <v>21.849033626497096</v>
      </c>
      <c r="P291" s="69">
        <f t="shared" si="142"/>
        <v>2.7704565188456098</v>
      </c>
      <c r="Q291" s="69">
        <f t="shared" si="143"/>
        <v>-2.4943683069952707</v>
      </c>
      <c r="R291" s="43">
        <f t="shared" si="144"/>
        <v>-1422.9640486349479</v>
      </c>
      <c r="S291" s="43">
        <f t="shared" si="145"/>
        <v>2627.0641792023889</v>
      </c>
      <c r="T291" s="43">
        <f>R291+Thrust!C$33*0.8</f>
        <v>388.79595136505213</v>
      </c>
      <c r="V291">
        <f t="shared" si="146"/>
        <v>3396477.9709919565</v>
      </c>
      <c r="W291">
        <f t="shared" si="147"/>
        <v>-1839721.3448243621</v>
      </c>
      <c r="X291">
        <f t="shared" si="148"/>
        <v>-5236199.3158163186</v>
      </c>
      <c r="Y291">
        <f t="shared" si="149"/>
        <v>5236199.3158163186</v>
      </c>
      <c r="Z291">
        <f t="shared" si="150"/>
        <v>-10796.751166067146</v>
      </c>
      <c r="AA291">
        <f t="shared" si="151"/>
        <v>-8.0005269330868867</v>
      </c>
      <c r="AB291">
        <f t="shared" si="152"/>
        <v>-9198.8712305501922</v>
      </c>
      <c r="AC291">
        <f t="shared" si="153"/>
        <v>-6.8103736547746783</v>
      </c>
      <c r="AD291">
        <f t="shared" si="154"/>
        <v>-4.309591162338827</v>
      </c>
      <c r="AE291">
        <f t="shared" si="155"/>
        <v>-3301.1911466072847</v>
      </c>
      <c r="AH291">
        <v>2.5957542812278956E-2</v>
      </c>
      <c r="AI291">
        <v>18.321449855180738</v>
      </c>
      <c r="AJ291">
        <f t="shared" si="156"/>
        <v>-569.68754262502125</v>
      </c>
      <c r="AK291">
        <f t="shared" si="157"/>
        <v>132.19062346411772</v>
      </c>
      <c r="AN291">
        <f t="shared" si="159"/>
        <v>0</v>
      </c>
      <c r="AO291" s="43">
        <f t="shared" si="158"/>
        <v>16595</v>
      </c>
      <c r="AP291" s="43"/>
      <c r="AQ291" t="e">
        <f t="shared" si="128"/>
        <v>#DIV/0!</v>
      </c>
    </row>
    <row r="292" spans="1:43">
      <c r="A292">
        <v>330</v>
      </c>
      <c r="B292">
        <f t="shared" si="129"/>
        <v>330</v>
      </c>
      <c r="D292" s="43">
        <f t="shared" si="130"/>
        <v>768.33858190238573</v>
      </c>
      <c r="E292" s="43">
        <f t="shared" si="131"/>
        <v>1296.8094343532641</v>
      </c>
      <c r="F292" s="69">
        <f t="shared" si="132"/>
        <v>1.364231020789626</v>
      </c>
      <c r="G292" s="98">
        <f t="shared" si="133"/>
        <v>368.85593322695109</v>
      </c>
      <c r="H292" s="69">
        <f t="shared" si="134"/>
        <v>0.10748107590231638</v>
      </c>
      <c r="I292" s="69">
        <f t="shared" si="135"/>
        <v>-2.3767986602280562</v>
      </c>
      <c r="J292" s="99">
        <f t="shared" si="136"/>
        <v>1.5047746178408776E-2</v>
      </c>
      <c r="K292" s="69">
        <f t="shared" si="137"/>
        <v>2.3545178353389708E-6</v>
      </c>
      <c r="L292" s="99">
        <f t="shared" si="138"/>
        <v>1.5050100696244115E-2</v>
      </c>
      <c r="M292" s="69">
        <f t="shared" si="139"/>
        <v>7.1415519451733127</v>
      </c>
      <c r="N292" s="69">
        <f t="shared" si="140"/>
        <v>2.3413082854646565</v>
      </c>
      <c r="O292" s="69">
        <f t="shared" si="141"/>
        <v>21.783446674766665</v>
      </c>
      <c r="P292" s="69">
        <f t="shared" si="142"/>
        <v>2.7788773593284231</v>
      </c>
      <c r="Q292" s="69">
        <f t="shared" si="143"/>
        <v>-2.5245273468934402</v>
      </c>
      <c r="R292" s="43">
        <f t="shared" si="144"/>
        <v>-1435.8047492381511</v>
      </c>
      <c r="S292" s="43">
        <f t="shared" si="145"/>
        <v>2642.9829461307572</v>
      </c>
      <c r="T292" s="43">
        <f>R292+Thrust!C$33*0.8</f>
        <v>375.9552507618489</v>
      </c>
      <c r="V292">
        <f t="shared" si="146"/>
        <v>3427445.2193771508</v>
      </c>
      <c r="W292">
        <f t="shared" si="147"/>
        <v>-1861965.1447012569</v>
      </c>
      <c r="X292">
        <f t="shared" si="148"/>
        <v>-5289410.3640784081</v>
      </c>
      <c r="Y292">
        <f t="shared" si="149"/>
        <v>5289410.3640784081</v>
      </c>
      <c r="Z292">
        <f t="shared" si="150"/>
        <v>-10895.19010133134</v>
      </c>
      <c r="AA292">
        <f t="shared" si="151"/>
        <v>-8.0493268328571563</v>
      </c>
      <c r="AB292">
        <f t="shared" si="152"/>
        <v>-9345.3867124594599</v>
      </c>
      <c r="AC292">
        <f t="shared" si="153"/>
        <v>-6.898302567719381</v>
      </c>
      <c r="AD292">
        <f t="shared" si="154"/>
        <v>-4.3222894975356523</v>
      </c>
      <c r="AE292">
        <f t="shared" si="155"/>
        <v>-3320.9817831081186</v>
      </c>
      <c r="AH292">
        <v>2.5957542812278956E-2</v>
      </c>
      <c r="AI292">
        <v>18.321449855180738</v>
      </c>
      <c r="AJ292">
        <f t="shared" si="156"/>
        <v>-552.49572684984946</v>
      </c>
      <c r="AK292">
        <f t="shared" si="157"/>
        <v>127.82478525902863</v>
      </c>
      <c r="AN292">
        <f t="shared" si="159"/>
        <v>0</v>
      </c>
      <c r="AO292" s="43">
        <f t="shared" si="158"/>
        <v>16595</v>
      </c>
      <c r="AP292" s="43"/>
      <c r="AQ292" t="e">
        <f t="shared" si="128"/>
        <v>#DIV/0!</v>
      </c>
    </row>
    <row r="293" spans="1:43">
      <c r="A293">
        <v>331</v>
      </c>
      <c r="B293">
        <f t="shared" si="129"/>
        <v>331</v>
      </c>
      <c r="D293" s="43">
        <f t="shared" si="130"/>
        <v>770.66688063542324</v>
      </c>
      <c r="E293" s="43">
        <f t="shared" si="131"/>
        <v>1300.7391599119105</v>
      </c>
      <c r="F293" s="69">
        <f t="shared" si="132"/>
        <v>1.3683650541859584</v>
      </c>
      <c r="G293" s="98">
        <f t="shared" si="133"/>
        <v>371.09481083818179</v>
      </c>
      <c r="H293" s="69">
        <f t="shared" si="134"/>
        <v>0.10683262443535795</v>
      </c>
      <c r="I293" s="69">
        <f t="shared" si="135"/>
        <v>-2.3822590225543347</v>
      </c>
      <c r="J293" s="99">
        <f t="shared" si="136"/>
        <v>1.5047746178408776E-2</v>
      </c>
      <c r="K293" s="69">
        <f t="shared" si="137"/>
        <v>1.9640338201642732E-6</v>
      </c>
      <c r="L293" s="99">
        <f t="shared" si="138"/>
        <v>1.504971021222894E-2</v>
      </c>
      <c r="M293" s="69">
        <f t="shared" si="139"/>
        <v>7.0986499360332518</v>
      </c>
      <c r="N293" s="69">
        <f t="shared" si="140"/>
        <v>2.320212213151597</v>
      </c>
      <c r="O293" s="69">
        <f t="shared" si="141"/>
        <v>21.718199149507051</v>
      </c>
      <c r="P293" s="69">
        <f t="shared" si="142"/>
        <v>2.7872981998112367</v>
      </c>
      <c r="Q293" s="69">
        <f t="shared" si="143"/>
        <v>-2.5548214403389897</v>
      </c>
      <c r="R293" s="43">
        <f t="shared" si="144"/>
        <v>-1448.644441095809</v>
      </c>
      <c r="S293" s="43">
        <f t="shared" si="145"/>
        <v>2658.9563043796761</v>
      </c>
      <c r="T293" s="43">
        <f>R293+Thrust!C$33*0.8</f>
        <v>363.11555890419095</v>
      </c>
      <c r="V293">
        <f t="shared" si="146"/>
        <v>3458608.5896012983</v>
      </c>
      <c r="W293">
        <f t="shared" si="147"/>
        <v>-1884308.5533220218</v>
      </c>
      <c r="X293">
        <f t="shared" si="148"/>
        <v>-5342917.1429233197</v>
      </c>
      <c r="Y293">
        <f t="shared" si="149"/>
        <v>5342917.1429233197</v>
      </c>
      <c r="Z293">
        <f t="shared" si="150"/>
        <v>-10994.252470255782</v>
      </c>
      <c r="AA293">
        <f t="shared" si="151"/>
        <v>-8.0982999944072596</v>
      </c>
      <c r="AB293">
        <f t="shared" si="152"/>
        <v>-9492.8422650955781</v>
      </c>
      <c r="AC293">
        <f t="shared" si="153"/>
        <v>-6.9864116778263909</v>
      </c>
      <c r="AD293">
        <f t="shared" si="154"/>
        <v>-4.3347437661792938</v>
      </c>
      <c r="AE293">
        <f t="shared" si="155"/>
        <v>-3340.6434566352432</v>
      </c>
      <c r="AH293">
        <v>2.5957542812278956E-2</v>
      </c>
      <c r="AI293">
        <v>18.321449855180738</v>
      </c>
      <c r="AJ293">
        <f t="shared" si="156"/>
        <v>-535.16438782330169</v>
      </c>
      <c r="AK293">
        <f t="shared" si="157"/>
        <v>123.45929002742493</v>
      </c>
      <c r="AN293">
        <f t="shared" si="159"/>
        <v>0</v>
      </c>
      <c r="AO293" s="43">
        <f t="shared" si="158"/>
        <v>16595</v>
      </c>
      <c r="AP293" s="43"/>
      <c r="AQ293" t="e">
        <f t="shared" si="128"/>
        <v>#DIV/0!</v>
      </c>
    </row>
    <row r="294" spans="1:43">
      <c r="A294">
        <v>332</v>
      </c>
      <c r="B294">
        <f t="shared" si="129"/>
        <v>332</v>
      </c>
      <c r="D294" s="43">
        <f t="shared" si="130"/>
        <v>772.99517936846075</v>
      </c>
      <c r="E294" s="43">
        <f t="shared" si="131"/>
        <v>1304.6688854705567</v>
      </c>
      <c r="F294" s="69">
        <f t="shared" si="132"/>
        <v>1.3724990875822904</v>
      </c>
      <c r="G294" s="98">
        <f t="shared" si="133"/>
        <v>373.34046266306206</v>
      </c>
      <c r="H294" s="69">
        <f t="shared" si="134"/>
        <v>0.10619002364060688</v>
      </c>
      <c r="I294" s="69">
        <f t="shared" si="135"/>
        <v>-2.3876701186028235</v>
      </c>
      <c r="J294" s="99">
        <f t="shared" si="136"/>
        <v>1.5047746178408776E-2</v>
      </c>
      <c r="K294" s="69">
        <f t="shared" si="137"/>
        <v>1.611975651871302E-6</v>
      </c>
      <c r="L294" s="99">
        <f t="shared" si="138"/>
        <v>1.5049358154060648E-2</v>
      </c>
      <c r="M294" s="69">
        <f t="shared" si="139"/>
        <v>7.0561164505181555</v>
      </c>
      <c r="N294" s="69">
        <f t="shared" si="140"/>
        <v>2.299363315707831</v>
      </c>
      <c r="O294" s="69">
        <f t="shared" si="141"/>
        <v>21.653289422835751</v>
      </c>
      <c r="P294" s="69">
        <f t="shared" si="142"/>
        <v>2.7957190402940499</v>
      </c>
      <c r="Q294" s="69">
        <f t="shared" si="143"/>
        <v>-2.5852505873319185</v>
      </c>
      <c r="R294" s="43">
        <f t="shared" si="144"/>
        <v>-1461.4831333230927</v>
      </c>
      <c r="S294" s="43">
        <f t="shared" si="145"/>
        <v>2674.984197378707</v>
      </c>
      <c r="T294" s="43">
        <f>R294+Thrust!C$33*0.8</f>
        <v>350.27686667690728</v>
      </c>
      <c r="V294">
        <f t="shared" si="146"/>
        <v>3489968.6514454293</v>
      </c>
      <c r="W294">
        <f t="shared" si="147"/>
        <v>-1906751.5706866563</v>
      </c>
      <c r="X294">
        <f t="shared" si="148"/>
        <v>-5396720.2221320858</v>
      </c>
      <c r="Y294">
        <f t="shared" si="149"/>
        <v>5396720.2221320858</v>
      </c>
      <c r="Z294">
        <f t="shared" si="150"/>
        <v>-11093.940084064941</v>
      </c>
      <c r="AA294">
        <f t="shared" si="151"/>
        <v>-8.1474463430860453</v>
      </c>
      <c r="AB294">
        <f t="shared" si="152"/>
        <v>-9641.2396996830212</v>
      </c>
      <c r="AC294">
        <f t="shared" si="153"/>
        <v>-7.0747011496129151</v>
      </c>
      <c r="AD294">
        <f t="shared" si="154"/>
        <v>-4.3469576970525114</v>
      </c>
      <c r="AE294">
        <f t="shared" si="155"/>
        <v>-3360.177344740217</v>
      </c>
      <c r="AH294">
        <v>2.5957542812278956E-2</v>
      </c>
      <c r="AI294">
        <v>18.321449855180738</v>
      </c>
      <c r="AJ294">
        <f t="shared" si="156"/>
        <v>-517.69716537821023</v>
      </c>
      <c r="AK294">
        <f t="shared" si="157"/>
        <v>119.09413467014848</v>
      </c>
      <c r="AN294">
        <f t="shared" si="159"/>
        <v>0</v>
      </c>
      <c r="AO294" s="43">
        <f t="shared" si="158"/>
        <v>16595</v>
      </c>
      <c r="AP294" s="43"/>
      <c r="AQ294" t="e">
        <f t="shared" si="128"/>
        <v>#DIV/0!</v>
      </c>
    </row>
    <row r="295" spans="1:43">
      <c r="A295">
        <v>333</v>
      </c>
      <c r="B295">
        <f t="shared" si="129"/>
        <v>333</v>
      </c>
      <c r="D295" s="43">
        <f t="shared" si="130"/>
        <v>775.32347810149827</v>
      </c>
      <c r="E295" s="43">
        <f t="shared" si="131"/>
        <v>1308.5986110292029</v>
      </c>
      <c r="F295" s="69">
        <f t="shared" si="132"/>
        <v>1.3766331209786227</v>
      </c>
      <c r="G295" s="98">
        <f t="shared" si="133"/>
        <v>375.59288870159207</v>
      </c>
      <c r="H295" s="69">
        <f t="shared" si="134"/>
        <v>0.10555320334534765</v>
      </c>
      <c r="I295" s="69">
        <f t="shared" si="135"/>
        <v>-2.3930325392711791</v>
      </c>
      <c r="J295" s="99">
        <f t="shared" si="136"/>
        <v>1.5047746178408776E-2</v>
      </c>
      <c r="K295" s="69">
        <f t="shared" si="137"/>
        <v>1.2973615292449672E-6</v>
      </c>
      <c r="L295" s="99">
        <f t="shared" si="138"/>
        <v>1.5049043539938021E-2</v>
      </c>
      <c r="M295" s="69">
        <f t="shared" si="139"/>
        <v>7.0139476349592895</v>
      </c>
      <c r="N295" s="69">
        <f t="shared" si="140"/>
        <v>2.278758114316132</v>
      </c>
      <c r="O295" s="69">
        <f t="shared" si="141"/>
        <v>21.588715852237282</v>
      </c>
      <c r="P295" s="69">
        <f t="shared" si="142"/>
        <v>2.8041398807768632</v>
      </c>
      <c r="Q295" s="69">
        <f t="shared" si="143"/>
        <v>-2.6158147878722264</v>
      </c>
      <c r="R295" s="43">
        <f t="shared" si="144"/>
        <v>-1474.3208349256806</v>
      </c>
      <c r="S295" s="43">
        <f t="shared" si="145"/>
        <v>2691.0665694055406</v>
      </c>
      <c r="T295" s="43">
        <f>R295+Thrust!C$33*0.8</f>
        <v>337.43916507431936</v>
      </c>
      <c r="V295">
        <f t="shared" si="146"/>
        <v>3521525.9749112125</v>
      </c>
      <c r="W295">
        <f t="shared" si="147"/>
        <v>-1929294.1967951604</v>
      </c>
      <c r="X295">
        <f t="shared" si="148"/>
        <v>-5450820.1717063729</v>
      </c>
      <c r="Y295">
        <f t="shared" si="149"/>
        <v>5450820.1717063729</v>
      </c>
      <c r="Z295">
        <f t="shared" si="150"/>
        <v>-11194.254754684647</v>
      </c>
      <c r="AA295">
        <f t="shared" si="151"/>
        <v>-8.1967658077882426</v>
      </c>
      <c r="AB295">
        <f t="shared" si="152"/>
        <v>-9790.5808281476147</v>
      </c>
      <c r="AC295">
        <f t="shared" si="153"/>
        <v>-7.1631711527148649</v>
      </c>
      <c r="AD295">
        <f t="shared" si="154"/>
        <v>-4.358934958817831</v>
      </c>
      <c r="AE295">
        <f t="shared" si="155"/>
        <v>-3379.5846130888517</v>
      </c>
      <c r="AH295">
        <v>2.5957542812278956E-2</v>
      </c>
      <c r="AI295">
        <v>18.321449855180738</v>
      </c>
      <c r="AJ295">
        <f t="shared" si="156"/>
        <v>-500.09762685969559</v>
      </c>
      <c r="AK295">
        <f t="shared" si="157"/>
        <v>114.7293161252686</v>
      </c>
      <c r="AN295">
        <f t="shared" si="159"/>
        <v>0</v>
      </c>
      <c r="AO295" s="43">
        <f t="shared" si="158"/>
        <v>16595</v>
      </c>
      <c r="AP295" s="43"/>
      <c r="AQ295" t="e">
        <f t="shared" si="128"/>
        <v>#DIV/0!</v>
      </c>
    </row>
    <row r="296" spans="1:43">
      <c r="A296">
        <v>334</v>
      </c>
      <c r="B296">
        <f t="shared" si="129"/>
        <v>334</v>
      </c>
      <c r="D296" s="43">
        <f t="shared" si="130"/>
        <v>777.65177683453578</v>
      </c>
      <c r="E296" s="43">
        <f t="shared" si="131"/>
        <v>1312.528336587849</v>
      </c>
      <c r="F296" s="69">
        <f t="shared" si="132"/>
        <v>1.3807671543749547</v>
      </c>
      <c r="G296" s="98">
        <f t="shared" si="133"/>
        <v>377.85208895377178</v>
      </c>
      <c r="H296" s="69">
        <f t="shared" si="134"/>
        <v>0.10492209442577949</v>
      </c>
      <c r="I296" s="69">
        <f t="shared" si="135"/>
        <v>-2.3983468666245469</v>
      </c>
      <c r="J296" s="99">
        <f t="shared" si="136"/>
        <v>1.5047746178408776E-2</v>
      </c>
      <c r="K296" s="69">
        <f t="shared" si="137"/>
        <v>1.0192336286222371E-6</v>
      </c>
      <c r="L296" s="99">
        <f t="shared" si="138"/>
        <v>1.5048765412037399E-2</v>
      </c>
      <c r="M296" s="69">
        <f t="shared" si="139"/>
        <v>6.972139677441783</v>
      </c>
      <c r="N296" s="69">
        <f t="shared" si="140"/>
        <v>2.25839318534653</v>
      </c>
      <c r="O296" s="69">
        <f t="shared" si="141"/>
        <v>21.524476781619025</v>
      </c>
      <c r="P296" s="69">
        <f t="shared" si="142"/>
        <v>2.8125607212596764</v>
      </c>
      <c r="Q296" s="69">
        <f t="shared" si="143"/>
        <v>-2.6465140419599154</v>
      </c>
      <c r="R296" s="43">
        <f t="shared" si="144"/>
        <v>-1487.1575548014009</v>
      </c>
      <c r="S296" s="43">
        <f t="shared" si="145"/>
        <v>2707.2033655707851</v>
      </c>
      <c r="T296" s="43">
        <f>R296+Thrust!C$33*0.8</f>
        <v>324.60244519859907</v>
      </c>
      <c r="V296">
        <f t="shared" si="146"/>
        <v>3553281.130217649</v>
      </c>
      <c r="W296">
        <f t="shared" si="147"/>
        <v>-1951936.4316475356</v>
      </c>
      <c r="X296">
        <f t="shared" si="148"/>
        <v>-5505217.5618651845</v>
      </c>
      <c r="Y296">
        <f t="shared" si="149"/>
        <v>5505217.5618651845</v>
      </c>
      <c r="Z296">
        <f t="shared" si="150"/>
        <v>-11295.198294731597</v>
      </c>
      <c r="AA296">
        <f t="shared" si="151"/>
        <v>-8.2462583209157199</v>
      </c>
      <c r="AB296">
        <f t="shared" si="152"/>
        <v>-9940.8674631060676</v>
      </c>
      <c r="AC296">
        <f t="shared" si="153"/>
        <v>-7.2518218618667207</v>
      </c>
      <c r="AD296">
        <f t="shared" si="154"/>
        <v>-4.3706791610197353</v>
      </c>
      <c r="AE296">
        <f t="shared" si="155"/>
        <v>-3398.8664155406759</v>
      </c>
      <c r="AH296">
        <v>2.5957542812278956E-2</v>
      </c>
      <c r="AI296">
        <v>18.321449855180738</v>
      </c>
      <c r="AJ296">
        <f t="shared" si="156"/>
        <v>-482.36926856749301</v>
      </c>
      <c r="AK296">
        <f t="shared" si="157"/>
        <v>110.36483136752369</v>
      </c>
      <c r="AN296">
        <f t="shared" si="159"/>
        <v>0</v>
      </c>
      <c r="AO296" s="43">
        <f t="shared" si="158"/>
        <v>16595</v>
      </c>
      <c r="AP296" s="43"/>
      <c r="AQ296" t="e">
        <f t="shared" ref="AQ296:AQ312" si="160">((325.9*Q481)/($J$12))*M481*LN(AO296/AP296)</f>
        <v>#DIV/0!</v>
      </c>
    </row>
    <row r="297" spans="1:43">
      <c r="A297">
        <v>335</v>
      </c>
      <c r="B297">
        <f t="shared" si="129"/>
        <v>335</v>
      </c>
      <c r="D297" s="43">
        <f t="shared" si="130"/>
        <v>779.98007556757341</v>
      </c>
      <c r="E297" s="43">
        <f t="shared" si="131"/>
        <v>1316.4580621464954</v>
      </c>
      <c r="F297" s="69">
        <f t="shared" si="132"/>
        <v>1.3849011877712871</v>
      </c>
      <c r="G297" s="98">
        <f t="shared" si="133"/>
        <v>380.11806341960136</v>
      </c>
      <c r="H297" s="69">
        <f t="shared" si="134"/>
        <v>0.104296628788258</v>
      </c>
      <c r="I297" s="69">
        <f t="shared" si="135"/>
        <v>-2.4036136740535188</v>
      </c>
      <c r="J297" s="99">
        <f t="shared" si="136"/>
        <v>1.5047746178408776E-2</v>
      </c>
      <c r="K297" s="69">
        <f t="shared" si="137"/>
        <v>7.7665748187499746E-7</v>
      </c>
      <c r="L297" s="99">
        <f t="shared" si="138"/>
        <v>1.5048522835890652E-2</v>
      </c>
      <c r="M297" s="69">
        <f t="shared" si="139"/>
        <v>6.9306888075094699</v>
      </c>
      <c r="N297" s="69">
        <f t="shared" si="140"/>
        <v>2.2382651594373026</v>
      </c>
      <c r="O297" s="69">
        <f t="shared" si="141"/>
        <v>21.460570542326998</v>
      </c>
      <c r="P297" s="69">
        <f t="shared" si="142"/>
        <v>2.82098156174249</v>
      </c>
      <c r="Q297" s="69">
        <f t="shared" si="143"/>
        <v>-2.6773483495949852</v>
      </c>
      <c r="R297" s="43">
        <f t="shared" si="144"/>
        <v>-1499.9933017418366</v>
      </c>
      <c r="S297" s="43">
        <f t="shared" si="145"/>
        <v>2723.394531803066</v>
      </c>
      <c r="T297" s="43">
        <f>R297+Thrust!C$33*0.8</f>
        <v>311.76669825816339</v>
      </c>
      <c r="V297">
        <f t="shared" si="146"/>
        <v>3585234.6877978262</v>
      </c>
      <c r="W297">
        <f t="shared" si="147"/>
        <v>-1974678.2752437815</v>
      </c>
      <c r="X297">
        <f t="shared" si="148"/>
        <v>-5559912.9630416073</v>
      </c>
      <c r="Y297">
        <f t="shared" si="149"/>
        <v>5559912.9630416073</v>
      </c>
      <c r="Z297">
        <f t="shared" si="150"/>
        <v>-11396.772517503023</v>
      </c>
      <c r="AA297">
        <f t="shared" si="151"/>
        <v>-8.2959238183396913</v>
      </c>
      <c r="AB297">
        <f t="shared" si="152"/>
        <v>-10092.101417855598</v>
      </c>
      <c r="AC297">
        <f t="shared" si="153"/>
        <v>-7.3406534568824764</v>
      </c>
      <c r="AD297">
        <f t="shared" si="154"/>
        <v>-4.3821938550715194</v>
      </c>
      <c r="AE297">
        <f t="shared" si="155"/>
        <v>-3418.02389423044</v>
      </c>
      <c r="AH297">
        <v>2.5957542812278956E-2</v>
      </c>
      <c r="AI297">
        <v>18.321449855180738</v>
      </c>
      <c r="AJ297">
        <f t="shared" si="156"/>
        <v>-464.51551716977247</v>
      </c>
      <c r="AK297">
        <f t="shared" si="157"/>
        <v>106.00067740777556</v>
      </c>
      <c r="AN297">
        <f t="shared" si="159"/>
        <v>0</v>
      </c>
      <c r="AO297" s="43">
        <f t="shared" si="158"/>
        <v>16595</v>
      </c>
      <c r="AP297" s="43"/>
      <c r="AQ297" t="e">
        <f t="shared" si="160"/>
        <v>#DIV/0!</v>
      </c>
    </row>
    <row r="298" spans="1:43">
      <c r="A298">
        <v>336</v>
      </c>
      <c r="B298">
        <f t="shared" si="129"/>
        <v>336</v>
      </c>
      <c r="D298" s="43">
        <f t="shared" si="130"/>
        <v>782.30837430061092</v>
      </c>
      <c r="E298" s="43">
        <f t="shared" si="131"/>
        <v>1320.3877877051418</v>
      </c>
      <c r="F298" s="69">
        <f t="shared" si="132"/>
        <v>1.3890352211676193</v>
      </c>
      <c r="G298" s="98">
        <f t="shared" si="133"/>
        <v>382.39081209908062</v>
      </c>
      <c r="H298" s="69">
        <f t="shared" si="134"/>
        <v>0.10367673935092697</v>
      </c>
      <c r="I298" s="69">
        <f t="shared" si="135"/>
        <v>-2.4088335264288046</v>
      </c>
      <c r="J298" s="99">
        <f t="shared" si="136"/>
        <v>1.5047746178408776E-2</v>
      </c>
      <c r="K298" s="69">
        <f t="shared" si="137"/>
        <v>5.6872137190515007E-7</v>
      </c>
      <c r="L298" s="99">
        <f t="shared" si="138"/>
        <v>1.5048314899780681E-2</v>
      </c>
      <c r="M298" s="69">
        <f t="shared" si="139"/>
        <v>6.8895912958625019</v>
      </c>
      <c r="N298" s="69">
        <f t="shared" si="140"/>
        <v>2.2183707205900522</v>
      </c>
      <c r="O298" s="69">
        <f t="shared" si="141"/>
        <v>21.396995454122738</v>
      </c>
      <c r="P298" s="69">
        <f t="shared" si="142"/>
        <v>2.8294024022253037</v>
      </c>
      <c r="Q298" s="69">
        <f t="shared" si="143"/>
        <v>-2.7083177107774334</v>
      </c>
      <c r="R298" s="43">
        <f t="shared" si="144"/>
        <v>-1512.8280844339085</v>
      </c>
      <c r="S298" s="43">
        <f t="shared" si="145"/>
        <v>2739.6400148344442</v>
      </c>
      <c r="T298" s="43">
        <f>R298+Thrust!C$33*0.8</f>
        <v>298.93191556609145</v>
      </c>
      <c r="V298">
        <f t="shared" si="146"/>
        <v>3617387.2182957334</v>
      </c>
      <c r="W298">
        <f t="shared" si="147"/>
        <v>-1997519.7275838959</v>
      </c>
      <c r="X298">
        <f t="shared" si="148"/>
        <v>-5614906.9458796289</v>
      </c>
      <c r="Y298">
        <f t="shared" si="149"/>
        <v>5614906.9458796289</v>
      </c>
      <c r="Z298">
        <f t="shared" si="150"/>
        <v>-11498.97923696657</v>
      </c>
      <c r="AA298">
        <f t="shared" si="151"/>
        <v>-8.3457622393639905</v>
      </c>
      <c r="AB298">
        <f t="shared" si="152"/>
        <v>-10244.284506363852</v>
      </c>
      <c r="AC298">
        <f t="shared" si="153"/>
        <v>-7.4296661226377321</v>
      </c>
      <c r="AD298">
        <f t="shared" si="154"/>
        <v>-4.3934825352269202</v>
      </c>
      <c r="AE298">
        <f t="shared" si="155"/>
        <v>-3437.0581796514984</v>
      </c>
      <c r="AH298">
        <v>2.5957542812278956E-2</v>
      </c>
      <c r="AI298">
        <v>18.321449855180738</v>
      </c>
      <c r="AJ298">
        <f t="shared" si="156"/>
        <v>-446.5397310889274</v>
      </c>
      <c r="AK298">
        <f t="shared" si="157"/>
        <v>101.63685129247109</v>
      </c>
      <c r="AN298">
        <f t="shared" si="159"/>
        <v>0</v>
      </c>
      <c r="AO298" s="43">
        <f t="shared" si="158"/>
        <v>16595</v>
      </c>
      <c r="AP298" s="43"/>
      <c r="AQ298" t="e">
        <f t="shared" si="160"/>
        <v>#DIV/0!</v>
      </c>
    </row>
    <row r="299" spans="1:43">
      <c r="A299">
        <v>337</v>
      </c>
      <c r="B299">
        <f t="shared" si="129"/>
        <v>337</v>
      </c>
      <c r="D299" s="43">
        <f t="shared" si="130"/>
        <v>784.63667303364844</v>
      </c>
      <c r="E299" s="43">
        <f t="shared" si="131"/>
        <v>1324.317513263788</v>
      </c>
      <c r="F299" s="69">
        <f t="shared" si="132"/>
        <v>1.3931692545639516</v>
      </c>
      <c r="G299" s="98">
        <f t="shared" si="133"/>
        <v>384.67033499220946</v>
      </c>
      <c r="H299" s="69">
        <f t="shared" si="134"/>
        <v>0.10306236002573109</v>
      </c>
      <c r="I299" s="69">
        <f t="shared" si="135"/>
        <v>-2.4140069802526964</v>
      </c>
      <c r="J299" s="99">
        <f t="shared" si="136"/>
        <v>1.5047746178408776E-2</v>
      </c>
      <c r="K299" s="69">
        <f t="shared" si="137"/>
        <v>3.9453574511546992E-7</v>
      </c>
      <c r="L299" s="99">
        <f t="shared" si="138"/>
        <v>1.5048140714153892E-2</v>
      </c>
      <c r="M299" s="69">
        <f t="shared" si="139"/>
        <v>6.8488434540483327</v>
      </c>
      <c r="N299" s="69">
        <f t="shared" si="140"/>
        <v>2.1987066052787507</v>
      </c>
      <c r="O299" s="69">
        <f t="shared" si="141"/>
        <v>21.333749826122844</v>
      </c>
      <c r="P299" s="69">
        <f t="shared" si="142"/>
        <v>2.8378232427081169</v>
      </c>
      <c r="Q299" s="69">
        <f t="shared" si="143"/>
        <v>-2.7394221255072608</v>
      </c>
      <c r="R299" s="43">
        <f t="shared" si="144"/>
        <v>-1525.6619114614314</v>
      </c>
      <c r="S299" s="43">
        <f t="shared" si="145"/>
        <v>2755.9397621861308</v>
      </c>
      <c r="T299" s="43">
        <f>R299+Thrust!C$33*0.8</f>
        <v>286.09808853856862</v>
      </c>
      <c r="V299">
        <f t="shared" si="146"/>
        <v>3649739.292563132</v>
      </c>
      <c r="W299">
        <f t="shared" si="147"/>
        <v>-2020460.7886678802</v>
      </c>
      <c r="X299">
        <f t="shared" si="148"/>
        <v>-5670200.081231012</v>
      </c>
      <c r="Y299">
        <f t="shared" si="149"/>
        <v>5670200.081231012</v>
      </c>
      <c r="Z299">
        <f t="shared" si="150"/>
        <v>-11601.820267750354</v>
      </c>
      <c r="AA299">
        <f t="shared" si="151"/>
        <v>-8.3957735266892648</v>
      </c>
      <c r="AB299">
        <f t="shared" si="152"/>
        <v>-10397.418543258951</v>
      </c>
      <c r="AC299">
        <f t="shared" si="153"/>
        <v>-7.5188600490528712</v>
      </c>
      <c r="AD299">
        <f t="shared" si="154"/>
        <v>-4.4045486395366638</v>
      </c>
      <c r="AE299">
        <f t="shared" si="155"/>
        <v>-3455.9703907409303</v>
      </c>
      <c r="AH299">
        <v>2.5957542812278956E-2</v>
      </c>
      <c r="AI299">
        <v>18.321449855180738</v>
      </c>
      <c r="AJ299">
        <f t="shared" si="156"/>
        <v>-428.4452018598414</v>
      </c>
      <c r="AK299">
        <f t="shared" si="157"/>
        <v>97.27335010311333</v>
      </c>
      <c r="AN299">
        <f t="shared" si="159"/>
        <v>0</v>
      </c>
      <c r="AO299" s="43">
        <f t="shared" si="158"/>
        <v>16595</v>
      </c>
      <c r="AP299" s="43"/>
      <c r="AQ299" t="e">
        <f t="shared" si="160"/>
        <v>#DIV/0!</v>
      </c>
    </row>
    <row r="300" spans="1:43">
      <c r="A300">
        <v>338</v>
      </c>
      <c r="B300">
        <f t="shared" si="129"/>
        <v>338</v>
      </c>
      <c r="D300" s="43">
        <f t="shared" si="130"/>
        <v>786.96497176668595</v>
      </c>
      <c r="E300" s="43">
        <f t="shared" si="131"/>
        <v>1328.2472388224342</v>
      </c>
      <c r="F300" s="69">
        <f t="shared" si="132"/>
        <v>1.3973032879602836</v>
      </c>
      <c r="G300" s="98">
        <f t="shared" si="133"/>
        <v>386.95663209898805</v>
      </c>
      <c r="H300" s="69">
        <f t="shared" si="134"/>
        <v>0.10245342570080052</v>
      </c>
      <c r="I300" s="69">
        <f t="shared" si="135"/>
        <v>-2.4191345838074003</v>
      </c>
      <c r="J300" s="99">
        <f t="shared" si="136"/>
        <v>1.5047746178408776E-2</v>
      </c>
      <c r="K300" s="69">
        <f t="shared" si="137"/>
        <v>2.5323264033752012E-7</v>
      </c>
      <c r="L300" s="99">
        <f t="shared" si="138"/>
        <v>1.5047999411049114E-2</v>
      </c>
      <c r="M300" s="69">
        <f t="shared" si="139"/>
        <v>6.8084416341466136</v>
      </c>
      <c r="N300" s="69">
        <f t="shared" si="140"/>
        <v>2.179269601572666</v>
      </c>
      <c r="O300" s="69">
        <f t="shared" si="141"/>
        <v>21.270831957702299</v>
      </c>
      <c r="P300" s="69">
        <f t="shared" si="142"/>
        <v>2.8462440831909301</v>
      </c>
      <c r="Q300" s="69">
        <f t="shared" si="143"/>
        <v>-2.7706615937844665</v>
      </c>
      <c r="R300" s="43">
        <f t="shared" si="144"/>
        <v>-1538.4947913066337</v>
      </c>
      <c r="S300" s="43">
        <f t="shared" si="145"/>
        <v>2772.2937221545026</v>
      </c>
      <c r="T300" s="43">
        <f>R300+Thrust!C$33*0.8</f>
        <v>273.26520869336628</v>
      </c>
      <c r="V300">
        <f t="shared" si="146"/>
        <v>3682291.4816564866</v>
      </c>
      <c r="W300">
        <f t="shared" si="147"/>
        <v>-2043501.4584957333</v>
      </c>
      <c r="X300">
        <f t="shared" si="148"/>
        <v>-5725792.9401522204</v>
      </c>
      <c r="Y300">
        <f t="shared" si="149"/>
        <v>5725792.9401522204</v>
      </c>
      <c r="Z300">
        <f t="shared" si="150"/>
        <v>-11705.297425133203</v>
      </c>
      <c r="AA300">
        <f t="shared" si="151"/>
        <v>-8.4459576263781475</v>
      </c>
      <c r="AB300">
        <f t="shared" si="152"/>
        <v>-10551.505343819721</v>
      </c>
      <c r="AC300">
        <f t="shared" si="153"/>
        <v>-7.6082354310772793</v>
      </c>
      <c r="AD300">
        <f t="shared" si="154"/>
        <v>-4.4153955507900209</v>
      </c>
      <c r="AE300">
        <f t="shared" si="155"/>
        <v>-3474.7616349662194</v>
      </c>
      <c r="AH300">
        <v>2.5957542812278956E-2</v>
      </c>
      <c r="AI300">
        <v>18.321449855180738</v>
      </c>
      <c r="AJ300">
        <f t="shared" si="156"/>
        <v>-410.2351554611347</v>
      </c>
      <c r="AK300">
        <f t="shared" si="157"/>
        <v>92.910170955744547</v>
      </c>
      <c r="AN300">
        <f t="shared" si="159"/>
        <v>0</v>
      </c>
      <c r="AO300" s="43">
        <f t="shared" si="158"/>
        <v>16595</v>
      </c>
      <c r="AP300" s="43"/>
      <c r="AQ300" t="e">
        <f t="shared" si="160"/>
        <v>#DIV/0!</v>
      </c>
    </row>
    <row r="301" spans="1:43">
      <c r="A301">
        <v>339</v>
      </c>
      <c r="B301">
        <f t="shared" si="129"/>
        <v>339</v>
      </c>
      <c r="D301" s="43">
        <f t="shared" si="130"/>
        <v>789.29327049972346</v>
      </c>
      <c r="E301" s="43">
        <f t="shared" si="131"/>
        <v>1332.1769643810803</v>
      </c>
      <c r="F301" s="69">
        <f t="shared" si="132"/>
        <v>1.4014373213566158</v>
      </c>
      <c r="G301" s="98">
        <f t="shared" si="133"/>
        <v>389.24970341941633</v>
      </c>
      <c r="H301" s="69">
        <f t="shared" si="134"/>
        <v>0.10184987222319904</v>
      </c>
      <c r="I301" s="69">
        <f t="shared" si="135"/>
        <v>-2.4242168773003088</v>
      </c>
      <c r="J301" s="99">
        <f t="shared" si="136"/>
        <v>1.5047746178408776E-2</v>
      </c>
      <c r="K301" s="69">
        <f t="shared" si="137"/>
        <v>1.4396513371529914E-7</v>
      </c>
      <c r="L301" s="99">
        <f t="shared" si="138"/>
        <v>1.5047890143542492E-2</v>
      </c>
      <c r="M301" s="69">
        <f t="shared" si="139"/>
        <v>6.7683822284485453</v>
      </c>
      <c r="N301" s="69">
        <f t="shared" si="140"/>
        <v>2.1600565482730394</v>
      </c>
      <c r="O301" s="69">
        <f t="shared" si="141"/>
        <v>21.208240139362971</v>
      </c>
      <c r="P301" s="69">
        <f t="shared" si="142"/>
        <v>2.8546649236737434</v>
      </c>
      <c r="Q301" s="69">
        <f t="shared" si="143"/>
        <v>-2.8020361156090523</v>
      </c>
      <c r="R301" s="43">
        <f t="shared" si="144"/>
        <v>-1551.3267323516609</v>
      </c>
      <c r="S301" s="43">
        <f t="shared" si="145"/>
        <v>2788.7018437973979</v>
      </c>
      <c r="T301" s="43">
        <f>R301+Thrust!C$33*0.8</f>
        <v>260.4332676483391</v>
      </c>
      <c r="V301">
        <f t="shared" si="146"/>
        <v>3715044.3568339394</v>
      </c>
      <c r="W301">
        <f t="shared" si="147"/>
        <v>-2066641.7370674564</v>
      </c>
      <c r="X301">
        <f t="shared" si="148"/>
        <v>-5781686.0939013958</v>
      </c>
      <c r="Y301">
        <f t="shared" si="149"/>
        <v>5781686.0939013958</v>
      </c>
      <c r="Z301">
        <f t="shared" si="150"/>
        <v>-11809.412525035039</v>
      </c>
      <c r="AA301">
        <f t="shared" si="151"/>
        <v>-8.496314487821353</v>
      </c>
      <c r="AB301">
        <f t="shared" si="152"/>
        <v>-10706.546723966081</v>
      </c>
      <c r="AC301">
        <f t="shared" si="153"/>
        <v>-7.6977924686746428</v>
      </c>
      <c r="AD301">
        <f t="shared" si="154"/>
        <v>-4.4260265974415596</v>
      </c>
      <c r="AE301">
        <f t="shared" si="155"/>
        <v>-3493.4330084134122</v>
      </c>
      <c r="AH301">
        <v>2.5957542812278956E-2</v>
      </c>
      <c r="AI301">
        <v>18.321449855180738</v>
      </c>
      <c r="AJ301">
        <f t="shared" si="156"/>
        <v>-391.91275361985623</v>
      </c>
      <c r="AK301">
        <f t="shared" si="157"/>
        <v>88.5473110004353</v>
      </c>
      <c r="AN301">
        <f t="shared" si="159"/>
        <v>0</v>
      </c>
      <c r="AO301" s="43">
        <f t="shared" si="158"/>
        <v>16595</v>
      </c>
      <c r="AP301" s="43"/>
      <c r="AQ301" t="e">
        <f t="shared" si="160"/>
        <v>#DIV/0!</v>
      </c>
    </row>
    <row r="302" spans="1:43">
      <c r="A302">
        <v>340</v>
      </c>
      <c r="B302">
        <f t="shared" si="129"/>
        <v>340</v>
      </c>
      <c r="D302" s="43">
        <f t="shared" si="130"/>
        <v>791.62156923276098</v>
      </c>
      <c r="E302" s="43">
        <f t="shared" si="131"/>
        <v>1336.1066899397265</v>
      </c>
      <c r="F302" s="69">
        <f t="shared" si="132"/>
        <v>1.4055713547529478</v>
      </c>
      <c r="G302" s="98">
        <f t="shared" si="133"/>
        <v>391.54954895349437</v>
      </c>
      <c r="H302" s="69">
        <f t="shared" si="134"/>
        <v>0.10125163638202644</v>
      </c>
      <c r="I302" s="69">
        <f t="shared" si="135"/>
        <v>-2.4292543930062886</v>
      </c>
      <c r="J302" s="99">
        <f t="shared" si="136"/>
        <v>1.5047746178408776E-2</v>
      </c>
      <c r="K302" s="69">
        <f t="shared" si="137"/>
        <v>6.5906799059487171E-8</v>
      </c>
      <c r="L302" s="99">
        <f t="shared" si="138"/>
        <v>1.5047812085207836E-2</v>
      </c>
      <c r="M302" s="69">
        <f t="shared" si="139"/>
        <v>6.7286616691311494</v>
      </c>
      <c r="N302" s="69">
        <f t="shared" si="140"/>
        <v>2.1410643340633797</v>
      </c>
      <c r="O302" s="69">
        <f t="shared" si="141"/>
        <v>21.145972653568368</v>
      </c>
      <c r="P302" s="69">
        <f t="shared" si="142"/>
        <v>2.8630857641565566</v>
      </c>
      <c r="Q302" s="69">
        <f t="shared" si="143"/>
        <v>-2.8335456909810182</v>
      </c>
      <c r="R302" s="43">
        <f t="shared" si="144"/>
        <v>-1564.1577428800445</v>
      </c>
      <c r="S302" s="43">
        <f t="shared" si="145"/>
        <v>2805.1640769207033</v>
      </c>
      <c r="T302" s="43">
        <f>R302+Thrust!C$33*0.8</f>
        <v>247.60225711995554</v>
      </c>
      <c r="V302">
        <f t="shared" si="146"/>
        <v>3747998.4895523493</v>
      </c>
      <c r="W302">
        <f t="shared" si="147"/>
        <v>-2089881.62438305</v>
      </c>
      <c r="X302">
        <f t="shared" si="148"/>
        <v>-5837880.1139353998</v>
      </c>
      <c r="Y302">
        <f t="shared" si="149"/>
        <v>5837880.1139353998</v>
      </c>
      <c r="Z302">
        <f t="shared" si="150"/>
        <v>-11914.167384007467</v>
      </c>
      <c r="AA302">
        <f t="shared" si="151"/>
        <v>-8.5468440637046648</v>
      </c>
      <c r="AB302">
        <f t="shared" si="152"/>
        <v>-10862.544500249642</v>
      </c>
      <c r="AC302">
        <f t="shared" si="153"/>
        <v>-7.7875313668092838</v>
      </c>
      <c r="AD302">
        <f t="shared" si="154"/>
        <v>-4.4364450545231859</v>
      </c>
      <c r="AE302">
        <f t="shared" si="155"/>
        <v>-3511.9855958765661</v>
      </c>
      <c r="AH302">
        <v>2.5957542812278956E-2</v>
      </c>
      <c r="AI302">
        <v>18.321449855180738</v>
      </c>
      <c r="AJ302">
        <f t="shared" si="156"/>
        <v>-373.48109509012579</v>
      </c>
      <c r="AK302">
        <f t="shared" si="157"/>
        <v>84.184767420784894</v>
      </c>
      <c r="AN302">
        <f t="shared" si="159"/>
        <v>0</v>
      </c>
      <c r="AO302" s="43">
        <f t="shared" si="158"/>
        <v>16595</v>
      </c>
      <c r="AP302" s="43"/>
      <c r="AQ302" t="e">
        <f t="shared" si="160"/>
        <v>#DIV/0!</v>
      </c>
    </row>
    <row r="303" spans="1:43">
      <c r="A303">
        <v>341</v>
      </c>
      <c r="B303">
        <f t="shared" si="129"/>
        <v>341</v>
      </c>
      <c r="D303" s="43">
        <f t="shared" si="130"/>
        <v>793.9498679657986</v>
      </c>
      <c r="E303" s="43">
        <f t="shared" si="131"/>
        <v>1340.0364154983731</v>
      </c>
      <c r="F303" s="69">
        <f t="shared" si="132"/>
        <v>1.4097053881492805</v>
      </c>
      <c r="G303" s="98">
        <f t="shared" si="133"/>
        <v>393.85616870122232</v>
      </c>
      <c r="H303" s="69">
        <f t="shared" si="134"/>
        <v>0.10065865589186755</v>
      </c>
      <c r="I303" s="69">
        <f t="shared" si="135"/>
        <v>-2.4342476554070496</v>
      </c>
      <c r="J303" s="99">
        <f t="shared" si="136"/>
        <v>1.5047746178408776E-2</v>
      </c>
      <c r="K303" s="69">
        <f t="shared" si="137"/>
        <v>1.8251183203582441E-8</v>
      </c>
      <c r="L303" s="99">
        <f t="shared" si="138"/>
        <v>1.504776442959198E-2</v>
      </c>
      <c r="M303" s="69">
        <f t="shared" si="139"/>
        <v>6.6892764279269699</v>
      </c>
      <c r="N303" s="69">
        <f t="shared" si="140"/>
        <v>2.1222898966732542</v>
      </c>
      <c r="O303" s="69">
        <f t="shared" si="141"/>
        <v>21.084027775545923</v>
      </c>
      <c r="P303" s="69">
        <f t="shared" si="142"/>
        <v>2.8715066046393711</v>
      </c>
      <c r="Q303" s="69">
        <f t="shared" si="143"/>
        <v>-2.8651903199003694</v>
      </c>
      <c r="R303" s="43">
        <f t="shared" si="144"/>
        <v>-1576.9878310781496</v>
      </c>
      <c r="S303" s="43">
        <f t="shared" si="145"/>
        <v>2821.6803720652083</v>
      </c>
      <c r="T303" s="43">
        <f>R303+Thrust!C$33*0.8</f>
        <v>234.77216892185038</v>
      </c>
      <c r="V303">
        <f t="shared" si="146"/>
        <v>3781154.4514643773</v>
      </c>
      <c r="W303">
        <f t="shared" si="147"/>
        <v>-2113221.1204425176</v>
      </c>
      <c r="X303">
        <f t="shared" si="148"/>
        <v>-5894375.5719068944</v>
      </c>
      <c r="Y303">
        <f t="shared" si="149"/>
        <v>5894375.5719068944</v>
      </c>
      <c r="Z303">
        <f t="shared" si="150"/>
        <v>-12019.563819224511</v>
      </c>
      <c r="AA303">
        <f t="shared" si="151"/>
        <v>-8.5975463099768596</v>
      </c>
      <c r="AB303">
        <f t="shared" si="152"/>
        <v>-11019.500489844435</v>
      </c>
      <c r="AC303">
        <f t="shared" si="153"/>
        <v>-7.8774523354335111</v>
      </c>
      <c r="AD303">
        <f t="shared" si="154"/>
        <v>-4.4466541445416485</v>
      </c>
      <c r="AE303">
        <f t="shared" si="155"/>
        <v>-3530.4204709484134</v>
      </c>
      <c r="AH303">
        <v>2.5957542812278956E-2</v>
      </c>
      <c r="AI303">
        <v>18.321449855180738</v>
      </c>
      <c r="AJ303">
        <f t="shared" si="156"/>
        <v>-354.94321690618852</v>
      </c>
      <c r="AK303">
        <f t="shared" si="157"/>
        <v>79.822537433429133</v>
      </c>
      <c r="AN303">
        <f t="shared" si="159"/>
        <v>0</v>
      </c>
      <c r="AO303" s="43">
        <f t="shared" si="158"/>
        <v>16595</v>
      </c>
      <c r="AP303" s="43">
        <f t="shared" ref="AP303:AP312" si="161">AO303-3000</f>
        <v>13595</v>
      </c>
      <c r="AQ303">
        <f t="shared" si="160"/>
        <v>0</v>
      </c>
    </row>
    <row r="304" spans="1:43">
      <c r="A304">
        <v>342</v>
      </c>
      <c r="B304">
        <f t="shared" si="129"/>
        <v>342</v>
      </c>
      <c r="D304" s="43">
        <f t="shared" si="130"/>
        <v>796.27816669883612</v>
      </c>
      <c r="E304" s="43">
        <f t="shared" si="131"/>
        <v>1343.9661410570193</v>
      </c>
      <c r="F304" s="69">
        <f t="shared" si="132"/>
        <v>1.4138394215456125</v>
      </c>
      <c r="G304" s="98">
        <f t="shared" si="133"/>
        <v>396.16956266259973</v>
      </c>
      <c r="H304" s="69">
        <f t="shared" si="134"/>
        <v>0.10007086937657957</v>
      </c>
      <c r="I304" s="69">
        <f t="shared" si="135"/>
        <v>-2.4391971813276676</v>
      </c>
      <c r="J304" s="99">
        <f t="shared" si="136"/>
        <v>1.5047746178408776E-2</v>
      </c>
      <c r="K304" s="69">
        <f t="shared" si="137"/>
        <v>2.1129590833434503E-10</v>
      </c>
      <c r="L304" s="99">
        <f t="shared" si="138"/>
        <v>1.5047746389704684E-2</v>
      </c>
      <c r="M304" s="69">
        <f t="shared" si="139"/>
        <v>6.6502230157896411</v>
      </c>
      <c r="N304" s="69">
        <f t="shared" si="140"/>
        <v>2.1037302220554581</v>
      </c>
      <c r="O304" s="69">
        <f t="shared" si="141"/>
        <v>21.022403774057867</v>
      </c>
      <c r="P304" s="69">
        <f t="shared" si="142"/>
        <v>2.8799274451221843</v>
      </c>
      <c r="Q304" s="69">
        <f t="shared" si="143"/>
        <v>-2.8969700023670937</v>
      </c>
      <c r="R304" s="43">
        <f t="shared" si="144"/>
        <v>-1589.8170050365875</v>
      </c>
      <c r="S304" s="43">
        <f t="shared" si="145"/>
        <v>2838.2506804937279</v>
      </c>
      <c r="T304" s="43">
        <f>R304+Thrust!C$33*0.8</f>
        <v>221.9429949634125</v>
      </c>
      <c r="V304">
        <f t="shared" si="146"/>
        <v>3814512.8144156146</v>
      </c>
      <c r="W304">
        <f t="shared" si="147"/>
        <v>-2136660.2252458502</v>
      </c>
      <c r="X304">
        <f t="shared" si="148"/>
        <v>-5951173.0396614652</v>
      </c>
      <c r="Y304">
        <f t="shared" si="149"/>
        <v>5951173.0396614652</v>
      </c>
      <c r="Z304">
        <f t="shared" si="150"/>
        <v>-12125.603648473476</v>
      </c>
      <c r="AA304">
        <f t="shared" si="151"/>
        <v>-8.648421185818421</v>
      </c>
      <c r="AB304">
        <f t="shared" si="152"/>
        <v>-11177.416510537747</v>
      </c>
      <c r="AC304">
        <f t="shared" si="153"/>
        <v>-7.9675555894759453</v>
      </c>
      <c r="AD304">
        <f t="shared" si="154"/>
        <v>-4.4566570383616302</v>
      </c>
      <c r="AE304">
        <f t="shared" si="155"/>
        <v>-3548.7386961120637</v>
      </c>
      <c r="AH304">
        <v>2.5957542812278956E-2</v>
      </c>
      <c r="AI304">
        <v>18.321449855180738</v>
      </c>
      <c r="AJ304">
        <f t="shared" si="156"/>
        <v>-336.30209561037572</v>
      </c>
      <c r="AK304">
        <f t="shared" si="157"/>
        <v>75.460618287560251</v>
      </c>
      <c r="AN304">
        <f t="shared" si="159"/>
        <v>0</v>
      </c>
      <c r="AO304" s="43">
        <f t="shared" si="158"/>
        <v>16595</v>
      </c>
      <c r="AP304" s="43">
        <f t="shared" si="161"/>
        <v>13595</v>
      </c>
      <c r="AQ304">
        <f t="shared" si="160"/>
        <v>0</v>
      </c>
    </row>
    <row r="305" spans="1:43">
      <c r="A305">
        <v>343</v>
      </c>
      <c r="B305">
        <f t="shared" si="129"/>
        <v>343</v>
      </c>
      <c r="D305" s="43">
        <f t="shared" si="130"/>
        <v>798.60646543187363</v>
      </c>
      <c r="E305" s="43">
        <f t="shared" si="131"/>
        <v>1347.8958666156655</v>
      </c>
      <c r="F305" s="69">
        <f t="shared" si="132"/>
        <v>1.4179734549419447</v>
      </c>
      <c r="G305" s="98">
        <f t="shared" si="133"/>
        <v>398.48973083762689</v>
      </c>
      <c r="H305" s="69">
        <f t="shared" si="134"/>
        <v>9.9488216353409334E-2</v>
      </c>
      <c r="I305" s="69">
        <f t="shared" si="135"/>
        <v>-2.4441034800703227</v>
      </c>
      <c r="J305" s="99">
        <f t="shared" si="136"/>
        <v>1.5047746178408776E-2</v>
      </c>
      <c r="K305" s="69">
        <f t="shared" si="137"/>
        <v>1.1019113875848767E-8</v>
      </c>
      <c r="L305" s="99">
        <f t="shared" si="138"/>
        <v>1.5047757197522653E-2</v>
      </c>
      <c r="M305" s="69">
        <f t="shared" si="139"/>
        <v>6.6114979825557203</v>
      </c>
      <c r="N305" s="69">
        <f t="shared" si="140"/>
        <v>2.0853823435763728</v>
      </c>
      <c r="O305" s="69">
        <f t="shared" si="141"/>
        <v>20.961098912141765</v>
      </c>
      <c r="P305" s="69">
        <f t="shared" si="142"/>
        <v>2.8883482856049976</v>
      </c>
      <c r="Q305" s="69">
        <f t="shared" si="143"/>
        <v>-2.9288847383811989</v>
      </c>
      <c r="R305" s="43">
        <f t="shared" si="144"/>
        <v>-1602.6452727516266</v>
      </c>
      <c r="S305" s="43">
        <f t="shared" si="145"/>
        <v>2854.8749541784991</v>
      </c>
      <c r="T305" s="43">
        <f>R305+Thrust!C$33*0.8</f>
        <v>209.11472724837336</v>
      </c>
      <c r="V305">
        <f t="shared" si="146"/>
        <v>3848074.1504417863</v>
      </c>
      <c r="W305">
        <f t="shared" si="147"/>
        <v>-2160198.9387930534</v>
      </c>
      <c r="X305">
        <f t="shared" si="148"/>
        <v>-6008273.0892348401</v>
      </c>
      <c r="Y305">
        <f t="shared" si="149"/>
        <v>6008273.0892348401</v>
      </c>
      <c r="Z305">
        <f t="shared" si="150"/>
        <v>-12232.288690146073</v>
      </c>
      <c r="AA305">
        <f t="shared" si="151"/>
        <v>-8.6994686536112233</v>
      </c>
      <c r="AB305">
        <f t="shared" si="152"/>
        <v>-11336.294380721298</v>
      </c>
      <c r="AC305">
        <f t="shared" si="153"/>
        <v>-8.0578413488309355</v>
      </c>
      <c r="AD305">
        <f t="shared" si="154"/>
        <v>-4.4664568560746458</v>
      </c>
      <c r="AE305">
        <f t="shared" si="155"/>
        <v>-3566.9413228337316</v>
      </c>
      <c r="AH305">
        <v>2.5957542812278956E-2</v>
      </c>
      <c r="AI305">
        <v>18.321449855180738</v>
      </c>
      <c r="AJ305">
        <f t="shared" si="156"/>
        <v>-317.56064845639008</v>
      </c>
      <c r="AK305">
        <f t="shared" si="157"/>
        <v>71.099007264446939</v>
      </c>
      <c r="AN305">
        <f t="shared" si="159"/>
        <v>0</v>
      </c>
      <c r="AO305" s="43">
        <f t="shared" si="158"/>
        <v>16595</v>
      </c>
      <c r="AP305" s="43">
        <f t="shared" si="161"/>
        <v>13595</v>
      </c>
      <c r="AQ305">
        <f t="shared" si="160"/>
        <v>0</v>
      </c>
    </row>
    <row r="306" spans="1:43">
      <c r="A306">
        <v>344</v>
      </c>
      <c r="B306">
        <f t="shared" si="129"/>
        <v>344</v>
      </c>
      <c r="D306" s="43">
        <f t="shared" si="130"/>
        <v>800.93476416491114</v>
      </c>
      <c r="E306" s="43">
        <f t="shared" si="131"/>
        <v>1351.8255921743116</v>
      </c>
      <c r="F306" s="69">
        <f t="shared" si="132"/>
        <v>1.4221074883382767</v>
      </c>
      <c r="G306" s="98">
        <f t="shared" si="133"/>
        <v>400.81667322630375</v>
      </c>
      <c r="H306" s="69">
        <f t="shared" si="134"/>
        <v>9.8910637217433886E-2</v>
      </c>
      <c r="I306" s="69">
        <f t="shared" si="135"/>
        <v>-2.4489670535453252</v>
      </c>
      <c r="J306" s="99">
        <f t="shared" si="136"/>
        <v>1.5047746178408776E-2</v>
      </c>
      <c r="K306" s="69">
        <f t="shared" si="137"/>
        <v>4.9925098449162444E-8</v>
      </c>
      <c r="L306" s="99">
        <f t="shared" si="138"/>
        <v>1.5047796103507226E-2</v>
      </c>
      <c r="M306" s="69">
        <f t="shared" si="139"/>
        <v>6.5730979166032526</v>
      </c>
      <c r="N306" s="69">
        <f t="shared" si="140"/>
        <v>2.0672433412194446</v>
      </c>
      <c r="O306" s="69">
        <f t="shared" si="141"/>
        <v>20.900111447821857</v>
      </c>
      <c r="P306" s="69">
        <f t="shared" si="142"/>
        <v>2.8967691260878108</v>
      </c>
      <c r="Q306" s="69">
        <f t="shared" si="143"/>
        <v>-2.9609345279426833</v>
      </c>
      <c r="R306" s="43">
        <f t="shared" si="144"/>
        <v>-1615.4726421265518</v>
      </c>
      <c r="S306" s="43">
        <f t="shared" si="145"/>
        <v>2871.5531457888187</v>
      </c>
      <c r="T306" s="43">
        <f>R306+Thrust!C$33*0.8</f>
        <v>196.28735787344817</v>
      </c>
      <c r="V306">
        <f t="shared" si="146"/>
        <v>3881839.0317659774</v>
      </c>
      <c r="W306">
        <f t="shared" si="147"/>
        <v>-2183837.2610841258</v>
      </c>
      <c r="X306">
        <f t="shared" si="148"/>
        <v>-6065676.2928501032</v>
      </c>
      <c r="Y306">
        <f t="shared" si="149"/>
        <v>6065676.2928501032</v>
      </c>
      <c r="Z306">
        <f t="shared" si="150"/>
        <v>-12339.620763229595</v>
      </c>
      <c r="AA306">
        <f t="shared" si="151"/>
        <v>-8.7506886789089329</v>
      </c>
      <c r="AB306">
        <f t="shared" si="152"/>
        <v>-11496.135919382374</v>
      </c>
      <c r="AC306">
        <f t="shared" si="153"/>
        <v>-8.1483098383488528</v>
      </c>
      <c r="AD306">
        <f t="shared" si="154"/>
        <v>-4.4760566678537996</v>
      </c>
      <c r="AE306">
        <f t="shared" si="155"/>
        <v>-3585.0293916562614</v>
      </c>
      <c r="AH306">
        <v>2.5957542812278956E-2</v>
      </c>
      <c r="AI306">
        <v>18.321449855180738</v>
      </c>
      <c r="AJ306">
        <f t="shared" si="156"/>
        <v>-298.72173458844992</v>
      </c>
      <c r="AK306">
        <f t="shared" si="157"/>
        <v>66.737701676972378</v>
      </c>
      <c r="AN306">
        <f t="shared" si="159"/>
        <v>0</v>
      </c>
      <c r="AO306" s="43">
        <f t="shared" si="158"/>
        <v>16595</v>
      </c>
      <c r="AP306" s="43">
        <f t="shared" si="161"/>
        <v>13595</v>
      </c>
      <c r="AQ306">
        <f t="shared" si="160"/>
        <v>0</v>
      </c>
    </row>
    <row r="307" spans="1:43">
      <c r="A307">
        <v>345</v>
      </c>
      <c r="B307">
        <f t="shared" si="129"/>
        <v>345</v>
      </c>
      <c r="D307" s="43">
        <f t="shared" si="130"/>
        <v>803.26306289794866</v>
      </c>
      <c r="E307" s="43">
        <f t="shared" si="131"/>
        <v>1355.755317732958</v>
      </c>
      <c r="F307" s="69">
        <f t="shared" si="132"/>
        <v>1.4262415217346092</v>
      </c>
      <c r="G307" s="98">
        <f t="shared" si="133"/>
        <v>403.15038982863047</v>
      </c>
      <c r="H307" s="69">
        <f t="shared" si="134"/>
        <v>9.8338073226315922E-2</v>
      </c>
      <c r="I307" s="69">
        <f t="shared" si="135"/>
        <v>-2.4537883963994767</v>
      </c>
      <c r="J307" s="99">
        <f t="shared" si="136"/>
        <v>1.5047746178408776E-2</v>
      </c>
      <c r="K307" s="69">
        <f t="shared" si="137"/>
        <v>1.1619772658676875E-7</v>
      </c>
      <c r="L307" s="99">
        <f t="shared" si="138"/>
        <v>1.5047862376135363E-2</v>
      </c>
      <c r="M307" s="69">
        <f t="shared" si="139"/>
        <v>6.5350194445073999</v>
      </c>
      <c r="N307" s="69">
        <f t="shared" si="140"/>
        <v>2.0493103408015796</v>
      </c>
      <c r="O307" s="69">
        <f t="shared" si="141"/>
        <v>20.839439634792136</v>
      </c>
      <c r="P307" s="69">
        <f t="shared" si="142"/>
        <v>2.9051899665706244</v>
      </c>
      <c r="Q307" s="69">
        <f t="shared" si="143"/>
        <v>-2.9931193710515469</v>
      </c>
      <c r="R307" s="43">
        <f t="shared" si="144"/>
        <v>-1628.2991209730167</v>
      </c>
      <c r="S307" s="43">
        <f t="shared" si="145"/>
        <v>2888.2852086789421</v>
      </c>
      <c r="T307" s="43">
        <f>R307+Thrust!C$33*0.8</f>
        <v>183.46087902698332</v>
      </c>
      <c r="V307">
        <f t="shared" si="146"/>
        <v>3915808.030795922</v>
      </c>
      <c r="W307">
        <f t="shared" si="147"/>
        <v>-2207575.1921190685</v>
      </c>
      <c r="X307">
        <f t="shared" si="148"/>
        <v>-6123383.22291499</v>
      </c>
      <c r="Y307">
        <f t="shared" si="149"/>
        <v>6123383.22291499</v>
      </c>
      <c r="Z307">
        <f t="shared" si="150"/>
        <v>-12447.601687298296</v>
      </c>
      <c r="AA307">
        <f t="shared" si="151"/>
        <v>-8.8020812304083016</v>
      </c>
      <c r="AB307">
        <f t="shared" si="152"/>
        <v>-11656.942946095236</v>
      </c>
      <c r="AC307">
        <f t="shared" si="153"/>
        <v>-8.2389612878274132</v>
      </c>
      <c r="AD307">
        <f t="shared" si="154"/>
        <v>-4.4854594947946467</v>
      </c>
      <c r="AE307">
        <f t="shared" si="155"/>
        <v>-3603.0039322934322</v>
      </c>
      <c r="AH307">
        <v>2.5957542812278956E-2</v>
      </c>
      <c r="AI307">
        <v>18.321449855180738</v>
      </c>
      <c r="AJ307">
        <f t="shared" si="156"/>
        <v>-279.7881561966845</v>
      </c>
      <c r="AK307">
        <f t="shared" si="157"/>
        <v>62.376698869174334</v>
      </c>
      <c r="AN307">
        <f t="shared" si="159"/>
        <v>0</v>
      </c>
      <c r="AO307" s="43">
        <f t="shared" si="158"/>
        <v>16595</v>
      </c>
      <c r="AP307" s="43">
        <f t="shared" si="161"/>
        <v>13595</v>
      </c>
      <c r="AQ307">
        <f t="shared" si="160"/>
        <v>0</v>
      </c>
    </row>
    <row r="308" spans="1:43">
      <c r="A308">
        <v>346</v>
      </c>
      <c r="B308">
        <f t="shared" si="129"/>
        <v>346</v>
      </c>
      <c r="D308" s="43">
        <f t="shared" si="130"/>
        <v>805.59136163098617</v>
      </c>
      <c r="E308" s="43">
        <f t="shared" si="131"/>
        <v>1359.6850432916042</v>
      </c>
      <c r="F308" s="69">
        <f t="shared" si="132"/>
        <v>1.4303755551309412</v>
      </c>
      <c r="G308" s="98">
        <f t="shared" si="133"/>
        <v>405.4908806446067</v>
      </c>
      <c r="H308" s="69">
        <f t="shared" si="134"/>
        <v>9.7770466485367497E-2</v>
      </c>
      <c r="I308" s="69">
        <f t="shared" si="135"/>
        <v>-2.4585679961418512</v>
      </c>
      <c r="J308" s="99">
        <f t="shared" si="136"/>
        <v>1.5047746178408776E-2</v>
      </c>
      <c r="K308" s="69">
        <f t="shared" si="137"/>
        <v>2.0912303471500455E-7</v>
      </c>
      <c r="L308" s="99">
        <f t="shared" si="138"/>
        <v>1.5047955301443492E-2</v>
      </c>
      <c r="M308" s="69">
        <f t="shared" si="139"/>
        <v>6.4972592306935386</v>
      </c>
      <c r="N308" s="69">
        <f t="shared" si="140"/>
        <v>2.0315805132023415</v>
      </c>
      <c r="O308" s="69">
        <f t="shared" si="141"/>
        <v>20.779081723072188</v>
      </c>
      <c r="P308" s="69">
        <f t="shared" si="142"/>
        <v>2.9136108070534377</v>
      </c>
      <c r="Q308" s="69">
        <f t="shared" si="143"/>
        <v>-3.0254392677077915</v>
      </c>
      <c r="R308" s="43">
        <f t="shared" si="144"/>
        <v>-1641.1247170123668</v>
      </c>
      <c r="S308" s="43">
        <f t="shared" si="145"/>
        <v>2905.0710968762164</v>
      </c>
      <c r="T308" s="43">
        <f>R308+Thrust!C$33*0.8</f>
        <v>170.63528298763322</v>
      </c>
      <c r="V308">
        <f t="shared" si="146"/>
        <v>3949981.7201213264</v>
      </c>
      <c r="W308">
        <f t="shared" si="147"/>
        <v>-2231412.7318978817</v>
      </c>
      <c r="X308">
        <f t="shared" si="148"/>
        <v>-6181394.4520192081</v>
      </c>
      <c r="Y308">
        <f t="shared" si="149"/>
        <v>6181394.4520192081</v>
      </c>
      <c r="Z308">
        <f t="shared" si="150"/>
        <v>-12556.233282504878</v>
      </c>
      <c r="AA308">
        <f t="shared" si="151"/>
        <v>-8.8536462799212323</v>
      </c>
      <c r="AB308">
        <f t="shared" si="152"/>
        <v>-11818.717281012592</v>
      </c>
      <c r="AC308">
        <f t="shared" si="153"/>
        <v>-8.3297959320039077</v>
      </c>
      <c r="AD308">
        <f t="shared" si="154"/>
        <v>-4.494668309742301</v>
      </c>
      <c r="AE308">
        <f t="shared" si="155"/>
        <v>-3620.8659637249434</v>
      </c>
      <c r="AH308">
        <v>2.5957542812278956E-2</v>
      </c>
      <c r="AI308">
        <v>18.321449855180738</v>
      </c>
      <c r="AJ308">
        <f t="shared" si="156"/>
        <v>-260.76265964926438</v>
      </c>
      <c r="AK308">
        <f t="shared" si="157"/>
        <v>58.015996215795298</v>
      </c>
      <c r="AN308">
        <f t="shared" si="159"/>
        <v>0</v>
      </c>
      <c r="AO308" s="43">
        <f t="shared" si="158"/>
        <v>16595</v>
      </c>
      <c r="AP308" s="43">
        <f t="shared" si="161"/>
        <v>13595</v>
      </c>
      <c r="AQ308">
        <f t="shared" si="160"/>
        <v>0</v>
      </c>
    </row>
    <row r="309" spans="1:43">
      <c r="A309">
        <v>347</v>
      </c>
      <c r="B309">
        <f t="shared" si="129"/>
        <v>347</v>
      </c>
      <c r="D309" s="43">
        <f t="shared" si="130"/>
        <v>807.9196603640238</v>
      </c>
      <c r="E309" s="43">
        <f t="shared" si="131"/>
        <v>1363.6147688502506</v>
      </c>
      <c r="F309" s="69">
        <f t="shared" si="132"/>
        <v>1.4345095885272736</v>
      </c>
      <c r="G309" s="98">
        <f t="shared" si="133"/>
        <v>407.83814567423292</v>
      </c>
      <c r="H309" s="69">
        <f t="shared" si="134"/>
        <v>9.7207759932914084E-2</v>
      </c>
      <c r="I309" s="69">
        <f t="shared" si="135"/>
        <v>-2.463306333267032</v>
      </c>
      <c r="J309" s="99">
        <f t="shared" si="136"/>
        <v>1.5047746178408776E-2</v>
      </c>
      <c r="K309" s="69">
        <f t="shared" si="137"/>
        <v>3.2800417507417788E-7</v>
      </c>
      <c r="L309" s="99">
        <f t="shared" si="138"/>
        <v>1.5048074182583851E-2</v>
      </c>
      <c r="M309" s="69">
        <f t="shared" si="139"/>
        <v>6.4598139770881229</v>
      </c>
      <c r="N309" s="69">
        <f t="shared" si="140"/>
        <v>2.0140510736057786</v>
      </c>
      <c r="O309" s="69">
        <f t="shared" si="141"/>
        <v>20.71903595963671</v>
      </c>
      <c r="P309" s="69">
        <f t="shared" si="142"/>
        <v>2.9220316475362513</v>
      </c>
      <c r="Q309" s="69">
        <f t="shared" si="143"/>
        <v>-3.0578942179114161</v>
      </c>
      <c r="R309" s="43">
        <f t="shared" si="144"/>
        <v>-1653.9494378769398</v>
      </c>
      <c r="S309" s="43">
        <f t="shared" si="145"/>
        <v>2921.9107650694682</v>
      </c>
      <c r="T309" s="43">
        <f>R309+Thrust!C$33*0.8</f>
        <v>157.81056212306021</v>
      </c>
      <c r="V309">
        <f t="shared" si="146"/>
        <v>3984360.6725112619</v>
      </c>
      <c r="W309">
        <f t="shared" si="147"/>
        <v>-2255349.8804205651</v>
      </c>
      <c r="X309">
        <f t="shared" si="148"/>
        <v>-6239710.5529318266</v>
      </c>
      <c r="Y309">
        <f t="shared" si="149"/>
        <v>6239710.5529318266</v>
      </c>
      <c r="Z309">
        <f t="shared" si="150"/>
        <v>-12665.517369572222</v>
      </c>
      <c r="AA309">
        <f t="shared" si="151"/>
        <v>-8.9053838023476413</v>
      </c>
      <c r="AB309">
        <f t="shared" si="152"/>
        <v>-11981.460744857315</v>
      </c>
      <c r="AC309">
        <f t="shared" si="153"/>
        <v>-8.4208140105484315</v>
      </c>
      <c r="AD309">
        <f t="shared" si="154"/>
        <v>-4.503686038104914</v>
      </c>
      <c r="AE309">
        <f t="shared" si="155"/>
        <v>-3638.6164942919172</v>
      </c>
      <c r="AH309">
        <v>2.5957542812278956E-2</v>
      </c>
      <c r="AI309">
        <v>18.321449855180738</v>
      </c>
      <c r="AJ309">
        <f t="shared" si="156"/>
        <v>-241.64793660169892</v>
      </c>
      <c r="AK309">
        <f t="shared" si="157"/>
        <v>53.655591121840473</v>
      </c>
      <c r="AN309">
        <f t="shared" si="159"/>
        <v>0</v>
      </c>
      <c r="AO309" s="43">
        <f t="shared" si="158"/>
        <v>16595</v>
      </c>
      <c r="AP309" s="43">
        <f t="shared" si="161"/>
        <v>13595</v>
      </c>
      <c r="AQ309">
        <f t="shared" si="160"/>
        <v>0</v>
      </c>
    </row>
    <row r="310" spans="1:43">
      <c r="A310">
        <v>348</v>
      </c>
      <c r="B310">
        <f t="shared" si="129"/>
        <v>348</v>
      </c>
      <c r="D310" s="43">
        <f t="shared" si="130"/>
        <v>810.24795909706131</v>
      </c>
      <c r="E310" s="43">
        <f t="shared" si="131"/>
        <v>1367.5444944088968</v>
      </c>
      <c r="F310" s="69">
        <f t="shared" si="132"/>
        <v>1.4386436219236056</v>
      </c>
      <c r="G310" s="98">
        <f t="shared" si="133"/>
        <v>410.1921849175086</v>
      </c>
      <c r="H310" s="69">
        <f t="shared" si="134"/>
        <v>9.6649897325953346E-2</v>
      </c>
      <c r="I310" s="69">
        <f t="shared" si="135"/>
        <v>-2.4680038813758762</v>
      </c>
      <c r="J310" s="99">
        <f t="shared" si="136"/>
        <v>1.5047746178408776E-2</v>
      </c>
      <c r="K310" s="69">
        <f t="shared" si="137"/>
        <v>4.721609841864728E-7</v>
      </c>
      <c r="L310" s="99">
        <f t="shared" si="138"/>
        <v>1.5048218339392962E-2</v>
      </c>
      <c r="M310" s="69">
        <f t="shared" si="139"/>
        <v>6.4226804227677201</v>
      </c>
      <c r="N310" s="69">
        <f t="shared" si="140"/>
        <v>1.9967192807547589</v>
      </c>
      <c r="O310" s="69">
        <f t="shared" si="141"/>
        <v>20.659300589019676</v>
      </c>
      <c r="P310" s="69">
        <f t="shared" si="142"/>
        <v>2.9304524880190645</v>
      </c>
      <c r="Q310" s="69">
        <f t="shared" si="143"/>
        <v>-3.0904842216624191</v>
      </c>
      <c r="R310" s="43">
        <f t="shared" si="144"/>
        <v>-1666.7732911113451</v>
      </c>
      <c r="S310" s="43">
        <f t="shared" si="145"/>
        <v>2938.8041685976045</v>
      </c>
      <c r="T310" s="43">
        <f>R310+Thrust!C$33*0.8</f>
        <v>144.9867088886549</v>
      </c>
      <c r="V310">
        <f t="shared" si="146"/>
        <v>4018945.4609115692</v>
      </c>
      <c r="W310">
        <f t="shared" si="147"/>
        <v>-2279386.6376871173</v>
      </c>
      <c r="X310">
        <f t="shared" si="148"/>
        <v>-6298332.098598687</v>
      </c>
      <c r="Y310">
        <f t="shared" si="149"/>
        <v>6298332.098598687</v>
      </c>
      <c r="Z310">
        <f t="shared" si="150"/>
        <v>-12775.45576978512</v>
      </c>
      <c r="AA310">
        <f t="shared" si="151"/>
        <v>-8.957293775649088</v>
      </c>
      <c r="AB310">
        <f t="shared" si="152"/>
        <v>-12145.175158914195</v>
      </c>
      <c r="AC310">
        <f t="shared" si="153"/>
        <v>-8.5120157680579851</v>
      </c>
      <c r="AD310">
        <f t="shared" si="154"/>
        <v>-4.5125155586537637</v>
      </c>
      <c r="AE310">
        <f t="shared" si="155"/>
        <v>-3656.2565217929473</v>
      </c>
      <c r="AH310">
        <v>2.5957542812278956E-2</v>
      </c>
      <c r="AI310">
        <v>18.321449855180738</v>
      </c>
      <c r="AJ310">
        <f t="shared" si="156"/>
        <v>-222.44662508374012</v>
      </c>
      <c r="AK310">
        <f t="shared" si="157"/>
        <v>49.295481022142667</v>
      </c>
      <c r="AN310">
        <f t="shared" si="159"/>
        <v>0</v>
      </c>
      <c r="AO310" s="43">
        <f t="shared" si="158"/>
        <v>16595</v>
      </c>
      <c r="AP310" s="43">
        <f t="shared" si="161"/>
        <v>13595</v>
      </c>
      <c r="AQ310">
        <f t="shared" si="160"/>
        <v>0</v>
      </c>
    </row>
    <row r="311" spans="1:43">
      <c r="A311">
        <v>349</v>
      </c>
      <c r="B311">
        <f t="shared" si="129"/>
        <v>349</v>
      </c>
      <c r="D311" s="43">
        <f t="shared" si="130"/>
        <v>812.57625783009883</v>
      </c>
      <c r="E311" s="43">
        <f t="shared" si="131"/>
        <v>1371.4742199675429</v>
      </c>
      <c r="F311" s="69">
        <f t="shared" si="132"/>
        <v>1.4427776553199378</v>
      </c>
      <c r="G311" s="98">
        <f t="shared" si="133"/>
        <v>412.55299837443403</v>
      </c>
      <c r="H311" s="69">
        <f t="shared" si="134"/>
        <v>9.60968232261004E-2</v>
      </c>
      <c r="I311" s="69">
        <f t="shared" si="135"/>
        <v>-2.4726611072938667</v>
      </c>
      <c r="J311" s="99">
        <f t="shared" si="136"/>
        <v>1.5047746178408776E-2</v>
      </c>
      <c r="K311" s="69">
        <f t="shared" si="137"/>
        <v>6.4092956308608222E-7</v>
      </c>
      <c r="L311" s="99">
        <f t="shared" si="138"/>
        <v>1.5048387107971862E-2</v>
      </c>
      <c r="M311" s="69">
        <f t="shared" si="139"/>
        <v>6.3858553436064414</v>
      </c>
      <c r="N311" s="69">
        <f t="shared" si="140"/>
        <v>1.9795824362176149</v>
      </c>
      <c r="O311" s="69">
        <f t="shared" si="141"/>
        <v>20.599873853893953</v>
      </c>
      <c r="P311" s="69">
        <f t="shared" si="142"/>
        <v>2.9388733285018778</v>
      </c>
      <c r="Q311" s="69">
        <f t="shared" si="143"/>
        <v>-3.1232092789608021</v>
      </c>
      <c r="R311" s="43">
        <f t="shared" si="144"/>
        <v>-1679.5962841737226</v>
      </c>
      <c r="S311" s="43">
        <f t="shared" si="145"/>
        <v>2955.751263438463</v>
      </c>
      <c r="T311" s="43">
        <f>R311+Thrust!C$33*0.8</f>
        <v>132.16371582627744</v>
      </c>
      <c r="V311">
        <f t="shared" si="146"/>
        <v>4053736.6584423454</v>
      </c>
      <c r="W311">
        <f t="shared" si="147"/>
        <v>-2303523.0036975397</v>
      </c>
      <c r="X311">
        <f t="shared" si="148"/>
        <v>-6357259.6621398851</v>
      </c>
      <c r="Y311">
        <f t="shared" si="149"/>
        <v>6357259.6621398851</v>
      </c>
      <c r="Z311">
        <f t="shared" si="150"/>
        <v>-12886.050304982291</v>
      </c>
      <c r="AA311">
        <f t="shared" si="151"/>
        <v>-9.0093761808231356</v>
      </c>
      <c r="AB311">
        <f t="shared" si="152"/>
        <v>-12309.862345021955</v>
      </c>
      <c r="AC311">
        <f t="shared" si="153"/>
        <v>-8.6034014540515589</v>
      </c>
      <c r="AD311">
        <f t="shared" si="154"/>
        <v>-4.5211597043100573</v>
      </c>
      <c r="AE311">
        <f t="shared" si="155"/>
        <v>-3673.7870335805028</v>
      </c>
      <c r="AH311">
        <v>2.5957542812278956E-2</v>
      </c>
      <c r="AI311">
        <v>18.321449855180738</v>
      </c>
      <c r="AJ311">
        <f t="shared" si="156"/>
        <v>-203.16131056432133</v>
      </c>
      <c r="AK311">
        <f t="shared" si="157"/>
        <v>44.935663380934329</v>
      </c>
      <c r="AN311">
        <f t="shared" si="159"/>
        <v>0</v>
      </c>
      <c r="AO311" s="43">
        <f t="shared" si="158"/>
        <v>16595</v>
      </c>
      <c r="AP311" s="43">
        <f t="shared" si="161"/>
        <v>13595</v>
      </c>
      <c r="AQ311">
        <f t="shared" si="160"/>
        <v>0</v>
      </c>
    </row>
    <row r="312" spans="1:43">
      <c r="A312">
        <v>350</v>
      </c>
      <c r="B312">
        <f t="shared" si="129"/>
        <v>350</v>
      </c>
      <c r="D312" s="43">
        <f t="shared" si="130"/>
        <v>814.90455656313634</v>
      </c>
      <c r="E312" s="43">
        <f t="shared" si="131"/>
        <v>1375.4039455261893</v>
      </c>
      <c r="F312" s="69">
        <f t="shared" si="132"/>
        <v>1.4469116887162701</v>
      </c>
      <c r="G312" s="98">
        <f t="shared" si="133"/>
        <v>414.92058604500932</v>
      </c>
      <c r="H312" s="69">
        <f t="shared" si="134"/>
        <v>9.5548482985814295E-2</v>
      </c>
      <c r="I312" s="69">
        <f t="shared" si="135"/>
        <v>-2.477278471187089</v>
      </c>
      <c r="J312" s="99">
        <f t="shared" si="136"/>
        <v>1.5047746178408776E-2</v>
      </c>
      <c r="K312" s="69">
        <f t="shared" si="137"/>
        <v>8.336618689631291E-7</v>
      </c>
      <c r="L312" s="99">
        <f t="shared" si="138"/>
        <v>1.5048579840277739E-2</v>
      </c>
      <c r="M312" s="69">
        <f t="shared" si="139"/>
        <v>6.3493355519221435</v>
      </c>
      <c r="N312" s="69">
        <f t="shared" si="140"/>
        <v>1.9626378836669971</v>
      </c>
      <c r="O312" s="69">
        <f t="shared" si="141"/>
        <v>20.540753995627348</v>
      </c>
      <c r="P312" s="69">
        <f t="shared" si="142"/>
        <v>2.9472941689846914</v>
      </c>
      <c r="Q312" s="69">
        <f t="shared" si="143"/>
        <v>-3.1560693898065644</v>
      </c>
      <c r="R312" s="43">
        <f t="shared" si="144"/>
        <v>-1692.4184244369746</v>
      </c>
      <c r="S312" s="43">
        <f t="shared" si="145"/>
        <v>2972.752006197868</v>
      </c>
      <c r="T312" s="43">
        <f>R312+Thrust!C$33*0.8</f>
        <v>119.34157556302534</v>
      </c>
      <c r="V312">
        <f t="shared" si="146"/>
        <v>4088734.8383954423</v>
      </c>
      <c r="W312">
        <f t="shared" si="147"/>
        <v>-2327758.9784518317</v>
      </c>
      <c r="X312">
        <f t="shared" si="148"/>
        <v>-6416493.8168472741</v>
      </c>
      <c r="Y312">
        <f t="shared" si="149"/>
        <v>6416493.8168472741</v>
      </c>
      <c r="Z312">
        <f t="shared" si="150"/>
        <v>-12997.302797548426</v>
      </c>
      <c r="AA312">
        <f t="shared" si="151"/>
        <v>-9.061631001878478</v>
      </c>
      <c r="AB312">
        <f t="shared" si="152"/>
        <v>-12475.524125565284</v>
      </c>
      <c r="AC312">
        <f t="shared" si="153"/>
        <v>-8.6949713229660475</v>
      </c>
      <c r="AD312">
        <f t="shared" si="154"/>
        <v>-4.529621262918651</v>
      </c>
      <c r="AE312">
        <f t="shared" si="155"/>
        <v>-3691.209006657677</v>
      </c>
      <c r="AH312">
        <v>2.5957542812278956E-2</v>
      </c>
      <c r="AI312">
        <v>18.321449855180738</v>
      </c>
      <c r="AJ312">
        <f t="shared" si="156"/>
        <v>-183.79452699496744</v>
      </c>
      <c r="AK312">
        <f t="shared" si="157"/>
        <v>40.576135691428618</v>
      </c>
      <c r="AN312">
        <f t="shared" si="159"/>
        <v>0</v>
      </c>
      <c r="AO312" s="43">
        <f t="shared" si="158"/>
        <v>16595</v>
      </c>
      <c r="AP312" s="43">
        <f t="shared" si="161"/>
        <v>13595</v>
      </c>
      <c r="AQ312">
        <f t="shared" si="160"/>
        <v>0</v>
      </c>
    </row>
  </sheetData>
  <mergeCells count="5">
    <mergeCell ref="A1:L1"/>
    <mergeCell ref="A5:B5"/>
    <mergeCell ref="A7:B7"/>
    <mergeCell ref="A8:B8"/>
    <mergeCell ref="A9:B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6502F-0E41-48F8-AB66-04AA5F50417C}">
  <dimension ref="A1:Q386"/>
  <sheetViews>
    <sheetView topLeftCell="A105" zoomScale="80" zoomScaleNormal="80" workbookViewId="0">
      <selection activeCell="I71" sqref="I71"/>
    </sheetView>
  </sheetViews>
  <sheetFormatPr defaultColWidth="8.42578125" defaultRowHeight="15"/>
  <cols>
    <col min="1" max="1" width="36" customWidth="1"/>
    <col min="2" max="2" width="12" customWidth="1"/>
    <col min="3" max="3" width="15.42578125" customWidth="1"/>
    <col min="4" max="4" width="17.7109375" customWidth="1"/>
    <col min="6" max="6" width="15.42578125" customWidth="1"/>
    <col min="7" max="7" width="11.28515625" customWidth="1"/>
    <col min="11" max="11" width="17.28515625" customWidth="1"/>
    <col min="14" max="14" width="14.7109375" bestFit="1" customWidth="1"/>
  </cols>
  <sheetData>
    <row r="1" spans="1:11">
      <c r="A1" s="309" t="s">
        <v>606</v>
      </c>
      <c r="B1" s="309"/>
      <c r="C1" s="309"/>
      <c r="D1" s="309"/>
      <c r="E1" s="309"/>
      <c r="F1" s="309"/>
      <c r="G1" s="309"/>
      <c r="H1" s="309"/>
      <c r="I1" s="309"/>
      <c r="J1" s="309"/>
      <c r="K1" s="309"/>
    </row>
    <row r="2" spans="1:11">
      <c r="A2" s="7" t="s">
        <v>7</v>
      </c>
      <c r="B2" s="22" t="s">
        <v>8</v>
      </c>
      <c r="C2" s="8" t="s">
        <v>9</v>
      </c>
      <c r="D2" s="23" t="s">
        <v>10</v>
      </c>
      <c r="E2" s="333" t="s">
        <v>11</v>
      </c>
      <c r="F2" s="333"/>
    </row>
    <row r="3" spans="1:11" ht="18">
      <c r="A3" t="s">
        <v>43</v>
      </c>
      <c r="B3" s="10" t="s">
        <v>44</v>
      </c>
      <c r="C3" s="63">
        <f>General!C23</f>
        <v>476.1</v>
      </c>
      <c r="D3" t="s">
        <v>39</v>
      </c>
      <c r="E3" s="314"/>
      <c r="F3" s="314"/>
    </row>
    <row r="4" spans="1:11" ht="17.100000000000001">
      <c r="A4" t="s">
        <v>45</v>
      </c>
      <c r="B4" s="59" t="s">
        <v>46</v>
      </c>
      <c r="C4" s="63">
        <f>General!C24</f>
        <v>10</v>
      </c>
      <c r="E4" s="319"/>
      <c r="F4" s="319"/>
    </row>
    <row r="5" spans="1:11" ht="17.100000000000001">
      <c r="A5" t="s">
        <v>47</v>
      </c>
      <c r="B5" s="10" t="s">
        <v>48</v>
      </c>
      <c r="C5" s="47">
        <f>General!C25</f>
        <v>0.38</v>
      </c>
      <c r="E5" s="319"/>
      <c r="F5" s="319"/>
    </row>
    <row r="6" spans="1:11">
      <c r="A6" t="s">
        <v>49</v>
      </c>
      <c r="B6" s="10" t="s">
        <v>50</v>
      </c>
      <c r="C6" s="5">
        <v>0.15</v>
      </c>
      <c r="E6" s="314" t="s">
        <v>52</v>
      </c>
      <c r="F6" s="314"/>
    </row>
    <row r="7" spans="1:11" ht="17.100000000000001">
      <c r="A7" t="s">
        <v>53</v>
      </c>
      <c r="B7" s="59" t="s">
        <v>54</v>
      </c>
      <c r="C7" s="63">
        <f>General!C27</f>
        <v>10</v>
      </c>
      <c r="D7" s="11" t="s">
        <v>55</v>
      </c>
      <c r="E7" s="319"/>
      <c r="F7" s="319"/>
    </row>
    <row r="8" spans="1:11" ht="17.100000000000001">
      <c r="B8" s="59" t="s">
        <v>54</v>
      </c>
      <c r="C8" s="47">
        <f>TAN(C7*PI()/180)</f>
        <v>0.17632698070846498</v>
      </c>
      <c r="D8" s="11" t="s">
        <v>56</v>
      </c>
      <c r="E8" s="319"/>
      <c r="F8" s="319"/>
    </row>
    <row r="9" spans="1:11" ht="17.100000000000001">
      <c r="A9" t="s">
        <v>57</v>
      </c>
      <c r="B9" s="59" t="s">
        <v>58</v>
      </c>
      <c r="C9" s="47">
        <f>General!C29</f>
        <v>7.528633598871683</v>
      </c>
      <c r="D9" s="11" t="s">
        <v>59</v>
      </c>
      <c r="E9" s="319"/>
      <c r="F9" s="319"/>
    </row>
    <row r="10" spans="1:11" ht="17.100000000000001">
      <c r="B10" s="59" t="s">
        <v>58</v>
      </c>
      <c r="C10" s="47">
        <f>General!C30</f>
        <v>0.13139944447658092</v>
      </c>
      <c r="D10" s="11" t="s">
        <v>56</v>
      </c>
      <c r="E10" s="319"/>
      <c r="F10" s="319"/>
    </row>
    <row r="11" spans="1:11">
      <c r="A11" t="s">
        <v>60</v>
      </c>
      <c r="B11" s="59" t="s">
        <v>61</v>
      </c>
      <c r="C11" s="47">
        <f>General!C31</f>
        <v>8.7233407294205534E-2</v>
      </c>
      <c r="D11" s="11" t="s">
        <v>56</v>
      </c>
      <c r="E11" s="319"/>
      <c r="F11" s="319"/>
    </row>
    <row r="12" spans="1:11">
      <c r="B12" s="59" t="s">
        <v>61</v>
      </c>
      <c r="C12" s="47">
        <f>General!C32</f>
        <v>4.9981060705037077</v>
      </c>
      <c r="D12" s="11" t="s">
        <v>55</v>
      </c>
      <c r="E12" s="319"/>
      <c r="F12" s="319"/>
    </row>
    <row r="13" spans="1:11" ht="17.100000000000001">
      <c r="A13" t="s">
        <v>62</v>
      </c>
      <c r="B13" s="59" t="s">
        <v>63</v>
      </c>
      <c r="C13" s="47">
        <f>General!C33</f>
        <v>0.17413833337751999</v>
      </c>
      <c r="D13" s="11" t="s">
        <v>56</v>
      </c>
      <c r="E13" s="319"/>
      <c r="F13" s="319"/>
    </row>
    <row r="14" spans="1:11" ht="17.100000000000001">
      <c r="A14" t="s">
        <v>64</v>
      </c>
      <c r="B14" s="10" t="s">
        <v>65</v>
      </c>
      <c r="C14" s="47">
        <f>General!C35</f>
        <v>6.9</v>
      </c>
      <c r="D14" t="s">
        <v>66</v>
      </c>
      <c r="E14" s="314" t="s">
        <v>67</v>
      </c>
      <c r="F14" s="314"/>
    </row>
    <row r="15" spans="1:11" ht="17.100000000000001">
      <c r="A15" t="s">
        <v>68</v>
      </c>
      <c r="B15" s="10" t="s">
        <v>69</v>
      </c>
      <c r="C15" s="63">
        <f>General!C36</f>
        <v>10</v>
      </c>
      <c r="D15" t="s">
        <v>66</v>
      </c>
      <c r="E15" s="314" t="s">
        <v>67</v>
      </c>
      <c r="F15" s="314"/>
    </row>
    <row r="16" spans="1:11" ht="17.100000000000001">
      <c r="A16" t="s">
        <v>70</v>
      </c>
      <c r="B16" s="10" t="s">
        <v>71</v>
      </c>
      <c r="C16" s="63">
        <f>General!C37</f>
        <v>3.8</v>
      </c>
      <c r="D16" t="s">
        <v>66</v>
      </c>
      <c r="E16" s="314" t="s">
        <v>67</v>
      </c>
      <c r="F16" s="314"/>
    </row>
    <row r="17" spans="1:10" ht="17.100000000000001">
      <c r="A17" t="s">
        <v>72</v>
      </c>
      <c r="B17" s="10" t="s">
        <v>73</v>
      </c>
      <c r="C17" s="47">
        <f>General!C38</f>
        <v>7.3642512077294677</v>
      </c>
      <c r="D17" t="s">
        <v>66</v>
      </c>
      <c r="E17" s="314" t="s">
        <v>74</v>
      </c>
      <c r="F17" s="314"/>
    </row>
    <row r="18" spans="1:10" ht="17.100000000000001">
      <c r="A18" t="s">
        <v>75</v>
      </c>
      <c r="B18" s="10" t="s">
        <v>76</v>
      </c>
      <c r="C18" s="63">
        <f>General!C39</f>
        <v>69</v>
      </c>
      <c r="D18" t="s">
        <v>66</v>
      </c>
      <c r="E18" s="314" t="s">
        <v>77</v>
      </c>
      <c r="F18" s="314"/>
    </row>
    <row r="19" spans="1:10" ht="17.100000000000001">
      <c r="A19" t="s">
        <v>79</v>
      </c>
      <c r="B19" s="10" t="s">
        <v>80</v>
      </c>
      <c r="C19" s="47">
        <f>General!C40</f>
        <v>2.5861290503908196</v>
      </c>
      <c r="D19" t="s">
        <v>66</v>
      </c>
      <c r="E19" s="319"/>
      <c r="F19" s="319"/>
    </row>
    <row r="20" spans="1:10">
      <c r="A20" t="s">
        <v>81</v>
      </c>
      <c r="B20" s="9" t="s">
        <v>82</v>
      </c>
      <c r="C20" s="47">
        <f>General!C41</f>
        <v>14.666666666666668</v>
      </c>
      <c r="E20" s="319"/>
      <c r="F20" s="319"/>
    </row>
    <row r="21" spans="1:10">
      <c r="A21" t="s">
        <v>607</v>
      </c>
      <c r="B21" s="10" t="s">
        <v>608</v>
      </c>
      <c r="C21" s="47">
        <f>(1-Drag!C9^2)^0.5</f>
        <v>0.86422438320715966</v>
      </c>
      <c r="E21" s="314" t="s">
        <v>609</v>
      </c>
      <c r="F21" s="314"/>
    </row>
    <row r="22" spans="1:10">
      <c r="A22" t="s">
        <v>610</v>
      </c>
      <c r="B22" s="10" t="s">
        <v>611</v>
      </c>
      <c r="C22" s="47">
        <f>D30/(2*PI())</f>
        <v>0.96660409194790231</v>
      </c>
      <c r="D22" s="69"/>
      <c r="E22" s="319"/>
      <c r="F22" s="319"/>
    </row>
    <row r="23" spans="1:10">
      <c r="A23" t="s">
        <v>612</v>
      </c>
      <c r="B23" s="9" t="s">
        <v>153</v>
      </c>
      <c r="C23" s="47">
        <f>General!C89</f>
        <v>0.75661729604956662</v>
      </c>
      <c r="E23" s="319"/>
      <c r="F23" s="319"/>
    </row>
    <row r="24" spans="1:10">
      <c r="A24" t="s">
        <v>613</v>
      </c>
      <c r="B24" s="9" t="s">
        <v>614</v>
      </c>
      <c r="C24" s="47">
        <f>(1/2)*Drag!C12*(Drag!C8^2)</f>
        <v>211.69417655357609</v>
      </c>
      <c r="D24" t="s">
        <v>319</v>
      </c>
      <c r="E24" s="319"/>
      <c r="F24" s="319"/>
    </row>
    <row r="25" spans="1:10">
      <c r="A25" t="s">
        <v>615</v>
      </c>
      <c r="B25" s="10" t="s">
        <v>616</v>
      </c>
      <c r="C25" s="63">
        <f>'Performance T_O'!C39</f>
        <v>14.811146812284653</v>
      </c>
      <c r="D25" s="11" t="s">
        <v>55</v>
      </c>
      <c r="E25" s="319"/>
      <c r="F25" s="319"/>
    </row>
    <row r="26" spans="1:10">
      <c r="B26" s="10" t="s">
        <v>616</v>
      </c>
      <c r="C26" s="63">
        <f>RADIANS(C25)</f>
        <v>0.25850327787062971</v>
      </c>
      <c r="D26" s="11" t="s">
        <v>56</v>
      </c>
      <c r="E26" s="319"/>
      <c r="F26" s="319"/>
    </row>
    <row r="27" spans="1:10">
      <c r="B27" s="9"/>
      <c r="C27" s="69"/>
      <c r="E27" s="25"/>
      <c r="F27" s="25"/>
    </row>
    <row r="28" spans="1:10" ht="17.100000000000001">
      <c r="A28" s="71" t="s">
        <v>617</v>
      </c>
      <c r="B28" s="70" t="s">
        <v>618</v>
      </c>
      <c r="C28" s="70" t="s">
        <v>619</v>
      </c>
      <c r="D28" s="70" t="s">
        <v>620</v>
      </c>
      <c r="E28" s="70" t="s">
        <v>621</v>
      </c>
      <c r="F28" s="70" t="s">
        <v>622</v>
      </c>
      <c r="G28" s="70" t="s">
        <v>623</v>
      </c>
      <c r="H28" s="70" t="s">
        <v>624</v>
      </c>
      <c r="I28" s="70" t="s">
        <v>625</v>
      </c>
    </row>
    <row r="29" spans="1:10">
      <c r="A29" s="13">
        <v>4415</v>
      </c>
      <c r="B29" s="49">
        <v>-4</v>
      </c>
      <c r="C29" s="51">
        <v>-9.2999999999999999E-2</v>
      </c>
      <c r="D29" s="51">
        <v>0.106</v>
      </c>
      <c r="E29" s="51">
        <v>0.245</v>
      </c>
      <c r="F29" s="49">
        <v>15</v>
      </c>
      <c r="G29" s="50">
        <v>1.64</v>
      </c>
      <c r="H29" s="102">
        <v>6.4000000000000003E-3</v>
      </c>
      <c r="I29" s="50">
        <v>0.48</v>
      </c>
    </row>
    <row r="30" spans="1:10">
      <c r="A30" t="s">
        <v>626</v>
      </c>
      <c r="D30" s="69">
        <f>D29*(180/PI())</f>
        <v>6.0733526283867256</v>
      </c>
    </row>
    <row r="32" spans="1:10" ht="17.100000000000001">
      <c r="A32" s="71" t="s">
        <v>627</v>
      </c>
      <c r="B32" s="161" t="s">
        <v>618</v>
      </c>
      <c r="C32" s="70" t="s">
        <v>628</v>
      </c>
      <c r="D32" s="70" t="s">
        <v>629</v>
      </c>
      <c r="E32" s="183" t="s">
        <v>630</v>
      </c>
      <c r="F32" s="70" t="s">
        <v>631</v>
      </c>
      <c r="G32" s="70" t="s">
        <v>623</v>
      </c>
      <c r="H32" s="70" t="s">
        <v>624</v>
      </c>
      <c r="I32" s="70" t="s">
        <v>632</v>
      </c>
      <c r="J32" s="70" t="s">
        <v>625</v>
      </c>
    </row>
    <row r="33" spans="1:11">
      <c r="A33" s="97" t="s">
        <v>633</v>
      </c>
      <c r="B33" s="101" t="s">
        <v>634</v>
      </c>
      <c r="C33" s="49">
        <v>40</v>
      </c>
      <c r="D33" s="101" t="s">
        <v>634</v>
      </c>
      <c r="E33" s="101" t="s">
        <v>634</v>
      </c>
      <c r="F33" s="49">
        <v>1.9</v>
      </c>
      <c r="G33" s="50">
        <v>3.17</v>
      </c>
      <c r="H33" s="102" t="s">
        <v>634</v>
      </c>
      <c r="I33" s="102" t="s">
        <v>634</v>
      </c>
      <c r="J33" s="101" t="s">
        <v>634</v>
      </c>
    </row>
    <row r="34" spans="1:11">
      <c r="A34" s="310" t="s">
        <v>635</v>
      </c>
      <c r="B34" s="310"/>
      <c r="C34" s="310"/>
      <c r="D34" s="310"/>
      <c r="E34" s="310"/>
      <c r="F34" s="310"/>
      <c r="G34" s="310"/>
      <c r="H34" s="310"/>
      <c r="I34" s="310"/>
      <c r="J34" s="310"/>
      <c r="K34" s="310"/>
    </row>
    <row r="35" spans="1:11">
      <c r="A35" s="320" t="s">
        <v>636</v>
      </c>
      <c r="B35" s="320"/>
      <c r="C35" s="320"/>
      <c r="D35" s="320"/>
      <c r="E35" s="320"/>
      <c r="F35" s="320"/>
      <c r="G35" s="320"/>
      <c r="H35" s="320"/>
    </row>
    <row r="36" spans="1:11">
      <c r="A36" s="7" t="s">
        <v>7</v>
      </c>
      <c r="B36" s="22" t="s">
        <v>8</v>
      </c>
      <c r="C36" s="8" t="s">
        <v>9</v>
      </c>
      <c r="D36" s="23" t="s">
        <v>10</v>
      </c>
      <c r="E36" s="333" t="s">
        <v>11</v>
      </c>
      <c r="F36" s="333"/>
      <c r="G36" s="333"/>
      <c r="H36" s="333"/>
    </row>
    <row r="37" spans="1:11">
      <c r="A37" s="7" t="s">
        <v>637</v>
      </c>
      <c r="B37" s="114" t="s">
        <v>638</v>
      </c>
      <c r="C37" s="115">
        <f>(C154-C156)/C157</f>
        <v>-1.704884253767885</v>
      </c>
      <c r="D37" s="81" t="s">
        <v>55</v>
      </c>
      <c r="E37" s="334" t="s">
        <v>639</v>
      </c>
      <c r="F37" s="334"/>
      <c r="G37" s="334"/>
      <c r="H37" s="334"/>
      <c r="I37" s="334"/>
      <c r="J37" s="334"/>
    </row>
    <row r="38" spans="1:11">
      <c r="A38" t="s">
        <v>640</v>
      </c>
      <c r="B38" s="73" t="s">
        <v>301</v>
      </c>
      <c r="C38" s="78">
        <f>I29+D29*C37</f>
        <v>0.29928226910060418</v>
      </c>
      <c r="D38" s="113"/>
      <c r="E38" s="334" t="s">
        <v>641</v>
      </c>
      <c r="F38" s="334"/>
      <c r="G38" s="334"/>
      <c r="H38" s="334"/>
    </row>
    <row r="39" spans="1:11">
      <c r="A39" t="s">
        <v>642</v>
      </c>
      <c r="B39" s="73" t="s">
        <v>643</v>
      </c>
      <c r="C39" s="78">
        <f>D30</f>
        <v>6.0733526283867256</v>
      </c>
      <c r="D39" s="74" t="s">
        <v>644</v>
      </c>
      <c r="E39" s="335"/>
      <c r="F39" s="335"/>
      <c r="G39" s="335"/>
      <c r="H39" s="335"/>
    </row>
    <row r="40" spans="1:11">
      <c r="B40" s="73" t="s">
        <v>643</v>
      </c>
      <c r="C40" s="78">
        <f>D29</f>
        <v>0.106</v>
      </c>
      <c r="D40" s="74" t="s">
        <v>645</v>
      </c>
      <c r="E40" s="335"/>
      <c r="F40" s="335"/>
      <c r="G40" s="335"/>
      <c r="H40" s="335"/>
    </row>
    <row r="41" spans="1:11">
      <c r="A41" s="7" t="s">
        <v>646</v>
      </c>
      <c r="B41" s="17" t="s">
        <v>647</v>
      </c>
      <c r="C41" s="82">
        <f>C38/(1+(C38/(PI()*C23*C4)))</f>
        <v>0.29556090775637106</v>
      </c>
      <c r="D41" s="7"/>
      <c r="E41" s="335"/>
      <c r="F41" s="335"/>
      <c r="G41" s="335"/>
      <c r="H41" s="335"/>
    </row>
    <row r="42" spans="1:11">
      <c r="A42" s="7" t="s">
        <v>648</v>
      </c>
      <c r="B42" s="17" t="s">
        <v>649</v>
      </c>
      <c r="C42" s="83">
        <f>C48*(1/2)*Drag!C12*Drag!C8^2*Lift!C3</f>
        <v>22636.24301224175</v>
      </c>
      <c r="D42" s="7" t="s">
        <v>327</v>
      </c>
      <c r="E42" s="335"/>
      <c r="F42" s="335"/>
      <c r="G42" s="335"/>
      <c r="H42" s="335"/>
    </row>
    <row r="43" spans="1:11">
      <c r="A43" s="11" t="s">
        <v>650</v>
      </c>
      <c r="B43" s="59" t="s">
        <v>651</v>
      </c>
      <c r="C43" s="78">
        <f>-4</f>
        <v>-4</v>
      </c>
      <c r="D43" s="11" t="s">
        <v>55</v>
      </c>
      <c r="E43" s="314" t="s">
        <v>652</v>
      </c>
      <c r="F43" s="314"/>
      <c r="G43" s="314"/>
      <c r="H43" s="314"/>
    </row>
    <row r="44" spans="1:11">
      <c r="A44" s="11"/>
      <c r="B44" s="59" t="s">
        <v>651</v>
      </c>
      <c r="C44" s="78">
        <f>RADIANS(C43)</f>
        <v>-6.9813170079773182E-2</v>
      </c>
      <c r="D44" s="11" t="s">
        <v>56</v>
      </c>
      <c r="E44" s="314"/>
      <c r="F44" s="314"/>
      <c r="G44" s="314"/>
      <c r="H44" s="314"/>
    </row>
    <row r="45" spans="1:11">
      <c r="A45" s="7" t="s">
        <v>653</v>
      </c>
      <c r="B45" s="17" t="s">
        <v>654</v>
      </c>
      <c r="C45" s="79">
        <f>(2*PI()*C4)/(2+SQRT((((C4*C21)/C22)^2)*(1+(((TAN(C11))^2)/(C21^2)))+4))</f>
        <v>5.6068029705587294</v>
      </c>
      <c r="D45" s="7" t="s">
        <v>644</v>
      </c>
      <c r="E45" s="314"/>
      <c r="F45" s="314"/>
      <c r="G45" s="314"/>
      <c r="H45" s="314"/>
    </row>
    <row r="46" spans="1:11">
      <c r="A46" s="7"/>
      <c r="B46" s="17"/>
      <c r="C46" s="79">
        <f>C45*(PI()/180)</f>
        <v>9.7857172346848528E-2</v>
      </c>
      <c r="D46" s="7" t="s">
        <v>645</v>
      </c>
      <c r="E46" s="314"/>
      <c r="F46" s="314"/>
      <c r="G46" s="314"/>
      <c r="H46" s="314"/>
    </row>
    <row r="47" spans="1:11">
      <c r="A47" s="81" t="s">
        <v>655</v>
      </c>
      <c r="B47" s="114" t="s">
        <v>656</v>
      </c>
      <c r="C47" s="115">
        <f>ABS(C43)*C46</f>
        <v>0.39142868938739411</v>
      </c>
      <c r="D47" s="81"/>
      <c r="E47" s="314"/>
      <c r="F47" s="314"/>
      <c r="G47" s="314"/>
      <c r="H47" s="314"/>
    </row>
    <row r="48" spans="1:11">
      <c r="A48" s="81" t="s">
        <v>657</v>
      </c>
      <c r="B48" s="114" t="s">
        <v>658</v>
      </c>
      <c r="C48" s="131">
        <f>C47+C46*C37</f>
        <v>0.22459353713500194</v>
      </c>
      <c r="D48" s="82"/>
      <c r="E48" s="314"/>
      <c r="F48" s="314"/>
      <c r="G48" s="314"/>
      <c r="H48" s="314"/>
    </row>
    <row r="49" spans="1:9">
      <c r="A49" t="s">
        <v>659</v>
      </c>
      <c r="B49" s="9" t="s">
        <v>660</v>
      </c>
      <c r="C49" s="69">
        <f>C29+D29*(0.25-('Stability and Control'!C81/C14))*C37</f>
        <v>-0.13176264372914576</v>
      </c>
      <c r="D49" t="s">
        <v>645</v>
      </c>
      <c r="E49" s="314"/>
      <c r="F49" s="314"/>
      <c r="G49" s="314"/>
      <c r="H49" s="314"/>
    </row>
    <row r="50" spans="1:9">
      <c r="A50" s="7" t="s">
        <v>661</v>
      </c>
      <c r="B50" s="17" t="s">
        <v>662</v>
      </c>
      <c r="C50" s="144">
        <f>C46*(0.25-(('Stability and Control'!C81)/C17))</f>
        <v>2.1208699741415347E-2</v>
      </c>
      <c r="D50" s="7" t="s">
        <v>645</v>
      </c>
      <c r="E50" s="314"/>
      <c r="F50" s="314"/>
      <c r="G50" s="314"/>
      <c r="H50" s="314"/>
    </row>
    <row r="51" spans="1:9">
      <c r="A51" s="7"/>
      <c r="B51" s="17" t="s">
        <v>662</v>
      </c>
      <c r="C51" s="115">
        <f>C50*(180/PI())</f>
        <v>1.2151689841432998</v>
      </c>
      <c r="D51" s="7" t="s">
        <v>644</v>
      </c>
      <c r="E51" s="314"/>
      <c r="F51" s="314"/>
      <c r="G51" s="314"/>
      <c r="H51" s="314"/>
    </row>
    <row r="52" spans="1:9">
      <c r="A52" s="7" t="s">
        <v>663</v>
      </c>
      <c r="B52" s="17" t="s">
        <v>664</v>
      </c>
      <c r="C52" s="82">
        <f>C29</f>
        <v>-9.2999999999999999E-2</v>
      </c>
      <c r="D52" s="7" t="s">
        <v>645</v>
      </c>
      <c r="E52" s="314" t="s">
        <v>665</v>
      </c>
      <c r="F52" s="314"/>
      <c r="G52" s="314"/>
      <c r="H52" s="314"/>
    </row>
    <row r="53" spans="1:9">
      <c r="A53" s="7" t="s">
        <v>666</v>
      </c>
      <c r="B53" s="17" t="s">
        <v>667</v>
      </c>
      <c r="C53" s="82">
        <f>C52+C50*C37</f>
        <v>-0.12915837823203002</v>
      </c>
      <c r="D53" s="7"/>
      <c r="E53" s="314"/>
      <c r="F53" s="314"/>
      <c r="G53" s="314"/>
      <c r="H53" s="314"/>
    </row>
    <row r="54" spans="1:9">
      <c r="B54" s="9"/>
      <c r="C54" s="69"/>
      <c r="E54" s="314"/>
      <c r="F54" s="314"/>
      <c r="G54" s="314"/>
      <c r="H54" s="314"/>
    </row>
    <row r="55" spans="1:9">
      <c r="A55" s="320" t="s">
        <v>668</v>
      </c>
      <c r="B55" s="320"/>
      <c r="C55" s="320"/>
      <c r="D55" s="320"/>
      <c r="E55" s="320"/>
      <c r="F55" s="320"/>
      <c r="G55" s="320"/>
      <c r="H55" s="320"/>
    </row>
    <row r="56" spans="1:9">
      <c r="A56" t="s">
        <v>669</v>
      </c>
      <c r="B56" s="9" t="s">
        <v>546</v>
      </c>
      <c r="C56" s="69">
        <f>G29+((2*C20)/C18)*(G29-G29)</f>
        <v>1.64</v>
      </c>
      <c r="E56" s="314"/>
      <c r="F56" s="314"/>
      <c r="G56" s="314"/>
      <c r="H56" s="314"/>
    </row>
    <row r="57" spans="1:9">
      <c r="A57" t="s">
        <v>670</v>
      </c>
      <c r="B57" s="9" t="s">
        <v>671</v>
      </c>
      <c r="C57" s="69">
        <f>0.9*C56</f>
        <v>1.476</v>
      </c>
      <c r="E57" s="314"/>
      <c r="F57" s="314"/>
      <c r="G57" s="314"/>
      <c r="H57" s="314"/>
    </row>
    <row r="58" spans="1:9">
      <c r="B58" s="9"/>
      <c r="C58" s="69"/>
      <c r="E58" s="314"/>
      <c r="F58" s="314"/>
      <c r="G58" s="314"/>
      <c r="H58" s="314"/>
    </row>
    <row r="59" spans="1:9">
      <c r="A59" s="320" t="s">
        <v>672</v>
      </c>
      <c r="B59" s="320"/>
      <c r="C59" s="320"/>
      <c r="D59" s="320"/>
      <c r="E59" s="320"/>
      <c r="F59" s="320"/>
      <c r="G59" s="320"/>
      <c r="H59" s="320"/>
    </row>
    <row r="60" spans="1:9">
      <c r="A60" s="7" t="s">
        <v>673</v>
      </c>
      <c r="B60" s="17" t="s">
        <v>212</v>
      </c>
      <c r="C60" s="79">
        <f>0.592*SQRT((2*General!C7)/(Drag!C12*C3*C76))</f>
        <v>91.394094063596299</v>
      </c>
      <c r="D60" s="7" t="s">
        <v>213</v>
      </c>
      <c r="E60" s="319"/>
      <c r="F60" s="319"/>
      <c r="G60" s="319"/>
      <c r="H60" s="319"/>
      <c r="I60" s="58"/>
    </row>
    <row r="61" spans="1:9">
      <c r="A61" s="7"/>
      <c r="B61" s="17" t="s">
        <v>212</v>
      </c>
      <c r="C61" s="79">
        <f>C60*1.68780986</f>
        <v>154.2558531063053</v>
      </c>
      <c r="D61" s="7" t="s">
        <v>183</v>
      </c>
      <c r="E61" s="319"/>
      <c r="F61" s="319"/>
      <c r="G61" s="319"/>
      <c r="H61" s="319"/>
      <c r="I61" s="58"/>
    </row>
    <row r="62" spans="1:9">
      <c r="A62" s="7" t="s">
        <v>674</v>
      </c>
      <c r="B62" s="17" t="s">
        <v>675</v>
      </c>
      <c r="C62" s="82">
        <f>C60/SQRT(1716.46*1.4*Drag!C13)</f>
        <v>8.6442187215656496E-2</v>
      </c>
      <c r="D62" s="7"/>
      <c r="E62" s="319"/>
      <c r="F62" s="319"/>
      <c r="G62" s="319"/>
      <c r="H62" s="319"/>
      <c r="I62" s="58"/>
    </row>
    <row r="63" spans="1:9">
      <c r="A63" t="s">
        <v>676</v>
      </c>
      <c r="B63" s="9" t="s">
        <v>677</v>
      </c>
      <c r="C63" s="69">
        <f>(1/2)*SIN(PI()*(1-C5)^(1.5+0.8*(SIN(PI()*(1-C5)^2))^0.4))</f>
        <v>0.43544053800721427</v>
      </c>
      <c r="E63" s="319"/>
      <c r="F63" s="319"/>
      <c r="G63" s="319"/>
      <c r="H63" s="319"/>
      <c r="I63" s="58"/>
    </row>
    <row r="64" spans="1:9">
      <c r="A64" t="s">
        <v>678</v>
      </c>
      <c r="B64" s="9" t="s">
        <v>679</v>
      </c>
      <c r="C64" s="69">
        <f>4/((C63+1)*COS(C8))</f>
        <v>2.8304887373535239</v>
      </c>
      <c r="E64" s="314"/>
      <c r="F64" s="314"/>
      <c r="G64" s="314"/>
      <c r="H64" s="314"/>
      <c r="I64" s="58"/>
    </row>
    <row r="65" spans="1:9">
      <c r="A65" t="s">
        <v>680</v>
      </c>
      <c r="B65" s="10" t="s">
        <v>681</v>
      </c>
      <c r="C65">
        <f>25*C6</f>
        <v>3.75</v>
      </c>
      <c r="E65" s="314" t="s">
        <v>682</v>
      </c>
      <c r="F65" s="314"/>
      <c r="G65" s="314"/>
      <c r="H65" s="314"/>
      <c r="I65" s="58"/>
    </row>
    <row r="66" spans="1:9">
      <c r="A66" t="s">
        <v>683</v>
      </c>
      <c r="B66" s="9" t="s">
        <v>684</v>
      </c>
      <c r="C66">
        <v>0.86</v>
      </c>
      <c r="E66" s="314" t="s">
        <v>685</v>
      </c>
      <c r="F66" s="314"/>
      <c r="G66" s="314"/>
      <c r="H66" s="314"/>
      <c r="I66" s="58"/>
    </row>
    <row r="67" spans="1:9">
      <c r="A67" t="s">
        <v>686</v>
      </c>
      <c r="B67" s="10" t="s">
        <v>687</v>
      </c>
      <c r="C67">
        <v>0</v>
      </c>
      <c r="E67" s="314" t="s">
        <v>688</v>
      </c>
      <c r="F67" s="314"/>
      <c r="G67" s="314"/>
      <c r="H67" s="314"/>
      <c r="I67" s="58"/>
    </row>
    <row r="68" spans="1:9">
      <c r="A68" t="s">
        <v>689</v>
      </c>
      <c r="B68" s="10" t="s">
        <v>690</v>
      </c>
      <c r="C68">
        <f>(C18/2)*(0.8-0.2)*C15*(2-(1-C5)*(0.8+0.2))</f>
        <v>285.66000000000003</v>
      </c>
      <c r="D68" t="s">
        <v>196</v>
      </c>
      <c r="E68" s="314" t="s">
        <v>691</v>
      </c>
      <c r="F68" s="314"/>
      <c r="G68" s="314"/>
      <c r="H68" s="314"/>
      <c r="I68" s="58"/>
    </row>
    <row r="69" spans="1:9">
      <c r="A69" t="s">
        <v>692</v>
      </c>
      <c r="B69" s="10" t="s">
        <v>693</v>
      </c>
      <c r="C69" s="69">
        <f>0.73</f>
        <v>0.73</v>
      </c>
      <c r="E69" s="314" t="s">
        <v>694</v>
      </c>
      <c r="F69" s="314"/>
      <c r="G69" s="314"/>
      <c r="H69" s="314"/>
      <c r="I69" s="58"/>
    </row>
    <row r="70" spans="1:9">
      <c r="A70" t="s">
        <v>695</v>
      </c>
      <c r="B70" s="10" t="s">
        <v>696</v>
      </c>
      <c r="C70" s="69">
        <f>F33*(C68/C3)*C69</f>
        <v>0.83219999999999994</v>
      </c>
      <c r="E70" s="314" t="s">
        <v>697</v>
      </c>
      <c r="F70" s="314"/>
      <c r="G70" s="314"/>
      <c r="H70" s="314"/>
      <c r="I70" s="58"/>
    </row>
    <row r="71" spans="1:9">
      <c r="A71" s="7" t="s">
        <v>671</v>
      </c>
      <c r="B71" s="17" t="s">
        <v>671</v>
      </c>
      <c r="C71" s="79">
        <f>C66*G29+C67</f>
        <v>1.4103999999999999</v>
      </c>
      <c r="E71" s="314"/>
      <c r="F71" s="314"/>
      <c r="G71" s="314"/>
      <c r="H71" s="314"/>
      <c r="I71" s="58"/>
    </row>
    <row r="72" spans="1:9" ht="14.25" customHeight="1">
      <c r="A72" t="s">
        <v>698</v>
      </c>
      <c r="B72" s="9" t="s">
        <v>699</v>
      </c>
      <c r="C72" s="69">
        <f>((C57-C71)/((C57+C71)/2))*100</f>
        <v>4.5454545454545521</v>
      </c>
      <c r="D72" t="s">
        <v>51</v>
      </c>
      <c r="E72" s="314"/>
      <c r="F72" s="314"/>
      <c r="G72" s="314"/>
      <c r="H72" s="314"/>
      <c r="I72" s="58"/>
    </row>
    <row r="73" spans="1:9">
      <c r="A73" t="s">
        <v>700</v>
      </c>
      <c r="B73" s="10" t="s">
        <v>701</v>
      </c>
      <c r="C73" s="69">
        <f>(0.00057*C7^2)-(0.01497*C7)+2.179</f>
        <v>2.0862999999999996</v>
      </c>
      <c r="E73" s="314" t="s">
        <v>702</v>
      </c>
      <c r="F73" s="314"/>
      <c r="G73" s="314"/>
      <c r="H73" s="314"/>
      <c r="I73" s="58"/>
    </row>
    <row r="74" spans="1:9">
      <c r="A74" s="7" t="s">
        <v>703</v>
      </c>
      <c r="B74" s="80" t="s">
        <v>704</v>
      </c>
      <c r="C74" s="79">
        <f>(C76/C46)+C43+C73</f>
        <v>20.805816915780888</v>
      </c>
      <c r="D74" s="81" t="s">
        <v>55</v>
      </c>
      <c r="E74" s="314" t="s">
        <v>705</v>
      </c>
      <c r="F74" s="314"/>
      <c r="G74" s="314"/>
      <c r="H74" s="314"/>
      <c r="I74" s="58"/>
    </row>
    <row r="75" spans="1:9">
      <c r="A75" s="7" t="s">
        <v>706</v>
      </c>
      <c r="B75" s="17" t="s">
        <v>707</v>
      </c>
      <c r="C75" s="79">
        <f>COS(C10)</f>
        <v>0.99137950702965794</v>
      </c>
      <c r="E75" s="314"/>
      <c r="F75" s="314"/>
      <c r="G75" s="314"/>
      <c r="H75" s="314"/>
      <c r="I75" s="58"/>
    </row>
    <row r="76" spans="1:9">
      <c r="A76" s="7" t="s">
        <v>708</v>
      </c>
      <c r="B76" s="17" t="s">
        <v>208</v>
      </c>
      <c r="C76" s="82">
        <f>(C71+C70)*C75</f>
        <v>2.2232676824647108</v>
      </c>
      <c r="E76" s="314">
        <f>C47+C46*C74</f>
        <v>2.4274271011319408</v>
      </c>
      <c r="F76" s="314"/>
      <c r="G76" s="314"/>
      <c r="H76" s="314"/>
    </row>
    <row r="77" spans="1:9">
      <c r="B77" s="9"/>
      <c r="E77" s="314"/>
      <c r="F77" s="314"/>
      <c r="G77" s="314"/>
      <c r="H77" s="314"/>
    </row>
    <row r="78" spans="1:9">
      <c r="B78" s="9"/>
      <c r="E78" s="314"/>
      <c r="F78" s="314"/>
      <c r="G78" s="314"/>
      <c r="H78" s="314"/>
    </row>
    <row r="79" spans="1:9">
      <c r="A79" s="320" t="s">
        <v>709</v>
      </c>
      <c r="B79" s="320"/>
      <c r="C79" s="320"/>
      <c r="D79" s="320"/>
      <c r="E79" s="320"/>
      <c r="F79" s="320"/>
      <c r="G79" s="320"/>
      <c r="H79" s="320"/>
    </row>
    <row r="80" spans="1:9">
      <c r="A80" t="s">
        <v>710</v>
      </c>
      <c r="B80" s="9" t="s">
        <v>711</v>
      </c>
      <c r="C80">
        <f>1*C18</f>
        <v>69</v>
      </c>
      <c r="E80" s="314" t="s">
        <v>712</v>
      </c>
      <c r="F80" s="314"/>
      <c r="G80" s="314"/>
      <c r="H80" s="314"/>
    </row>
    <row r="81" spans="1:11">
      <c r="A81" t="s">
        <v>713</v>
      </c>
      <c r="B81" s="9" t="s">
        <v>714</v>
      </c>
      <c r="C81" s="69">
        <f>C18+((C17*C6)/2)</f>
        <v>69.552318840579716</v>
      </c>
      <c r="E81" s="314" t="s">
        <v>715</v>
      </c>
      <c r="F81" s="314"/>
      <c r="G81" s="314"/>
      <c r="H81" s="314"/>
    </row>
    <row r="82" spans="1:11">
      <c r="A82" s="155" t="s">
        <v>716</v>
      </c>
      <c r="B82" s="10" t="s">
        <v>717</v>
      </c>
      <c r="C82" s="69">
        <f>1+((0.269*C41^1.45)/((C4^3.18)*((60/C18)^1.12)))</f>
        <v>1.0000354953938364</v>
      </c>
      <c r="E82" s="314" t="s">
        <v>718</v>
      </c>
      <c r="F82" s="314"/>
      <c r="G82" s="314"/>
      <c r="H82" s="314"/>
    </row>
    <row r="83" spans="1:11">
      <c r="A83" s="155" t="s">
        <v>716</v>
      </c>
      <c r="B83" s="10" t="s">
        <v>719</v>
      </c>
      <c r="C83" s="99">
        <f>1-2.25*((C5^0.00273)-0.997)*((C4^0.717)+13.6)</f>
        <v>0.98467846011711768</v>
      </c>
      <c r="E83" s="314" t="s">
        <v>718</v>
      </c>
      <c r="F83" s="314"/>
      <c r="G83" s="314"/>
      <c r="H83" s="314"/>
    </row>
    <row r="84" spans="1:11">
      <c r="A84" t="s">
        <v>720</v>
      </c>
      <c r="B84" s="10" t="s">
        <v>721</v>
      </c>
      <c r="C84" s="99">
        <f>(1/C82)*(1+C83*((288*(C81/C18)^0.787)/(C4^0.882))*EXP(-9.14*(C81/C18)^0.327))</f>
        <v>1.0038871845018604</v>
      </c>
      <c r="E84" s="314" t="s">
        <v>722</v>
      </c>
      <c r="F84" s="314"/>
      <c r="G84" s="314"/>
      <c r="H84" s="314"/>
    </row>
    <row r="85" spans="1:11">
      <c r="A85" s="7" t="s">
        <v>723</v>
      </c>
      <c r="B85" s="80" t="s">
        <v>724</v>
      </c>
      <c r="C85" s="82">
        <f>F33/40</f>
        <v>4.7500000000000001E-2</v>
      </c>
      <c r="D85" s="7" t="s">
        <v>645</v>
      </c>
      <c r="E85" s="314" t="s">
        <v>725</v>
      </c>
      <c r="F85" s="314"/>
      <c r="G85" s="314"/>
      <c r="H85" s="314"/>
    </row>
    <row r="86" spans="1:11">
      <c r="A86" s="7"/>
      <c r="B86" s="80"/>
      <c r="C86" s="82">
        <f>C85*(180/PI())</f>
        <v>2.7215495268714105</v>
      </c>
      <c r="D86" s="7" t="s">
        <v>644</v>
      </c>
      <c r="E86" s="319"/>
      <c r="F86" s="319"/>
      <c r="G86" s="319"/>
      <c r="H86" s="319"/>
    </row>
    <row r="87" spans="1:11">
      <c r="A87" s="155"/>
      <c r="B87" s="9"/>
      <c r="E87" s="319"/>
      <c r="F87" s="319"/>
      <c r="G87" s="319"/>
      <c r="H87" s="319"/>
    </row>
    <row r="88" spans="1:11">
      <c r="B88" s="9"/>
      <c r="E88" s="314"/>
      <c r="F88" s="314"/>
      <c r="G88" s="314"/>
      <c r="H88" s="314"/>
    </row>
    <row r="89" spans="1:11">
      <c r="A89" s="309" t="s">
        <v>726</v>
      </c>
      <c r="B89" s="309"/>
      <c r="C89" s="309"/>
      <c r="D89" s="309"/>
      <c r="E89" s="309"/>
      <c r="F89" s="309"/>
      <c r="G89" s="309"/>
      <c r="H89" s="309"/>
      <c r="I89" s="309"/>
      <c r="J89" s="309"/>
      <c r="K89" s="309"/>
    </row>
    <row r="90" spans="1:11">
      <c r="A90" s="7" t="s">
        <v>7</v>
      </c>
      <c r="B90" s="7" t="s">
        <v>8</v>
      </c>
      <c r="C90" s="7" t="s">
        <v>9</v>
      </c>
      <c r="D90" s="7" t="s">
        <v>10</v>
      </c>
      <c r="E90" s="312" t="s">
        <v>11</v>
      </c>
      <c r="F90" s="312"/>
      <c r="G90" s="312"/>
      <c r="H90" s="312"/>
      <c r="I90" s="312"/>
      <c r="J90" s="312"/>
      <c r="K90" s="312"/>
    </row>
    <row r="91" spans="1:11" ht="18">
      <c r="A91" t="s">
        <v>86</v>
      </c>
      <c r="B91" s="9" t="s">
        <v>87</v>
      </c>
      <c r="C91" s="47">
        <f>General!C47</f>
        <v>108.18733752154175</v>
      </c>
      <c r="D91" t="s">
        <v>39</v>
      </c>
      <c r="E91" s="314" t="s">
        <v>88</v>
      </c>
      <c r="F91" s="314"/>
      <c r="G91" s="314"/>
      <c r="H91" s="314"/>
      <c r="I91" s="314"/>
      <c r="J91" s="314"/>
      <c r="K91" s="314"/>
    </row>
    <row r="92" spans="1:11" ht="17.100000000000001">
      <c r="A92" t="s">
        <v>89</v>
      </c>
      <c r="B92" s="9" t="s">
        <v>90</v>
      </c>
      <c r="C92" s="47">
        <f>Geometry!C30</f>
        <v>4.1594516540385147</v>
      </c>
      <c r="E92" s="319"/>
      <c r="F92" s="319"/>
      <c r="G92" s="319"/>
      <c r="H92" s="319"/>
      <c r="I92" s="319"/>
      <c r="J92" s="319"/>
      <c r="K92" s="319"/>
    </row>
    <row r="93" spans="1:11">
      <c r="A93" t="s">
        <v>91</v>
      </c>
      <c r="B93" s="10" t="s">
        <v>92</v>
      </c>
      <c r="C93" s="47">
        <f>Geometry!C31</f>
        <v>0.72881355932203384</v>
      </c>
      <c r="E93" s="319"/>
      <c r="F93" s="319"/>
      <c r="G93" s="319"/>
      <c r="H93" s="319"/>
      <c r="I93" s="319"/>
      <c r="J93" s="319"/>
      <c r="K93" s="319"/>
    </row>
    <row r="94" spans="1:11">
      <c r="A94" t="s">
        <v>49</v>
      </c>
      <c r="B94" s="9" t="s">
        <v>50</v>
      </c>
      <c r="C94" s="47">
        <v>9</v>
      </c>
      <c r="D94" t="s">
        <v>51</v>
      </c>
      <c r="E94" s="314" t="s">
        <v>93</v>
      </c>
      <c r="F94" s="314"/>
      <c r="G94" s="314"/>
      <c r="H94" s="314"/>
      <c r="I94" s="314"/>
      <c r="J94" s="314"/>
      <c r="K94" s="314"/>
    </row>
    <row r="95" spans="1:11">
      <c r="A95" t="s">
        <v>94</v>
      </c>
      <c r="B95" s="10" t="s">
        <v>95</v>
      </c>
      <c r="C95" s="47">
        <f>General!C51</f>
        <v>30</v>
      </c>
      <c r="D95" s="11" t="s">
        <v>55</v>
      </c>
      <c r="E95" s="319"/>
      <c r="F95" s="319"/>
      <c r="G95" s="319"/>
      <c r="H95" s="319"/>
      <c r="I95" s="319"/>
      <c r="J95" s="319"/>
      <c r="K95" s="319"/>
    </row>
    <row r="96" spans="1:11">
      <c r="B96" s="10" t="s">
        <v>95</v>
      </c>
      <c r="C96" s="47">
        <f>RADIANS(C95)</f>
        <v>0.52359877559829882</v>
      </c>
      <c r="D96" s="11" t="s">
        <v>56</v>
      </c>
      <c r="E96" s="319"/>
      <c r="F96" s="319"/>
      <c r="G96" s="319"/>
      <c r="H96" s="319"/>
      <c r="I96" s="319"/>
      <c r="J96" s="319"/>
      <c r="K96" s="319"/>
    </row>
    <row r="97" spans="1:11">
      <c r="A97" t="s">
        <v>727</v>
      </c>
      <c r="B97" s="10" t="s">
        <v>728</v>
      </c>
      <c r="C97" s="47">
        <f>TAN(C96)+(C102/(2*C104))*(C93-1)</f>
        <v>0.53963790752634311</v>
      </c>
      <c r="D97" s="11" t="s">
        <v>56</v>
      </c>
      <c r="E97" s="319"/>
      <c r="F97" s="319"/>
      <c r="G97" s="319"/>
      <c r="H97" s="319"/>
      <c r="I97" s="319"/>
      <c r="J97" s="319"/>
      <c r="K97" s="319"/>
    </row>
    <row r="98" spans="1:11">
      <c r="B98" s="10" t="s">
        <v>728</v>
      </c>
      <c r="C98" s="47">
        <f>DEGREES(C97)</f>
        <v>30.918974566530462</v>
      </c>
      <c r="D98" s="11" t="s">
        <v>55</v>
      </c>
      <c r="E98" s="319"/>
      <c r="F98" s="319"/>
      <c r="G98" s="319"/>
      <c r="H98" s="319"/>
      <c r="I98" s="319"/>
      <c r="J98" s="319"/>
      <c r="K98" s="319"/>
    </row>
    <row r="99" spans="1:11">
      <c r="A99" t="s">
        <v>729</v>
      </c>
      <c r="B99" s="10" t="s">
        <v>730</v>
      </c>
      <c r="C99" s="47">
        <f>TAN(C97)-(4/C92)*((0.5-0.25)*((1-C93)/(1+C93)))</f>
        <v>0.56122517023861407</v>
      </c>
      <c r="D99" s="11" t="s">
        <v>731</v>
      </c>
      <c r="E99" s="319"/>
      <c r="F99" s="319"/>
      <c r="G99" s="319"/>
      <c r="H99" s="319"/>
      <c r="I99" s="319"/>
      <c r="J99" s="319"/>
      <c r="K99" s="319"/>
    </row>
    <row r="100" spans="1:11">
      <c r="B100" s="10" t="s">
        <v>730</v>
      </c>
      <c r="C100" s="47">
        <f>DEGREES(C99)</f>
        <v>32.155833611183724</v>
      </c>
      <c r="D100" s="11" t="s">
        <v>55</v>
      </c>
      <c r="E100" s="319"/>
      <c r="F100" s="319"/>
      <c r="G100" s="319"/>
      <c r="H100" s="319"/>
      <c r="I100" s="319"/>
      <c r="J100" s="319"/>
      <c r="K100" s="319"/>
    </row>
    <row r="101" spans="1:11" ht="17.100000000000001">
      <c r="A101" t="s">
        <v>97</v>
      </c>
      <c r="B101" s="9" t="s">
        <v>98</v>
      </c>
      <c r="C101" s="47">
        <f>General!C53</f>
        <v>5.0999999999999996</v>
      </c>
      <c r="D101" t="s">
        <v>66</v>
      </c>
      <c r="E101" s="319"/>
      <c r="F101" s="319"/>
      <c r="G101" s="319"/>
      <c r="H101" s="319"/>
      <c r="I101" s="319"/>
      <c r="J101" s="319"/>
      <c r="K101" s="319"/>
    </row>
    <row r="102" spans="1:11" ht="17.100000000000001">
      <c r="A102" t="s">
        <v>99</v>
      </c>
      <c r="B102" s="9" t="s">
        <v>100</v>
      </c>
      <c r="C102" s="47">
        <f>General!C54</f>
        <v>5.9</v>
      </c>
      <c r="D102" t="s">
        <v>66</v>
      </c>
      <c r="E102" s="319"/>
      <c r="F102" s="319"/>
      <c r="G102" s="319"/>
      <c r="H102" s="319"/>
      <c r="I102" s="319"/>
      <c r="J102" s="319"/>
      <c r="K102" s="319"/>
    </row>
    <row r="103" spans="1:11" ht="17.100000000000001">
      <c r="A103" t="s">
        <v>101</v>
      </c>
      <c r="B103" s="9" t="s">
        <v>102</v>
      </c>
      <c r="C103" s="47">
        <f>General!C55</f>
        <v>4.3</v>
      </c>
      <c r="D103" t="s">
        <v>66</v>
      </c>
      <c r="E103" s="319"/>
      <c r="F103" s="319"/>
      <c r="G103" s="319"/>
      <c r="H103" s="319"/>
      <c r="I103" s="319"/>
      <c r="J103" s="319"/>
      <c r="K103" s="319"/>
    </row>
    <row r="104" spans="1:11" ht="17.100000000000001">
      <c r="A104" t="s">
        <v>103</v>
      </c>
      <c r="B104" s="9" t="s">
        <v>104</v>
      </c>
      <c r="C104" s="47">
        <f>General!C56</f>
        <v>21.213203435596423</v>
      </c>
      <c r="D104" t="s">
        <v>66</v>
      </c>
      <c r="E104" s="319"/>
      <c r="F104" s="319"/>
      <c r="G104" s="319"/>
      <c r="H104" s="319"/>
      <c r="I104" s="319"/>
      <c r="J104" s="319"/>
      <c r="K104" s="319"/>
    </row>
    <row r="105" spans="1:11">
      <c r="A105" s="57" t="s">
        <v>79</v>
      </c>
      <c r="B105" s="9" t="s">
        <v>105</v>
      </c>
      <c r="C105" s="47">
        <f>General!C57</f>
        <v>2.9017648096696131</v>
      </c>
      <c r="D105" t="s">
        <v>66</v>
      </c>
      <c r="E105" s="319"/>
      <c r="F105" s="319"/>
      <c r="G105" s="319"/>
      <c r="H105" s="319"/>
      <c r="I105" s="319"/>
      <c r="J105" s="319"/>
      <c r="K105" s="319"/>
    </row>
    <row r="106" spans="1:11">
      <c r="A106" s="57" t="s">
        <v>81</v>
      </c>
      <c r="B106" s="9" t="s">
        <v>106</v>
      </c>
      <c r="C106" s="47">
        <f>General!C58</f>
        <v>5.0260040819632046</v>
      </c>
      <c r="D106" t="s">
        <v>66</v>
      </c>
      <c r="E106" s="319"/>
      <c r="F106" s="319"/>
      <c r="G106" s="319"/>
      <c r="H106" s="319"/>
      <c r="I106" s="319"/>
      <c r="J106" s="319"/>
      <c r="K106" s="319"/>
    </row>
    <row r="107" spans="1:11">
      <c r="A107" t="s">
        <v>732</v>
      </c>
      <c r="B107" s="9" t="s">
        <v>733</v>
      </c>
      <c r="C107" s="47">
        <v>0.9</v>
      </c>
      <c r="E107" s="314" t="s">
        <v>734</v>
      </c>
      <c r="F107" s="314"/>
      <c r="G107" s="314"/>
      <c r="H107" s="314"/>
      <c r="I107" s="314"/>
      <c r="J107" s="314"/>
      <c r="K107" s="314"/>
    </row>
    <row r="108" spans="1:11">
      <c r="A108" t="s">
        <v>735</v>
      </c>
      <c r="B108" s="9" t="s">
        <v>736</v>
      </c>
      <c r="C108" s="47">
        <f>'Stability and Control'!C115</f>
        <v>26.294555439619344</v>
      </c>
      <c r="E108" s="319"/>
      <c r="F108" s="319"/>
      <c r="G108" s="319"/>
      <c r="H108" s="319"/>
      <c r="I108" s="319"/>
      <c r="J108" s="319"/>
      <c r="K108" s="319"/>
    </row>
    <row r="109" spans="1:11">
      <c r="A109" t="s">
        <v>610</v>
      </c>
      <c r="B109" s="10" t="s">
        <v>611</v>
      </c>
      <c r="C109" s="47">
        <f>D125/(2*PI())</f>
        <v>1.6074649252281432E-2</v>
      </c>
      <c r="E109" s="319"/>
      <c r="F109" s="319"/>
      <c r="G109" s="319"/>
      <c r="H109" s="319"/>
      <c r="I109" s="319"/>
      <c r="J109" s="319"/>
      <c r="K109" s="319"/>
    </row>
    <row r="110" spans="1:11">
      <c r="E110" s="319"/>
      <c r="F110" s="319"/>
      <c r="G110" s="319"/>
      <c r="H110" s="319"/>
      <c r="I110" s="319"/>
      <c r="J110" s="319"/>
      <c r="K110" s="319"/>
    </row>
    <row r="111" spans="1:11" ht="17.100000000000001">
      <c r="A111" t="s">
        <v>108</v>
      </c>
      <c r="B111" s="9" t="s">
        <v>109</v>
      </c>
      <c r="C111" s="47">
        <f>General!C62</f>
        <v>54.093668760770875</v>
      </c>
      <c r="D111" t="s">
        <v>196</v>
      </c>
      <c r="E111" s="319"/>
      <c r="F111" s="319"/>
      <c r="G111" s="319"/>
      <c r="H111" s="319"/>
      <c r="I111" s="319"/>
      <c r="J111" s="319"/>
      <c r="K111" s="319"/>
    </row>
    <row r="112" spans="1:11" ht="17.100000000000001">
      <c r="A112" t="s">
        <v>111</v>
      </c>
      <c r="B112" s="9" t="s">
        <v>112</v>
      </c>
      <c r="C112" s="47">
        <f>C92</f>
        <v>4.1594516540385147</v>
      </c>
      <c r="E112" s="319"/>
      <c r="F112" s="319"/>
      <c r="G112" s="319"/>
      <c r="H112" s="319"/>
      <c r="I112" s="319"/>
      <c r="J112" s="319"/>
      <c r="K112" s="319"/>
    </row>
    <row r="113" spans="1:11">
      <c r="A113" t="s">
        <v>113</v>
      </c>
      <c r="B113" s="10" t="s">
        <v>114</v>
      </c>
      <c r="C113" s="47">
        <f>C93</f>
        <v>0.72881355932203384</v>
      </c>
      <c r="D113" t="s">
        <v>51</v>
      </c>
      <c r="E113" s="319"/>
      <c r="F113" s="319"/>
      <c r="G113" s="319"/>
      <c r="H113" s="319"/>
      <c r="I113" s="319"/>
      <c r="J113" s="319"/>
      <c r="K113" s="319"/>
    </row>
    <row r="114" spans="1:11">
      <c r="A114" t="s">
        <v>115</v>
      </c>
      <c r="B114" s="9" t="s">
        <v>50</v>
      </c>
      <c r="C114" s="76">
        <f>C94</f>
        <v>9</v>
      </c>
      <c r="D114" s="11" t="s">
        <v>51</v>
      </c>
      <c r="E114" s="319"/>
      <c r="F114" s="319"/>
      <c r="G114" s="319"/>
      <c r="H114" s="319"/>
      <c r="I114" s="319"/>
      <c r="J114" s="319"/>
      <c r="K114" s="319"/>
    </row>
    <row r="115" spans="1:11">
      <c r="A115" t="s">
        <v>116</v>
      </c>
      <c r="B115" s="10" t="s">
        <v>117</v>
      </c>
      <c r="C115" s="6">
        <f>Lift!C48^2/(PI()*Lift!C23*General!C24)</f>
        <v>2.1221123471253283E-3</v>
      </c>
      <c r="D115" s="11" t="s">
        <v>55</v>
      </c>
      <c r="E115" s="319"/>
      <c r="F115" s="319"/>
      <c r="G115" s="319"/>
      <c r="H115" s="319"/>
      <c r="I115" s="319"/>
      <c r="J115" s="319"/>
      <c r="K115" s="319"/>
    </row>
    <row r="116" spans="1:11" ht="17.100000000000001">
      <c r="A116" t="s">
        <v>64</v>
      </c>
      <c r="B116" s="9" t="s">
        <v>98</v>
      </c>
      <c r="C116" s="6">
        <f t="shared" ref="C116:C118" si="0">C101</f>
        <v>5.0999999999999996</v>
      </c>
      <c r="D116" t="s">
        <v>66</v>
      </c>
      <c r="E116" s="319"/>
      <c r="F116" s="319"/>
      <c r="G116" s="319"/>
      <c r="H116" s="319"/>
      <c r="I116" s="319"/>
      <c r="J116" s="319"/>
      <c r="K116" s="319"/>
    </row>
    <row r="117" spans="1:11" ht="17.100000000000001">
      <c r="A117" t="s">
        <v>118</v>
      </c>
      <c r="B117" s="9" t="s">
        <v>119</v>
      </c>
      <c r="C117" s="6">
        <f t="shared" si="0"/>
        <v>5.9</v>
      </c>
      <c r="D117" t="s">
        <v>66</v>
      </c>
      <c r="E117" s="319"/>
      <c r="F117" s="319"/>
      <c r="G117" s="319"/>
      <c r="H117" s="319"/>
      <c r="I117" s="319"/>
      <c r="J117" s="319"/>
      <c r="K117" s="319"/>
    </row>
    <row r="118" spans="1:11" ht="17.100000000000001">
      <c r="A118" t="s">
        <v>120</v>
      </c>
      <c r="B118" s="9" t="s">
        <v>121</v>
      </c>
      <c r="C118" s="6">
        <f t="shared" si="0"/>
        <v>4.3</v>
      </c>
      <c r="D118" t="s">
        <v>66</v>
      </c>
      <c r="E118" s="319"/>
      <c r="F118" s="319"/>
      <c r="G118" s="319"/>
      <c r="H118" s="319"/>
      <c r="I118" s="319"/>
      <c r="J118" s="319"/>
      <c r="K118" s="319"/>
    </row>
    <row r="119" spans="1:11" ht="17.100000000000001">
      <c r="A119" t="s">
        <v>122</v>
      </c>
      <c r="B119" s="9" t="s">
        <v>123</v>
      </c>
      <c r="C119" s="47">
        <f>General!C70</f>
        <v>10.606601717798211</v>
      </c>
      <c r="D119" t="s">
        <v>66</v>
      </c>
      <c r="E119" s="314"/>
      <c r="F119" s="314"/>
      <c r="G119" s="314"/>
      <c r="H119" s="314"/>
      <c r="I119" s="314"/>
      <c r="J119" s="314"/>
      <c r="K119" s="314"/>
    </row>
    <row r="120" spans="1:11">
      <c r="A120" t="s">
        <v>737</v>
      </c>
      <c r="B120" s="9" t="s">
        <v>738</v>
      </c>
      <c r="C120" s="5">
        <v>0.08</v>
      </c>
      <c r="E120" s="314" t="s">
        <v>734</v>
      </c>
      <c r="F120" s="314"/>
      <c r="G120" s="314"/>
      <c r="H120" s="314"/>
      <c r="I120" s="314"/>
      <c r="J120" s="314"/>
      <c r="K120" s="314"/>
    </row>
    <row r="121" spans="1:11">
      <c r="A121" t="s">
        <v>739</v>
      </c>
      <c r="B121" s="9" t="s">
        <v>740</v>
      </c>
      <c r="C121" s="5"/>
      <c r="E121" s="319"/>
      <c r="F121" s="319"/>
      <c r="G121" s="319"/>
      <c r="H121" s="319"/>
      <c r="I121" s="319"/>
      <c r="J121" s="319"/>
      <c r="K121" s="319"/>
    </row>
    <row r="122" spans="1:11">
      <c r="B122" s="9"/>
      <c r="E122" s="319"/>
      <c r="F122" s="319"/>
      <c r="G122" s="319"/>
      <c r="H122" s="319"/>
      <c r="I122" s="319"/>
      <c r="J122" s="319"/>
      <c r="K122" s="319"/>
    </row>
    <row r="123" spans="1:11">
      <c r="D123" s="214"/>
      <c r="E123" s="319"/>
      <c r="F123" s="319"/>
      <c r="G123" s="319"/>
      <c r="H123" s="319"/>
      <c r="I123" s="319"/>
      <c r="J123" s="319"/>
      <c r="K123" s="319"/>
    </row>
    <row r="124" spans="1:11" ht="17.100000000000001">
      <c r="A124" s="71" t="s">
        <v>741</v>
      </c>
      <c r="B124" s="70" t="s">
        <v>618</v>
      </c>
      <c r="C124" s="70" t="s">
        <v>619</v>
      </c>
      <c r="D124" s="215" t="s">
        <v>620</v>
      </c>
      <c r="E124" s="215" t="s">
        <v>621</v>
      </c>
      <c r="F124" s="215" t="s">
        <v>622</v>
      </c>
      <c r="G124" s="215" t="s">
        <v>742</v>
      </c>
      <c r="H124" s="215" t="s">
        <v>624</v>
      </c>
      <c r="I124" s="216" t="s">
        <v>169</v>
      </c>
    </row>
    <row r="125" spans="1:11">
      <c r="A125" s="68" t="s">
        <v>743</v>
      </c>
      <c r="B125" s="49">
        <v>0</v>
      </c>
      <c r="C125" s="51">
        <v>-3.0000000000000001E-3</v>
      </c>
      <c r="D125" s="51">
        <v>0.10100000000000001</v>
      </c>
      <c r="E125" s="51">
        <v>0.25</v>
      </c>
      <c r="F125" s="49">
        <v>14</v>
      </c>
      <c r="G125" s="50">
        <v>1.33</v>
      </c>
      <c r="H125" s="49"/>
      <c r="I125" s="95">
        <v>0</v>
      </c>
    </row>
    <row r="126" spans="1:11">
      <c r="A126" s="60"/>
      <c r="B126" s="98"/>
      <c r="C126" s="99"/>
      <c r="D126" s="99"/>
      <c r="E126" s="99"/>
      <c r="F126" s="98"/>
      <c r="G126" s="69"/>
      <c r="H126" s="98"/>
    </row>
    <row r="127" spans="1:11" ht="17.100000000000001">
      <c r="A127" s="167" t="s">
        <v>744</v>
      </c>
      <c r="B127" s="165" t="s">
        <v>745</v>
      </c>
      <c r="C127" s="161" t="s">
        <v>704</v>
      </c>
      <c r="D127" s="217" t="s">
        <v>628</v>
      </c>
      <c r="E127" s="161" t="s">
        <v>629</v>
      </c>
      <c r="F127" s="156" t="s">
        <v>630</v>
      </c>
      <c r="G127" s="161" t="s">
        <v>631</v>
      </c>
      <c r="H127" s="161" t="s">
        <v>623</v>
      </c>
      <c r="I127" s="161" t="s">
        <v>624</v>
      </c>
      <c r="J127" s="161" t="s">
        <v>632</v>
      </c>
      <c r="K127" s="161" t="s">
        <v>625</v>
      </c>
    </row>
    <row r="128" spans="1:11">
      <c r="A128" s="68" t="s">
        <v>746</v>
      </c>
      <c r="B128" s="166" t="s">
        <v>747</v>
      </c>
      <c r="C128" s="157">
        <v>12.4</v>
      </c>
      <c r="D128" s="162">
        <v>45</v>
      </c>
      <c r="E128" s="158">
        <v>0.79400000000000004</v>
      </c>
      <c r="F128" s="159">
        <v>-1.87</v>
      </c>
      <c r="G128" s="158">
        <v>0.66400000000000003</v>
      </c>
      <c r="H128" s="159">
        <v>1.9139999999999999</v>
      </c>
      <c r="I128" s="163" t="s">
        <v>634</v>
      </c>
      <c r="J128" s="164" t="s">
        <v>634</v>
      </c>
      <c r="K128" s="160">
        <v>1.19</v>
      </c>
    </row>
    <row r="129" spans="1:11">
      <c r="D129" s="143"/>
      <c r="E129" s="143"/>
      <c r="F129" s="143"/>
      <c r="G129" s="143"/>
      <c r="H129" s="143"/>
      <c r="I129" s="143"/>
      <c r="J129" s="143"/>
      <c r="K129" s="143"/>
    </row>
    <row r="130" spans="1:11">
      <c r="A130" s="310" t="s">
        <v>748</v>
      </c>
      <c r="B130" s="310"/>
      <c r="C130" s="310"/>
      <c r="D130" s="310"/>
      <c r="E130" s="310"/>
      <c r="F130" s="310"/>
      <c r="G130" s="310"/>
      <c r="H130" s="310"/>
      <c r="I130" s="310"/>
      <c r="J130" s="310"/>
      <c r="K130" s="310"/>
    </row>
    <row r="131" spans="1:11">
      <c r="A131" s="7" t="s">
        <v>7</v>
      </c>
      <c r="B131" s="22" t="s">
        <v>8</v>
      </c>
      <c r="C131" s="8" t="s">
        <v>9</v>
      </c>
      <c r="D131" s="23" t="s">
        <v>10</v>
      </c>
      <c r="E131" s="333" t="s">
        <v>11</v>
      </c>
      <c r="F131" s="333"/>
      <c r="G131" s="333"/>
      <c r="H131" s="333"/>
      <c r="I131" s="333"/>
      <c r="J131" s="333"/>
      <c r="K131" s="333"/>
    </row>
    <row r="132" spans="1:11">
      <c r="A132" s="11" t="s">
        <v>749</v>
      </c>
      <c r="B132" s="146" t="s">
        <v>750</v>
      </c>
      <c r="C132">
        <f>-I125/D125</f>
        <v>0</v>
      </c>
      <c r="D132" s="11" t="s">
        <v>55</v>
      </c>
      <c r="E132" s="319"/>
      <c r="F132" s="319"/>
      <c r="G132" s="319"/>
      <c r="H132" s="319"/>
      <c r="I132" s="319"/>
      <c r="J132" s="319"/>
      <c r="K132" s="319"/>
    </row>
    <row r="133" spans="1:11">
      <c r="A133" s="11" t="s">
        <v>751</v>
      </c>
      <c r="B133" s="146" t="s">
        <v>752</v>
      </c>
      <c r="C133" s="69">
        <f>I125+(D125*C37)</f>
        <v>-0.1721933096305564</v>
      </c>
      <c r="D133" s="11"/>
      <c r="E133" s="319"/>
      <c r="F133" s="319"/>
      <c r="G133" s="319"/>
      <c r="H133" s="319"/>
      <c r="I133" s="319"/>
      <c r="J133" s="319"/>
      <c r="K133" s="319"/>
    </row>
    <row r="134" spans="1:11">
      <c r="A134" t="s">
        <v>655</v>
      </c>
      <c r="B134" s="9" t="s">
        <v>656</v>
      </c>
      <c r="C134">
        <f>ABS(C132)</f>
        <v>0</v>
      </c>
      <c r="E134" s="319"/>
      <c r="F134" s="319"/>
      <c r="G134" s="319"/>
      <c r="H134" s="319"/>
      <c r="I134" s="319"/>
      <c r="J134" s="319"/>
      <c r="K134" s="319"/>
    </row>
    <row r="135" spans="1:11">
      <c r="A135" t="s">
        <v>642</v>
      </c>
      <c r="B135" s="9" t="s">
        <v>753</v>
      </c>
      <c r="C135" s="99">
        <f>D125</f>
        <v>0.10100000000000001</v>
      </c>
      <c r="D135" t="s">
        <v>645</v>
      </c>
      <c r="E135" s="319"/>
      <c r="F135" s="319"/>
      <c r="G135" s="319"/>
      <c r="H135" s="319"/>
      <c r="I135" s="319"/>
      <c r="J135" s="319"/>
      <c r="K135" s="319"/>
    </row>
    <row r="136" spans="1:11">
      <c r="B136" s="9" t="s">
        <v>753</v>
      </c>
      <c r="C136" s="99">
        <f>C135*(180/PI())</f>
        <v>5.7868737308213154</v>
      </c>
      <c r="D136" t="s">
        <v>644</v>
      </c>
      <c r="E136" s="319"/>
      <c r="F136" s="319"/>
      <c r="G136" s="319"/>
      <c r="H136" s="319"/>
      <c r="I136" s="319"/>
      <c r="J136" s="319"/>
      <c r="K136" s="319"/>
    </row>
    <row r="137" spans="1:11">
      <c r="A137" s="7" t="s">
        <v>754</v>
      </c>
      <c r="B137" s="17" t="s">
        <v>755</v>
      </c>
      <c r="C137" s="82">
        <f>C134+C138*C37</f>
        <v>-0.1599647682284342</v>
      </c>
      <c r="E137" s="319"/>
      <c r="F137" s="319"/>
      <c r="G137" s="319"/>
      <c r="H137" s="319"/>
      <c r="I137" s="319"/>
      <c r="J137" s="319"/>
      <c r="K137" s="319"/>
    </row>
    <row r="138" spans="1:11">
      <c r="A138" s="7" t="s">
        <v>756</v>
      </c>
      <c r="B138" s="17" t="s">
        <v>757</v>
      </c>
      <c r="C138" s="79">
        <f>(2*PI()*C92)/(2+SQRT((((C92*C21)/C109)^2)*(1+((TAN(C99)^2)/C21^2))+4))</f>
        <v>9.3827348029582383E-2</v>
      </c>
      <c r="D138" s="7" t="s">
        <v>645</v>
      </c>
      <c r="E138" s="319"/>
      <c r="F138" s="319"/>
      <c r="G138" s="319"/>
      <c r="H138" s="319"/>
      <c r="I138" s="319"/>
      <c r="J138" s="319"/>
      <c r="K138" s="319"/>
    </row>
    <row r="139" spans="1:11">
      <c r="A139" s="7"/>
      <c r="B139" s="17"/>
      <c r="C139" s="79">
        <f>C138*(180/PI())</f>
        <v>5.3759110450001915</v>
      </c>
      <c r="D139" s="7" t="s">
        <v>644</v>
      </c>
      <c r="E139" s="319"/>
      <c r="F139" s="319"/>
      <c r="G139" s="319"/>
      <c r="H139" s="319"/>
      <c r="I139" s="319"/>
      <c r="J139" s="319"/>
      <c r="K139" s="319"/>
    </row>
    <row r="140" spans="1:11">
      <c r="A140" s="7" t="s">
        <v>758</v>
      </c>
      <c r="B140" s="17" t="s">
        <v>759</v>
      </c>
      <c r="C140" s="82">
        <f>C134+C138*C37</f>
        <v>-0.1599647682284342</v>
      </c>
      <c r="D140" s="7"/>
      <c r="E140" s="319"/>
      <c r="F140" s="319"/>
      <c r="G140" s="319"/>
      <c r="H140" s="319"/>
      <c r="I140" s="319"/>
      <c r="J140" s="319"/>
      <c r="K140" s="319"/>
    </row>
    <row r="141" spans="1:11">
      <c r="A141" s="7" t="s">
        <v>760</v>
      </c>
      <c r="B141" s="10" t="s">
        <v>761</v>
      </c>
      <c r="C141">
        <v>1</v>
      </c>
      <c r="E141" s="314" t="s">
        <v>762</v>
      </c>
      <c r="F141" s="314"/>
      <c r="G141" s="314"/>
      <c r="H141" s="314"/>
      <c r="I141" s="314"/>
      <c r="J141" s="314"/>
      <c r="K141" s="314"/>
    </row>
    <row r="142" spans="1:11">
      <c r="A142" t="s">
        <v>763</v>
      </c>
      <c r="B142" s="9" t="s">
        <v>764</v>
      </c>
      <c r="C142">
        <v>0.3</v>
      </c>
      <c r="E142" s="314" t="s">
        <v>765</v>
      </c>
      <c r="F142" s="314"/>
      <c r="G142" s="314"/>
      <c r="H142" s="314"/>
      <c r="I142" s="314"/>
      <c r="J142" s="314"/>
      <c r="K142" s="314"/>
    </row>
    <row r="143" spans="1:11">
      <c r="A143" t="s">
        <v>766</v>
      </c>
      <c r="B143" s="146" t="s">
        <v>767</v>
      </c>
      <c r="C143">
        <v>0.5</v>
      </c>
      <c r="E143" s="319"/>
      <c r="F143" s="319"/>
      <c r="G143" s="319"/>
      <c r="H143" s="319"/>
      <c r="I143" s="319"/>
      <c r="J143" s="319"/>
      <c r="K143" s="319"/>
    </row>
    <row r="144" spans="1:11">
      <c r="A144" s="7" t="s">
        <v>768</v>
      </c>
      <c r="B144" s="17" t="s">
        <v>769</v>
      </c>
      <c r="C144" s="144">
        <f>C138*C141*(C91/C3)*C143</f>
        <v>1.0660503014101654E-2</v>
      </c>
      <c r="D144" s="7" t="s">
        <v>645</v>
      </c>
      <c r="E144" s="319"/>
      <c r="F144" s="319"/>
      <c r="G144" s="319"/>
      <c r="H144" s="319"/>
      <c r="I144" s="319"/>
      <c r="J144" s="319"/>
      <c r="K144" s="319"/>
    </row>
    <row r="145" spans="1:13">
      <c r="A145" s="7"/>
      <c r="B145" s="9"/>
      <c r="C145" s="82">
        <f>C144*(180/PI())</f>
        <v>0.61080183019451795</v>
      </c>
      <c r="D145" s="7" t="s">
        <v>644</v>
      </c>
      <c r="E145" s="319"/>
      <c r="F145" s="319"/>
      <c r="G145" s="319"/>
      <c r="H145" s="319"/>
      <c r="I145" s="319"/>
      <c r="J145" s="319"/>
      <c r="K145" s="319"/>
    </row>
    <row r="146" spans="1:13">
      <c r="A146" s="7" t="s">
        <v>770</v>
      </c>
      <c r="B146" s="17" t="s">
        <v>771</v>
      </c>
      <c r="C146" s="82">
        <f>(2*C46)/(PI()*C23*C92)</f>
        <v>1.9795224870045779E-2</v>
      </c>
      <c r="D146" s="7"/>
      <c r="E146" s="319"/>
      <c r="F146" s="319"/>
      <c r="G146" s="319"/>
      <c r="H146" s="319"/>
      <c r="I146" s="319"/>
      <c r="J146" s="319"/>
      <c r="K146" s="319"/>
    </row>
    <row r="147" spans="1:13">
      <c r="A147" s="7" t="s">
        <v>772</v>
      </c>
      <c r="B147" s="17" t="s">
        <v>773</v>
      </c>
      <c r="C147" s="82">
        <f>(1/2)*Drag!C12*(Drag!C8^2)*C140*C91</f>
        <v>-3663.6137926186375</v>
      </c>
      <c r="D147" s="7"/>
      <c r="E147" s="319"/>
      <c r="F147" s="319"/>
      <c r="G147" s="319"/>
      <c r="H147" s="319"/>
      <c r="I147" s="319"/>
      <c r="J147" s="319"/>
      <c r="K147" s="319"/>
    </row>
    <row r="148" spans="1:13">
      <c r="A148" s="7"/>
      <c r="B148" s="9"/>
      <c r="C148" s="82"/>
      <c r="D148" s="7"/>
      <c r="E148" s="319"/>
      <c r="F148" s="319"/>
      <c r="G148" s="319"/>
      <c r="H148" s="319"/>
      <c r="I148" s="319"/>
      <c r="J148" s="319"/>
      <c r="K148" s="319"/>
    </row>
    <row r="149" spans="1:13">
      <c r="A149" s="310" t="s">
        <v>774</v>
      </c>
      <c r="B149" s="310"/>
      <c r="C149" s="310"/>
      <c r="D149" s="310"/>
      <c r="E149" s="310"/>
      <c r="F149" s="310"/>
      <c r="G149" s="310"/>
      <c r="H149" s="310"/>
      <c r="I149" s="310"/>
      <c r="J149" s="310"/>
      <c r="K149" s="310"/>
    </row>
    <row r="150" spans="1:13">
      <c r="A150" t="s">
        <v>775</v>
      </c>
      <c r="B150" s="10" t="s">
        <v>776</v>
      </c>
      <c r="C150" s="98">
        <f>(C155-C156-C144*(C37)-C85*(-15))/C157</f>
        <v>5.0535963074419206</v>
      </c>
      <c r="D150" s="11" t="str">
        <f>D132</f>
        <v>º</v>
      </c>
      <c r="E150" s="314" t="s">
        <v>777</v>
      </c>
      <c r="F150" s="314"/>
      <c r="G150" s="314"/>
      <c r="H150" s="314"/>
      <c r="I150" s="314"/>
      <c r="J150" s="314"/>
      <c r="K150" s="314"/>
    </row>
    <row r="151" spans="1:13">
      <c r="A151" s="7" t="s">
        <v>778</v>
      </c>
      <c r="B151" s="17" t="s">
        <v>779</v>
      </c>
      <c r="C151" s="79">
        <f>(C156+C157*(C150))*C84</f>
        <v>0.99373385348611587</v>
      </c>
      <c r="E151" s="314" t="s">
        <v>780</v>
      </c>
      <c r="F151" s="314"/>
      <c r="G151" s="314"/>
      <c r="H151" s="314"/>
      <c r="I151" s="314"/>
      <c r="J151" s="314"/>
      <c r="K151" s="314"/>
    </row>
    <row r="152" spans="1:13">
      <c r="A152" s="7" t="s">
        <v>781</v>
      </c>
      <c r="B152" s="17" t="s">
        <v>782</v>
      </c>
      <c r="C152" s="79">
        <f>C$156+(C$157*Geometry!C69)+(C$144*C$37)+(C$85*15)</f>
        <v>0.88160010292620916</v>
      </c>
      <c r="E152" s="314" t="s">
        <v>783</v>
      </c>
      <c r="F152" s="314"/>
      <c r="G152" s="314"/>
      <c r="H152" s="314"/>
      <c r="I152" s="314"/>
      <c r="J152" s="314"/>
      <c r="K152" s="314"/>
      <c r="L152" s="314"/>
      <c r="M152" s="314"/>
    </row>
    <row r="153" spans="1:13">
      <c r="A153" s="7" t="s">
        <v>784</v>
      </c>
      <c r="B153" s="17" t="s">
        <v>785</v>
      </c>
      <c r="C153" s="79">
        <f>C$156+(C$157*(C150+Geometry!C69))+(C$144*C$37)+(C$85*15)</f>
        <v>1.4817456140043346</v>
      </c>
      <c r="E153" s="314" t="s">
        <v>783</v>
      </c>
      <c r="F153" s="314"/>
      <c r="G153" s="314"/>
      <c r="H153" s="314"/>
      <c r="I153" s="314"/>
      <c r="J153" s="314"/>
      <c r="K153" s="314"/>
      <c r="L153" s="314"/>
      <c r="M153" s="314"/>
    </row>
    <row r="154" spans="1:13">
      <c r="A154" s="7" t="s">
        <v>786</v>
      </c>
      <c r="B154" s="17" t="s">
        <v>787</v>
      </c>
      <c r="C154" s="82">
        <f>General!C7/(Lift!C24*Lift!C3)</f>
        <v>0.18727502665219611</v>
      </c>
      <c r="E154" s="314" t="s">
        <v>788</v>
      </c>
      <c r="F154" s="314"/>
      <c r="G154" s="314"/>
      <c r="H154" s="314"/>
      <c r="I154" s="314"/>
      <c r="J154" s="314"/>
      <c r="K154" s="314"/>
      <c r="M154" s="25"/>
    </row>
    <row r="155" spans="1:13">
      <c r="A155" s="7" t="s">
        <v>789</v>
      </c>
      <c r="B155" s="17" t="s">
        <v>790</v>
      </c>
      <c r="C155" s="82">
        <f>C41+C137*C141*(C91/C3)</f>
        <v>0.25921106030439711</v>
      </c>
      <c r="E155" s="314" t="s">
        <v>791</v>
      </c>
      <c r="F155" s="314"/>
      <c r="G155" s="314"/>
      <c r="H155" s="314"/>
      <c r="I155" s="314"/>
      <c r="J155" s="314"/>
      <c r="K155" s="314"/>
      <c r="M155" s="25"/>
    </row>
    <row r="156" spans="1:13">
      <c r="A156" s="7" t="s">
        <v>792</v>
      </c>
      <c r="B156" s="17" t="s">
        <v>793</v>
      </c>
      <c r="C156" s="82">
        <f>C46*(-C43)+C138*C141*(C91/C3)*(-C146*-C43)</f>
        <v>0.38974047295225855</v>
      </c>
      <c r="E156" s="319"/>
      <c r="F156" s="319"/>
      <c r="G156" s="319"/>
      <c r="H156" s="319"/>
      <c r="I156" s="319"/>
      <c r="J156" s="319"/>
      <c r="K156" s="319"/>
      <c r="M156" s="25"/>
    </row>
    <row r="157" spans="1:13">
      <c r="A157" s="7" t="s">
        <v>794</v>
      </c>
      <c r="B157" s="17" t="s">
        <v>795</v>
      </c>
      <c r="C157" s="82">
        <f>C46+C138*C141*(C91/C3)*(1-C146)</f>
        <v>0.11875612426626794</v>
      </c>
      <c r="D157" t="s">
        <v>645</v>
      </c>
      <c r="E157" s="319"/>
      <c r="F157" s="319"/>
      <c r="G157" s="319"/>
      <c r="H157" s="319"/>
      <c r="I157" s="319"/>
      <c r="J157" s="319"/>
      <c r="K157" s="319"/>
    </row>
    <row r="158" spans="1:13">
      <c r="A158" s="7" t="s">
        <v>796</v>
      </c>
      <c r="B158" s="17" t="s">
        <v>797</v>
      </c>
      <c r="C158" s="82">
        <f>(General!C7/(Lift!C24*Lift!C3))*COS(C26)</f>
        <v>0.18105256550875962</v>
      </c>
      <c r="E158" s="319"/>
      <c r="F158" s="319"/>
      <c r="G158" s="319"/>
      <c r="H158" s="319"/>
      <c r="I158" s="319"/>
      <c r="J158" s="319"/>
      <c r="K158" s="319"/>
    </row>
    <row r="159" spans="1:13">
      <c r="A159" s="7"/>
      <c r="B159" s="17" t="s">
        <v>798</v>
      </c>
      <c r="C159" s="144">
        <v>-4.0000000000000002E-4</v>
      </c>
      <c r="E159" s="314" t="s">
        <v>799</v>
      </c>
      <c r="F159" s="314"/>
      <c r="G159" s="314"/>
      <c r="H159" s="314"/>
      <c r="I159" s="314"/>
      <c r="J159" s="314"/>
      <c r="K159" s="314"/>
    </row>
    <row r="160" spans="1:13">
      <c r="A160" s="7"/>
      <c r="B160" s="17" t="s">
        <v>800</v>
      </c>
      <c r="C160" s="82">
        <v>4.2099999999999999E-2</v>
      </c>
      <c r="E160" s="319"/>
      <c r="F160" s="319"/>
      <c r="G160" s="319"/>
      <c r="H160" s="319"/>
      <c r="I160" s="319"/>
      <c r="J160" s="319"/>
      <c r="K160" s="319"/>
    </row>
    <row r="161" spans="1:17">
      <c r="A161" s="7" t="s">
        <v>801</v>
      </c>
      <c r="B161" s="17" t="s">
        <v>802</v>
      </c>
      <c r="C161" s="82">
        <f>C159/(2*C160)</f>
        <v>-4.7505938242280287E-3</v>
      </c>
      <c r="E161" s="319"/>
      <c r="F161" s="319"/>
      <c r="G161" s="319"/>
      <c r="H161" s="319"/>
      <c r="I161" s="319"/>
      <c r="J161" s="319"/>
      <c r="K161" s="319"/>
    </row>
    <row r="162" spans="1:17">
      <c r="A162" t="s">
        <v>803</v>
      </c>
      <c r="B162" s="10" t="s">
        <v>804</v>
      </c>
      <c r="C162" s="98">
        <f>(C155-C156-C144*(C37)-C85*(-15))/C157</f>
        <v>5.0535963074419206</v>
      </c>
      <c r="D162" s="11" t="s">
        <v>55</v>
      </c>
      <c r="E162" s="314" t="s">
        <v>805</v>
      </c>
      <c r="F162" s="314"/>
      <c r="G162" s="314"/>
      <c r="H162" s="314"/>
      <c r="I162" s="314"/>
      <c r="J162" s="314"/>
      <c r="K162" s="314"/>
    </row>
    <row r="163" spans="1:17">
      <c r="A163" s="7" t="s">
        <v>806</v>
      </c>
      <c r="B163" s="17" t="s">
        <v>807</v>
      </c>
      <c r="C163" s="79">
        <f>(C156+C157*C162)*C84</f>
        <v>0.99373385348611587</v>
      </c>
      <c r="D163" s="11"/>
      <c r="E163" s="314" t="s">
        <v>808</v>
      </c>
      <c r="F163" s="314"/>
      <c r="G163" s="314"/>
      <c r="H163" s="314"/>
      <c r="I163" s="314"/>
      <c r="J163" s="314"/>
      <c r="K163" s="314"/>
    </row>
    <row r="164" spans="1:17">
      <c r="A164" s="7" t="s">
        <v>806</v>
      </c>
      <c r="B164" s="17" t="s">
        <v>807</v>
      </c>
      <c r="C164" s="79">
        <f>C$156+(C$157*(C150+Geometry!C69))+(C$144*-C37)+(C$85*17)</f>
        <v>1.6130954614563087</v>
      </c>
      <c r="D164" s="11"/>
      <c r="E164" s="314" t="s">
        <v>809</v>
      </c>
      <c r="F164" s="314"/>
      <c r="G164" s="314"/>
      <c r="H164" s="314"/>
      <c r="I164" s="314"/>
      <c r="J164" s="314"/>
      <c r="K164" s="314"/>
      <c r="L164" s="314"/>
      <c r="M164" s="314"/>
      <c r="N164" s="314"/>
      <c r="O164" s="314"/>
      <c r="P164" s="314"/>
      <c r="Q164" s="314"/>
    </row>
    <row r="165" spans="1:17">
      <c r="A165" s="7" t="s">
        <v>810</v>
      </c>
      <c r="B165" s="17" t="s">
        <v>811</v>
      </c>
      <c r="C165" s="83">
        <f>C42+C147</f>
        <v>18972.629219623112</v>
      </c>
      <c r="D165" s="7" t="s">
        <v>14</v>
      </c>
      <c r="E165" s="319"/>
      <c r="F165" s="319"/>
      <c r="G165" s="319"/>
      <c r="H165" s="319"/>
      <c r="I165" s="319"/>
      <c r="J165" s="319"/>
      <c r="K165" s="319"/>
    </row>
    <row r="166" spans="1:17">
      <c r="B166" s="9"/>
      <c r="E166" s="25"/>
      <c r="F166" s="25"/>
      <c r="G166" s="25"/>
      <c r="H166" s="25"/>
      <c r="I166" s="25"/>
      <c r="J166" s="25"/>
      <c r="K166" s="25"/>
    </row>
    <row r="167" spans="1:17">
      <c r="A167" t="s">
        <v>812</v>
      </c>
      <c r="B167" s="9" t="s">
        <v>329</v>
      </c>
      <c r="C167" s="98">
        <f>C165-General!C7</f>
        <v>97.629219623111567</v>
      </c>
      <c r="D167" t="s">
        <v>14</v>
      </c>
      <c r="E167" s="314" t="s">
        <v>813</v>
      </c>
      <c r="F167" s="314"/>
      <c r="G167" s="314"/>
      <c r="H167" s="314"/>
      <c r="I167" s="314"/>
      <c r="J167" s="314"/>
      <c r="K167" s="314"/>
    </row>
    <row r="168" spans="1:17">
      <c r="B168" s="9"/>
      <c r="E168" s="319"/>
      <c r="F168" s="319"/>
      <c r="G168" s="319"/>
      <c r="H168" s="319"/>
      <c r="I168" s="319"/>
      <c r="J168" s="319"/>
      <c r="K168" s="319"/>
    </row>
    <row r="169" spans="1:17">
      <c r="A169" s="310" t="s">
        <v>814</v>
      </c>
      <c r="B169" s="310"/>
      <c r="C169" s="310"/>
      <c r="D169" s="310"/>
      <c r="E169" s="310"/>
      <c r="F169" s="310"/>
      <c r="G169" s="310"/>
      <c r="H169" s="310"/>
      <c r="I169" s="310"/>
      <c r="J169" s="310"/>
      <c r="K169" s="310"/>
    </row>
    <row r="170" spans="1:17">
      <c r="A170" s="319" t="s">
        <v>815</v>
      </c>
      <c r="B170" s="319"/>
      <c r="C170" s="319"/>
      <c r="D170" s="319"/>
      <c r="E170" s="319"/>
      <c r="F170" s="319"/>
      <c r="G170" s="319"/>
      <c r="H170" s="319"/>
      <c r="I170" s="319"/>
      <c r="J170" s="319"/>
      <c r="K170" s="319"/>
    </row>
    <row r="171" spans="1:17">
      <c r="B171" t="s">
        <v>816</v>
      </c>
      <c r="C171" s="9" t="s">
        <v>790</v>
      </c>
      <c r="E171" s="319"/>
      <c r="F171" s="319"/>
      <c r="G171" s="319"/>
      <c r="H171" s="319"/>
      <c r="I171" s="319"/>
      <c r="J171" s="319"/>
      <c r="K171" s="319"/>
    </row>
    <row r="172" spans="1:17">
      <c r="B172">
        <v>-16</v>
      </c>
      <c r="C172" s="78">
        <f>$C$47+$C$46*B172</f>
        <v>-1.1742860681621823</v>
      </c>
      <c r="E172" s="319"/>
      <c r="F172" s="319"/>
      <c r="G172" s="319"/>
      <c r="H172" s="319"/>
      <c r="I172" s="319"/>
      <c r="J172" s="319"/>
      <c r="K172" s="319"/>
    </row>
    <row r="173" spans="1:17">
      <c r="B173" s="9">
        <v>-14</v>
      </c>
      <c r="C173" s="78">
        <f t="shared" ref="C173:C193" si="1">$C$47+$C$46*B173</f>
        <v>-0.9785717234684852</v>
      </c>
      <c r="E173" s="319"/>
      <c r="F173" s="319"/>
      <c r="G173" s="319"/>
      <c r="H173" s="319"/>
      <c r="I173" s="319"/>
      <c r="J173" s="319"/>
      <c r="K173" s="319"/>
    </row>
    <row r="174" spans="1:17">
      <c r="B174">
        <v>-12</v>
      </c>
      <c r="C174" s="78">
        <f t="shared" si="1"/>
        <v>-0.78285737877478812</v>
      </c>
      <c r="E174" s="319"/>
      <c r="F174" s="319"/>
      <c r="G174" s="319"/>
      <c r="H174" s="319"/>
      <c r="I174" s="319"/>
      <c r="J174" s="319"/>
      <c r="K174" s="319"/>
    </row>
    <row r="175" spans="1:17">
      <c r="B175" s="9">
        <v>-10</v>
      </c>
      <c r="C175" s="78">
        <f t="shared" si="1"/>
        <v>-0.58714303408109125</v>
      </c>
      <c r="E175" s="319"/>
      <c r="F175" s="319"/>
      <c r="G175" s="319"/>
      <c r="H175" s="319"/>
      <c r="I175" s="319"/>
      <c r="J175" s="319"/>
      <c r="K175" s="319"/>
    </row>
    <row r="176" spans="1:17">
      <c r="B176">
        <v>-8</v>
      </c>
      <c r="C176" s="78">
        <f t="shared" si="1"/>
        <v>-0.39142868938739411</v>
      </c>
      <c r="E176" s="319"/>
      <c r="F176" s="319"/>
      <c r="G176" s="319"/>
      <c r="H176" s="319"/>
      <c r="I176" s="319"/>
      <c r="J176" s="319"/>
      <c r="K176" s="319"/>
    </row>
    <row r="177" spans="2:11">
      <c r="B177" s="9">
        <v>-6</v>
      </c>
      <c r="C177" s="78">
        <f t="shared" si="1"/>
        <v>-0.19571434469369703</v>
      </c>
      <c r="E177" s="319"/>
      <c r="F177" s="319"/>
      <c r="G177" s="319"/>
      <c r="H177" s="319"/>
      <c r="I177" s="319"/>
      <c r="J177" s="319"/>
      <c r="K177" s="319"/>
    </row>
    <row r="178" spans="2:11">
      <c r="B178">
        <v>-4</v>
      </c>
      <c r="C178" s="78">
        <f t="shared" si="1"/>
        <v>0</v>
      </c>
      <c r="E178" s="319"/>
      <c r="F178" s="319"/>
      <c r="G178" s="319"/>
      <c r="H178" s="319"/>
      <c r="I178" s="319"/>
      <c r="J178" s="319"/>
      <c r="K178" s="319"/>
    </row>
    <row r="179" spans="2:11">
      <c r="B179" s="9">
        <v>-2</v>
      </c>
      <c r="C179" s="78">
        <f t="shared" si="1"/>
        <v>0.19571434469369706</v>
      </c>
      <c r="E179" s="319"/>
      <c r="F179" s="319"/>
      <c r="G179" s="319"/>
      <c r="H179" s="319"/>
      <c r="I179" s="319"/>
      <c r="J179" s="319"/>
      <c r="K179" s="319"/>
    </row>
    <row r="180" spans="2:11">
      <c r="B180">
        <v>0</v>
      </c>
      <c r="C180" s="78">
        <f t="shared" si="1"/>
        <v>0.39142868938739411</v>
      </c>
      <c r="E180" s="319"/>
      <c r="F180" s="319"/>
      <c r="G180" s="319"/>
      <c r="H180" s="319"/>
      <c r="I180" s="319"/>
      <c r="J180" s="319"/>
      <c r="K180" s="319"/>
    </row>
    <row r="181" spans="2:11">
      <c r="B181" s="9">
        <v>2</v>
      </c>
      <c r="C181" s="78">
        <f t="shared" si="1"/>
        <v>0.58714303408109114</v>
      </c>
      <c r="E181" s="319"/>
      <c r="F181" s="319"/>
      <c r="G181" s="319"/>
      <c r="H181" s="319"/>
      <c r="I181" s="319"/>
      <c r="J181" s="319"/>
      <c r="K181" s="319"/>
    </row>
    <row r="182" spans="2:11">
      <c r="B182">
        <v>4</v>
      </c>
      <c r="C182" s="78">
        <f t="shared" si="1"/>
        <v>0.78285737877478823</v>
      </c>
      <c r="E182" s="319"/>
      <c r="F182" s="319"/>
      <c r="G182" s="319"/>
      <c r="H182" s="319"/>
      <c r="I182" s="319"/>
      <c r="J182" s="319"/>
      <c r="K182" s="319"/>
    </row>
    <row r="183" spans="2:11">
      <c r="B183" s="9">
        <v>6</v>
      </c>
      <c r="C183" s="78">
        <f t="shared" si="1"/>
        <v>0.9785717234684852</v>
      </c>
      <c r="E183" s="319"/>
      <c r="F183" s="319"/>
      <c r="G183" s="319"/>
      <c r="H183" s="319"/>
      <c r="I183" s="319"/>
      <c r="J183" s="319"/>
      <c r="K183" s="319"/>
    </row>
    <row r="184" spans="2:11">
      <c r="B184">
        <v>8</v>
      </c>
      <c r="C184" s="78">
        <f t="shared" si="1"/>
        <v>1.1742860681621823</v>
      </c>
      <c r="E184" s="319"/>
      <c r="F184" s="319"/>
      <c r="G184" s="319"/>
      <c r="H184" s="319"/>
      <c r="I184" s="319"/>
      <c r="J184" s="319"/>
      <c r="K184" s="319"/>
    </row>
    <row r="185" spans="2:11">
      <c r="B185" s="9">
        <v>10</v>
      </c>
      <c r="C185" s="78">
        <f t="shared" si="1"/>
        <v>1.3700004128558794</v>
      </c>
      <c r="E185" s="319"/>
      <c r="F185" s="319"/>
      <c r="G185" s="319"/>
      <c r="H185" s="319"/>
      <c r="I185" s="319"/>
      <c r="J185" s="319"/>
      <c r="K185" s="319"/>
    </row>
    <row r="186" spans="2:11">
      <c r="B186">
        <v>12</v>
      </c>
      <c r="C186" s="78">
        <f t="shared" si="1"/>
        <v>1.5657147575495765</v>
      </c>
      <c r="E186" s="319"/>
      <c r="F186" s="319"/>
      <c r="G186" s="319"/>
      <c r="H186" s="319"/>
      <c r="I186" s="319"/>
      <c r="J186" s="319"/>
      <c r="K186" s="319"/>
    </row>
    <row r="187" spans="2:11">
      <c r="B187" s="9">
        <v>14</v>
      </c>
      <c r="C187" s="78">
        <f t="shared" si="1"/>
        <v>1.7614291022432735</v>
      </c>
      <c r="E187" s="319"/>
      <c r="F187" s="319"/>
      <c r="G187" s="319"/>
      <c r="H187" s="319"/>
      <c r="I187" s="319"/>
      <c r="J187" s="319"/>
      <c r="K187" s="319"/>
    </row>
    <row r="188" spans="2:11">
      <c r="B188">
        <v>16</v>
      </c>
      <c r="C188" s="78">
        <f t="shared" si="1"/>
        <v>1.9571434469369706</v>
      </c>
      <c r="E188" s="319"/>
      <c r="F188" s="319"/>
      <c r="G188" s="319"/>
      <c r="H188" s="319"/>
      <c r="I188" s="319"/>
      <c r="J188" s="319"/>
      <c r="K188" s="319"/>
    </row>
    <row r="189" spans="2:11">
      <c r="B189" s="9">
        <v>18</v>
      </c>
      <c r="C189" s="78">
        <f t="shared" si="1"/>
        <v>2.1528577916306677</v>
      </c>
      <c r="E189" s="319"/>
      <c r="F189" s="319"/>
      <c r="G189" s="319"/>
      <c r="H189" s="319"/>
      <c r="I189" s="319"/>
      <c r="J189" s="319"/>
      <c r="K189" s="319"/>
    </row>
    <row r="190" spans="2:11">
      <c r="B190">
        <v>20</v>
      </c>
      <c r="C190" s="78">
        <f t="shared" si="1"/>
        <v>2.3485721363243646</v>
      </c>
      <c r="E190" s="319"/>
      <c r="F190" s="319"/>
      <c r="G190" s="319"/>
      <c r="H190" s="319"/>
      <c r="I190" s="319"/>
      <c r="J190" s="319"/>
      <c r="K190" s="319"/>
    </row>
    <row r="191" spans="2:11">
      <c r="B191" s="9">
        <v>21</v>
      </c>
      <c r="C191" s="78">
        <f t="shared" si="1"/>
        <v>2.4464293086712132</v>
      </c>
      <c r="E191" s="25"/>
      <c r="F191" s="25"/>
      <c r="G191" s="25"/>
      <c r="H191" s="25"/>
      <c r="I191" s="25"/>
      <c r="J191" s="25"/>
      <c r="K191" s="25"/>
    </row>
    <row r="192" spans="2:11">
      <c r="B192" s="9">
        <v>22</v>
      </c>
      <c r="C192" s="78">
        <f t="shared" si="1"/>
        <v>2.5442864810180619</v>
      </c>
      <c r="E192" s="319"/>
      <c r="F192" s="319"/>
      <c r="G192" s="319"/>
      <c r="H192" s="319"/>
      <c r="I192" s="319"/>
      <c r="J192" s="319"/>
      <c r="K192" s="319"/>
    </row>
    <row r="193" spans="2:11">
      <c r="B193">
        <v>24</v>
      </c>
      <c r="C193" s="78">
        <f t="shared" si="1"/>
        <v>2.7400008257117587</v>
      </c>
      <c r="E193" s="319"/>
      <c r="F193" s="319"/>
      <c r="G193" s="319"/>
      <c r="H193" s="319"/>
      <c r="I193" s="319"/>
      <c r="J193" s="319"/>
      <c r="K193" s="319"/>
    </row>
    <row r="194" spans="2:11">
      <c r="B194" s="9"/>
      <c r="E194" s="319"/>
      <c r="F194" s="319"/>
      <c r="G194" s="319"/>
      <c r="H194" s="319"/>
      <c r="I194" s="319"/>
      <c r="J194" s="319"/>
      <c r="K194" s="319"/>
    </row>
    <row r="195" spans="2:11">
      <c r="B195" t="s">
        <v>816</v>
      </c>
      <c r="C195" s="25" t="s">
        <v>817</v>
      </c>
      <c r="E195" s="319"/>
      <c r="F195" s="319"/>
      <c r="G195" s="319"/>
      <c r="H195" s="319"/>
      <c r="I195" s="319"/>
      <c r="J195" s="319"/>
      <c r="K195" s="319"/>
    </row>
    <row r="196" spans="2:11">
      <c r="B196" s="9">
        <v>-16</v>
      </c>
      <c r="C196" s="69">
        <f t="shared" ref="C196:C201" si="2">($C$156+$C$157*(B196))*$C$84</f>
        <v>-1.5162285536338025</v>
      </c>
      <c r="E196" s="336"/>
      <c r="F196" s="336"/>
      <c r="G196" s="336"/>
      <c r="H196" s="336"/>
      <c r="I196" s="336"/>
      <c r="J196" s="336"/>
      <c r="K196" s="336"/>
    </row>
    <row r="197" spans="2:11">
      <c r="B197" s="9">
        <v>-14</v>
      </c>
      <c r="C197" s="69">
        <f t="shared" si="2"/>
        <v>-1.2777930511697686</v>
      </c>
      <c r="E197" s="336"/>
      <c r="F197" s="336"/>
      <c r="G197" s="336"/>
      <c r="H197" s="336"/>
      <c r="I197" s="336"/>
      <c r="J197" s="336"/>
      <c r="K197" s="336"/>
    </row>
    <row r="198" spans="2:11">
      <c r="B198" s="9">
        <v>-12</v>
      </c>
      <c r="C198" s="69">
        <f t="shared" si="2"/>
        <v>-1.0393575487057354</v>
      </c>
      <c r="E198" s="336"/>
      <c r="F198" s="336"/>
      <c r="G198" s="336"/>
      <c r="H198" s="336"/>
      <c r="I198" s="336"/>
      <c r="J198" s="336"/>
      <c r="K198" s="336"/>
    </row>
    <row r="199" spans="2:11">
      <c r="B199" s="9">
        <v>-10</v>
      </c>
      <c r="C199" s="69">
        <f t="shared" si="2"/>
        <v>-0.80092204624170149</v>
      </c>
      <c r="E199" s="336"/>
      <c r="F199" s="336"/>
      <c r="G199" s="336"/>
      <c r="H199" s="336"/>
      <c r="I199" s="336"/>
      <c r="J199" s="336"/>
      <c r="K199" s="336"/>
    </row>
    <row r="200" spans="2:11">
      <c r="B200" s="9">
        <v>-8</v>
      </c>
      <c r="C200" s="69">
        <f t="shared" si="2"/>
        <v>-0.56248654377766805</v>
      </c>
      <c r="E200" s="336"/>
      <c r="F200" s="336"/>
      <c r="G200" s="336"/>
      <c r="H200" s="336"/>
      <c r="I200" s="336"/>
      <c r="J200" s="336"/>
      <c r="K200" s="336"/>
    </row>
    <row r="201" spans="2:11">
      <c r="B201" s="9">
        <v>-6</v>
      </c>
      <c r="C201" s="69">
        <f t="shared" si="2"/>
        <v>-0.32405104131363449</v>
      </c>
      <c r="E201" s="336"/>
      <c r="F201" s="336"/>
      <c r="G201" s="336"/>
      <c r="H201" s="336"/>
      <c r="I201" s="336"/>
      <c r="J201" s="336"/>
      <c r="K201" s="336"/>
    </row>
    <row r="202" spans="2:11">
      <c r="B202" s="9">
        <v>-4</v>
      </c>
      <c r="C202" s="69">
        <f>($C$156+$C$157*(B202))*$C$84</f>
        <v>-8.5615538849600839E-2</v>
      </c>
      <c r="E202" s="319"/>
      <c r="F202" s="319"/>
      <c r="G202" s="319"/>
      <c r="H202" s="319"/>
      <c r="I202" s="319"/>
      <c r="J202" s="319"/>
      <c r="K202" s="319"/>
    </row>
    <row r="203" spans="2:11">
      <c r="B203" s="9">
        <v>-2</v>
      </c>
      <c r="C203" s="69">
        <f t="shared" ref="C203:C213" si="3">($C$156+$C$157*(B203))*$C$84</f>
        <v>0.15281996361443276</v>
      </c>
      <c r="E203" s="319"/>
      <c r="F203" s="319"/>
      <c r="G203" s="319"/>
      <c r="H203" s="319"/>
      <c r="I203" s="319"/>
      <c r="J203" s="319"/>
      <c r="K203" s="319"/>
    </row>
    <row r="204" spans="2:11">
      <c r="B204" s="9">
        <v>0</v>
      </c>
      <c r="C204" s="69">
        <f t="shared" si="3"/>
        <v>0.39125546607846634</v>
      </c>
      <c r="E204" s="319"/>
      <c r="F204" s="319"/>
      <c r="G204" s="319"/>
      <c r="H204" s="319"/>
      <c r="I204" s="319"/>
      <c r="J204" s="319"/>
      <c r="K204" s="319"/>
    </row>
    <row r="205" spans="2:11">
      <c r="B205" s="9">
        <v>2</v>
      </c>
      <c r="C205" s="69">
        <f t="shared" si="3"/>
        <v>0.62969096854249995</v>
      </c>
      <c r="E205" s="319"/>
      <c r="F205" s="319"/>
      <c r="G205" s="319"/>
      <c r="H205" s="319"/>
      <c r="I205" s="319"/>
      <c r="J205" s="319"/>
      <c r="K205" s="319"/>
    </row>
    <row r="206" spans="2:11">
      <c r="B206" s="9">
        <v>4</v>
      </c>
      <c r="C206" s="69">
        <f t="shared" si="3"/>
        <v>0.86812647100653351</v>
      </c>
      <c r="E206" s="319"/>
      <c r="F206" s="319"/>
      <c r="G206" s="319"/>
      <c r="H206" s="319"/>
      <c r="I206" s="319"/>
      <c r="J206" s="319"/>
      <c r="K206" s="319"/>
    </row>
    <row r="207" spans="2:11">
      <c r="B207" s="9">
        <v>6</v>
      </c>
      <c r="C207" s="69">
        <f t="shared" si="3"/>
        <v>1.106561973470567</v>
      </c>
      <c r="E207" s="319"/>
      <c r="F207" s="319"/>
      <c r="G207" s="319"/>
      <c r="H207" s="319"/>
      <c r="I207" s="319"/>
      <c r="J207" s="319"/>
      <c r="K207" s="319"/>
    </row>
    <row r="208" spans="2:11">
      <c r="B208" s="9">
        <v>8</v>
      </c>
      <c r="C208" s="69">
        <f t="shared" si="3"/>
        <v>1.3449974759346008</v>
      </c>
      <c r="E208" s="319"/>
      <c r="F208" s="319"/>
      <c r="G208" s="319"/>
      <c r="H208" s="319"/>
      <c r="I208" s="319"/>
      <c r="J208" s="319"/>
      <c r="K208" s="319"/>
    </row>
    <row r="209" spans="1:14">
      <c r="B209" s="9">
        <v>10</v>
      </c>
      <c r="C209" s="69">
        <f t="shared" si="3"/>
        <v>1.5834329783986341</v>
      </c>
      <c r="E209" s="319"/>
      <c r="F209" s="319"/>
      <c r="G209" s="319"/>
      <c r="H209" s="319"/>
      <c r="I209" s="319"/>
      <c r="J209" s="319"/>
      <c r="K209" s="319"/>
    </row>
    <row r="210" spans="1:14">
      <c r="B210" s="9">
        <v>12</v>
      </c>
      <c r="C210" s="69">
        <f t="shared" si="3"/>
        <v>1.8218684808626677</v>
      </c>
      <c r="E210" s="319"/>
      <c r="F210" s="319"/>
      <c r="G210" s="319"/>
      <c r="H210" s="319"/>
      <c r="I210" s="319"/>
      <c r="J210" s="319"/>
      <c r="K210" s="319"/>
    </row>
    <row r="211" spans="1:14">
      <c r="B211" s="9">
        <v>14</v>
      </c>
      <c r="C211" s="69">
        <f t="shared" si="3"/>
        <v>2.0603039833267016</v>
      </c>
      <c r="E211" s="319"/>
      <c r="F211" s="319"/>
      <c r="G211" s="319"/>
      <c r="H211" s="319"/>
      <c r="I211" s="319"/>
      <c r="J211" s="319"/>
      <c r="K211" s="319"/>
    </row>
    <row r="212" spans="1:14">
      <c r="B212" s="9">
        <v>16</v>
      </c>
      <c r="C212" s="69">
        <f t="shared" si="3"/>
        <v>2.2987394857907351</v>
      </c>
      <c r="E212" s="319"/>
      <c r="F212" s="319"/>
      <c r="G212" s="319"/>
      <c r="H212" s="319"/>
      <c r="I212" s="319"/>
      <c r="J212" s="319"/>
      <c r="K212" s="319"/>
    </row>
    <row r="213" spans="1:14">
      <c r="B213" s="9">
        <v>18</v>
      </c>
      <c r="C213" s="69">
        <f t="shared" si="3"/>
        <v>2.5371749882547685</v>
      </c>
      <c r="E213" s="319"/>
      <c r="F213" s="319"/>
      <c r="G213" s="319"/>
      <c r="H213" s="319"/>
      <c r="I213" s="319"/>
      <c r="J213" s="319"/>
      <c r="K213" s="319"/>
    </row>
    <row r="214" spans="1:14">
      <c r="E214" s="319"/>
      <c r="F214" s="319"/>
      <c r="G214" s="319"/>
      <c r="H214" s="319"/>
      <c r="I214" s="319"/>
      <c r="J214" s="319"/>
      <c r="K214" s="319"/>
      <c r="L214" s="319" t="s">
        <v>818</v>
      </c>
      <c r="M214" s="319"/>
      <c r="N214" s="319"/>
    </row>
    <row r="215" spans="1:14">
      <c r="B215" s="337" t="s">
        <v>819</v>
      </c>
      <c r="C215" s="337"/>
      <c r="D215" s="337"/>
      <c r="E215" s="319"/>
      <c r="F215" s="319"/>
      <c r="G215" s="319"/>
      <c r="H215" s="319"/>
      <c r="I215" s="319"/>
      <c r="J215" s="319"/>
      <c r="K215" s="319"/>
      <c r="L215" s="337" t="s">
        <v>820</v>
      </c>
      <c r="M215" s="337"/>
      <c r="N215" s="337"/>
    </row>
    <row r="216" spans="1:14" ht="15.95" thickBot="1">
      <c r="A216" s="274" t="s">
        <v>821</v>
      </c>
      <c r="B216" s="240" t="s">
        <v>822</v>
      </c>
      <c r="C216" s="260" t="s">
        <v>823</v>
      </c>
      <c r="D216" s="240" t="s">
        <v>824</v>
      </c>
      <c r="E216" s="271" t="s">
        <v>825</v>
      </c>
      <c r="I216" s="271" t="s">
        <v>821</v>
      </c>
      <c r="J216" s="271" t="s">
        <v>822</v>
      </c>
      <c r="K216" s="272" t="s">
        <v>823</v>
      </c>
      <c r="L216" s="271" t="s">
        <v>826</v>
      </c>
      <c r="M216" s="7"/>
    </row>
    <row r="217" spans="1:14">
      <c r="A217">
        <f>B217^2/(2*'Performance T_O'!$C$23)</f>
        <v>0</v>
      </c>
      <c r="B217">
        <f>Drag!K144</f>
        <v>0</v>
      </c>
      <c r="C217" s="43">
        <f>Drag!L144</f>
        <v>0</v>
      </c>
      <c r="D217" s="69">
        <f>(1/2)*Drag!$C$109*B217^2*$C$152*$C$3</f>
        <v>0</v>
      </c>
      <c r="E217" s="43">
        <f>General!C$7</f>
        <v>18875</v>
      </c>
      <c r="I217" s="43">
        <f>J217^2/(2*'Performance T_O'!$C$23)</f>
        <v>0</v>
      </c>
      <c r="J217" s="43">
        <f>Drag!K144</f>
        <v>0</v>
      </c>
      <c r="K217" s="43">
        <f>Drag!L144</f>
        <v>0</v>
      </c>
      <c r="L217" s="43">
        <f>Drag!M144</f>
        <v>0</v>
      </c>
      <c r="M217" s="43"/>
    </row>
    <row r="218" spans="1:14">
      <c r="A218" s="277">
        <f>B218^2/(2*'Performance T_O'!$C$23)</f>
        <v>0.25321186299999698</v>
      </c>
      <c r="B218">
        <f>Drag!K145</f>
        <v>2</v>
      </c>
      <c r="C218" s="43">
        <f>Drag!L145</f>
        <v>1.1849676005566172</v>
      </c>
      <c r="D218" s="69">
        <f>(1/2)*Drag!$C$109*B218^2*$C$152*$C$3</f>
        <v>1.9962349716190677</v>
      </c>
      <c r="E218" s="43">
        <f>General!C$7</f>
        <v>18875</v>
      </c>
      <c r="I218" s="273">
        <f>J218^2/(2*'Performance T_O'!$C$23)</f>
        <v>0.25321186299999698</v>
      </c>
      <c r="J218" s="273">
        <f>Drag!K145</f>
        <v>2</v>
      </c>
      <c r="K218" s="273">
        <f>Drag!L145</f>
        <v>1.1849676005566172</v>
      </c>
      <c r="L218" s="273">
        <f>Drag!M145</f>
        <v>0.30249725202481381</v>
      </c>
      <c r="M218" s="43"/>
    </row>
    <row r="219" spans="1:14">
      <c r="A219" s="98">
        <f>B219^2/(2*'Performance T_O'!$C$23)</f>
        <v>1.0128474519999879</v>
      </c>
      <c r="B219">
        <f>Drag!K146</f>
        <v>4</v>
      </c>
      <c r="C219" s="43">
        <f>Drag!L146</f>
        <v>2.3699352011132344</v>
      </c>
      <c r="D219" s="69">
        <f>(1/2)*Drag!$C$109*B219^2*$C$152*$C$3</f>
        <v>7.9849398864762708</v>
      </c>
      <c r="E219" s="43">
        <f>General!C$7</f>
        <v>18875</v>
      </c>
      <c r="I219" s="43">
        <f>J219^2/(2*'Performance T_O'!$C$23)</f>
        <v>1.0128474519999879</v>
      </c>
      <c r="J219" s="43">
        <f>Drag!K146</f>
        <v>4</v>
      </c>
      <c r="K219" s="43">
        <f>Drag!L146</f>
        <v>2.3699352011132344</v>
      </c>
      <c r="L219" s="43">
        <f>Drag!M146</f>
        <v>1.2099890080992552</v>
      </c>
      <c r="M219" s="43"/>
    </row>
    <row r="220" spans="1:14">
      <c r="A220" s="277">
        <f>B220^2/(2*'Performance T_O'!$C$23)</f>
        <v>2.278906766999973</v>
      </c>
      <c r="B220">
        <f>Drag!K147</f>
        <v>6</v>
      </c>
      <c r="C220" s="43">
        <f>Drag!L147</f>
        <v>3.5549028016698516</v>
      </c>
      <c r="D220" s="69">
        <f>(1/2)*Drag!$C$109*B220^2*$C$152*$C$3</f>
        <v>17.966114744571609</v>
      </c>
      <c r="E220" s="43">
        <f>General!C$7</f>
        <v>18875</v>
      </c>
      <c r="I220" s="273">
        <f>J220^2/(2*'Performance T_O'!$C$23)</f>
        <v>2.278906766999973</v>
      </c>
      <c r="J220" s="273">
        <f>Drag!K147</f>
        <v>6</v>
      </c>
      <c r="K220" s="273">
        <f>Drag!L147</f>
        <v>3.5549028016698516</v>
      </c>
      <c r="L220" s="273">
        <f>Drag!M147</f>
        <v>2.7224752682233242</v>
      </c>
      <c r="M220" s="43"/>
    </row>
    <row r="221" spans="1:14">
      <c r="A221" s="98">
        <f>B221^2/(2*'Performance T_O'!$C$23)</f>
        <v>4.0513898079999517</v>
      </c>
      <c r="B221">
        <f>Drag!K148</f>
        <v>8</v>
      </c>
      <c r="C221" s="43">
        <f>Drag!L148</f>
        <v>4.7398704022264688</v>
      </c>
      <c r="D221" s="69">
        <f>(1/2)*Drag!$C$109*B221^2*$C$152*$C$3</f>
        <v>31.939759545905083</v>
      </c>
      <c r="E221" s="43">
        <f>General!C$7</f>
        <v>18875</v>
      </c>
      <c r="I221" s="43">
        <f>J221^2/(2*'Performance T_O'!$C$23)</f>
        <v>4.0513898079999517</v>
      </c>
      <c r="J221" s="43">
        <f>Drag!K148</f>
        <v>8</v>
      </c>
      <c r="K221" s="43">
        <f>Drag!L148</f>
        <v>4.7398704022264688</v>
      </c>
      <c r="L221" s="43">
        <f>Drag!M148</f>
        <v>4.839956032397021</v>
      </c>
      <c r="M221" s="43"/>
    </row>
    <row r="222" spans="1:14">
      <c r="A222" s="277">
        <f>B222^2/(2*'Performance T_O'!$C$23)</f>
        <v>6.3302965749999247</v>
      </c>
      <c r="B222">
        <f>Drag!K149</f>
        <v>10</v>
      </c>
      <c r="C222" s="43">
        <f>Drag!L149</f>
        <v>5.924838002783086</v>
      </c>
      <c r="D222" s="69">
        <f>(1/2)*Drag!$C$109*B222^2*$C$152*$C$3</f>
        <v>49.905874290476696</v>
      </c>
      <c r="E222" s="43">
        <f>General!C$7</f>
        <v>18875</v>
      </c>
      <c r="I222" s="273">
        <f>J222^2/(2*'Performance T_O'!$C$23)</f>
        <v>6.3302965749999247</v>
      </c>
      <c r="J222" s="273">
        <f>Drag!K149</f>
        <v>10</v>
      </c>
      <c r="K222" s="273">
        <f>Drag!L149</f>
        <v>5.924838002783086</v>
      </c>
      <c r="L222" s="273">
        <f>Drag!M149</f>
        <v>7.5624313006203456</v>
      </c>
      <c r="M222" s="43"/>
    </row>
    <row r="223" spans="1:14">
      <c r="A223" s="43">
        <f>B223^2/(2*'Performance T_O'!$C$23)</f>
        <v>9.1156270679998919</v>
      </c>
      <c r="B223">
        <f>Drag!K150</f>
        <v>12</v>
      </c>
      <c r="C223" s="43">
        <f>Drag!L150</f>
        <v>7.1098056033397032</v>
      </c>
      <c r="D223" s="69">
        <f>(1/2)*Drag!$C$109*B223^2*$C$152*$C$3</f>
        <v>71.864458978286436</v>
      </c>
      <c r="E223" s="43">
        <f>General!C$7</f>
        <v>18875</v>
      </c>
      <c r="I223" s="43">
        <f>J223^2/(2*'Performance T_O'!$C$23)</f>
        <v>9.1156270679998919</v>
      </c>
      <c r="J223" s="43">
        <f>Drag!K150</f>
        <v>12</v>
      </c>
      <c r="K223" s="43">
        <f>Drag!L150</f>
        <v>7.1098056033397032</v>
      </c>
      <c r="L223" s="43">
        <f>Drag!M150</f>
        <v>10.889901072893297</v>
      </c>
      <c r="M223" s="43"/>
    </row>
    <row r="224" spans="1:14">
      <c r="A224" s="273">
        <f>B224^2/(2*'Performance T_O'!$C$23)</f>
        <v>12.407381286999852</v>
      </c>
      <c r="B224">
        <f>Drag!K151</f>
        <v>14</v>
      </c>
      <c r="C224" s="43">
        <f>Drag!L151</f>
        <v>8.2947732038963196</v>
      </c>
      <c r="D224" s="69">
        <f>(1/2)*Drag!$C$109*B224^2*$C$152*$C$3</f>
        <v>97.815513609334332</v>
      </c>
      <c r="E224" s="43">
        <f>General!C$7</f>
        <v>18875</v>
      </c>
      <c r="I224" s="273">
        <f>J224^2/(2*'Performance T_O'!$C$23)</f>
        <v>12.407381286999852</v>
      </c>
      <c r="J224" s="273">
        <f>Drag!K151</f>
        <v>14</v>
      </c>
      <c r="K224" s="273">
        <f>Drag!L151</f>
        <v>8.2947732038963196</v>
      </c>
      <c r="L224" s="273">
        <f>Drag!M151</f>
        <v>14.822365349215877</v>
      </c>
      <c r="M224" s="43"/>
    </row>
    <row r="225" spans="1:13">
      <c r="A225" s="43">
        <f>B225^2/(2*'Performance T_O'!$C$23)</f>
        <v>16.205559231999807</v>
      </c>
      <c r="B225">
        <f>Drag!K152</f>
        <v>16</v>
      </c>
      <c r="C225" s="43">
        <f>Drag!L152</f>
        <v>9.4797408044529377</v>
      </c>
      <c r="D225" s="69">
        <f>(1/2)*Drag!$C$109*B225^2*$C$152*$C$3</f>
        <v>127.75903818362033</v>
      </c>
      <c r="E225" s="43">
        <f>General!C$7</f>
        <v>18875</v>
      </c>
      <c r="I225" s="43">
        <f>J225^2/(2*'Performance T_O'!$C$23)</f>
        <v>16.205559231999807</v>
      </c>
      <c r="J225" s="43">
        <f>Drag!K152</f>
        <v>16</v>
      </c>
      <c r="K225" s="43">
        <f>Drag!L152</f>
        <v>9.4797408044529377</v>
      </c>
      <c r="L225" s="43">
        <f>Drag!M152</f>
        <v>19.359824129588084</v>
      </c>
      <c r="M225" s="43"/>
    </row>
    <row r="226" spans="1:13">
      <c r="A226" s="273">
        <f>B226^2/(2*'Performance T_O'!$C$23)</f>
        <v>20.510160902999758</v>
      </c>
      <c r="B226">
        <f>Drag!K153</f>
        <v>18</v>
      </c>
      <c r="C226" s="43">
        <f>Drag!L153</f>
        <v>10.664708405009554</v>
      </c>
      <c r="D226" s="69">
        <f>(1/2)*Drag!$C$109*B226^2*$C$152*$C$3</f>
        <v>161.6950327011445</v>
      </c>
      <c r="E226" s="43">
        <f>General!C$7</f>
        <v>18875</v>
      </c>
      <c r="I226" s="273">
        <f>J226^2/(2*'Performance T_O'!$C$23)</f>
        <v>20.510160902999758</v>
      </c>
      <c r="J226" s="273">
        <f>Drag!K153</f>
        <v>18</v>
      </c>
      <c r="K226" s="273">
        <f>Drag!L153</f>
        <v>10.664708405009554</v>
      </c>
      <c r="L226" s="273">
        <f>Drag!M153</f>
        <v>24.502277414009917</v>
      </c>
      <c r="M226" s="43"/>
    </row>
    <row r="227" spans="1:13">
      <c r="A227" s="43">
        <f>B227^2/(2*'Performance T_O'!$C$23)</f>
        <v>25.321186299999699</v>
      </c>
      <c r="B227">
        <f>Drag!K154</f>
        <v>20</v>
      </c>
      <c r="C227" s="43">
        <f>Drag!L154</f>
        <v>11.849676005566172</v>
      </c>
      <c r="D227" s="69">
        <f>(1/2)*Drag!$C$109*B227^2*$C$152*$C$3</f>
        <v>199.62349716190678</v>
      </c>
      <c r="E227" s="43">
        <f>General!C$7</f>
        <v>18875</v>
      </c>
      <c r="I227" s="43">
        <f>J227^2/(2*'Performance T_O'!$C$23)</f>
        <v>25.321186299999699</v>
      </c>
      <c r="J227" s="43">
        <f>Drag!K154</f>
        <v>20</v>
      </c>
      <c r="K227" s="43">
        <f>Drag!L154</f>
        <v>11.849676005566172</v>
      </c>
      <c r="L227" s="43">
        <f>Drag!M154</f>
        <v>30.249725202481383</v>
      </c>
      <c r="M227" s="43"/>
    </row>
    <row r="228" spans="1:13">
      <c r="A228" s="273">
        <f>B228^2/(2*'Performance T_O'!$C$23)</f>
        <v>30.638635422999638</v>
      </c>
      <c r="B228">
        <f>Drag!K155</f>
        <v>22</v>
      </c>
      <c r="C228" s="43">
        <f>Drag!L155</f>
        <v>13.034643606122788</v>
      </c>
      <c r="D228" s="69">
        <f>(1/2)*Drag!$C$109*B228^2*$C$152*$C$3</f>
        <v>241.54443156590722</v>
      </c>
      <c r="E228" s="43">
        <f>General!C$7</f>
        <v>18875</v>
      </c>
      <c r="I228" s="273">
        <f>J228^2/(2*'Performance T_O'!$C$23)</f>
        <v>30.638635422999638</v>
      </c>
      <c r="J228" s="273">
        <f>Drag!K155</f>
        <v>22</v>
      </c>
      <c r="K228" s="273">
        <f>Drag!L155</f>
        <v>13.034643606122788</v>
      </c>
      <c r="L228" s="273">
        <f>Drag!M155</f>
        <v>36.602167495002476</v>
      </c>
      <c r="M228" s="43"/>
    </row>
    <row r="229" spans="1:13">
      <c r="A229" s="43">
        <f>B229^2/(2*'Performance T_O'!$C$23)</f>
        <v>36.462508271999567</v>
      </c>
      <c r="B229">
        <f>Drag!K156</f>
        <v>24</v>
      </c>
      <c r="C229" s="43">
        <f>Drag!L156</f>
        <v>14.219611206679406</v>
      </c>
      <c r="D229" s="69">
        <f>(1/2)*Drag!$C$109*B229^2*$C$152*$C$3</f>
        <v>287.45783591314574</v>
      </c>
      <c r="E229" s="43">
        <f>General!C$7</f>
        <v>18875</v>
      </c>
      <c r="I229" s="43">
        <f>J229^2/(2*'Performance T_O'!$C$23)</f>
        <v>36.462508271999567</v>
      </c>
      <c r="J229" s="43">
        <f>Drag!K156</f>
        <v>24</v>
      </c>
      <c r="K229" s="43">
        <f>Drag!L156</f>
        <v>14.219611206679406</v>
      </c>
      <c r="L229" s="43">
        <f>Drag!M156</f>
        <v>43.559604291573187</v>
      </c>
      <c r="M229" s="43"/>
    </row>
    <row r="230" spans="1:13">
      <c r="A230" s="273">
        <f>B230^2/(2*'Performance T_O'!$C$23)</f>
        <v>42.792804846999495</v>
      </c>
      <c r="B230">
        <f>Drag!K157</f>
        <v>26</v>
      </c>
      <c r="C230" s="43">
        <f>Drag!L157</f>
        <v>15.404578807236023</v>
      </c>
      <c r="D230" s="69">
        <f>(1/2)*Drag!$C$109*B230^2*$C$152*$C$3</f>
        <v>337.36371020362247</v>
      </c>
      <c r="E230" s="43">
        <f>General!C$7</f>
        <v>18875</v>
      </c>
      <c r="I230" s="273">
        <f>J230^2/(2*'Performance T_O'!$C$23)</f>
        <v>42.792804846999495</v>
      </c>
      <c r="J230" s="273">
        <f>Drag!K157</f>
        <v>26</v>
      </c>
      <c r="K230" s="273">
        <f>Drag!L157</f>
        <v>15.404578807236023</v>
      </c>
      <c r="L230" s="273">
        <f>Drag!M157</f>
        <v>51.122035592193527</v>
      </c>
      <c r="M230" s="43"/>
    </row>
    <row r="231" spans="1:13">
      <c r="A231" s="43">
        <f>B231^2/(2*'Performance T_O'!$C$23)</f>
        <v>49.629525147999409</v>
      </c>
      <c r="B231">
        <f>Drag!K158</f>
        <v>28</v>
      </c>
      <c r="C231" s="43">
        <f>Drag!L158</f>
        <v>16.589546407792639</v>
      </c>
      <c r="D231" s="69">
        <f>(1/2)*Drag!$C$109*B231^2*$C$152*$C$3</f>
        <v>391.26205443733733</v>
      </c>
      <c r="E231" s="43">
        <f>General!C$7</f>
        <v>18875</v>
      </c>
      <c r="I231" s="43">
        <f>J231^2/(2*'Performance T_O'!$C$23)</f>
        <v>49.629525147999409</v>
      </c>
      <c r="J231" s="43">
        <f>Drag!K158</f>
        <v>28</v>
      </c>
      <c r="K231" s="43">
        <f>Drag!L158</f>
        <v>16.589546407792639</v>
      </c>
      <c r="L231" s="43">
        <f>Drag!M158</f>
        <v>59.289461396863508</v>
      </c>
      <c r="M231" s="43"/>
    </row>
    <row r="232" spans="1:13">
      <c r="A232" s="273">
        <f>B232^2/(2*'Performance T_O'!$C$23)</f>
        <v>56.972669174999325</v>
      </c>
      <c r="B232">
        <f>Drag!K159</f>
        <v>30</v>
      </c>
      <c r="C232" s="43">
        <f>Drag!L159</f>
        <v>17.774514008349257</v>
      </c>
      <c r="D232" s="69">
        <f>(1/2)*Drag!$C$109*B232^2*$C$152*$C$3</f>
        <v>449.1528686142903</v>
      </c>
      <c r="E232" s="43">
        <f>General!C$7</f>
        <v>18875</v>
      </c>
      <c r="I232" s="273">
        <f>J232^2/(2*'Performance T_O'!$C$23)</f>
        <v>56.972669174999325</v>
      </c>
      <c r="J232" s="273">
        <f>Drag!K159</f>
        <v>30</v>
      </c>
      <c r="K232" s="273">
        <f>Drag!L159</f>
        <v>17.774514008349257</v>
      </c>
      <c r="L232" s="273">
        <f>Drag!M159</f>
        <v>68.061881705583119</v>
      </c>
      <c r="M232" s="43"/>
    </row>
    <row r="233" spans="1:13">
      <c r="A233" s="43">
        <f>B233^2/(2*'Performance T_O'!$C$23)</f>
        <v>64.822236927999228</v>
      </c>
      <c r="B233">
        <f>Drag!K160</f>
        <v>32</v>
      </c>
      <c r="C233" s="43">
        <f>Drag!L160</f>
        <v>18.959481608905875</v>
      </c>
      <c r="D233" s="69">
        <f>(1/2)*Drag!$C$109*B233^2*$C$152*$C$3</f>
        <v>511.03615273448133</v>
      </c>
      <c r="E233" s="43">
        <f>General!C$7</f>
        <v>18875</v>
      </c>
      <c r="I233" s="43">
        <f>J233^2/(2*'Performance T_O'!$C$23)</f>
        <v>64.822236927999228</v>
      </c>
      <c r="J233" s="43">
        <f>Drag!K160</f>
        <v>32</v>
      </c>
      <c r="K233" s="43">
        <f>Drag!L160</f>
        <v>18.959481608905875</v>
      </c>
      <c r="L233" s="43">
        <f>Drag!M160</f>
        <v>77.439296518352336</v>
      </c>
      <c r="M233" s="43"/>
    </row>
    <row r="234" spans="1:13">
      <c r="A234" s="273">
        <f>B234^2/(2*'Performance T_O'!$C$23)</f>
        <v>73.178228406999139</v>
      </c>
      <c r="B234">
        <f>Drag!K161</f>
        <v>34</v>
      </c>
      <c r="C234" s="43">
        <f>Drag!L161</f>
        <v>20.144449209462493</v>
      </c>
      <c r="D234" s="69">
        <f>(1/2)*Drag!$C$109*B234^2*$C$152*$C$3</f>
        <v>576.91190679791066</v>
      </c>
      <c r="E234" s="43">
        <f>General!C$7</f>
        <v>18875</v>
      </c>
      <c r="I234" s="273">
        <f>J234^2/(2*'Performance T_O'!$C$23)</f>
        <v>73.178228406999139</v>
      </c>
      <c r="J234" s="273">
        <f>Drag!K161</f>
        <v>34</v>
      </c>
      <c r="K234" s="273">
        <f>Drag!L161</f>
        <v>20.144449209462493</v>
      </c>
      <c r="L234" s="273">
        <f>Drag!M161</f>
        <v>87.421705835171196</v>
      </c>
      <c r="M234" s="43"/>
    </row>
    <row r="235" spans="1:13">
      <c r="A235" s="43">
        <f>B235^2/(2*'Performance T_O'!$C$23)</f>
        <v>82.04064361199903</v>
      </c>
      <c r="B235">
        <f>Drag!K162</f>
        <v>36</v>
      </c>
      <c r="C235" s="43">
        <f>Drag!L162</f>
        <v>21.329416810019108</v>
      </c>
      <c r="D235" s="69">
        <f>(1/2)*Drag!$C$109*B235^2*$C$152*$C$3</f>
        <v>646.78013080457799</v>
      </c>
      <c r="E235" s="43">
        <f>General!C$7</f>
        <v>18875</v>
      </c>
      <c r="I235" s="43">
        <f>J235^2/(2*'Performance T_O'!$C$23)</f>
        <v>82.04064361199903</v>
      </c>
      <c r="J235" s="43">
        <f>Drag!K162</f>
        <v>36</v>
      </c>
      <c r="K235" s="43">
        <f>Drag!L162</f>
        <v>21.329416810019108</v>
      </c>
      <c r="L235" s="43">
        <f>Drag!M162</f>
        <v>98.009109656039669</v>
      </c>
      <c r="M235" s="43"/>
    </row>
    <row r="236" spans="1:13">
      <c r="A236" s="273">
        <f>B236^2/(2*'Performance T_O'!$C$23)</f>
        <v>91.409482542998916</v>
      </c>
      <c r="B236">
        <f>Drag!K163</f>
        <v>38</v>
      </c>
      <c r="C236" s="43">
        <f>Drag!L163</f>
        <v>22.514384410575726</v>
      </c>
      <c r="D236" s="69">
        <f>(1/2)*Drag!$C$109*B236^2*$C$152*$C$3</f>
        <v>720.64082475448356</v>
      </c>
      <c r="E236" s="43">
        <f>General!C$7</f>
        <v>18875</v>
      </c>
      <c r="I236" s="273">
        <f>J236^2/(2*'Performance T_O'!$C$23)</f>
        <v>91.409482542998916</v>
      </c>
      <c r="J236" s="273">
        <f>Drag!K163</f>
        <v>38</v>
      </c>
      <c r="K236" s="273">
        <f>Drag!L163</f>
        <v>22.514384410575726</v>
      </c>
      <c r="L236" s="273">
        <f>Drag!M163</f>
        <v>109.20150798095779</v>
      </c>
      <c r="M236" s="43"/>
    </row>
    <row r="237" spans="1:13">
      <c r="A237" s="43">
        <f>B237^2/(2*'Performance T_O'!$C$23)</f>
        <v>101.2847451999988</v>
      </c>
      <c r="B237">
        <f>Drag!K164</f>
        <v>40</v>
      </c>
      <c r="C237" s="43">
        <f>Drag!L164</f>
        <v>23.699352011132344</v>
      </c>
      <c r="D237" s="69">
        <f>(1/2)*Drag!$C$109*B237^2*$C$152*$C$3</f>
        <v>798.49398864762713</v>
      </c>
      <c r="E237" s="43">
        <f>General!C$7</f>
        <v>18875</v>
      </c>
      <c r="I237" s="43">
        <f>J237^2/(2*'Performance T_O'!$C$23)</f>
        <v>101.2847451999988</v>
      </c>
      <c r="J237" s="43">
        <f>Drag!K164</f>
        <v>40</v>
      </c>
      <c r="K237" s="43">
        <f>Drag!L164</f>
        <v>23.699352011132344</v>
      </c>
      <c r="L237" s="43">
        <f>Drag!M164</f>
        <v>120.99890080992553</v>
      </c>
      <c r="M237" s="43"/>
    </row>
    <row r="238" spans="1:13">
      <c r="A238" s="273">
        <f>B238^2/(2*'Performance T_O'!$C$23)</f>
        <v>111.66643158299868</v>
      </c>
      <c r="B238">
        <f>Drag!K165</f>
        <v>42</v>
      </c>
      <c r="C238" s="43">
        <f>Drag!L165</f>
        <v>24.884319611688962</v>
      </c>
      <c r="D238" s="69">
        <f>(1/2)*Drag!$C$109*B238^2*$C$152*$C$3</f>
        <v>880.33962248400883</v>
      </c>
      <c r="E238" s="43">
        <f>General!C$7</f>
        <v>18875</v>
      </c>
      <c r="I238" s="273">
        <f>J238^2/(2*'Performance T_O'!$C$23)</f>
        <v>111.66643158299868</v>
      </c>
      <c r="J238" s="273">
        <f>Drag!K165</f>
        <v>42</v>
      </c>
      <c r="K238" s="273">
        <f>Drag!L165</f>
        <v>24.884319611688962</v>
      </c>
      <c r="L238" s="273">
        <f>Drag!M165</f>
        <v>133.40128814294286</v>
      </c>
      <c r="M238" s="43"/>
    </row>
    <row r="239" spans="1:13">
      <c r="A239" s="43">
        <f>B239^2/(2*'Performance T_O'!$C$23)</f>
        <v>122.55454169199855</v>
      </c>
      <c r="B239">
        <f>Drag!K166</f>
        <v>44</v>
      </c>
      <c r="C239" s="43">
        <f>Drag!L166</f>
        <v>26.069287212245577</v>
      </c>
      <c r="D239" s="69">
        <f>(1/2)*Drag!$C$109*B239^2*$C$152*$C$3</f>
        <v>966.17772626362887</v>
      </c>
      <c r="E239" s="43">
        <f>General!C$7</f>
        <v>18875</v>
      </c>
      <c r="I239" s="43">
        <f>J239^2/(2*'Performance T_O'!$C$23)</f>
        <v>122.55454169199855</v>
      </c>
      <c r="J239" s="43">
        <f>Drag!K166</f>
        <v>44</v>
      </c>
      <c r="K239" s="43">
        <f>Drag!L166</f>
        <v>26.069287212245577</v>
      </c>
      <c r="L239" s="43">
        <f>Drag!M166</f>
        <v>146.4086699800099</v>
      </c>
      <c r="M239" s="43"/>
    </row>
    <row r="240" spans="1:13">
      <c r="A240" s="273">
        <f>B240^2/(2*'Performance T_O'!$C$23)</f>
        <v>133.9490755269984</v>
      </c>
      <c r="B240">
        <f>Drag!K167</f>
        <v>46</v>
      </c>
      <c r="C240" s="43">
        <f>Drag!L167</f>
        <v>27.254254812802195</v>
      </c>
      <c r="D240" s="69">
        <f>(1/2)*Drag!$C$109*B240^2*$C$152*$C$3</f>
        <v>1056.0082999864869</v>
      </c>
      <c r="E240" s="43">
        <f>General!C$7</f>
        <v>18875</v>
      </c>
      <c r="I240" s="273">
        <f>J240^2/(2*'Performance T_O'!$C$23)</f>
        <v>133.9490755269984</v>
      </c>
      <c r="J240" s="273">
        <f>Drag!K167</f>
        <v>46</v>
      </c>
      <c r="K240" s="273">
        <f>Drag!L167</f>
        <v>27.254254812802195</v>
      </c>
      <c r="L240" s="273">
        <f>Drag!M167</f>
        <v>160.02104632112653</v>
      </c>
      <c r="M240" s="43"/>
    </row>
    <row r="241" spans="1:13">
      <c r="A241" s="43">
        <f>B241^2/(2*'Performance T_O'!$C$23)</f>
        <v>145.85003308799827</v>
      </c>
      <c r="B241">
        <f>Drag!K168</f>
        <v>48</v>
      </c>
      <c r="C241" s="43">
        <f>Drag!L168</f>
        <v>28.439222413358813</v>
      </c>
      <c r="D241" s="69">
        <f>(1/2)*Drag!$C$109*B241^2*$C$152*$C$3</f>
        <v>1149.831343652583</v>
      </c>
      <c r="E241" s="43">
        <f>General!C$7</f>
        <v>18875</v>
      </c>
      <c r="I241" s="43">
        <f>J241^2/(2*'Performance T_O'!$C$23)</f>
        <v>145.85003308799827</v>
      </c>
      <c r="J241" s="43">
        <f>Drag!K168</f>
        <v>48</v>
      </c>
      <c r="K241" s="43">
        <f>Drag!L168</f>
        <v>28.439222413358813</v>
      </c>
      <c r="L241" s="43">
        <f>Drag!M168</f>
        <v>174.23841716629275</v>
      </c>
      <c r="M241" s="43"/>
    </row>
    <row r="242" spans="1:13">
      <c r="A242" s="273">
        <f>B242^2/(2*'Performance T_O'!$C$23)</f>
        <v>158.25741437499812</v>
      </c>
      <c r="B242">
        <f>Drag!K169</f>
        <v>50</v>
      </c>
      <c r="C242" s="43">
        <f>Drag!L169</f>
        <v>29.624190013915431</v>
      </c>
      <c r="D242" s="69">
        <f>(1/2)*Drag!$C$109*B242^2*$C$152*$C$3</f>
        <v>1247.6468572619171</v>
      </c>
      <c r="E242" s="43">
        <f>General!C$7</f>
        <v>18875</v>
      </c>
      <c r="I242" s="273">
        <f>J242^2/(2*'Performance T_O'!$C$23)</f>
        <v>158.25741437499812</v>
      </c>
      <c r="J242" s="273">
        <f>Drag!K169</f>
        <v>50</v>
      </c>
      <c r="K242" s="273">
        <f>Drag!L169</f>
        <v>29.624190013915431</v>
      </c>
      <c r="L242" s="273">
        <f>Drag!M169</f>
        <v>189.06078251550861</v>
      </c>
      <c r="M242" s="43"/>
    </row>
    <row r="243" spans="1:13">
      <c r="A243" s="43">
        <f>B243^2/(2*'Performance T_O'!$C$23)</f>
        <v>171.17121938799798</v>
      </c>
      <c r="B243">
        <f>Drag!K170</f>
        <v>52</v>
      </c>
      <c r="C243" s="43">
        <f>Drag!L170</f>
        <v>30.809157614472046</v>
      </c>
      <c r="D243" s="69">
        <f>(1/2)*Drag!$C$109*B243^2*$C$152*$C$3</f>
        <v>1349.4548408144899</v>
      </c>
      <c r="E243" s="43">
        <f>General!C$7</f>
        <v>18875</v>
      </c>
      <c r="I243" s="43">
        <f>J243^2/(2*'Performance T_O'!$C$23)</f>
        <v>171.17121938799798</v>
      </c>
      <c r="J243" s="43">
        <f>Drag!K170</f>
        <v>52</v>
      </c>
      <c r="K243" s="43">
        <f>Drag!L170</f>
        <v>30.809157614472046</v>
      </c>
      <c r="L243" s="43">
        <f>Drag!M170</f>
        <v>204.48814236877411</v>
      </c>
      <c r="M243" s="43"/>
    </row>
    <row r="244" spans="1:13">
      <c r="A244" s="273">
        <f>B244^2/(2*'Performance T_O'!$C$23)</f>
        <v>184.59144812699782</v>
      </c>
      <c r="B244">
        <f>Drag!K171</f>
        <v>54</v>
      </c>
      <c r="C244" s="43">
        <f>Drag!L171</f>
        <v>31.994125215028664</v>
      </c>
      <c r="D244" s="69">
        <f>(1/2)*Drag!$C$109*B244^2*$C$152*$C$3</f>
        <v>1455.2552943103003</v>
      </c>
      <c r="E244" s="43">
        <f>General!C$7</f>
        <v>18875</v>
      </c>
      <c r="I244" s="273">
        <f>J244^2/(2*'Performance T_O'!$C$23)</f>
        <v>184.59144812699782</v>
      </c>
      <c r="J244" s="273">
        <f>Drag!K171</f>
        <v>54</v>
      </c>
      <c r="K244" s="273">
        <f>Drag!L171</f>
        <v>31.994125215028664</v>
      </c>
      <c r="L244" s="273">
        <f>Drag!M171</f>
        <v>220.52049672608925</v>
      </c>
      <c r="M244" s="43"/>
    </row>
    <row r="245" spans="1:13">
      <c r="A245" s="43">
        <f>B245^2/(2*'Performance T_O'!$C$23)</f>
        <v>198.51810059199764</v>
      </c>
      <c r="B245">
        <f>Drag!K172</f>
        <v>56</v>
      </c>
      <c r="C245" s="43">
        <f>Drag!L172</f>
        <v>33.179092815585278</v>
      </c>
      <c r="D245" s="69">
        <f>(1/2)*Drag!$C$109*B245^2*$C$152*$C$3</f>
        <v>1565.0482177493493</v>
      </c>
      <c r="E245" s="43">
        <f>General!C$7</f>
        <v>18875</v>
      </c>
      <c r="I245" s="43">
        <f>J245^2/(2*'Performance T_O'!$C$23)</f>
        <v>198.51810059199764</v>
      </c>
      <c r="J245" s="43">
        <f>Drag!K172</f>
        <v>56</v>
      </c>
      <c r="K245" s="43">
        <f>Drag!L172</f>
        <v>33.179092815585278</v>
      </c>
      <c r="L245" s="43">
        <f>Drag!M172</f>
        <v>237.15784558745403</v>
      </c>
      <c r="M245" s="43"/>
    </row>
    <row r="246" spans="1:13">
      <c r="A246" s="273">
        <f>B246^2/(2*'Performance T_O'!$C$23)</f>
        <v>212.95117678299746</v>
      </c>
      <c r="B246">
        <f>Drag!K173</f>
        <v>58</v>
      </c>
      <c r="C246" s="43">
        <f>Drag!L173</f>
        <v>34.364060416141896</v>
      </c>
      <c r="D246" s="69">
        <f>(1/2)*Drag!$C$109*B246^2*$C$152*$C$3</f>
        <v>1678.8336111316362</v>
      </c>
      <c r="E246" s="43">
        <f>General!C$7</f>
        <v>18875</v>
      </c>
      <c r="I246" s="273">
        <f>J246^2/(2*'Performance T_O'!$C$23)</f>
        <v>212.95117678299746</v>
      </c>
      <c r="J246" s="273">
        <f>Drag!K173</f>
        <v>58</v>
      </c>
      <c r="K246" s="273">
        <f>Drag!L173</f>
        <v>34.364060416141896</v>
      </c>
      <c r="L246" s="273">
        <f>Drag!M173</f>
        <v>254.40018895286843</v>
      </c>
      <c r="M246" s="43"/>
    </row>
    <row r="247" spans="1:13">
      <c r="A247" s="43">
        <f>B247^2/(2*'Performance T_O'!$C$23)</f>
        <v>227.8906766999973</v>
      </c>
      <c r="B247">
        <f>Drag!K174</f>
        <v>60</v>
      </c>
      <c r="C247" s="43">
        <f>Drag!L174</f>
        <v>35.549028016698514</v>
      </c>
      <c r="D247" s="69">
        <f>(1/2)*Drag!$C$109*B247^2*$C$152*$C$3</f>
        <v>1796.6114744571612</v>
      </c>
      <c r="E247" s="43">
        <f>General!C$7</f>
        <v>18875</v>
      </c>
      <c r="I247" s="43">
        <f>J247^2/(2*'Performance T_O'!$C$23)</f>
        <v>227.8906766999973</v>
      </c>
      <c r="J247" s="43">
        <f>Drag!K174</f>
        <v>60</v>
      </c>
      <c r="K247" s="43">
        <f>Drag!L174</f>
        <v>35.549028016698514</v>
      </c>
      <c r="L247" s="43">
        <f>Drag!M174</f>
        <v>272.24752682233247</v>
      </c>
      <c r="M247" s="43"/>
    </row>
    <row r="248" spans="1:13">
      <c r="A248" s="273">
        <f>B248^2/(2*'Performance T_O'!$C$23)</f>
        <v>243.33660034299712</v>
      </c>
      <c r="B248">
        <f>Drag!K175</f>
        <v>62</v>
      </c>
      <c r="C248" s="43">
        <f>Drag!L175</f>
        <v>36.733995617255133</v>
      </c>
      <c r="D248" s="69">
        <f>(1/2)*Drag!$C$109*B248^2*$C$152*$C$3</f>
        <v>1918.3818077259243</v>
      </c>
      <c r="E248" s="43">
        <f>General!C$7</f>
        <v>18875</v>
      </c>
      <c r="I248" s="273">
        <f>J248^2/(2*'Performance T_O'!$C$23)</f>
        <v>243.33660034299712</v>
      </c>
      <c r="J248" s="273">
        <f>Drag!K175</f>
        <v>62</v>
      </c>
      <c r="K248" s="273">
        <f>Drag!L175</f>
        <v>36.733995617255133</v>
      </c>
      <c r="L248" s="273">
        <f>Drag!M175</f>
        <v>290.69985919584605</v>
      </c>
      <c r="M248" s="43"/>
    </row>
    <row r="249" spans="1:13">
      <c r="A249" s="43">
        <f>B249^2/(2*'Performance T_O'!$C$23)</f>
        <v>259.28894771199691</v>
      </c>
      <c r="B249">
        <f>Drag!K176</f>
        <v>64</v>
      </c>
      <c r="C249" s="43">
        <f>Drag!L176</f>
        <v>37.918963217811751</v>
      </c>
      <c r="D249" s="69">
        <f>(1/2)*Drag!$C$109*B249^2*$C$152*$C$3</f>
        <v>2044.1446109379253</v>
      </c>
      <c r="E249" s="43">
        <f>General!C$7</f>
        <v>18875</v>
      </c>
      <c r="I249" s="43">
        <f>J249^2/(2*'Performance T_O'!$C$23)</f>
        <v>259.28894771199691</v>
      </c>
      <c r="J249" s="43">
        <f>Drag!K176</f>
        <v>64</v>
      </c>
      <c r="K249" s="43">
        <f>Drag!L176</f>
        <v>37.918963217811751</v>
      </c>
      <c r="L249" s="43">
        <f>Drag!M176</f>
        <v>309.75718607340934</v>
      </c>
      <c r="M249" s="43"/>
    </row>
    <row r="250" spans="1:13">
      <c r="A250" s="273">
        <f>B250^2/(2*'Performance T_O'!$C$23)</f>
        <v>275.74771880699672</v>
      </c>
      <c r="B250">
        <f>Drag!K177</f>
        <v>66</v>
      </c>
      <c r="C250" s="43">
        <f>Drag!L177</f>
        <v>39.103930818368369</v>
      </c>
      <c r="D250" s="69">
        <f>(1/2)*Drag!$C$109*B250^2*$C$152*$C$3</f>
        <v>2173.8998840931649</v>
      </c>
      <c r="E250" s="43">
        <f>General!C$7</f>
        <v>18875</v>
      </c>
      <c r="I250" s="273">
        <f>J250^2/(2*'Performance T_O'!$C$23)</f>
        <v>275.74771880699672</v>
      </c>
      <c r="J250" s="273">
        <f>Drag!K177</f>
        <v>66</v>
      </c>
      <c r="K250" s="273">
        <f>Drag!L177</f>
        <v>39.103930818368369</v>
      </c>
      <c r="L250" s="273">
        <f>Drag!M177</f>
        <v>329.41950745502226</v>
      </c>
      <c r="M250" s="43"/>
    </row>
    <row r="251" spans="1:13">
      <c r="A251" s="43">
        <f>B251^2/(2*'Performance T_O'!$C$23)</f>
        <v>292.71291362799656</v>
      </c>
      <c r="B251">
        <f>Drag!K178</f>
        <v>68</v>
      </c>
      <c r="C251" s="43">
        <f>Drag!L178</f>
        <v>40.288898418924987</v>
      </c>
      <c r="D251" s="69">
        <f>(1/2)*Drag!$C$109*B251^2*$C$152*$C$3</f>
        <v>2307.6476271916426</v>
      </c>
      <c r="E251" s="43">
        <f>General!C$7</f>
        <v>18875</v>
      </c>
      <c r="I251" s="43">
        <f>J251^2/(2*'Performance T_O'!$C$23)</f>
        <v>292.71291362799656</v>
      </c>
      <c r="J251" s="43">
        <f>Drag!K178</f>
        <v>68</v>
      </c>
      <c r="K251" s="43">
        <f>Drag!L178</f>
        <v>40.288898418924987</v>
      </c>
      <c r="L251" s="43">
        <f>Drag!M178</f>
        <v>349.68682334068478</v>
      </c>
      <c r="M251" s="43"/>
    </row>
    <row r="252" spans="1:13">
      <c r="A252" s="273">
        <f>B252^2/(2*'Performance T_O'!$C$23)</f>
        <v>310.18453217499632</v>
      </c>
      <c r="B252">
        <f>Drag!K179</f>
        <v>70</v>
      </c>
      <c r="C252" s="43">
        <f>Drag!L179</f>
        <v>41.473866019481605</v>
      </c>
      <c r="D252" s="69">
        <f>(1/2)*Drag!$C$109*B252^2*$C$152*$C$3</f>
        <v>2445.387840233358</v>
      </c>
      <c r="E252" s="43">
        <f>General!C$7</f>
        <v>18875</v>
      </c>
      <c r="I252" s="273">
        <f>J252^2/(2*'Performance T_O'!$C$23)</f>
        <v>310.18453217499632</v>
      </c>
      <c r="J252" s="273">
        <f>Drag!K179</f>
        <v>70</v>
      </c>
      <c r="K252" s="273">
        <f>Drag!L179</f>
        <v>41.473866019481605</v>
      </c>
      <c r="L252" s="273">
        <f>Drag!M179</f>
        <v>370.55913373039687</v>
      </c>
      <c r="M252" s="43"/>
    </row>
    <row r="253" spans="1:13">
      <c r="A253" s="43">
        <f>B253^2/(2*'Performance T_O'!$C$23)</f>
        <v>328.16257444799612</v>
      </c>
      <c r="B253">
        <f>Drag!K180</f>
        <v>72</v>
      </c>
      <c r="C253" s="43">
        <f>Drag!L180</f>
        <v>42.658833620038216</v>
      </c>
      <c r="D253" s="69">
        <f>(1/2)*Drag!$C$109*B253^2*$C$152*$C$3</f>
        <v>2587.120523218312</v>
      </c>
      <c r="E253" s="43">
        <f>General!C$7</f>
        <v>18875</v>
      </c>
      <c r="I253" s="43">
        <f>J253^2/(2*'Performance T_O'!$C$23)</f>
        <v>328.16257444799612</v>
      </c>
      <c r="J253" s="43">
        <f>Drag!K180</f>
        <v>72</v>
      </c>
      <c r="K253" s="43">
        <f>Drag!L180</f>
        <v>42.658833620038216</v>
      </c>
      <c r="L253" s="43">
        <f>Drag!M180</f>
        <v>392.03643862415868</v>
      </c>
      <c r="M253" s="43"/>
    </row>
    <row r="254" spans="1:13">
      <c r="A254" s="273">
        <f>B254^2/(2*'Performance T_O'!$C$23)</f>
        <v>346.6470404469959</v>
      </c>
      <c r="B254">
        <f>Drag!K181</f>
        <v>74</v>
      </c>
      <c r="C254" s="43">
        <f>Drag!L181</f>
        <v>43.843801220594834</v>
      </c>
      <c r="D254" s="69">
        <f>(1/2)*Drag!$C$109*B254^2*$C$152*$C$3</f>
        <v>2732.8456761465036</v>
      </c>
      <c r="E254" s="43">
        <f>General!C$7</f>
        <v>18875</v>
      </c>
      <c r="I254" s="273">
        <f>J254^2/(2*'Performance T_O'!$C$23)</f>
        <v>346.6470404469959</v>
      </c>
      <c r="J254" s="273">
        <f>Drag!K181</f>
        <v>74</v>
      </c>
      <c r="K254" s="273">
        <f>Drag!L181</f>
        <v>43.843801220594834</v>
      </c>
      <c r="L254" s="273">
        <f>Drag!M181</f>
        <v>414.1187380219701</v>
      </c>
      <c r="M254" s="43"/>
    </row>
    <row r="255" spans="1:13">
      <c r="A255" s="43">
        <f>B255^2/(2*'Performance T_O'!$C$23)</f>
        <v>365.63793017199566</v>
      </c>
      <c r="B255">
        <f>Drag!K182</f>
        <v>76</v>
      </c>
      <c r="C255" s="43">
        <f>Drag!L182</f>
        <v>45.028768821151452</v>
      </c>
      <c r="D255" s="69">
        <f>(1/2)*Drag!$C$109*B255^2*$C$152*$C$3</f>
        <v>2882.5632990179342</v>
      </c>
      <c r="E255" s="43">
        <f>General!C$7</f>
        <v>18875</v>
      </c>
      <c r="I255" s="43">
        <f>J255^2/(2*'Performance T_O'!$C$23)</f>
        <v>365.63793017199566</v>
      </c>
      <c r="J255" s="43">
        <f>Drag!K182</f>
        <v>76</v>
      </c>
      <c r="K255" s="43">
        <f>Drag!L182</f>
        <v>45.028768821151452</v>
      </c>
      <c r="L255" s="43">
        <f>Drag!M182</f>
        <v>436.80603192383114</v>
      </c>
      <c r="M255" s="43"/>
    </row>
    <row r="256" spans="1:13">
      <c r="A256" s="273">
        <f>B256^2/(2*'Performance T_O'!$C$23)</f>
        <v>385.13524362299546</v>
      </c>
      <c r="B256">
        <f>Drag!K183</f>
        <v>78</v>
      </c>
      <c r="C256" s="43">
        <f>Drag!L183</f>
        <v>46.21373642170807</v>
      </c>
      <c r="D256" s="69">
        <f>(1/2)*Drag!$C$109*B256^2*$C$152*$C$3</f>
        <v>3036.2733918326026</v>
      </c>
      <c r="E256" s="43">
        <f>General!C$7</f>
        <v>18875</v>
      </c>
      <c r="I256" s="273">
        <f>J256^2/(2*'Performance T_O'!$C$23)</f>
        <v>385.13524362299546</v>
      </c>
      <c r="J256" s="273">
        <f>Drag!K183</f>
        <v>78</v>
      </c>
      <c r="K256" s="273">
        <f>Drag!L183</f>
        <v>46.21373642170807</v>
      </c>
      <c r="L256" s="273">
        <f>Drag!M183</f>
        <v>460.0983203297418</v>
      </c>
      <c r="M256" s="43"/>
    </row>
    <row r="257" spans="1:13">
      <c r="A257" s="43">
        <f>B257^2/(2*'Performance T_O'!$C$23)</f>
        <v>405.13898079999518</v>
      </c>
      <c r="B257">
        <f>Drag!K184</f>
        <v>80</v>
      </c>
      <c r="C257" s="43">
        <f>Drag!L184</f>
        <v>47.398704022264688</v>
      </c>
      <c r="D257" s="69">
        <f>(1/2)*Drag!$C$109*B257^2*$C$152*$C$3</f>
        <v>3193.9759545905085</v>
      </c>
      <c r="E257" s="43">
        <f>General!C$7</f>
        <v>18875</v>
      </c>
      <c r="I257" s="43">
        <f>J257^2/(2*'Performance T_O'!$C$23)</f>
        <v>405.13898079999518</v>
      </c>
      <c r="J257" s="43">
        <f>Drag!K184</f>
        <v>80</v>
      </c>
      <c r="K257" s="43">
        <f>Drag!L184</f>
        <v>47.398704022264688</v>
      </c>
      <c r="L257" s="43">
        <f>Drag!M184</f>
        <v>483.99560323970212</v>
      </c>
      <c r="M257" s="43"/>
    </row>
    <row r="258" spans="1:13">
      <c r="A258" s="273">
        <f>B258^2/(2*'Performance T_O'!$C$23)</f>
        <v>425.64914170299494</v>
      </c>
      <c r="B258">
        <f>Drag!K185</f>
        <v>82</v>
      </c>
      <c r="C258" s="43">
        <f>Drag!L185</f>
        <v>48.583671622821306</v>
      </c>
      <c r="D258" s="69">
        <f>(1/2)*Drag!$C$109*B258^2*$C$152*$C$3</f>
        <v>3355.6709872916531</v>
      </c>
      <c r="E258" s="43">
        <f>General!C$7</f>
        <v>18875</v>
      </c>
      <c r="I258" s="273">
        <f>J258^2/(2*'Performance T_O'!$C$23)</f>
        <v>425.64914170299494</v>
      </c>
      <c r="J258" s="273">
        <f>Drag!K185</f>
        <v>82</v>
      </c>
      <c r="K258" s="273">
        <f>Drag!L185</f>
        <v>48.583671622821306</v>
      </c>
      <c r="L258" s="273">
        <f>Drag!M185</f>
        <v>508.497880653712</v>
      </c>
      <c r="M258" s="43"/>
    </row>
    <row r="259" spans="1:13">
      <c r="A259" s="43">
        <f>B259^2/(2*'Performance T_O'!$C$23)</f>
        <v>446.66572633199473</v>
      </c>
      <c r="B259">
        <f>Drag!K186</f>
        <v>84</v>
      </c>
      <c r="C259" s="43">
        <f>Drag!L186</f>
        <v>49.768639223377924</v>
      </c>
      <c r="D259" s="69">
        <f>(1/2)*Drag!$C$109*B259^2*$C$152*$C$3</f>
        <v>3521.3584899360353</v>
      </c>
      <c r="E259" s="43">
        <f>General!C$7</f>
        <v>18875</v>
      </c>
      <c r="I259" s="43">
        <f>J259^2/(2*'Performance T_O'!$C$23)</f>
        <v>446.66572633199473</v>
      </c>
      <c r="J259" s="43">
        <f>Drag!K186</f>
        <v>84</v>
      </c>
      <c r="K259" s="43">
        <f>Drag!L186</f>
        <v>49.768639223377924</v>
      </c>
      <c r="L259" s="43">
        <f>Drag!M186</f>
        <v>533.60515257177144</v>
      </c>
      <c r="M259" s="43"/>
    </row>
    <row r="260" spans="1:13">
      <c r="A260" s="273">
        <f>B260^2/(2*'Performance T_O'!$C$23)</f>
        <v>468.18873468699445</v>
      </c>
      <c r="B260">
        <f>Drag!K187</f>
        <v>86</v>
      </c>
      <c r="C260" s="43">
        <f>Drag!L187</f>
        <v>50.953606823934543</v>
      </c>
      <c r="D260" s="69">
        <f>(1/2)*Drag!$C$109*B260^2*$C$152*$C$3</f>
        <v>3691.0384625236566</v>
      </c>
      <c r="E260" s="43">
        <f>General!C$7</f>
        <v>18875</v>
      </c>
      <c r="I260" s="273">
        <f>J260^2/(2*'Performance T_O'!$C$23)</f>
        <v>468.18873468699445</v>
      </c>
      <c r="J260" s="273">
        <f>Drag!K187</f>
        <v>86</v>
      </c>
      <c r="K260" s="273">
        <f>Drag!L187</f>
        <v>50.953606823934543</v>
      </c>
      <c r="L260" s="273">
        <f>Drag!M187</f>
        <v>559.31741899388078</v>
      </c>
      <c r="M260" s="43"/>
    </row>
    <row r="261" spans="1:13">
      <c r="A261" s="43">
        <f>B261^2/(2*'Performance T_O'!$C$23)</f>
        <v>490.21816676799421</v>
      </c>
      <c r="B261">
        <f>Drag!K188</f>
        <v>88</v>
      </c>
      <c r="C261" s="43">
        <f>Drag!L188</f>
        <v>52.138574424491154</v>
      </c>
      <c r="D261" s="69">
        <f>(1/2)*Drag!$C$109*B261^2*$C$152*$C$3</f>
        <v>3864.7109050545155</v>
      </c>
      <c r="E261" s="43">
        <f>General!C$7</f>
        <v>18875</v>
      </c>
      <c r="I261" s="43">
        <f>J261^2/(2*'Performance T_O'!$C$23)</f>
        <v>490.21816676799421</v>
      </c>
      <c r="J261" s="43">
        <f>Drag!K188</f>
        <v>88</v>
      </c>
      <c r="K261" s="43">
        <f>Drag!L188</f>
        <v>52.138574424491154</v>
      </c>
      <c r="L261" s="43">
        <f>Drag!M188</f>
        <v>585.63467992003962</v>
      </c>
      <c r="M261" s="43"/>
    </row>
    <row r="262" spans="1:13">
      <c r="A262" s="273">
        <f>B262^2/(2*'Performance T_O'!$C$23)</f>
        <v>512.75402257499388</v>
      </c>
      <c r="B262">
        <f>Drag!K189</f>
        <v>90</v>
      </c>
      <c r="C262" s="43">
        <f>Drag!L189</f>
        <v>53.323542025047772</v>
      </c>
      <c r="D262" s="69">
        <f>(1/2)*Drag!$C$109*B262^2*$C$152*$C$3</f>
        <v>4042.375817528613</v>
      </c>
      <c r="E262" s="43">
        <f>General!C$7</f>
        <v>18875</v>
      </c>
      <c r="I262" s="273">
        <f>J262^2/(2*'Performance T_O'!$C$23)</f>
        <v>512.75402257499388</v>
      </c>
      <c r="J262" s="273">
        <f>Drag!K189</f>
        <v>90</v>
      </c>
      <c r="K262" s="273">
        <f>Drag!L189</f>
        <v>53.323542025047772</v>
      </c>
      <c r="L262" s="273">
        <f>Drag!M189</f>
        <v>612.55693535024795</v>
      </c>
      <c r="M262" s="43"/>
    </row>
    <row r="263" spans="1:13">
      <c r="A263" s="43">
        <f>B263^2/(2*'Performance T_O'!$C$23)</f>
        <v>535.7963021079936</v>
      </c>
      <c r="B263">
        <f>Drag!K190</f>
        <v>92</v>
      </c>
      <c r="C263" s="43">
        <f>Drag!L190</f>
        <v>54.50850962560439</v>
      </c>
      <c r="D263" s="69">
        <f>(1/2)*Drag!$C$109*B263^2*$C$152*$C$3</f>
        <v>4224.0331999459477</v>
      </c>
      <c r="E263" s="43">
        <f>General!C$7</f>
        <v>18875</v>
      </c>
      <c r="I263" s="43">
        <f>J263^2/(2*'Performance T_O'!$C$23)</f>
        <v>535.7963021079936</v>
      </c>
      <c r="J263" s="43">
        <f>Drag!K190</f>
        <v>92</v>
      </c>
      <c r="K263" s="43">
        <f>Drag!L190</f>
        <v>54.50850962560439</v>
      </c>
      <c r="L263" s="43">
        <f>Drag!M190</f>
        <v>640.08418528450613</v>
      </c>
      <c r="M263" s="43"/>
    </row>
    <row r="264" spans="1:13">
      <c r="A264" s="273">
        <f>B264^2/(2*'Performance T_O'!$C$23)</f>
        <v>559.34500536699341</v>
      </c>
      <c r="B264">
        <f>Drag!K191</f>
        <v>94</v>
      </c>
      <c r="C264" s="43">
        <f>Drag!L191</f>
        <v>55.693477226161008</v>
      </c>
      <c r="D264" s="69">
        <f>(1/2)*Drag!$C$109*B264^2*$C$152*$C$3</f>
        <v>4409.6830523065209</v>
      </c>
      <c r="E264" s="43">
        <f>General!C$7</f>
        <v>18875</v>
      </c>
      <c r="I264" s="273">
        <f>J264^2/(2*'Performance T_O'!$C$23)</f>
        <v>559.34500536699341</v>
      </c>
      <c r="J264" s="273">
        <f>Drag!K191</f>
        <v>94</v>
      </c>
      <c r="K264" s="273">
        <f>Drag!L191</f>
        <v>55.693477226161008</v>
      </c>
      <c r="L264" s="273">
        <f>Drag!M191</f>
        <v>668.21642972281359</v>
      </c>
      <c r="M264" s="43"/>
    </row>
    <row r="265" spans="1:13">
      <c r="A265" s="43">
        <f>B265^2/(2*'Performance T_O'!$C$23)</f>
        <v>583.40013235199308</v>
      </c>
      <c r="B265">
        <f>Drag!K192</f>
        <v>96</v>
      </c>
      <c r="C265" s="43">
        <f>Drag!L192</f>
        <v>56.878444826717626</v>
      </c>
      <c r="D265" s="69">
        <f>(1/2)*Drag!$C$109*B265^2*$C$152*$C$3</f>
        <v>4599.3253746103319</v>
      </c>
      <c r="E265" s="43">
        <f>General!C$7</f>
        <v>18875</v>
      </c>
      <c r="I265" s="43">
        <f>J265^2/(2*'Performance T_O'!$C$23)</f>
        <v>583.40013235199308</v>
      </c>
      <c r="J265" s="43">
        <f>Drag!K192</f>
        <v>96</v>
      </c>
      <c r="K265" s="43">
        <f>Drag!L192</f>
        <v>56.878444826717626</v>
      </c>
      <c r="L265" s="43">
        <f>Drag!M192</f>
        <v>696.95366866517099</v>
      </c>
      <c r="M265" s="43"/>
    </row>
    <row r="266" spans="1:13">
      <c r="A266" s="273">
        <f>B266^2/(2*'Performance T_O'!$C$23)</f>
        <v>607.96168306299285</v>
      </c>
      <c r="B266">
        <f>Drag!K193</f>
        <v>98</v>
      </c>
      <c r="C266" s="43">
        <f>Drag!L193</f>
        <v>58.063412427274244</v>
      </c>
      <c r="D266" s="69">
        <f>(1/2)*Drag!$C$109*B266^2*$C$152*$C$3</f>
        <v>4792.9601668573823</v>
      </c>
      <c r="E266" s="43">
        <f>General!C$7</f>
        <v>18875</v>
      </c>
      <c r="I266" s="273">
        <f>J266^2/(2*'Performance T_O'!$C$23)</f>
        <v>607.96168306299285</v>
      </c>
      <c r="J266" s="273">
        <f>Drag!K193</f>
        <v>98</v>
      </c>
      <c r="K266" s="273">
        <f>Drag!L193</f>
        <v>58.063412427274244</v>
      </c>
      <c r="L266" s="273">
        <f>Drag!M193</f>
        <v>726.2959021115779</v>
      </c>
      <c r="M266" s="43"/>
    </row>
    <row r="267" spans="1:13">
      <c r="A267" s="43">
        <f>B267^2/(2*'Performance T_O'!$C$23)</f>
        <v>633.02965749999248</v>
      </c>
      <c r="B267">
        <f>Drag!K194</f>
        <v>100</v>
      </c>
      <c r="C267" s="43">
        <f>Drag!L194</f>
        <v>59.248380027830862</v>
      </c>
      <c r="D267" s="69">
        <f>(1/2)*Drag!$C$109*B267^2*$C$152*$C$3</f>
        <v>4990.5874290476686</v>
      </c>
      <c r="E267" s="43">
        <f>General!C$7</f>
        <v>18875</v>
      </c>
      <c r="I267" s="43">
        <f>J267^2/(2*'Performance T_O'!$C$23)</f>
        <v>633.02965749999248</v>
      </c>
      <c r="J267" s="43">
        <f>Drag!K194</f>
        <v>100</v>
      </c>
      <c r="K267" s="43">
        <f>Drag!L194</f>
        <v>59.248380027830862</v>
      </c>
      <c r="L267" s="43">
        <f>Drag!M194</f>
        <v>756.24313006203442</v>
      </c>
      <c r="M267" s="43"/>
    </row>
    <row r="268" spans="1:13">
      <c r="A268" s="273">
        <f>B268^2/(2*'Performance T_O'!$C$23)</f>
        <v>658.60405566299221</v>
      </c>
      <c r="B268">
        <f>Drag!K195</f>
        <v>102</v>
      </c>
      <c r="C268" s="43">
        <f>Drag!L195</f>
        <v>60.43334762838748</v>
      </c>
      <c r="D268" s="69">
        <f>(1/2)*Drag!$C$109*B268^2*$C$152*$C$3</f>
        <v>5192.2071611811953</v>
      </c>
      <c r="E268" s="43">
        <f>General!C$7</f>
        <v>18875</v>
      </c>
      <c r="I268" s="273">
        <f>J268^2/(2*'Performance T_O'!$C$23)</f>
        <v>658.60405566299221</v>
      </c>
      <c r="J268" s="273">
        <f>Drag!K195</f>
        <v>102</v>
      </c>
      <c r="K268" s="273">
        <f>Drag!L195</f>
        <v>60.43334762838748</v>
      </c>
      <c r="L268" s="273">
        <f>Drag!M195</f>
        <v>786.79535251654067</v>
      </c>
      <c r="M268" s="43"/>
    </row>
    <row r="269" spans="1:13">
      <c r="A269" s="43">
        <f>B269^2/(2*'Performance T_O'!$C$23)</f>
        <v>684.68487755199192</v>
      </c>
      <c r="B269">
        <f>Drag!K196</f>
        <v>104</v>
      </c>
      <c r="C269" s="43">
        <f>Drag!L196</f>
        <v>61.618315228944091</v>
      </c>
      <c r="D269" s="69">
        <f>(1/2)*Drag!$C$109*B269^2*$C$152*$C$3</f>
        <v>5397.8193632579596</v>
      </c>
      <c r="E269" s="43">
        <f>General!C$7</f>
        <v>18875</v>
      </c>
      <c r="I269" s="43">
        <f>J269^2/(2*'Performance T_O'!$C$23)</f>
        <v>684.68487755199192</v>
      </c>
      <c r="J269" s="43">
        <f>Drag!K196</f>
        <v>104</v>
      </c>
      <c r="K269" s="43">
        <f>Drag!L196</f>
        <v>61.618315228944091</v>
      </c>
      <c r="L269" s="43">
        <f>Drag!M196</f>
        <v>817.95256947509642</v>
      </c>
      <c r="M269" s="43"/>
    </row>
    <row r="270" spans="1:13">
      <c r="A270" s="273">
        <f>B270^2/(2*'Performance T_O'!$C$23)</f>
        <v>711.27212316699161</v>
      </c>
      <c r="B270">
        <f>Drag!K197</f>
        <v>106</v>
      </c>
      <c r="C270" s="43">
        <f>Drag!L197</f>
        <v>62.803282829500709</v>
      </c>
      <c r="D270" s="69">
        <f>(1/2)*Drag!$C$109*B270^2*$C$152*$C$3</f>
        <v>5607.4240352779616</v>
      </c>
      <c r="E270" s="43">
        <f>General!C$7</f>
        <v>18875</v>
      </c>
      <c r="I270" s="273">
        <f>J270^2/(2*'Performance T_O'!$C$23)</f>
        <v>711.27212316699161</v>
      </c>
      <c r="J270" s="273">
        <f>Drag!K197</f>
        <v>106</v>
      </c>
      <c r="K270" s="273">
        <f>Drag!L197</f>
        <v>62.803282829500709</v>
      </c>
      <c r="L270" s="273">
        <f>Drag!M197</f>
        <v>849.7147809377019</v>
      </c>
      <c r="M270" s="43"/>
    </row>
    <row r="271" spans="1:13">
      <c r="A271" s="43">
        <f>B271^2/(2*'Performance T_O'!$C$23)</f>
        <v>738.36579250799127</v>
      </c>
      <c r="B271">
        <f>Drag!K198</f>
        <v>108</v>
      </c>
      <c r="C271" s="43">
        <f>Drag!L198</f>
        <v>63.988250430057327</v>
      </c>
      <c r="D271" s="69">
        <f>(1/2)*Drag!$C$109*B271^2*$C$152*$C$3</f>
        <v>5821.0211772412013</v>
      </c>
      <c r="E271" s="43">
        <f>General!C$7</f>
        <v>18875</v>
      </c>
      <c r="I271" s="43">
        <f>J271^2/(2*'Performance T_O'!$C$23)</f>
        <v>738.36579250799127</v>
      </c>
      <c r="J271" s="43">
        <f>Drag!K198</f>
        <v>108</v>
      </c>
      <c r="K271" s="43">
        <f>Drag!L198</f>
        <v>63.988250430057327</v>
      </c>
      <c r="L271" s="43">
        <f>Drag!M198</f>
        <v>882.081986904357</v>
      </c>
      <c r="M271" s="43"/>
    </row>
    <row r="272" spans="1:13">
      <c r="A272" s="273">
        <f>B272^2/(2*'Performance T_O'!$C$23)</f>
        <v>765.96588557499092</v>
      </c>
      <c r="B272">
        <f>Drag!K199</f>
        <v>110</v>
      </c>
      <c r="C272" s="43">
        <f>Drag!L199</f>
        <v>65.173218030613953</v>
      </c>
      <c r="D272" s="69">
        <f>(1/2)*Drag!$C$109*B272^2*$C$152*$C$3</f>
        <v>6038.6107891476795</v>
      </c>
      <c r="E272" s="43">
        <f>General!C$7</f>
        <v>18875</v>
      </c>
      <c r="I272" s="273">
        <f>J272^2/(2*'Performance T_O'!$C$23)</f>
        <v>765.96588557499092</v>
      </c>
      <c r="J272" s="273">
        <f>Drag!K199</f>
        <v>110</v>
      </c>
      <c r="K272" s="273">
        <f>Drag!L199</f>
        <v>65.173218030613953</v>
      </c>
      <c r="L272" s="273">
        <f>Drag!M199</f>
        <v>915.0541873750617</v>
      </c>
      <c r="M272" s="43"/>
    </row>
    <row r="273" spans="1:13">
      <c r="A273" s="43">
        <f>B273^2/(2*'Performance T_O'!$C$23)</f>
        <v>794.07240236799055</v>
      </c>
      <c r="B273">
        <f>Drag!K200</f>
        <v>112</v>
      </c>
      <c r="C273" s="43">
        <f>Drag!L200</f>
        <v>66.358185631170556</v>
      </c>
      <c r="D273" s="69">
        <f>(1/2)*Drag!$C$109*B273^2*$C$152*$C$3</f>
        <v>6260.1928709973972</v>
      </c>
      <c r="E273" s="43">
        <f>General!C$7</f>
        <v>18875</v>
      </c>
      <c r="I273" s="43">
        <f>J273^2/(2*'Performance T_O'!$C$23)</f>
        <v>794.07240236799055</v>
      </c>
      <c r="J273" s="43">
        <f>Drag!K200</f>
        <v>112</v>
      </c>
      <c r="K273" s="43">
        <f>Drag!L200</f>
        <v>66.358185631170556</v>
      </c>
      <c r="L273" s="43">
        <f>Drag!M200</f>
        <v>948.63138234981614</v>
      </c>
      <c r="M273" s="43"/>
    </row>
    <row r="274" spans="1:13">
      <c r="A274" s="273">
        <f>B274^2/(2*'Performance T_O'!$C$23)</f>
        <v>822.68534288699027</v>
      </c>
      <c r="B274">
        <f>Drag!K201</f>
        <v>114</v>
      </c>
      <c r="C274" s="43">
        <f>Drag!L201</f>
        <v>67.543153231727175</v>
      </c>
      <c r="D274" s="69">
        <f>(1/2)*Drag!$C$109*B274^2*$C$152*$C$3</f>
        <v>6485.7674227903508</v>
      </c>
      <c r="E274" s="43">
        <f>General!C$7</f>
        <v>18875</v>
      </c>
      <c r="I274" s="273">
        <f>J274^2/(2*'Performance T_O'!$C$23)</f>
        <v>822.68534288699027</v>
      </c>
      <c r="J274" s="273">
        <f>Drag!K201</f>
        <v>114</v>
      </c>
      <c r="K274" s="273">
        <f>Drag!L201</f>
        <v>67.543153231727175</v>
      </c>
      <c r="L274" s="273">
        <f>Drag!M201</f>
        <v>982.81357182862007</v>
      </c>
      <c r="M274" s="43"/>
    </row>
    <row r="275" spans="1:13">
      <c r="A275" s="43">
        <f>B275^2/(2*'Performance T_O'!$C$23)</f>
        <v>851.80470713198986</v>
      </c>
      <c r="B275">
        <f>Drag!K202</f>
        <v>116</v>
      </c>
      <c r="C275" s="43">
        <f>Drag!L202</f>
        <v>68.728120832283793</v>
      </c>
      <c r="D275" s="69">
        <f>(1/2)*Drag!$C$109*B275^2*$C$152*$C$3</f>
        <v>6715.3344445265448</v>
      </c>
      <c r="E275" s="43">
        <f>General!C$7</f>
        <v>18875</v>
      </c>
      <c r="I275" s="43">
        <f>J275^2/(2*'Performance T_O'!$C$23)</f>
        <v>851.80470713198986</v>
      </c>
      <c r="J275" s="43">
        <f>Drag!K202</f>
        <v>116</v>
      </c>
      <c r="K275" s="43">
        <f>Drag!L202</f>
        <v>68.728120832283793</v>
      </c>
      <c r="L275" s="43">
        <f>Drag!M202</f>
        <v>1017.6007558114737</v>
      </c>
      <c r="M275" s="43"/>
    </row>
    <row r="276" spans="1:13">
      <c r="A276" s="273">
        <f>B276^2/(2*'Performance T_O'!$C$23)</f>
        <v>881.43049510298954</v>
      </c>
      <c r="B276">
        <f>Drag!K203</f>
        <v>118</v>
      </c>
      <c r="C276" s="43">
        <f>Drag!L203</f>
        <v>69.913088432840411</v>
      </c>
      <c r="D276" s="69">
        <f>(1/2)*Drag!$C$109*B276^2*$C$152*$C$3</f>
        <v>6948.8939362059755</v>
      </c>
      <c r="E276" s="43">
        <f>General!C$7</f>
        <v>18875</v>
      </c>
      <c r="I276" s="273">
        <f>J276^2/(2*'Performance T_O'!$C$23)</f>
        <v>881.43049510298954</v>
      </c>
      <c r="J276" s="273">
        <f>Drag!K203</f>
        <v>118</v>
      </c>
      <c r="K276" s="273">
        <f>Drag!L203</f>
        <v>69.913088432840411</v>
      </c>
      <c r="L276" s="273">
        <f>Drag!M203</f>
        <v>1052.9929342983769</v>
      </c>
      <c r="M276" s="43"/>
    </row>
    <row r="277" spans="1:13">
      <c r="A277" s="43">
        <f>B277^2/(2*'Performance T_O'!$C$23)</f>
        <v>911.5627067999892</v>
      </c>
      <c r="B277">
        <f>Drag!K204</f>
        <v>120</v>
      </c>
      <c r="C277" s="43">
        <f>Drag!L204</f>
        <v>71.098056033397029</v>
      </c>
      <c r="D277" s="69">
        <f>(1/2)*Drag!$C$109*B277^2*$C$152*$C$3</f>
        <v>7186.4458978286448</v>
      </c>
      <c r="E277" s="43">
        <f>General!C$7</f>
        <v>18875</v>
      </c>
      <c r="I277" s="43">
        <f>J277^2/(2*'Performance T_O'!$C$23)</f>
        <v>911.5627067999892</v>
      </c>
      <c r="J277" s="43">
        <f>Drag!K204</f>
        <v>120</v>
      </c>
      <c r="K277" s="43">
        <f>Drag!L204</f>
        <v>71.098056033397029</v>
      </c>
      <c r="L277" s="43">
        <f>Drag!M204</f>
        <v>1088.9901072893299</v>
      </c>
      <c r="M277" s="43"/>
    </row>
    <row r="278" spans="1:13">
      <c r="A278" s="273">
        <f>B278^2/(2*'Performance T_O'!$C$23)</f>
        <v>942.20134222298884</v>
      </c>
      <c r="B278">
        <f>Drag!K205</f>
        <v>122</v>
      </c>
      <c r="C278" s="43">
        <f>Drag!L205</f>
        <v>72.283023633953647</v>
      </c>
      <c r="D278" s="69">
        <f>(1/2)*Drag!$C$109*B278^2*$C$152*$C$3</f>
        <v>7427.9903293945508</v>
      </c>
      <c r="E278" s="43">
        <f>General!C$7</f>
        <v>18875</v>
      </c>
      <c r="I278" s="273">
        <f>J278^2/(2*'Performance T_O'!$C$23)</f>
        <v>942.20134222298884</v>
      </c>
      <c r="J278" s="273">
        <f>Drag!K205</f>
        <v>122</v>
      </c>
      <c r="K278" s="273">
        <f>Drag!L205</f>
        <v>72.283023633953647</v>
      </c>
      <c r="L278" s="273">
        <f>Drag!M205</f>
        <v>1125.5922747843322</v>
      </c>
      <c r="M278" s="43"/>
    </row>
    <row r="279" spans="1:13">
      <c r="A279" s="43">
        <f>B279^2/(2*'Performance T_O'!$C$23)</f>
        <v>973.34640137198846</v>
      </c>
      <c r="B279">
        <f>Drag!K206</f>
        <v>124</v>
      </c>
      <c r="C279" s="43">
        <f>Drag!L206</f>
        <v>73.467991234510265</v>
      </c>
      <c r="D279" s="69">
        <f>(1/2)*Drag!$C$109*B279^2*$C$152*$C$3</f>
        <v>7673.5272309036973</v>
      </c>
      <c r="E279" s="43">
        <f>General!C$7</f>
        <v>18875</v>
      </c>
      <c r="I279" s="43">
        <f>J279^2/(2*'Performance T_O'!$C$23)</f>
        <v>973.34640137198846</v>
      </c>
      <c r="J279" s="43">
        <f>Drag!K206</f>
        <v>124</v>
      </c>
      <c r="K279" s="43">
        <f>Drag!L206</f>
        <v>73.467991234510265</v>
      </c>
      <c r="L279" s="43">
        <f>Drag!M206</f>
        <v>1162.7994367833842</v>
      </c>
      <c r="M279" s="43"/>
    </row>
    <row r="280" spans="1:13">
      <c r="A280" s="273">
        <f>B280^2/(2*'Performance T_O'!$C$23)</f>
        <v>1004.9978842469881</v>
      </c>
      <c r="B280">
        <f>Drag!K207</f>
        <v>126</v>
      </c>
      <c r="C280" s="43">
        <f>Drag!L207</f>
        <v>74.652958835066883</v>
      </c>
      <c r="D280" s="69">
        <f>(1/2)*Drag!$C$109*B280^2*$C$152*$C$3</f>
        <v>7923.0566023560805</v>
      </c>
      <c r="E280" s="43">
        <f>General!C$7</f>
        <v>18875</v>
      </c>
      <c r="I280" s="273">
        <f>J280^2/(2*'Performance T_O'!$C$23)</f>
        <v>1004.9978842469881</v>
      </c>
      <c r="J280" s="273">
        <f>Drag!K207</f>
        <v>126</v>
      </c>
      <c r="K280" s="273">
        <f>Drag!L207</f>
        <v>74.652958835066883</v>
      </c>
      <c r="L280" s="273">
        <f>Drag!M207</f>
        <v>1200.6115932864859</v>
      </c>
      <c r="M280" s="43"/>
    </row>
    <row r="281" spans="1:13">
      <c r="A281" s="43">
        <f>B281^2/(2*'Performance T_O'!$C$23)</f>
        <v>1037.1557908479876</v>
      </c>
      <c r="B281">
        <f>Drag!K208</f>
        <v>128</v>
      </c>
      <c r="C281" s="43">
        <f>Drag!L208</f>
        <v>75.837926435623501</v>
      </c>
      <c r="D281" s="69">
        <f>(1/2)*Drag!$C$109*B281^2*$C$152*$C$3</f>
        <v>8176.5784437517013</v>
      </c>
      <c r="E281" s="43">
        <f>General!C$7</f>
        <v>18875</v>
      </c>
      <c r="I281" s="43">
        <f>J281^2/(2*'Performance T_O'!$C$23)</f>
        <v>1037.1557908479876</v>
      </c>
      <c r="J281" s="43">
        <f>Drag!K208</f>
        <v>128</v>
      </c>
      <c r="K281" s="43">
        <f>Drag!L208</f>
        <v>75.837926435623501</v>
      </c>
      <c r="L281" s="43">
        <f>Drag!M208</f>
        <v>1239.0287442936374</v>
      </c>
      <c r="M281" s="43"/>
    </row>
    <row r="282" spans="1:13">
      <c r="A282" s="273">
        <f>B282^2/(2*'Performance T_O'!$C$23)</f>
        <v>1069.8201211749874</v>
      </c>
      <c r="B282">
        <f>Drag!K209</f>
        <v>130</v>
      </c>
      <c r="C282" s="43">
        <f>Drag!L209</f>
        <v>77.022894036180119</v>
      </c>
      <c r="D282" s="69">
        <f>(1/2)*Drag!$C$109*B282^2*$C$152*$C$3</f>
        <v>8434.0927550905617</v>
      </c>
      <c r="E282" s="43">
        <f>General!C$7</f>
        <v>18875</v>
      </c>
      <c r="I282" s="273">
        <f>J282^2/(2*'Performance T_O'!$C$23)</f>
        <v>1069.8201211749874</v>
      </c>
      <c r="J282" s="273">
        <f>Drag!K209</f>
        <v>130</v>
      </c>
      <c r="K282" s="273">
        <f>Drag!L209</f>
        <v>77.022894036180119</v>
      </c>
      <c r="L282" s="273">
        <f>Drag!M209</f>
        <v>1278.0508898048383</v>
      </c>
      <c r="M282" s="43"/>
    </row>
    <row r="283" spans="1:13">
      <c r="A283" s="43">
        <f>B283^2/(2*'Performance T_O'!$C$23)</f>
        <v>1102.9908752279869</v>
      </c>
      <c r="B283">
        <f>Drag!K210</f>
        <v>132</v>
      </c>
      <c r="C283" s="43">
        <f>Drag!L210</f>
        <v>78.207861636736737</v>
      </c>
      <c r="D283" s="69">
        <f>(1/2)*Drag!$C$109*B283^2*$C$152*$C$3</f>
        <v>8695.5995363726597</v>
      </c>
      <c r="E283" s="43">
        <f>General!C$7</f>
        <v>18875</v>
      </c>
      <c r="I283" s="43">
        <f>J283^2/(2*'Performance T_O'!$C$23)</f>
        <v>1102.9908752279869</v>
      </c>
      <c r="J283" s="43">
        <f>Drag!K210</f>
        <v>132</v>
      </c>
      <c r="K283" s="43">
        <f>Drag!L210</f>
        <v>78.207861636736737</v>
      </c>
      <c r="L283" s="43">
        <f>Drag!M210</f>
        <v>1317.678029820089</v>
      </c>
      <c r="M283" s="43"/>
    </row>
    <row r="284" spans="1:13">
      <c r="A284" s="273">
        <f>B284^2/(2*'Performance T_O'!$C$23)</f>
        <v>1136.6680530069866</v>
      </c>
      <c r="B284">
        <f>Drag!K211</f>
        <v>134</v>
      </c>
      <c r="C284" s="43">
        <f>Drag!L211</f>
        <v>79.392829237293356</v>
      </c>
      <c r="D284" s="69">
        <f>(1/2)*Drag!$C$109*B284^2*$C$152*$C$3</f>
        <v>8961.0987875979954</v>
      </c>
      <c r="E284" s="43">
        <f>General!C$7</f>
        <v>18875</v>
      </c>
      <c r="I284" s="273">
        <f>J284^2/(2*'Performance T_O'!$C$23)</f>
        <v>1136.6680530069866</v>
      </c>
      <c r="J284" s="273">
        <f>Drag!K211</f>
        <v>134</v>
      </c>
      <c r="K284" s="273">
        <f>Drag!L211</f>
        <v>79.392829237293356</v>
      </c>
      <c r="L284" s="273">
        <f>Drag!M211</f>
        <v>1357.9101643393892</v>
      </c>
      <c r="M284" s="43"/>
    </row>
    <row r="285" spans="1:13">
      <c r="A285" s="43">
        <f>B285^2/(2*'Performance T_O'!$C$23)</f>
        <v>1170.8516545119862</v>
      </c>
      <c r="B285">
        <f>Drag!K212</f>
        <v>136</v>
      </c>
      <c r="C285" s="43">
        <f>Drag!L212</f>
        <v>80.577796837849974</v>
      </c>
      <c r="D285" s="69">
        <f>(1/2)*Drag!$C$109*B285^2*$C$152*$C$3</f>
        <v>9230.5905087665706</v>
      </c>
      <c r="E285" s="43">
        <f>General!C$7</f>
        <v>18875</v>
      </c>
      <c r="I285" s="43">
        <f>J285^2/(2*'Performance T_O'!$C$23)</f>
        <v>1170.8516545119862</v>
      </c>
      <c r="J285" s="43">
        <f>Drag!K212</f>
        <v>136</v>
      </c>
      <c r="K285" s="43">
        <f>Drag!L212</f>
        <v>80.577796837849974</v>
      </c>
      <c r="L285" s="43">
        <f>Drag!M212</f>
        <v>1398.7472933627391</v>
      </c>
      <c r="M285" s="43"/>
    </row>
    <row r="286" spans="1:13">
      <c r="A286" s="273">
        <f>B286^2/(2*'Performance T_O'!$C$23)</f>
        <v>1205.5416797429857</v>
      </c>
      <c r="B286">
        <f>Drag!K213</f>
        <v>138</v>
      </c>
      <c r="C286" s="43">
        <f>Drag!L213</f>
        <v>81.762764438406592</v>
      </c>
      <c r="D286" s="69">
        <f>(1/2)*Drag!$C$109*B286^2*$C$152*$C$3</f>
        <v>9504.0746998783816</v>
      </c>
      <c r="E286" s="43">
        <f>General!C$7</f>
        <v>18875</v>
      </c>
      <c r="I286" s="273">
        <f>J286^2/(2*'Performance T_O'!$C$23)</f>
        <v>1205.5416797429857</v>
      </c>
      <c r="J286" s="273">
        <f>Drag!K213</f>
        <v>138</v>
      </c>
      <c r="K286" s="273">
        <f>Drag!L213</f>
        <v>81.762764438406592</v>
      </c>
      <c r="L286" s="273">
        <f>Drag!M213</f>
        <v>1440.1894168901385</v>
      </c>
      <c r="M286" s="43"/>
    </row>
    <row r="287" spans="1:13">
      <c r="A287" s="43">
        <f>B287^2/(2*'Performance T_O'!$C$23)</f>
        <v>1240.7381286999853</v>
      </c>
      <c r="B287">
        <f>Drag!K214</f>
        <v>140</v>
      </c>
      <c r="C287" s="43">
        <f>Drag!L214</f>
        <v>82.94773203896321</v>
      </c>
      <c r="D287" s="69">
        <f>(1/2)*Drag!$C$109*B287^2*$C$152*$C$3</f>
        <v>9781.5513609334321</v>
      </c>
      <c r="E287" s="43">
        <f>General!C$7</f>
        <v>18875</v>
      </c>
      <c r="I287" s="43">
        <f>J287^2/(2*'Performance T_O'!$C$23)</f>
        <v>1240.7381286999853</v>
      </c>
      <c r="J287" s="43">
        <f>Drag!K214</f>
        <v>140</v>
      </c>
      <c r="K287" s="43">
        <f>Drag!L214</f>
        <v>82.94773203896321</v>
      </c>
      <c r="L287" s="43">
        <f>Drag!M214</f>
        <v>1482.2365349215875</v>
      </c>
      <c r="M287" s="43"/>
    </row>
    <row r="288" spans="1:13">
      <c r="A288" s="273">
        <f>B288^2/(2*'Performance T_O'!$C$23)</f>
        <v>1276.441001382985</v>
      </c>
      <c r="B288">
        <f>Drag!K215</f>
        <v>142</v>
      </c>
      <c r="C288" s="43">
        <f>Drag!L215</f>
        <v>84.132699639519828</v>
      </c>
      <c r="D288" s="69">
        <f>(1/2)*Drag!$C$109*B288^2*$C$152*$C$3</f>
        <v>10063.02049193172</v>
      </c>
      <c r="E288" s="43">
        <f>General!C$7</f>
        <v>18875</v>
      </c>
      <c r="I288" s="273">
        <f>J288^2/(2*'Performance T_O'!$C$23)</f>
        <v>1276.441001382985</v>
      </c>
      <c r="J288" s="273">
        <f>Drag!K215</f>
        <v>142</v>
      </c>
      <c r="K288" s="273">
        <f>Drag!L215</f>
        <v>84.132699639519828</v>
      </c>
      <c r="L288" s="273">
        <f>Drag!M215</f>
        <v>1524.8886474570863</v>
      </c>
      <c r="M288" s="43"/>
    </row>
    <row r="289" spans="1:13">
      <c r="A289" s="43">
        <f>B289^2/(2*'Performance T_O'!$C$23)</f>
        <v>1312.6502977919845</v>
      </c>
      <c r="B289">
        <f>Drag!K216</f>
        <v>144</v>
      </c>
      <c r="C289" s="43">
        <f>Drag!L216</f>
        <v>85.317667240076432</v>
      </c>
      <c r="D289" s="69">
        <f>(1/2)*Drag!$C$109*B289^2*$C$152*$C$3</f>
        <v>10348.482092873248</v>
      </c>
      <c r="E289" s="43">
        <f>General!C$7</f>
        <v>18875</v>
      </c>
      <c r="I289" s="43">
        <f>J289^2/(2*'Performance T_O'!$C$23)</f>
        <v>1312.6502977919845</v>
      </c>
      <c r="J289" s="43">
        <f>Drag!K216</f>
        <v>144</v>
      </c>
      <c r="K289" s="43">
        <f>Drag!L216</f>
        <v>85.317667240076432</v>
      </c>
      <c r="L289" s="43">
        <f>Drag!M216</f>
        <v>1568.1457544966347</v>
      </c>
      <c r="M289" s="43"/>
    </row>
    <row r="290" spans="1:13">
      <c r="A290" s="273">
        <f>B290^2/(2*'Performance T_O'!$C$23)</f>
        <v>1349.3660179269841</v>
      </c>
      <c r="B290">
        <f>Drag!K217</f>
        <v>146</v>
      </c>
      <c r="C290" s="43">
        <f>Drag!L217</f>
        <v>86.50263484063305</v>
      </c>
      <c r="D290" s="69">
        <f>(1/2)*Drag!$C$109*B290^2*$C$152*$C$3</f>
        <v>10637.936163758013</v>
      </c>
      <c r="E290" s="43">
        <f>General!C$7</f>
        <v>18875</v>
      </c>
      <c r="I290" s="273">
        <f>J290^2/(2*'Performance T_O'!$C$23)</f>
        <v>1349.3660179269841</v>
      </c>
      <c r="J290" s="273">
        <f>Drag!K217</f>
        <v>146</v>
      </c>
      <c r="K290" s="273">
        <f>Drag!L217</f>
        <v>86.50263484063305</v>
      </c>
      <c r="L290" s="273">
        <f>Drag!M217</f>
        <v>1612.0078560402328</v>
      </c>
      <c r="M290" s="43"/>
    </row>
    <row r="291" spans="1:13">
      <c r="A291" s="43">
        <f>B291^2/(2*'Performance T_O'!$C$23)</f>
        <v>1386.5881617879836</v>
      </c>
      <c r="B291">
        <f>Drag!K218</f>
        <v>148</v>
      </c>
      <c r="C291" s="43">
        <f>Drag!L218</f>
        <v>87.687602441189668</v>
      </c>
      <c r="D291" s="69">
        <f>(1/2)*Drag!$C$109*B291^2*$C$152*$C$3</f>
        <v>10931.382704586014</v>
      </c>
      <c r="E291" s="43">
        <f>General!C$7</f>
        <v>18875</v>
      </c>
      <c r="I291" s="43">
        <f>J291^2/(2*'Performance T_O'!$C$23)</f>
        <v>1386.5881617879836</v>
      </c>
      <c r="J291" s="43">
        <f>Drag!K218</f>
        <v>148</v>
      </c>
      <c r="K291" s="43">
        <f>Drag!L218</f>
        <v>87.687602441189668</v>
      </c>
      <c r="L291" s="43">
        <f>Drag!M218</f>
        <v>1656.4749520878804</v>
      </c>
      <c r="M291" s="43"/>
    </row>
    <row r="292" spans="1:13">
      <c r="A292" s="273">
        <f>B292^2/(2*'Performance T_O'!$C$23)</f>
        <v>1424.3167293749832</v>
      </c>
      <c r="B292">
        <f>Drag!K219</f>
        <v>150</v>
      </c>
      <c r="C292" s="43">
        <f>Drag!L219</f>
        <v>88.872570041746286</v>
      </c>
      <c r="D292" s="69">
        <f>(1/2)*Drag!$C$109*B292^2*$C$152*$C$3</f>
        <v>11228.821715357257</v>
      </c>
      <c r="E292" s="43">
        <f>General!C$7</f>
        <v>18875</v>
      </c>
      <c r="I292" s="273">
        <f>J292^2/(2*'Performance T_O'!$C$23)</f>
        <v>1424.3167293749832</v>
      </c>
      <c r="J292" s="273">
        <f>Drag!K219</f>
        <v>150</v>
      </c>
      <c r="K292" s="273">
        <f>Drag!L219</f>
        <v>88.872570041746286</v>
      </c>
      <c r="L292" s="273">
        <f>Drag!M219</f>
        <v>1701.5470426395775</v>
      </c>
      <c r="M292" s="43"/>
    </row>
    <row r="293" spans="1:13">
      <c r="A293" s="43">
        <f>B293^2/(2*'Performance T_O'!$C$23)</f>
        <v>1462.5517206879827</v>
      </c>
      <c r="B293">
        <f>Drag!K220</f>
        <v>152</v>
      </c>
      <c r="C293" s="43">
        <f>Drag!L220</f>
        <v>90.057537642302904</v>
      </c>
      <c r="D293" s="69">
        <f>(1/2)*Drag!$C$109*B293^2*$C$152*$C$3</f>
        <v>11530.253196071737</v>
      </c>
      <c r="E293" s="43">
        <f>General!C$7</f>
        <v>18875</v>
      </c>
      <c r="I293" s="43">
        <f>J293^2/(2*'Performance T_O'!$C$23)</f>
        <v>1462.5517206879827</v>
      </c>
      <c r="J293" s="43">
        <f>Drag!K220</f>
        <v>152</v>
      </c>
      <c r="K293" s="43">
        <f>Drag!L220</f>
        <v>90.057537642302904</v>
      </c>
      <c r="L293" s="43">
        <f>Drag!M220</f>
        <v>1747.2241276953246</v>
      </c>
      <c r="M293" s="43"/>
    </row>
    <row r="294" spans="1:13">
      <c r="A294" s="273">
        <f>B294^2/(2*'Performance T_O'!$C$23)</f>
        <v>1501.2931357269822</v>
      </c>
      <c r="B294">
        <f>Drag!K221</f>
        <v>154</v>
      </c>
      <c r="C294" s="43">
        <f>Drag!L221</f>
        <v>91.242505242859522</v>
      </c>
      <c r="D294" s="69">
        <f>(1/2)*Drag!$C$109*B294^2*$C$152*$C$3</f>
        <v>11835.677146729453</v>
      </c>
      <c r="E294" s="43">
        <f>General!C$7</f>
        <v>18875</v>
      </c>
      <c r="I294" s="273">
        <f>J294^2/(2*'Performance T_O'!$C$23)</f>
        <v>1501.2931357269822</v>
      </c>
      <c r="J294" s="273">
        <f>Drag!K221</f>
        <v>154</v>
      </c>
      <c r="K294" s="273">
        <f>Drag!L221</f>
        <v>91.242505242859522</v>
      </c>
      <c r="L294" s="273">
        <f>Drag!M221</f>
        <v>1793.5062072551209</v>
      </c>
      <c r="M294" s="43"/>
    </row>
    <row r="295" spans="1:13">
      <c r="A295" s="43">
        <f>B295^2/(2*'Performance T_O'!$C$23)</f>
        <v>1540.5409744919818</v>
      </c>
      <c r="B295">
        <f>Drag!K222</f>
        <v>156</v>
      </c>
      <c r="C295" s="43">
        <f>Drag!L222</f>
        <v>92.42747284341614</v>
      </c>
      <c r="D295" s="69">
        <f>(1/2)*Drag!$C$109*B295^2*$C$152*$C$3</f>
        <v>12145.09356733041</v>
      </c>
      <c r="E295" s="43">
        <f>General!C$7</f>
        <v>18875</v>
      </c>
      <c r="I295" s="43">
        <f>J295^2/(2*'Performance T_O'!$C$23)</f>
        <v>1540.5409744919818</v>
      </c>
      <c r="J295" s="43">
        <f>Drag!K222</f>
        <v>156</v>
      </c>
      <c r="K295" s="43">
        <f>Drag!L222</f>
        <v>92.42747284341614</v>
      </c>
      <c r="L295" s="43">
        <f>Drag!M222</f>
        <v>1840.3932813189672</v>
      </c>
      <c r="M295" s="43"/>
    </row>
    <row r="296" spans="1:13">
      <c r="A296" s="273">
        <f>B296^2/(2*'Performance T_O'!$C$23)</f>
        <v>1580.2952369829814</v>
      </c>
      <c r="B296">
        <f>Drag!K223</f>
        <v>158</v>
      </c>
      <c r="C296" s="43">
        <f>Drag!L223</f>
        <v>93.612440443972758</v>
      </c>
      <c r="D296" s="69">
        <f>(1/2)*Drag!$C$109*B296^2*$C$152*$C$3</f>
        <v>12458.502457874602</v>
      </c>
      <c r="E296" s="43">
        <f>General!C$7</f>
        <v>18875</v>
      </c>
      <c r="I296" s="273">
        <f>J296^2/(2*'Performance T_O'!$C$23)</f>
        <v>1580.2952369829814</v>
      </c>
      <c r="J296" s="273">
        <f>Drag!K223</f>
        <v>158</v>
      </c>
      <c r="K296" s="273">
        <f>Drag!L223</f>
        <v>93.612440443972758</v>
      </c>
      <c r="L296" s="273">
        <f>Drag!M223</f>
        <v>1887.885349886863</v>
      </c>
    </row>
    <row r="297" spans="1:13">
      <c r="A297" s="43">
        <f>B297^2/(2*'Performance T_O'!$C$23)</f>
        <v>1620.5559231999807</v>
      </c>
      <c r="B297">
        <f>Drag!K224</f>
        <v>160</v>
      </c>
      <c r="C297" s="43">
        <f>Drag!L224</f>
        <v>94.797408044529377</v>
      </c>
      <c r="D297" s="69">
        <f>(1/2)*Drag!$C$109*B297^2*$C$152*$C$3</f>
        <v>12775.903818362034</v>
      </c>
      <c r="E297" s="43">
        <f>General!C$7</f>
        <v>18875</v>
      </c>
      <c r="I297" s="43">
        <f>J297^2/(2*'Performance T_O'!$C$23)</f>
        <v>1620.5559231999807</v>
      </c>
      <c r="J297" s="43">
        <f>Drag!K224</f>
        <v>160</v>
      </c>
      <c r="K297" s="43">
        <f>Drag!L224</f>
        <v>94.797408044529377</v>
      </c>
      <c r="L297" s="43">
        <f>Drag!M224</f>
        <v>1935.9824129588085</v>
      </c>
    </row>
    <row r="298" spans="1:13">
      <c r="A298" s="273">
        <f>B298^2/(2*'Performance T_O'!$C$23)</f>
        <v>1661.3230331429804</v>
      </c>
      <c r="B298">
        <f>Drag!K225</f>
        <v>162</v>
      </c>
      <c r="C298" s="43">
        <f>Drag!L225</f>
        <v>95.982375645085995</v>
      </c>
      <c r="D298" s="69">
        <f>(1/2)*Drag!$C$109*B298^2*$C$152*$C$3</f>
        <v>13097.297648792704</v>
      </c>
      <c r="E298" s="43">
        <f>General!C$7</f>
        <v>18875</v>
      </c>
      <c r="I298" s="273">
        <f>J298^2/(2*'Performance T_O'!$C$23)</f>
        <v>1661.3230331429804</v>
      </c>
      <c r="J298" s="273">
        <f>Drag!K225</f>
        <v>162</v>
      </c>
      <c r="K298" s="273">
        <f>Drag!L225</f>
        <v>95.982375645085995</v>
      </c>
      <c r="L298" s="273">
        <f>Drag!M225</f>
        <v>1984.6844705348035</v>
      </c>
    </row>
    <row r="299" spans="1:13">
      <c r="A299" s="43">
        <f>B299^2/(2*'Performance T_O'!$C$23)</f>
        <v>1702.5965668119798</v>
      </c>
      <c r="B299">
        <f>Drag!K226</f>
        <v>164</v>
      </c>
      <c r="C299" s="43">
        <f>Drag!L226</f>
        <v>97.167343245642613</v>
      </c>
      <c r="D299" s="69">
        <f>(1/2)*Drag!$C$109*B299^2*$C$152*$C$3</f>
        <v>13422.683949166612</v>
      </c>
      <c r="E299" s="43">
        <f>General!C$7</f>
        <v>18875</v>
      </c>
      <c r="I299" s="43">
        <f>J299^2/(2*'Performance T_O'!$C$23)</f>
        <v>1702.5965668119798</v>
      </c>
      <c r="J299" s="43">
        <f>Drag!K226</f>
        <v>164</v>
      </c>
      <c r="K299" s="43">
        <f>Drag!L226</f>
        <v>97.167343245642613</v>
      </c>
      <c r="L299" s="43">
        <f>Drag!M226</f>
        <v>2033.991522614848</v>
      </c>
    </row>
    <row r="300" spans="1:13">
      <c r="A300" s="278">
        <f>B300^2/(2*'Performance T_O'!$C$23)</f>
        <v>1744.3765242069794</v>
      </c>
      <c r="B300" s="148">
        <f>Drag!K227</f>
        <v>166</v>
      </c>
      <c r="C300" s="279">
        <f>Drag!L227</f>
        <v>98.352310846199231</v>
      </c>
      <c r="D300" s="275">
        <f>(1/2)*Drag!$C$109*B300^2*$C$152*$C$3</f>
        <v>13752.062719483758</v>
      </c>
      <c r="E300" s="43">
        <f>General!C$7</f>
        <v>18875</v>
      </c>
      <c r="F300" s="280"/>
      <c r="G300" s="280"/>
      <c r="H300" s="280"/>
      <c r="I300" s="278">
        <f>J300^2/(2*'Performance T_O'!$C$23)</f>
        <v>1744.3765242069794</v>
      </c>
      <c r="J300" s="278">
        <f>Drag!K227</f>
        <v>166</v>
      </c>
      <c r="K300" s="278">
        <f>Drag!L227</f>
        <v>98.352310846199231</v>
      </c>
      <c r="L300" s="278">
        <f>Drag!M227</f>
        <v>2083.903569198942</v>
      </c>
    </row>
    <row r="301" spans="1:13">
      <c r="A301" s="43">
        <f>B301^2/(2*'Performance T_O'!$C$23)</f>
        <v>1786.6629053279789</v>
      </c>
      <c r="B301">
        <f>Drag!K228</f>
        <v>168</v>
      </c>
      <c r="C301" s="43">
        <f>Drag!L228</f>
        <v>99.537278446755849</v>
      </c>
      <c r="D301" s="69">
        <f>(1/2)*Drag!$C$109*B301^2*$C$153*$C$3</f>
        <v>23674.033070009198</v>
      </c>
      <c r="E301" s="43">
        <f>General!C$7</f>
        <v>18875</v>
      </c>
      <c r="I301" s="43">
        <f>J301^2/(2*'Performance T_O'!$C$23)</f>
        <v>1786.6629053279789</v>
      </c>
      <c r="J301" s="43">
        <f>Drag!K228</f>
        <v>168</v>
      </c>
      <c r="K301" s="43">
        <f>Drag!L228</f>
        <v>99.537278446755849</v>
      </c>
      <c r="L301" s="43">
        <f>Drag!M228</f>
        <v>2134.4206102870858</v>
      </c>
    </row>
    <row r="302" spans="1:13">
      <c r="A302" s="273">
        <f>B302^2/(2*'Performance T_O'!$C$23)</f>
        <v>1829.4557101749783</v>
      </c>
      <c r="B302">
        <f>Drag!K229</f>
        <v>170</v>
      </c>
      <c r="C302" s="43">
        <f>Drag!L229</f>
        <v>100.72224604731247</v>
      </c>
      <c r="D302" s="69">
        <f>(1/2)*Drag!$C$109*B302^2*$C$153*$C$3</f>
        <v>24241.055687473992</v>
      </c>
      <c r="E302" s="43">
        <f>General!C$7</f>
        <v>18875</v>
      </c>
      <c r="I302" s="273">
        <f>J302^2/(2*'Performance T_O'!$C$23)</f>
        <v>1829.4557101749783</v>
      </c>
      <c r="J302" s="273">
        <f>Drag!K229</f>
        <v>170</v>
      </c>
      <c r="K302" s="273">
        <f>Drag!L229</f>
        <v>100.72224604731247</v>
      </c>
      <c r="L302" s="273">
        <f>Drag!M229</f>
        <v>2185.5426458792799</v>
      </c>
    </row>
    <row r="303" spans="1:13">
      <c r="A303" s="43">
        <f>B303^2/(2*'Performance T_O'!$C$23)</f>
        <v>1872.7549387479778</v>
      </c>
      <c r="B303">
        <f>Drag!K230</f>
        <v>172</v>
      </c>
      <c r="C303" s="43">
        <f>Drag!L230</f>
        <v>101.90721364786909</v>
      </c>
      <c r="D303" s="69">
        <f>(1/2)*Drag!$C$109*B303^2*$C$153*$C$3</f>
        <v>24814.788631772684</v>
      </c>
      <c r="E303" s="43">
        <f>General!C$7</f>
        <v>18875</v>
      </c>
      <c r="F303" s="43"/>
      <c r="J303" s="43">
        <f>K303^2/(2*'Performance T_O'!$C$23)</f>
        <v>1872.7549387479778</v>
      </c>
      <c r="K303" s="43">
        <f>Drag!K230</f>
        <v>172</v>
      </c>
      <c r="L303" s="43">
        <f>Drag!L230</f>
        <v>101.90721364786909</v>
      </c>
      <c r="M303" s="43">
        <f>Drag!M230</f>
        <v>2237.2696759755231</v>
      </c>
    </row>
    <row r="304" spans="1:13">
      <c r="A304" s="281">
        <f>B304^2/(2*'Performance T_O'!$C$23)</f>
        <v>1916.5605910469774</v>
      </c>
      <c r="B304" s="112">
        <f>Drag!K231</f>
        <v>174</v>
      </c>
      <c r="C304" s="282">
        <f>Drag!L231</f>
        <v>103.0921812484257</v>
      </c>
      <c r="D304" s="69">
        <f>(1/2)*Drag!$C$109*B304^2*$C$153*$C$3</f>
        <v>25395.231902905274</v>
      </c>
      <c r="E304" s="43">
        <f>General!C$7</f>
        <v>18875</v>
      </c>
      <c r="F304" s="43"/>
      <c r="J304" s="273">
        <f>K304^2/(2*'Performance T_O'!$C$23)</f>
        <v>1916.5605910469774</v>
      </c>
      <c r="K304" s="273">
        <f>Drag!K231</f>
        <v>174</v>
      </c>
      <c r="L304" s="273">
        <f>Drag!L231</f>
        <v>103.0921812484257</v>
      </c>
      <c r="M304" s="273">
        <f>Drag!M231</f>
        <v>2289.6017005758158</v>
      </c>
    </row>
    <row r="305" spans="1:13">
      <c r="A305" s="282">
        <f>B305^2/(2*'Performance T_O'!$C$23)</f>
        <v>1960.8726670719768</v>
      </c>
      <c r="B305" s="112">
        <f>Drag!K232</f>
        <v>176</v>
      </c>
      <c r="C305" s="282">
        <f>Drag!L232</f>
        <v>104.27714884898231</v>
      </c>
      <c r="D305" s="69">
        <f>(1/2)*Drag!$C$109*B305^2*$C$153*$C$3</f>
        <v>25982.385500871776</v>
      </c>
      <c r="E305" s="43">
        <f>General!C$7</f>
        <v>18875</v>
      </c>
      <c r="F305" s="43"/>
      <c r="J305" s="43">
        <f>K305^2/(2*'Performance T_O'!$C$23)</f>
        <v>1960.8726670719768</v>
      </c>
      <c r="K305" s="43">
        <f>Drag!K232</f>
        <v>176</v>
      </c>
      <c r="L305" s="43">
        <f>Drag!L232</f>
        <v>104.27714884898231</v>
      </c>
      <c r="M305" s="43">
        <f>Drag!M232</f>
        <v>2342.5387196801585</v>
      </c>
    </row>
    <row r="306" spans="1:13">
      <c r="A306" s="281">
        <f>B306^2/(2*'Performance T_O'!$C$23)</f>
        <v>2005.6911668229761</v>
      </c>
      <c r="B306" s="112">
        <f>Drag!K233</f>
        <v>178</v>
      </c>
      <c r="C306" s="282">
        <f>Drag!L233</f>
        <v>105.46211644953893</v>
      </c>
      <c r="D306" s="69">
        <f>(1/2)*Drag!$C$109*B306^2*$C$153*$C$3</f>
        <v>26576.249425672173</v>
      </c>
      <c r="E306" s="43">
        <f>General!C$7</f>
        <v>18875</v>
      </c>
      <c r="F306" s="43"/>
      <c r="J306" s="273">
        <f>K306^2/(2*'Performance T_O'!$C$23)</f>
        <v>2005.6911668229761</v>
      </c>
      <c r="K306" s="273">
        <f>Drag!K233</f>
        <v>178</v>
      </c>
      <c r="L306" s="273">
        <f>Drag!L233</f>
        <v>105.46211644953893</v>
      </c>
      <c r="M306" s="273">
        <f>Drag!M233</f>
        <v>2396.0807332885502</v>
      </c>
    </row>
    <row r="307" spans="1:13">
      <c r="A307" s="282">
        <f>B307^2/(2*'Performance T_O'!$C$23)</f>
        <v>2051.0160902999755</v>
      </c>
      <c r="B307" s="112">
        <f>Drag!K234</f>
        <v>180</v>
      </c>
      <c r="C307" s="282">
        <f>Drag!L234</f>
        <v>106.64708405009554</v>
      </c>
      <c r="D307" s="69">
        <f>(1/2)*Drag!$C$109*B307^2*$C$153*$C$3</f>
        <v>27176.823677306485</v>
      </c>
      <c r="E307" s="43">
        <f>General!C$7</f>
        <v>18875</v>
      </c>
      <c r="F307" s="43"/>
      <c r="J307" s="43">
        <f>K307^2/(2*'Performance T_O'!$C$23)</f>
        <v>2051.0160902999755</v>
      </c>
      <c r="K307" s="43">
        <f>Drag!K234</f>
        <v>180</v>
      </c>
      <c r="L307" s="43">
        <f>Drag!L234</f>
        <v>106.64708405009554</v>
      </c>
      <c r="M307" s="43">
        <f>Drag!M234</f>
        <v>2450.2277414009918</v>
      </c>
    </row>
    <row r="308" spans="1:13">
      <c r="A308" s="281">
        <f>B308^2/(2*'Performance T_O'!$C$23)</f>
        <v>2096.847437502975</v>
      </c>
      <c r="B308" s="112">
        <f>Drag!K235</f>
        <v>182</v>
      </c>
      <c r="C308" s="282">
        <f>Drag!L235</f>
        <v>107.83205165065216</v>
      </c>
      <c r="D308" s="69">
        <f>(1/2)*Drag!$C$109*B308^2*$C$153*$C$3</f>
        <v>27784.108255774689</v>
      </c>
      <c r="E308" s="43">
        <f>General!C$7</f>
        <v>18875</v>
      </c>
      <c r="F308" s="43"/>
      <c r="J308" s="273">
        <f>K308^2/(2*'Performance T_O'!$C$23)</f>
        <v>2096.847437502975</v>
      </c>
      <c r="K308" s="273">
        <f>Drag!K235</f>
        <v>182</v>
      </c>
      <c r="L308" s="273">
        <f>Drag!L235</f>
        <v>107.83205165065216</v>
      </c>
      <c r="M308" s="273">
        <f>Drag!M235</f>
        <v>2504.9797440174834</v>
      </c>
    </row>
    <row r="309" spans="1:13">
      <c r="A309" s="282">
        <f>B309^2/(2*'Performance T_O'!$C$23)</f>
        <v>2143.1852084319744</v>
      </c>
      <c r="B309" s="112">
        <f>Drag!K236</f>
        <v>184</v>
      </c>
      <c r="C309" s="282">
        <f>Drag!L236</f>
        <v>109.01701925120878</v>
      </c>
      <c r="D309" s="69">
        <f>(1/2)*Drag!$C$109*B309^2*$C$153*$C$3</f>
        <v>28398.103161076797</v>
      </c>
      <c r="E309" s="43">
        <f>General!C$7</f>
        <v>18875</v>
      </c>
      <c r="F309" s="43"/>
      <c r="J309" s="43">
        <f>K309^2/(2*'Performance T_O'!$C$23)</f>
        <v>2143.1852084319744</v>
      </c>
      <c r="K309" s="43">
        <f>Drag!K236</f>
        <v>184</v>
      </c>
      <c r="L309" s="43">
        <f>Drag!L236</f>
        <v>109.01701925120878</v>
      </c>
      <c r="M309" s="43">
        <f>Drag!M236</f>
        <v>2560.3367411380245</v>
      </c>
    </row>
    <row r="310" spans="1:13">
      <c r="A310" s="281">
        <f>B310^2/(2*'Performance T_O'!$C$23)</f>
        <v>2190.0294030869741</v>
      </c>
      <c r="B310" s="112">
        <f>Drag!K237</f>
        <v>186</v>
      </c>
      <c r="C310" s="282">
        <f>Drag!L237</f>
        <v>110.2019868517654</v>
      </c>
      <c r="D310" s="69">
        <f>(1/2)*Drag!$C$109*B310^2*$C$153*$C$3</f>
        <v>29018.80839321281</v>
      </c>
      <c r="E310" s="43">
        <f>General!C$7</f>
        <v>18875</v>
      </c>
      <c r="F310" s="43"/>
      <c r="J310" s="273">
        <f>K310^2/(2*'Performance T_O'!$C$23)</f>
        <v>2190.0294030869741</v>
      </c>
      <c r="K310" s="273">
        <f>Drag!K237</f>
        <v>186</v>
      </c>
      <c r="L310" s="273">
        <f>Drag!L237</f>
        <v>110.2019868517654</v>
      </c>
      <c r="M310" s="273">
        <f>Drag!M237</f>
        <v>2616.2987327626147</v>
      </c>
    </row>
    <row r="311" spans="1:13">
      <c r="A311" s="282">
        <f>B311^2/(2*'Performance T_O'!$C$23)</f>
        <v>2237.3800214679736</v>
      </c>
      <c r="B311" s="112">
        <f>Drag!K238</f>
        <v>188</v>
      </c>
      <c r="C311" s="282">
        <f>Drag!L238</f>
        <v>111.38695445232202</v>
      </c>
      <c r="D311" s="69">
        <f>(1/2)*Drag!$C$109*B311^2*$C$153*$C$3</f>
        <v>29646.223952182721</v>
      </c>
      <c r="E311" s="43">
        <f>General!C$7</f>
        <v>18875</v>
      </c>
      <c r="F311" s="43"/>
      <c r="J311" s="43">
        <f>K311^2/(2*'Performance T_O'!$C$23)</f>
        <v>2237.3800214679736</v>
      </c>
      <c r="K311" s="43">
        <f>Drag!K238</f>
        <v>188</v>
      </c>
      <c r="L311" s="43">
        <f>Drag!L238</f>
        <v>111.38695445232202</v>
      </c>
      <c r="M311" s="43">
        <f>Drag!M238</f>
        <v>2672.8657188912543</v>
      </c>
    </row>
    <row r="312" spans="1:13">
      <c r="A312" s="281">
        <f>B312^2/(2*'Performance T_O'!$C$23)</f>
        <v>2285.237063574973</v>
      </c>
      <c r="B312" s="112">
        <f>Drag!K239</f>
        <v>190</v>
      </c>
      <c r="C312" s="282">
        <f>Drag!L239</f>
        <v>112.57192205287863</v>
      </c>
      <c r="D312" s="69">
        <f>(1/2)*Drag!$C$109*B312^2*$C$153*$C$3</f>
        <v>30280.349837986541</v>
      </c>
      <c r="E312" s="43">
        <f>General!C$7</f>
        <v>18875</v>
      </c>
      <c r="F312" s="43"/>
      <c r="J312" s="273">
        <f>K312^2/(2*'Performance T_O'!$C$23)</f>
        <v>2285.237063574973</v>
      </c>
      <c r="K312" s="273">
        <f>Drag!K239</f>
        <v>190</v>
      </c>
      <c r="L312" s="273">
        <f>Drag!L239</f>
        <v>112.57192205287863</v>
      </c>
      <c r="M312" s="273">
        <f>Drag!M239</f>
        <v>2730.0376995239449</v>
      </c>
    </row>
    <row r="313" spans="1:13">
      <c r="A313" s="282">
        <f>B313^2/(2*'Performance T_O'!$C$23)</f>
        <v>2333.6005294079723</v>
      </c>
      <c r="B313" s="112">
        <f>Drag!K240</f>
        <v>192</v>
      </c>
      <c r="C313" s="276">
        <f>Drag!L240</f>
        <v>113.75688965343525</v>
      </c>
      <c r="D313" s="69">
        <f>(1/2)*Drag!$C$109*B313^2*$C$153*$C$3</f>
        <v>30921.186050624259</v>
      </c>
      <c r="E313" s="43">
        <f>General!C$7</f>
        <v>18875</v>
      </c>
      <c r="F313" s="43"/>
      <c r="J313" s="43">
        <f>K313^2/(2*'Performance T_O'!$C$23)</f>
        <v>2333.6005294079723</v>
      </c>
      <c r="K313" s="43">
        <f>Drag!K240</f>
        <v>192</v>
      </c>
      <c r="L313" s="43">
        <f>Drag!L240</f>
        <v>113.75688965343525</v>
      </c>
      <c r="M313" s="43">
        <f>Drag!M240</f>
        <v>2787.814674660684</v>
      </c>
    </row>
    <row r="314" spans="1:13">
      <c r="A314" s="281">
        <f>B314^2/(2*'Performance T_O'!$C$23)</f>
        <v>2382.4704189669719</v>
      </c>
      <c r="B314" s="112">
        <f>Drag!K241</f>
        <v>194</v>
      </c>
      <c r="C314" s="276">
        <f>Drag!L241</f>
        <v>114.94185725399187</v>
      </c>
      <c r="D314" s="69">
        <f>(1/2)*Drag!$C$109*B314^2*$C$153*$C$3</f>
        <v>31568.732590095889</v>
      </c>
      <c r="E314" s="43">
        <f>General!C$7</f>
        <v>18875</v>
      </c>
      <c r="F314" s="43"/>
      <c r="J314" s="273">
        <f>K314^2/(2*'Performance T_O'!$C$23)</f>
        <v>2382.4704189669719</v>
      </c>
      <c r="K314" s="273">
        <f>Drag!K241</f>
        <v>194</v>
      </c>
      <c r="L314" s="273">
        <f>Drag!L241</f>
        <v>114.94185725399187</v>
      </c>
      <c r="M314" s="273">
        <f>Drag!M241</f>
        <v>2846.196644301473</v>
      </c>
    </row>
    <row r="315" spans="1:13">
      <c r="A315" s="282">
        <f>B315^2/(2*'Performance T_O'!$C$23)</f>
        <v>2431.8467322519714</v>
      </c>
      <c r="B315" s="112">
        <f>Drag!K242</f>
        <v>196</v>
      </c>
      <c r="C315" s="276">
        <f>Drag!L242</f>
        <v>116.12682485454849</v>
      </c>
      <c r="D315" s="69">
        <f>(1/2)*Drag!$C$109*B315^2*$C$153*$C$3</f>
        <v>32222.989456401407</v>
      </c>
      <c r="E315" s="43">
        <f>General!C$7</f>
        <v>18875</v>
      </c>
      <c r="F315" s="43"/>
      <c r="J315" s="43">
        <f>K315^2/(2*'Performance T_O'!$C$23)</f>
        <v>2431.8467322519714</v>
      </c>
      <c r="K315" s="43">
        <f>Drag!K242</f>
        <v>196</v>
      </c>
      <c r="L315" s="43">
        <f>Drag!L242</f>
        <v>116.12682485454849</v>
      </c>
      <c r="M315" s="43">
        <f>Drag!M242</f>
        <v>2905.1836084463116</v>
      </c>
    </row>
    <row r="316" spans="1:13">
      <c r="A316" s="281">
        <f>B316^2/(2*'Performance T_O'!$C$23)</f>
        <v>2481.7294692629707</v>
      </c>
      <c r="B316" s="112">
        <f>Drag!K243</f>
        <v>198</v>
      </c>
      <c r="C316" s="276">
        <f>Drag!L243</f>
        <v>117.31179245510511</v>
      </c>
      <c r="D316" s="69">
        <f>(1/2)*Drag!$C$109*B316^2*$C$153*$C$3</f>
        <v>32883.956649540836</v>
      </c>
      <c r="E316" s="43">
        <f>General!C$7</f>
        <v>18875</v>
      </c>
      <c r="F316" s="43"/>
      <c r="J316" s="273">
        <f>K316^2/(2*'Performance T_O'!$C$23)</f>
        <v>2481.7294692629707</v>
      </c>
      <c r="K316" s="273">
        <f>Drag!K243</f>
        <v>198</v>
      </c>
      <c r="L316" s="273">
        <f>Drag!L243</f>
        <v>117.31179245510511</v>
      </c>
      <c r="M316" s="273">
        <f>Drag!M243</f>
        <v>2964.7755670951997</v>
      </c>
    </row>
    <row r="317" spans="1:13">
      <c r="A317" s="282">
        <f>B317^2/(2*'Performance T_O'!$C$23)</f>
        <v>2532.1186299999699</v>
      </c>
      <c r="B317" s="112">
        <f>Drag!K244</f>
        <v>200</v>
      </c>
      <c r="C317" s="276">
        <f>Drag!L244</f>
        <v>118.49676005566172</v>
      </c>
      <c r="D317" s="69">
        <f>(1/2)*Drag!$C$109*B317^2*$C$153*$C$3</f>
        <v>33551.634169514175</v>
      </c>
      <c r="E317" s="43">
        <f>General!C$7</f>
        <v>18875</v>
      </c>
      <c r="F317" s="43"/>
      <c r="J317" s="43">
        <f>K317^2/(2*'Performance T_O'!$C$23)</f>
        <v>2532.1186299999699</v>
      </c>
      <c r="K317" s="43">
        <f>Drag!K244</f>
        <v>200</v>
      </c>
      <c r="L317" s="43">
        <f>Drag!L244</f>
        <v>118.49676005566172</v>
      </c>
      <c r="M317" s="43">
        <f>Drag!M244</f>
        <v>3024.9725202481377</v>
      </c>
    </row>
    <row r="318" spans="1:13">
      <c r="A318" s="281">
        <f>B318^2/(2*'Performance T_O'!$C$23)</f>
        <v>2583.0142144629694</v>
      </c>
      <c r="B318" s="112">
        <f>Drag!K245</f>
        <v>202</v>
      </c>
      <c r="C318" s="276">
        <f>Drag!L245</f>
        <v>119.68172765621834</v>
      </c>
      <c r="D318" s="69">
        <f>(1/2)*Drag!$C$109*B318^2*$C$153*$C$3</f>
        <v>34226.022016321411</v>
      </c>
      <c r="E318" s="43">
        <f>General!C$7</f>
        <v>18875</v>
      </c>
      <c r="F318" s="43"/>
      <c r="J318" s="273">
        <f>K318^2/(2*'Performance T_O'!$C$23)</f>
        <v>2583.0142144629694</v>
      </c>
      <c r="K318" s="273">
        <f>Drag!K245</f>
        <v>202</v>
      </c>
      <c r="L318" s="273">
        <f>Drag!L245</f>
        <v>119.68172765621834</v>
      </c>
      <c r="M318" s="273">
        <f>Drag!M245</f>
        <v>3085.7744679051257</v>
      </c>
    </row>
    <row r="319" spans="1:13">
      <c r="A319" s="282">
        <f>B319^2/(2*'Performance T_O'!$C$23)</f>
        <v>2634.4162226519688</v>
      </c>
      <c r="B319" s="112">
        <f>Drag!K246</f>
        <v>204</v>
      </c>
      <c r="C319" s="276">
        <f>Drag!L246</f>
        <v>120.86669525677496</v>
      </c>
      <c r="D319" s="69">
        <f>(1/2)*Drag!$C$109*B319^2*$C$153*$C$3</f>
        <v>34907.120189962545</v>
      </c>
      <c r="E319" s="43">
        <f>General!C$7</f>
        <v>18875</v>
      </c>
      <c r="F319" s="43"/>
      <c r="J319" s="43">
        <f>K319^2/(2*'Performance T_O'!$C$23)</f>
        <v>2634.4162226519688</v>
      </c>
      <c r="K319" s="43">
        <f>Drag!K246</f>
        <v>204</v>
      </c>
      <c r="L319" s="43">
        <f>Drag!L246</f>
        <v>120.86669525677496</v>
      </c>
      <c r="M319" s="43">
        <f>Drag!M246</f>
        <v>3147.1814100661627</v>
      </c>
    </row>
    <row r="320" spans="1:13">
      <c r="A320" s="282">
        <f>B320^2/(2*'Performance T_O'!$C$23)</f>
        <v>2686.3246545669681</v>
      </c>
      <c r="B320" s="112">
        <f>Drag!K247</f>
        <v>206</v>
      </c>
      <c r="C320" s="276">
        <f>Drag!L247</f>
        <v>122.05166285733158</v>
      </c>
      <c r="D320" s="69">
        <f>(1/2)*Drag!$C$109*B320^2*$C$153*$C$3</f>
        <v>35594.928690437584</v>
      </c>
      <c r="E320" s="43">
        <f>General!C$7</f>
        <v>18875</v>
      </c>
      <c r="F320" s="43"/>
      <c r="J320" s="273">
        <f>K320^2/(2*'Performance T_O'!$C$23)</f>
        <v>2686.3246545669681</v>
      </c>
      <c r="K320" s="273">
        <f>Drag!K247</f>
        <v>206</v>
      </c>
      <c r="L320" s="273">
        <f>Drag!L247</f>
        <v>122.05166285733158</v>
      </c>
      <c r="M320" s="273">
        <f>Drag!M247</f>
        <v>3209.1933467312497</v>
      </c>
    </row>
    <row r="321" spans="1:14">
      <c r="A321" s="281">
        <f>B321^2/(2*'Performance T_O'!$C$23)</f>
        <v>2738.7395102079677</v>
      </c>
      <c r="B321" s="112">
        <f>Drag!K248</f>
        <v>208</v>
      </c>
      <c r="C321" s="276">
        <f>Drag!L248</f>
        <v>123.23663045788818</v>
      </c>
      <c r="D321" s="69">
        <f>(1/2)*Drag!$C$109*B321^2*$C$153*$C$3</f>
        <v>36289.447517746528</v>
      </c>
      <c r="E321" s="43">
        <f>General!C$7</f>
        <v>18875</v>
      </c>
      <c r="F321" s="43"/>
      <c r="J321" s="43">
        <f>K321^2/(2*'Performance T_O'!$C$23)</f>
        <v>2738.7395102079677</v>
      </c>
      <c r="K321" s="43">
        <f>Drag!K248</f>
        <v>208</v>
      </c>
      <c r="L321" s="43">
        <f>Drag!L248</f>
        <v>123.23663045788818</v>
      </c>
      <c r="M321" s="43">
        <f>Drag!M248</f>
        <v>3271.8102779003857</v>
      </c>
    </row>
    <row r="322" spans="1:14">
      <c r="A322" s="282">
        <f>B322^2/(2*'Performance T_O'!$C$23)</f>
        <v>2791.6607895749671</v>
      </c>
      <c r="B322" s="112">
        <f>Drag!K249</f>
        <v>210</v>
      </c>
      <c r="C322" s="276">
        <f>Drag!L249</f>
        <v>124.4215980584448</v>
      </c>
      <c r="D322" s="69">
        <f>(1/2)*Drag!$C$109*B322^2*$C$153*$C$3</f>
        <v>36990.676671889378</v>
      </c>
      <c r="E322" s="43">
        <f>General!C$7</f>
        <v>18875</v>
      </c>
      <c r="F322" s="43"/>
      <c r="J322" s="273">
        <f>K322^2/(2*'Performance T_O'!$C$23)</f>
        <v>2791.6607895749671</v>
      </c>
      <c r="K322" s="273">
        <f>Drag!K249</f>
        <v>210</v>
      </c>
      <c r="L322" s="273">
        <f>Drag!L249</f>
        <v>124.4215980584448</v>
      </c>
      <c r="M322" s="273">
        <f>Drag!M249</f>
        <v>3335.0322035735726</v>
      </c>
    </row>
    <row r="323" spans="1:14">
      <c r="A323" s="281">
        <f>B323^2/(2*'Performance T_O'!$C$23)</f>
        <v>2845.0884926679664</v>
      </c>
      <c r="B323" s="112">
        <f>Drag!K250</f>
        <v>212</v>
      </c>
      <c r="C323" s="276">
        <f>Drag!L250</f>
        <v>125.60656565900142</v>
      </c>
      <c r="D323" s="69">
        <f>(1/2)*Drag!$C$109*B323^2*$C$153*$C$3</f>
        <v>37698.616152866125</v>
      </c>
      <c r="E323" s="43">
        <f>General!C$7</f>
        <v>18875</v>
      </c>
      <c r="F323" s="43"/>
      <c r="J323" s="43">
        <f>K323^2/(2*'Performance T_O'!$C$23)</f>
        <v>2845.0884926679664</v>
      </c>
      <c r="K323" s="43">
        <f>Drag!K250</f>
        <v>212</v>
      </c>
      <c r="L323" s="43">
        <f>Drag!L250</f>
        <v>125.60656565900142</v>
      </c>
      <c r="M323" s="43">
        <f>Drag!M250</f>
        <v>3398.8591237508076</v>
      </c>
    </row>
    <row r="324" spans="1:14">
      <c r="A324" s="282">
        <f>B324^2/(2*'Performance T_O'!$C$23)</f>
        <v>2899.0226194869656</v>
      </c>
      <c r="B324" s="112">
        <f>Drag!K251</f>
        <v>214</v>
      </c>
      <c r="C324" s="276">
        <f>Drag!L251</f>
        <v>126.79153325955804</v>
      </c>
      <c r="D324" s="69">
        <f>(1/2)*Drag!$C$109*B324^2*$C$153*$C$3</f>
        <v>38413.26596067677</v>
      </c>
      <c r="E324" s="43">
        <f>General!C$7</f>
        <v>18875</v>
      </c>
      <c r="F324" s="43"/>
      <c r="J324" s="273">
        <f>K324^2/(2*'Performance T_O'!$C$23)</f>
        <v>2899.0226194869656</v>
      </c>
      <c r="K324" s="273">
        <f>Drag!K251</f>
        <v>214</v>
      </c>
      <c r="L324" s="273">
        <f>Drag!L251</f>
        <v>126.79153325955804</v>
      </c>
      <c r="M324" s="273">
        <f>Drag!M251</f>
        <v>3463.291038432093</v>
      </c>
    </row>
    <row r="325" spans="1:14">
      <c r="A325" s="281">
        <f>B325^2/(2*'Performance T_O'!$C$23)</f>
        <v>2953.4631700319651</v>
      </c>
      <c r="B325" s="112">
        <f>Drag!K252</f>
        <v>216</v>
      </c>
      <c r="C325" s="276">
        <f>Drag!L252</f>
        <v>127.97650086011465</v>
      </c>
      <c r="D325" s="69">
        <f>(1/2)*Drag!$C$109*B325^2*$C$153*$C$3</f>
        <v>39134.626095321328</v>
      </c>
      <c r="E325" s="43">
        <f>General!C$7</f>
        <v>18875</v>
      </c>
      <c r="J325" s="43">
        <f>K325^2/(2*'Performance T_O'!$C$23)</f>
        <v>2953.4631700319651</v>
      </c>
      <c r="K325" s="43">
        <f>Drag!K252</f>
        <v>216</v>
      </c>
      <c r="L325" s="43">
        <f>Drag!L252</f>
        <v>127.97650086011465</v>
      </c>
      <c r="M325" s="43">
        <f>Drag!M252</f>
        <v>3528.327947617428</v>
      </c>
    </row>
    <row r="326" spans="1:14">
      <c r="C326" s="69"/>
      <c r="D326" s="69"/>
      <c r="J326" s="273">
        <f>K326^2/(2*'Performance T_O'!$C$23)</f>
        <v>3008.4101443029645</v>
      </c>
      <c r="K326" s="273">
        <f>Drag!K253</f>
        <v>218</v>
      </c>
      <c r="L326" s="273">
        <f>Drag!L253</f>
        <v>129.16146846067127</v>
      </c>
      <c r="M326" s="273">
        <f>Drag!M253</f>
        <v>3593.9698513068124</v>
      </c>
    </row>
    <row r="327" spans="1:14">
      <c r="C327" s="69"/>
      <c r="D327" s="69"/>
      <c r="J327" s="43">
        <f>K327^2/(2*'Performance T_O'!$C$23)</f>
        <v>3063.8635422999637</v>
      </c>
      <c r="K327" s="43">
        <f>Drag!K254</f>
        <v>220</v>
      </c>
      <c r="L327" s="43">
        <f>Drag!L254</f>
        <v>130.34643606122791</v>
      </c>
      <c r="M327" s="43">
        <f>Drag!M254</f>
        <v>3660.2167495002468</v>
      </c>
    </row>
    <row r="328" spans="1:14">
      <c r="C328" s="69"/>
      <c r="D328" s="69"/>
      <c r="K328" s="43"/>
      <c r="L328" s="43"/>
      <c r="M328" s="43"/>
      <c r="N328" s="43"/>
    </row>
    <row r="329" spans="1:14">
      <c r="C329" s="69"/>
      <c r="D329" s="69"/>
      <c r="K329" s="43"/>
      <c r="L329" s="43"/>
      <c r="M329" s="43"/>
      <c r="N329" s="43"/>
    </row>
    <row r="330" spans="1:14">
      <c r="C330" s="69"/>
      <c r="D330" s="69"/>
      <c r="K330" s="43"/>
      <c r="L330" s="43"/>
      <c r="M330" s="43"/>
      <c r="N330" s="43"/>
    </row>
    <row r="331" spans="1:14">
      <c r="C331" s="69"/>
      <c r="D331" s="69"/>
      <c r="K331" s="43"/>
      <c r="L331" s="43"/>
      <c r="M331" s="43"/>
      <c r="N331" s="43"/>
    </row>
    <row r="332" spans="1:14">
      <c r="C332" s="69"/>
      <c r="D332" s="69"/>
      <c r="K332" s="43"/>
      <c r="L332" s="43"/>
      <c r="M332" s="43"/>
      <c r="N332" s="43"/>
    </row>
    <row r="333" spans="1:14">
      <c r="C333" s="69"/>
      <c r="D333" s="69"/>
    </row>
    <row r="334" spans="1:14">
      <c r="C334" s="69"/>
      <c r="D334" s="69"/>
    </row>
    <row r="352" ht="15.95" thickBot="1"/>
    <row r="353" spans="2:13" ht="15.95" thickBot="1">
      <c r="D353" s="7"/>
      <c r="E353" s="241" t="s">
        <v>827</v>
      </c>
      <c r="H353" t="s">
        <v>625</v>
      </c>
      <c r="I353" t="s">
        <v>546</v>
      </c>
      <c r="J353" s="11" t="s">
        <v>828</v>
      </c>
    </row>
    <row r="354" spans="2:13" ht="15.95" thickBot="1">
      <c r="B354" s="240" t="s">
        <v>829</v>
      </c>
      <c r="C354" s="288" t="s">
        <v>569</v>
      </c>
      <c r="D354" s="290" t="s">
        <v>312</v>
      </c>
      <c r="E354" s="289" t="s">
        <v>312</v>
      </c>
      <c r="H354" s="99">
        <f t="shared" ref="H354:H381" si="4">$C$156</f>
        <v>0.38974047295225855</v>
      </c>
      <c r="I354">
        <f t="shared" ref="I354:I385" si="5">$C$47+$C$46*$B$355</f>
        <v>2.4278364459253119</v>
      </c>
      <c r="J354">
        <f>20.81</f>
        <v>20.81</v>
      </c>
      <c r="K354">
        <v>-0.5</v>
      </c>
      <c r="L354">
        <v>0</v>
      </c>
      <c r="M354">
        <v>-0.5</v>
      </c>
    </row>
    <row r="355" spans="2:13">
      <c r="B355">
        <v>20.81</v>
      </c>
      <c r="C355" s="7"/>
      <c r="D355" s="99">
        <f>$C$47+$C$46*B355</f>
        <v>2.4278364459253119</v>
      </c>
      <c r="E355">
        <v>1.567544</v>
      </c>
      <c r="F355" s="314" t="s">
        <v>830</v>
      </c>
      <c r="G355" s="314"/>
      <c r="H355" s="99">
        <f t="shared" si="4"/>
        <v>0.38974047295225855</v>
      </c>
      <c r="I355">
        <f t="shared" si="5"/>
        <v>2.4278364459253119</v>
      </c>
      <c r="J355">
        <f t="shared" ref="J355:J385" si="6">20.81</f>
        <v>20.81</v>
      </c>
      <c r="K355">
        <v>-0.5</v>
      </c>
      <c r="L355">
        <v>0</v>
      </c>
      <c r="M355">
        <v>-0.5</v>
      </c>
    </row>
    <row r="356" spans="2:13">
      <c r="B356">
        <v>20</v>
      </c>
      <c r="C356" s="7"/>
      <c r="D356" s="99">
        <f t="shared" ref="D356:D385" si="7">$C$47+$C$46*B356</f>
        <v>2.3485721363243646</v>
      </c>
      <c r="E356">
        <v>1.5024759999999999</v>
      </c>
      <c r="F356" t="s">
        <v>830</v>
      </c>
      <c r="H356" s="99">
        <f t="shared" si="4"/>
        <v>0.38974047295225855</v>
      </c>
      <c r="I356">
        <f t="shared" si="5"/>
        <v>2.4278364459253119</v>
      </c>
      <c r="J356">
        <f t="shared" si="6"/>
        <v>20.81</v>
      </c>
      <c r="K356">
        <v>-0.5</v>
      </c>
      <c r="L356">
        <v>0</v>
      </c>
      <c r="M356">
        <v>-0.5</v>
      </c>
    </row>
    <row r="357" spans="2:13">
      <c r="B357">
        <v>19</v>
      </c>
      <c r="C357" s="7"/>
      <c r="D357" s="99">
        <f>$C$47+$C$46*B357</f>
        <v>2.2507149639775159</v>
      </c>
      <c r="E357">
        <v>1.437408</v>
      </c>
      <c r="F357" t="s">
        <v>830</v>
      </c>
      <c r="H357" s="99">
        <f t="shared" si="4"/>
        <v>0.38974047295225855</v>
      </c>
      <c r="I357">
        <f t="shared" si="5"/>
        <v>2.4278364459253119</v>
      </c>
      <c r="J357">
        <f t="shared" si="6"/>
        <v>20.81</v>
      </c>
      <c r="K357">
        <v>-0.5</v>
      </c>
      <c r="L357">
        <v>0</v>
      </c>
      <c r="M357">
        <v>-0.5</v>
      </c>
    </row>
    <row r="358" spans="2:13">
      <c r="B358">
        <v>18</v>
      </c>
      <c r="C358" s="7"/>
      <c r="D358" s="99">
        <f t="shared" si="7"/>
        <v>2.1528577916306677</v>
      </c>
      <c r="E358">
        <v>1.3723399999999999</v>
      </c>
      <c r="F358" t="s">
        <v>830</v>
      </c>
      <c r="H358" s="99">
        <f t="shared" si="4"/>
        <v>0.38974047295225855</v>
      </c>
      <c r="I358">
        <f t="shared" si="5"/>
        <v>2.4278364459253119</v>
      </c>
      <c r="J358">
        <f t="shared" si="6"/>
        <v>20.81</v>
      </c>
      <c r="K358">
        <v>-0.5</v>
      </c>
      <c r="L358">
        <v>0</v>
      </c>
      <c r="M358">
        <v>-0.5</v>
      </c>
    </row>
    <row r="359" spans="2:13">
      <c r="B359">
        <v>17</v>
      </c>
      <c r="C359" s="117">
        <v>12.98686</v>
      </c>
      <c r="D359" s="99">
        <f t="shared" si="7"/>
        <v>2.0550006192838191</v>
      </c>
      <c r="E359">
        <v>1.307272</v>
      </c>
      <c r="H359" s="99">
        <f t="shared" si="4"/>
        <v>0.38974047295225855</v>
      </c>
      <c r="I359">
        <f t="shared" si="5"/>
        <v>2.4278364459253119</v>
      </c>
      <c r="J359">
        <f t="shared" si="6"/>
        <v>20.81</v>
      </c>
      <c r="K359">
        <v>-0.5</v>
      </c>
      <c r="L359">
        <v>0</v>
      </c>
      <c r="M359">
        <v>-0.5</v>
      </c>
    </row>
    <row r="360" spans="2:13">
      <c r="B360">
        <v>16</v>
      </c>
      <c r="C360" s="117">
        <v>13.57788</v>
      </c>
      <c r="D360" s="99">
        <f t="shared" si="7"/>
        <v>1.9571434469369706</v>
      </c>
      <c r="E360">
        <v>1.2422040000000001</v>
      </c>
      <c r="H360" s="99">
        <f t="shared" si="4"/>
        <v>0.38974047295225855</v>
      </c>
      <c r="I360">
        <f t="shared" si="5"/>
        <v>2.4278364459253119</v>
      </c>
      <c r="J360">
        <f t="shared" si="6"/>
        <v>20.81</v>
      </c>
      <c r="K360">
        <v>-0.24</v>
      </c>
      <c r="L360">
        <v>0</v>
      </c>
      <c r="M360">
        <v>-0.24</v>
      </c>
    </row>
    <row r="361" spans="2:13">
      <c r="B361">
        <v>15</v>
      </c>
      <c r="C361" s="117">
        <v>14.23099</v>
      </c>
      <c r="D361" s="99">
        <f t="shared" si="7"/>
        <v>1.8592862745901222</v>
      </c>
      <c r="E361">
        <v>1.176296</v>
      </c>
      <c r="H361" s="99">
        <f t="shared" si="4"/>
        <v>0.38974047295225855</v>
      </c>
      <c r="I361">
        <f t="shared" si="5"/>
        <v>2.4278364459253119</v>
      </c>
      <c r="J361">
        <f t="shared" si="6"/>
        <v>20.81</v>
      </c>
      <c r="K361">
        <v>-0.22</v>
      </c>
      <c r="L361">
        <v>0</v>
      </c>
      <c r="M361">
        <v>-0.22</v>
      </c>
    </row>
    <row r="362" spans="2:13">
      <c r="B362">
        <v>14</v>
      </c>
      <c r="C362" s="117">
        <v>14.9468</v>
      </c>
      <c r="D362" s="99">
        <f t="shared" si="7"/>
        <v>1.7614291022432735</v>
      </c>
      <c r="E362">
        <v>1.109586</v>
      </c>
      <c r="H362" s="99">
        <f t="shared" si="4"/>
        <v>0.38974047295225855</v>
      </c>
      <c r="I362">
        <f t="shared" si="5"/>
        <v>2.4278364459253119</v>
      </c>
      <c r="J362">
        <f t="shared" si="6"/>
        <v>20.81</v>
      </c>
      <c r="K362">
        <v>-0.2</v>
      </c>
      <c r="L362">
        <v>0</v>
      </c>
      <c r="M362">
        <v>-0.2</v>
      </c>
    </row>
    <row r="363" spans="2:13">
      <c r="B363">
        <v>13</v>
      </c>
      <c r="C363" s="117">
        <v>15.741110000000001</v>
      </c>
      <c r="D363" s="99">
        <f t="shared" si="7"/>
        <v>1.6635719298964251</v>
      </c>
      <c r="E363">
        <v>1.0421130000000001</v>
      </c>
      <c r="H363" s="99">
        <f t="shared" si="4"/>
        <v>0.38974047295225855</v>
      </c>
      <c r="I363">
        <f t="shared" si="5"/>
        <v>2.4278364459253119</v>
      </c>
      <c r="J363">
        <f t="shared" si="6"/>
        <v>20.81</v>
      </c>
      <c r="K363">
        <v>-0.18</v>
      </c>
      <c r="L363">
        <v>0</v>
      </c>
      <c r="M363">
        <v>-0.18</v>
      </c>
    </row>
    <row r="364" spans="2:13">
      <c r="B364">
        <v>12</v>
      </c>
      <c r="C364" s="117">
        <v>16.624829999999999</v>
      </c>
      <c r="D364" s="99">
        <f t="shared" si="7"/>
        <v>1.5657147575495765</v>
      </c>
      <c r="E364">
        <v>0.97392080000000003</v>
      </c>
      <c r="H364" s="99">
        <f t="shared" si="4"/>
        <v>0.38974047295225855</v>
      </c>
      <c r="I364">
        <f t="shared" si="5"/>
        <v>2.4278364459253119</v>
      </c>
      <c r="J364">
        <f t="shared" si="6"/>
        <v>20.81</v>
      </c>
      <c r="K364">
        <v>-0.16</v>
      </c>
      <c r="L364">
        <v>0</v>
      </c>
      <c r="M364">
        <v>-0.16</v>
      </c>
    </row>
    <row r="365" spans="2:13">
      <c r="B365">
        <v>11</v>
      </c>
      <c r="C365" s="117">
        <v>17.606490000000001</v>
      </c>
      <c r="D365" s="99">
        <f t="shared" si="7"/>
        <v>1.467857585202728</v>
      </c>
      <c r="E365">
        <v>0.90505060000000004</v>
      </c>
      <c r="H365" s="99">
        <f t="shared" si="4"/>
        <v>0.38974047295225855</v>
      </c>
      <c r="I365">
        <f t="shared" si="5"/>
        <v>2.4278364459253119</v>
      </c>
      <c r="J365">
        <f t="shared" si="6"/>
        <v>20.81</v>
      </c>
      <c r="K365">
        <v>-0.14000000000000001</v>
      </c>
      <c r="L365">
        <v>0</v>
      </c>
      <c r="M365">
        <v>-0.14000000000000001</v>
      </c>
    </row>
    <row r="366" spans="2:13">
      <c r="B366">
        <v>10</v>
      </c>
      <c r="C366" s="117">
        <v>18.700340000000001</v>
      </c>
      <c r="D366" s="99">
        <f t="shared" si="7"/>
        <v>1.3700004128558794</v>
      </c>
      <c r="E366">
        <v>0.83554669999999998</v>
      </c>
      <c r="H366" s="99">
        <f t="shared" si="4"/>
        <v>0.38974047295225855</v>
      </c>
      <c r="I366">
        <f t="shared" si="5"/>
        <v>2.4278364459253119</v>
      </c>
      <c r="J366">
        <f t="shared" si="6"/>
        <v>20.81</v>
      </c>
      <c r="K366">
        <v>-0.12</v>
      </c>
      <c r="L366">
        <v>0</v>
      </c>
      <c r="M366">
        <v>-0.12</v>
      </c>
    </row>
    <row r="367" spans="2:13">
      <c r="B367">
        <v>9</v>
      </c>
      <c r="C367" s="117">
        <v>19.902740000000001</v>
      </c>
      <c r="D367" s="99">
        <f t="shared" si="7"/>
        <v>1.2721432405090309</v>
      </c>
      <c r="E367">
        <v>0.76545450000000004</v>
      </c>
      <c r="H367" s="99">
        <f t="shared" si="4"/>
        <v>0.38974047295225855</v>
      </c>
      <c r="I367">
        <f t="shared" si="5"/>
        <v>2.4278364459253119</v>
      </c>
      <c r="J367">
        <f t="shared" si="6"/>
        <v>20.81</v>
      </c>
      <c r="K367">
        <v>-0.1</v>
      </c>
      <c r="L367">
        <v>0</v>
      </c>
      <c r="M367">
        <v>-0.1</v>
      </c>
    </row>
    <row r="368" spans="2:13">
      <c r="B368">
        <v>8</v>
      </c>
      <c r="C368" s="117">
        <v>21.209759999999999</v>
      </c>
      <c r="D368" s="99">
        <f t="shared" si="7"/>
        <v>1.1742860681621823</v>
      </c>
      <c r="E368">
        <v>0.69482010000000005</v>
      </c>
      <c r="H368" s="99">
        <f t="shared" si="4"/>
        <v>0.38974047295225855</v>
      </c>
      <c r="I368">
        <f t="shared" si="5"/>
        <v>2.4278364459253119</v>
      </c>
      <c r="J368">
        <f t="shared" si="6"/>
        <v>20.81</v>
      </c>
      <c r="K368">
        <v>-0.08</v>
      </c>
      <c r="L368">
        <v>0</v>
      </c>
      <c r="M368">
        <v>-0.08</v>
      </c>
    </row>
    <row r="369" spans="2:13">
      <c r="B369">
        <v>7</v>
      </c>
      <c r="C369" s="117">
        <v>22.602879999999999</v>
      </c>
      <c r="D369" s="99">
        <f t="shared" si="7"/>
        <v>1.0764288958153339</v>
      </c>
      <c r="E369">
        <v>0.623691</v>
      </c>
      <c r="H369" s="99">
        <f t="shared" si="4"/>
        <v>0.38974047295225855</v>
      </c>
      <c r="I369">
        <f t="shared" si="5"/>
        <v>2.4278364459253119</v>
      </c>
      <c r="J369">
        <f t="shared" si="6"/>
        <v>20.81</v>
      </c>
      <c r="K369">
        <v>-0.06</v>
      </c>
      <c r="L369">
        <v>0</v>
      </c>
      <c r="M369">
        <v>-0.06</v>
      </c>
    </row>
    <row r="370" spans="2:13">
      <c r="B370">
        <v>6</v>
      </c>
      <c r="C370" s="117">
        <v>24.025580000000001</v>
      </c>
      <c r="D370" s="99">
        <f t="shared" si="7"/>
        <v>0.9785717234684852</v>
      </c>
      <c r="E370">
        <v>0.55211540000000003</v>
      </c>
      <c r="H370" s="99">
        <f t="shared" si="4"/>
        <v>0.38974047295225855</v>
      </c>
      <c r="I370">
        <f t="shared" si="5"/>
        <v>2.4278364459253119</v>
      </c>
      <c r="J370">
        <f t="shared" si="6"/>
        <v>20.81</v>
      </c>
      <c r="K370">
        <v>-0.04</v>
      </c>
      <c r="L370">
        <v>0</v>
      </c>
      <c r="M370">
        <v>-0.04</v>
      </c>
    </row>
    <row r="371" spans="2:13">
      <c r="B371">
        <v>5</v>
      </c>
      <c r="C371" s="117">
        <v>25.39181</v>
      </c>
      <c r="D371" s="99">
        <f t="shared" si="7"/>
        <v>0.88071455112163677</v>
      </c>
      <c r="E371">
        <v>0.48014240000000002</v>
      </c>
      <c r="H371" s="99">
        <f t="shared" si="4"/>
        <v>0.38974047295225855</v>
      </c>
      <c r="I371">
        <f t="shared" si="5"/>
        <v>2.4278364459253119</v>
      </c>
      <c r="J371">
        <f t="shared" si="6"/>
        <v>20.81</v>
      </c>
      <c r="K371">
        <v>-0.02</v>
      </c>
      <c r="L371">
        <v>0</v>
      </c>
      <c r="M371">
        <v>-0.02</v>
      </c>
    </row>
    <row r="372" spans="2:13">
      <c r="B372">
        <v>4</v>
      </c>
      <c r="C372" s="117">
        <v>26.447040000000001</v>
      </c>
      <c r="D372" s="99">
        <f t="shared" si="7"/>
        <v>0.78285737877478823</v>
      </c>
      <c r="E372">
        <v>0.40782170000000001</v>
      </c>
      <c r="H372" s="99">
        <f t="shared" si="4"/>
        <v>0.38974047295225855</v>
      </c>
      <c r="I372">
        <f t="shared" si="5"/>
        <v>2.4278364459253119</v>
      </c>
      <c r="J372">
        <f t="shared" si="6"/>
        <v>20.81</v>
      </c>
      <c r="K372">
        <v>0</v>
      </c>
      <c r="L372">
        <v>0</v>
      </c>
      <c r="M372">
        <v>0</v>
      </c>
    </row>
    <row r="373" spans="2:13">
      <c r="B373">
        <v>3</v>
      </c>
      <c r="C373" s="117">
        <v>26.7913</v>
      </c>
      <c r="D373" s="99">
        <f t="shared" si="7"/>
        <v>0.68500020642793968</v>
      </c>
      <c r="E373">
        <v>0.335204</v>
      </c>
      <c r="H373" s="99">
        <f t="shared" si="4"/>
        <v>0.38974047295225855</v>
      </c>
      <c r="I373">
        <f t="shared" si="5"/>
        <v>2.4278364459253119</v>
      </c>
      <c r="J373">
        <f t="shared" si="6"/>
        <v>20.81</v>
      </c>
      <c r="K373">
        <v>0.95</v>
      </c>
      <c r="L373">
        <v>0</v>
      </c>
      <c r="M373">
        <v>0.1</v>
      </c>
    </row>
    <row r="374" spans="2:13">
      <c r="B374">
        <v>2</v>
      </c>
      <c r="C374" s="117">
        <v>25.79767</v>
      </c>
      <c r="D374" s="99">
        <f t="shared" si="7"/>
        <v>0.58714303408109114</v>
      </c>
      <c r="E374">
        <v>0.26234020000000002</v>
      </c>
      <c r="H374" s="99">
        <f t="shared" si="4"/>
        <v>0.38974047295225855</v>
      </c>
      <c r="I374">
        <f t="shared" si="5"/>
        <v>2.4278364459253119</v>
      </c>
      <c r="J374">
        <f t="shared" si="6"/>
        <v>20.81</v>
      </c>
      <c r="K374">
        <v>1</v>
      </c>
      <c r="L374">
        <v>0</v>
      </c>
      <c r="M374">
        <v>0.2</v>
      </c>
    </row>
    <row r="375" spans="2:13">
      <c r="B375">
        <v>1</v>
      </c>
      <c r="C375" s="117">
        <v>22.470849999999999</v>
      </c>
      <c r="D375" s="99">
        <f t="shared" si="7"/>
        <v>0.48928586173424266</v>
      </c>
      <c r="E375">
        <v>0.1892819</v>
      </c>
      <c r="H375" s="99">
        <f t="shared" si="4"/>
        <v>0.38974047295225855</v>
      </c>
      <c r="I375">
        <f t="shared" si="5"/>
        <v>2.4278364459253119</v>
      </c>
      <c r="J375">
        <f t="shared" si="6"/>
        <v>20.81</v>
      </c>
      <c r="K375">
        <v>1.05</v>
      </c>
      <c r="L375">
        <v>0</v>
      </c>
      <c r="M375">
        <v>0.39</v>
      </c>
    </row>
    <row r="376" spans="2:13">
      <c r="B376">
        <v>0</v>
      </c>
      <c r="C376" s="117">
        <v>15.987769999999999</v>
      </c>
      <c r="D376" s="99">
        <f t="shared" si="7"/>
        <v>0.39142868938739411</v>
      </c>
      <c r="E376">
        <v>0.116081</v>
      </c>
      <c r="H376" s="99">
        <f t="shared" si="4"/>
        <v>0.38974047295225855</v>
      </c>
      <c r="I376">
        <f t="shared" si="5"/>
        <v>2.4278364459253119</v>
      </c>
      <c r="J376">
        <f t="shared" si="6"/>
        <v>20.81</v>
      </c>
      <c r="K376">
        <v>1.1000000000000001</v>
      </c>
    </row>
    <row r="377" spans="2:13">
      <c r="B377">
        <v>-1</v>
      </c>
      <c r="C377" s="117">
        <v>6.402685</v>
      </c>
      <c r="D377" s="99">
        <f t="shared" si="7"/>
        <v>0.29357151704054557</v>
      </c>
      <c r="E377">
        <v>4.27897E-2</v>
      </c>
      <c r="H377" s="99">
        <f t="shared" si="4"/>
        <v>0.38974047295225855</v>
      </c>
      <c r="I377">
        <f t="shared" si="5"/>
        <v>2.4278364459253119</v>
      </c>
      <c r="J377">
        <f t="shared" si="6"/>
        <v>20.81</v>
      </c>
      <c r="K377">
        <v>1.1499999999999999</v>
      </c>
    </row>
    <row r="378" spans="2:13">
      <c r="B378">
        <v>-2</v>
      </c>
      <c r="C378" s="117">
        <v>-4.5769859999999998</v>
      </c>
      <c r="D378" s="99">
        <f t="shared" si="7"/>
        <v>0.19571434469369706</v>
      </c>
      <c r="E378">
        <v>-3.0539719999999999E-2</v>
      </c>
      <c r="H378" s="99">
        <f t="shared" si="4"/>
        <v>0.38974047295225855</v>
      </c>
      <c r="I378">
        <f t="shared" si="5"/>
        <v>2.4278364459253119</v>
      </c>
      <c r="J378">
        <f t="shared" si="6"/>
        <v>20.81</v>
      </c>
      <c r="K378">
        <v>1.2</v>
      </c>
    </row>
    <row r="379" spans="2:13">
      <c r="B379">
        <v>-3</v>
      </c>
      <c r="C379" s="117">
        <v>-14.31645</v>
      </c>
      <c r="D379" s="99">
        <f t="shared" si="7"/>
        <v>9.7857172346848542E-2</v>
      </c>
      <c r="E379">
        <v>-0.1038548</v>
      </c>
      <c r="H379" s="99">
        <f t="shared" si="4"/>
        <v>0.38974047295225855</v>
      </c>
      <c r="I379">
        <f t="shared" si="5"/>
        <v>2.4278364459253119</v>
      </c>
      <c r="J379">
        <f t="shared" si="6"/>
        <v>20.81</v>
      </c>
      <c r="K379">
        <v>1.25</v>
      </c>
    </row>
    <row r="380" spans="2:13">
      <c r="B380">
        <v>-4</v>
      </c>
      <c r="C380" s="117">
        <v>-21.001239999999999</v>
      </c>
      <c r="D380" s="99">
        <f t="shared" si="7"/>
        <v>0</v>
      </c>
      <c r="E380">
        <v>-0.17710310000000001</v>
      </c>
      <c r="H380" s="99">
        <f t="shared" si="4"/>
        <v>0.38974047295225855</v>
      </c>
      <c r="I380">
        <f t="shared" si="5"/>
        <v>2.4278364459253119</v>
      </c>
      <c r="J380">
        <f t="shared" si="6"/>
        <v>20.81</v>
      </c>
      <c r="K380">
        <v>1.3</v>
      </c>
    </row>
    <row r="381" spans="2:13">
      <c r="B381">
        <v>-5</v>
      </c>
      <c r="C381" s="117">
        <v>-24.56475</v>
      </c>
      <c r="D381" s="99">
        <f t="shared" si="7"/>
        <v>-9.7857172346848542E-2</v>
      </c>
      <c r="E381">
        <v>-0.25023230000000002</v>
      </c>
      <c r="H381" s="99">
        <f t="shared" si="4"/>
        <v>0.38974047295225855</v>
      </c>
      <c r="I381">
        <f t="shared" si="5"/>
        <v>2.4278364459253119</v>
      </c>
      <c r="J381">
        <f t="shared" si="6"/>
        <v>20.81</v>
      </c>
      <c r="K381">
        <v>1.35</v>
      </c>
    </row>
    <row r="382" spans="2:13">
      <c r="B382">
        <v>-6</v>
      </c>
      <c r="C382" s="117">
        <v>-25.849989999999998</v>
      </c>
      <c r="D382" s="99">
        <f t="shared" si="7"/>
        <v>-0.19571434469369703</v>
      </c>
      <c r="E382">
        <v>-0.32319039999999999</v>
      </c>
      <c r="H382" s="99">
        <f>$C$156</f>
        <v>0.38974047295225855</v>
      </c>
      <c r="I382">
        <f t="shared" si="5"/>
        <v>2.4278364459253119</v>
      </c>
      <c r="J382">
        <f t="shared" si="6"/>
        <v>20.81</v>
      </c>
      <c r="K382">
        <v>1.4</v>
      </c>
    </row>
    <row r="383" spans="2:13">
      <c r="B383">
        <v>-7</v>
      </c>
      <c r="C383">
        <v>-25.68282</v>
      </c>
      <c r="D383" s="99">
        <f t="shared" si="7"/>
        <v>-0.29357151704054557</v>
      </c>
      <c r="E383">
        <v>-0.39592549999999999</v>
      </c>
      <c r="I383">
        <f t="shared" si="5"/>
        <v>2.4278364459253119</v>
      </c>
      <c r="J383">
        <f t="shared" si="6"/>
        <v>20.81</v>
      </c>
      <c r="K383">
        <v>1.45</v>
      </c>
    </row>
    <row r="384" spans="2:13">
      <c r="B384">
        <v>-8</v>
      </c>
      <c r="C384">
        <v>-24.779620000000001</v>
      </c>
      <c r="D384" s="99">
        <f t="shared" si="7"/>
        <v>-0.39142868938739411</v>
      </c>
      <c r="E384">
        <v>-0.46838629999999998</v>
      </c>
      <c r="I384">
        <f t="shared" si="5"/>
        <v>2.4278364459253119</v>
      </c>
      <c r="J384">
        <f t="shared" si="6"/>
        <v>20.81</v>
      </c>
      <c r="K384">
        <v>1.5</v>
      </c>
    </row>
    <row r="385" spans="2:11">
      <c r="B385">
        <v>-9</v>
      </c>
      <c r="C385">
        <v>-23.568519999999999</v>
      </c>
      <c r="D385" s="99">
        <f t="shared" si="7"/>
        <v>-0.48928586173424266</v>
      </c>
      <c r="E385">
        <v>-0.54052199999999995</v>
      </c>
      <c r="I385">
        <f t="shared" si="5"/>
        <v>2.4278364459253119</v>
      </c>
      <c r="J385">
        <f t="shared" si="6"/>
        <v>20.81</v>
      </c>
      <c r="K385">
        <f>$C$47+$C$46*$B$355</f>
        <v>2.4278364459253119</v>
      </c>
    </row>
    <row r="386" spans="2:11">
      <c r="C386" s="117"/>
      <c r="E386" s="99"/>
      <c r="F386" s="99"/>
    </row>
  </sheetData>
  <mergeCells count="204">
    <mergeCell ref="L215:N215"/>
    <mergeCell ref="L214:N214"/>
    <mergeCell ref="B215:D215"/>
    <mergeCell ref="A1:K1"/>
    <mergeCell ref="E3:F3"/>
    <mergeCell ref="E4:F4"/>
    <mergeCell ref="E5:F5"/>
    <mergeCell ref="E7:F7"/>
    <mergeCell ref="E8:F8"/>
    <mergeCell ref="E9:F9"/>
    <mergeCell ref="E10:F10"/>
    <mergeCell ref="A35:H35"/>
    <mergeCell ref="E6:F6"/>
    <mergeCell ref="E11:F11"/>
    <mergeCell ref="E12:F12"/>
    <mergeCell ref="E13:F13"/>
    <mergeCell ref="A59:H59"/>
    <mergeCell ref="E81:H81"/>
    <mergeCell ref="E85:H85"/>
    <mergeCell ref="E82:H82"/>
    <mergeCell ref="E83:H83"/>
    <mergeCell ref="E84:H84"/>
    <mergeCell ref="E86:H86"/>
    <mergeCell ref="E14:F14"/>
    <mergeCell ref="E15:F15"/>
    <mergeCell ref="E16:F16"/>
    <mergeCell ref="E17:F17"/>
    <mergeCell ref="E24:F24"/>
    <mergeCell ref="E18:F18"/>
    <mergeCell ref="E23:F23"/>
    <mergeCell ref="E19:F19"/>
    <mergeCell ref="E20:F20"/>
    <mergeCell ref="E21:F21"/>
    <mergeCell ref="E22:F22"/>
    <mergeCell ref="A55:H55"/>
    <mergeCell ref="E37:J37"/>
    <mergeCell ref="A34:K34"/>
    <mergeCell ref="E44:H44"/>
    <mergeCell ref="E45:H45"/>
    <mergeCell ref="E46:H46"/>
    <mergeCell ref="E47:H47"/>
    <mergeCell ref="E48:H48"/>
    <mergeCell ref="E49:H49"/>
    <mergeCell ref="E50:H50"/>
    <mergeCell ref="E51:H51"/>
    <mergeCell ref="E52:H52"/>
    <mergeCell ref="E53:H53"/>
    <mergeCell ref="E54:H54"/>
    <mergeCell ref="E123:K123"/>
    <mergeCell ref="E131:K131"/>
    <mergeCell ref="E136:K136"/>
    <mergeCell ref="E106:K106"/>
    <mergeCell ref="E107:K107"/>
    <mergeCell ref="E108:K108"/>
    <mergeCell ref="E109:K109"/>
    <mergeCell ref="E110:K110"/>
    <mergeCell ref="E111:K111"/>
    <mergeCell ref="E112:K112"/>
    <mergeCell ref="E113:K113"/>
    <mergeCell ref="E114:K114"/>
    <mergeCell ref="E115:K115"/>
    <mergeCell ref="E118:K118"/>
    <mergeCell ref="E119:K119"/>
    <mergeCell ref="E120:K120"/>
    <mergeCell ref="E121:K121"/>
    <mergeCell ref="E122:K122"/>
    <mergeCell ref="E117:K117"/>
    <mergeCell ref="E137:K137"/>
    <mergeCell ref="A130:K130"/>
    <mergeCell ref="E144:K144"/>
    <mergeCell ref="E145:K145"/>
    <mergeCell ref="E151:K151"/>
    <mergeCell ref="E155:K155"/>
    <mergeCell ref="E156:K156"/>
    <mergeCell ref="E139:K139"/>
    <mergeCell ref="E140:K140"/>
    <mergeCell ref="E141:K141"/>
    <mergeCell ref="E143:K143"/>
    <mergeCell ref="E142:K142"/>
    <mergeCell ref="A149:K149"/>
    <mergeCell ref="E154:K154"/>
    <mergeCell ref="E147:K147"/>
    <mergeCell ref="E146:K146"/>
    <mergeCell ref="E148:K148"/>
    <mergeCell ref="E152:M152"/>
    <mergeCell ref="E138:K138"/>
    <mergeCell ref="E153:M153"/>
    <mergeCell ref="E172:K172"/>
    <mergeCell ref="E173:K173"/>
    <mergeCell ref="E174:K174"/>
    <mergeCell ref="E167:K167"/>
    <mergeCell ref="E168:K168"/>
    <mergeCell ref="E171:K171"/>
    <mergeCell ref="A170:K170"/>
    <mergeCell ref="E157:K157"/>
    <mergeCell ref="E158:K158"/>
    <mergeCell ref="E163:K163"/>
    <mergeCell ref="E165:K165"/>
    <mergeCell ref="E159:K159"/>
    <mergeCell ref="E160:K160"/>
    <mergeCell ref="E161:K161"/>
    <mergeCell ref="E162:K162"/>
    <mergeCell ref="E164:Q164"/>
    <mergeCell ref="E180:K180"/>
    <mergeCell ref="E181:K181"/>
    <mergeCell ref="E182:K182"/>
    <mergeCell ref="E183:K183"/>
    <mergeCell ref="E184:K184"/>
    <mergeCell ref="E175:K175"/>
    <mergeCell ref="E176:K176"/>
    <mergeCell ref="E177:K177"/>
    <mergeCell ref="E178:K178"/>
    <mergeCell ref="E179:K179"/>
    <mergeCell ref="E185:K185"/>
    <mergeCell ref="E186:K186"/>
    <mergeCell ref="E187:K187"/>
    <mergeCell ref="E188:K188"/>
    <mergeCell ref="E189:K189"/>
    <mergeCell ref="E193:K193"/>
    <mergeCell ref="E194:K194"/>
    <mergeCell ref="E196:K196"/>
    <mergeCell ref="E197:K197"/>
    <mergeCell ref="E203:K203"/>
    <mergeCell ref="E204:K204"/>
    <mergeCell ref="E205:K205"/>
    <mergeCell ref="E206:K206"/>
    <mergeCell ref="E207:K207"/>
    <mergeCell ref="E190:K190"/>
    <mergeCell ref="E192:K192"/>
    <mergeCell ref="E195:K195"/>
    <mergeCell ref="E202:K202"/>
    <mergeCell ref="E198:K198"/>
    <mergeCell ref="E199:K199"/>
    <mergeCell ref="E200:K200"/>
    <mergeCell ref="E201:K201"/>
    <mergeCell ref="E213:K213"/>
    <mergeCell ref="E214:K214"/>
    <mergeCell ref="E215:K215"/>
    <mergeCell ref="E208:K208"/>
    <mergeCell ref="E209:K209"/>
    <mergeCell ref="E210:K210"/>
    <mergeCell ref="E211:K211"/>
    <mergeCell ref="E212:K212"/>
    <mergeCell ref="E88:H88"/>
    <mergeCell ref="E132:K132"/>
    <mergeCell ref="E133:K133"/>
    <mergeCell ref="E134:K134"/>
    <mergeCell ref="E135:K135"/>
    <mergeCell ref="E91:K91"/>
    <mergeCell ref="E92:K92"/>
    <mergeCell ref="E93:K93"/>
    <mergeCell ref="E94:K94"/>
    <mergeCell ref="E90:K90"/>
    <mergeCell ref="E95:K95"/>
    <mergeCell ref="E96:K96"/>
    <mergeCell ref="E97:K97"/>
    <mergeCell ref="E98:K98"/>
    <mergeCell ref="E99:K99"/>
    <mergeCell ref="E150:K150"/>
    <mergeCell ref="E61:H61"/>
    <mergeCell ref="E62:H62"/>
    <mergeCell ref="E63:H63"/>
    <mergeCell ref="E64:H64"/>
    <mergeCell ref="E65:H65"/>
    <mergeCell ref="E66:H66"/>
    <mergeCell ref="E67:H67"/>
    <mergeCell ref="E68:H68"/>
    <mergeCell ref="E116:K116"/>
    <mergeCell ref="E101:K101"/>
    <mergeCell ref="E102:K102"/>
    <mergeCell ref="E103:K103"/>
    <mergeCell ref="E104:K104"/>
    <mergeCell ref="E105:K105"/>
    <mergeCell ref="A79:H79"/>
    <mergeCell ref="E80:H80"/>
    <mergeCell ref="E69:H69"/>
    <mergeCell ref="E87:H87"/>
    <mergeCell ref="E100:K100"/>
    <mergeCell ref="A89:K89"/>
    <mergeCell ref="E70:H70"/>
    <mergeCell ref="F355:G355"/>
    <mergeCell ref="E56:H56"/>
    <mergeCell ref="E57:H57"/>
    <mergeCell ref="E58:H58"/>
    <mergeCell ref="E25:F25"/>
    <mergeCell ref="E26:F26"/>
    <mergeCell ref="E2:F2"/>
    <mergeCell ref="A169:K169"/>
    <mergeCell ref="E71:H71"/>
    <mergeCell ref="E73:H73"/>
    <mergeCell ref="E74:H74"/>
    <mergeCell ref="E72:H72"/>
    <mergeCell ref="E75:H75"/>
    <mergeCell ref="E76:H76"/>
    <mergeCell ref="E77:H77"/>
    <mergeCell ref="E78:H78"/>
    <mergeCell ref="E36:H36"/>
    <mergeCell ref="E38:H38"/>
    <mergeCell ref="E39:H39"/>
    <mergeCell ref="E40:H40"/>
    <mergeCell ref="E41:H41"/>
    <mergeCell ref="E42:H42"/>
    <mergeCell ref="E43:H43"/>
    <mergeCell ref="E60:H60"/>
  </mergeCells>
  <pageMargins left="0.7" right="0.7" top="0.75" bottom="0.75" header="0.3" footer="0.3"/>
  <pageSetup orientation="portrait" horizontalDpi="4294967293" verticalDpi="0"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4FFC0-036D-42C3-95A6-D376DCE11BED}">
  <dimension ref="A1:M266"/>
  <sheetViews>
    <sheetView topLeftCell="A82" workbookViewId="0">
      <selection activeCell="M16" sqref="M16"/>
    </sheetView>
  </sheetViews>
  <sheetFormatPr defaultColWidth="8.42578125" defaultRowHeight="15"/>
  <cols>
    <col min="1" max="1" width="36" customWidth="1"/>
    <col min="2" max="2" width="12" customWidth="1"/>
    <col min="3" max="3" width="14.42578125" customWidth="1"/>
    <col min="4" max="4" width="13.42578125" customWidth="1"/>
    <col min="6" max="6" width="14.42578125" customWidth="1"/>
    <col min="11" max="11" width="10.42578125" customWidth="1"/>
  </cols>
  <sheetData>
    <row r="1" spans="1:11">
      <c r="A1" s="309" t="s">
        <v>606</v>
      </c>
      <c r="B1" s="309"/>
      <c r="C1" s="309"/>
      <c r="D1" s="309"/>
      <c r="E1" s="309"/>
      <c r="F1" s="309"/>
      <c r="G1" s="309"/>
      <c r="H1" s="309"/>
      <c r="I1" s="309"/>
      <c r="J1" s="309"/>
      <c r="K1" s="309"/>
    </row>
    <row r="2" spans="1:11">
      <c r="A2" s="7" t="s">
        <v>7</v>
      </c>
      <c r="B2" s="22" t="s">
        <v>8</v>
      </c>
      <c r="C2" s="8" t="s">
        <v>9</v>
      </c>
      <c r="D2" s="23" t="s">
        <v>10</v>
      </c>
      <c r="E2" s="22" t="s">
        <v>11</v>
      </c>
    </row>
    <row r="3" spans="1:11" ht="18">
      <c r="A3" t="s">
        <v>43</v>
      </c>
      <c r="B3" s="10" t="s">
        <v>44</v>
      </c>
      <c r="C3" s="63">
        <f>General!C23</f>
        <v>476.1</v>
      </c>
      <c r="D3" t="s">
        <v>39</v>
      </c>
      <c r="E3" s="314" t="s">
        <v>831</v>
      </c>
      <c r="F3" s="314"/>
    </row>
    <row r="4" spans="1:11" ht="17.100000000000001">
      <c r="A4" t="s">
        <v>45</v>
      </c>
      <c r="B4" s="59" t="s">
        <v>46</v>
      </c>
      <c r="C4" s="63">
        <f>C18^2/C3</f>
        <v>10</v>
      </c>
      <c r="E4" s="319"/>
      <c r="F4" s="319"/>
    </row>
    <row r="5" spans="1:11" ht="17.100000000000001">
      <c r="A5" t="s">
        <v>47</v>
      </c>
      <c r="B5" s="10" t="s">
        <v>48</v>
      </c>
      <c r="C5" s="6">
        <f>C16/C15</f>
        <v>0.38</v>
      </c>
      <c r="E5" s="319"/>
      <c r="F5" s="319"/>
    </row>
    <row r="6" spans="1:11">
      <c r="A6" t="s">
        <v>49</v>
      </c>
      <c r="B6" s="10" t="s">
        <v>50</v>
      </c>
      <c r="C6" s="5">
        <v>0.15</v>
      </c>
      <c r="E6" s="314" t="s">
        <v>52</v>
      </c>
      <c r="F6" s="314"/>
    </row>
    <row r="7" spans="1:11" ht="17.100000000000001">
      <c r="A7" t="s">
        <v>53</v>
      </c>
      <c r="B7" s="59" t="s">
        <v>54</v>
      </c>
      <c r="C7" s="5">
        <v>10</v>
      </c>
      <c r="D7" s="11" t="s">
        <v>55</v>
      </c>
      <c r="E7" s="319"/>
      <c r="F7" s="319"/>
    </row>
    <row r="8" spans="1:11" ht="17.100000000000001">
      <c r="B8" s="59" t="s">
        <v>54</v>
      </c>
      <c r="C8" s="47">
        <f>TAN(C7*PI()/180)</f>
        <v>0.17632698070846498</v>
      </c>
      <c r="D8" s="11" t="s">
        <v>56</v>
      </c>
      <c r="E8" s="319"/>
      <c r="F8" s="319"/>
    </row>
    <row r="9" spans="1:11" ht="17.100000000000001">
      <c r="A9" t="s">
        <v>57</v>
      </c>
      <c r="B9" s="59" t="s">
        <v>58</v>
      </c>
      <c r="C9" s="47">
        <f>General!C29</f>
        <v>7.528633598871683</v>
      </c>
      <c r="D9" s="11" t="s">
        <v>59</v>
      </c>
      <c r="E9" s="319"/>
      <c r="F9" s="319"/>
    </row>
    <row r="10" spans="1:11" ht="17.100000000000001">
      <c r="B10" s="59" t="s">
        <v>58</v>
      </c>
      <c r="C10" s="47">
        <f>General!C30</f>
        <v>0.13139944447658092</v>
      </c>
      <c r="D10" s="11" t="s">
        <v>56</v>
      </c>
      <c r="E10" s="319"/>
      <c r="F10" s="319"/>
    </row>
    <row r="11" spans="1:11">
      <c r="A11" t="s">
        <v>60</v>
      </c>
      <c r="B11" s="59" t="s">
        <v>61</v>
      </c>
      <c r="C11" s="47">
        <f>General!C31</f>
        <v>8.7233407294205534E-2</v>
      </c>
      <c r="D11" s="11" t="s">
        <v>56</v>
      </c>
      <c r="E11" s="319"/>
      <c r="F11" s="319"/>
    </row>
    <row r="12" spans="1:11">
      <c r="B12" s="59" t="s">
        <v>61</v>
      </c>
      <c r="C12" s="47">
        <f>General!C32</f>
        <v>4.9981060705037077</v>
      </c>
      <c r="D12" s="11" t="s">
        <v>55</v>
      </c>
      <c r="E12" s="319"/>
      <c r="F12" s="319"/>
    </row>
    <row r="13" spans="1:11" ht="17.100000000000001">
      <c r="A13" t="s">
        <v>62</v>
      </c>
      <c r="B13" s="59" t="s">
        <v>63</v>
      </c>
      <c r="C13" s="47">
        <f>General!C33</f>
        <v>0.17413833337751999</v>
      </c>
      <c r="D13" s="11" t="s">
        <v>56</v>
      </c>
      <c r="E13" s="319"/>
      <c r="F13" s="319"/>
    </row>
    <row r="14" spans="1:11" ht="17.100000000000001">
      <c r="A14" t="s">
        <v>64</v>
      </c>
      <c r="B14" s="10" t="s">
        <v>65</v>
      </c>
      <c r="C14" s="47">
        <f>(C15+C16)/2</f>
        <v>6.9</v>
      </c>
      <c r="D14" t="s">
        <v>66</v>
      </c>
      <c r="E14" s="314" t="s">
        <v>67</v>
      </c>
      <c r="F14" s="314"/>
      <c r="G14" t="s">
        <v>832</v>
      </c>
    </row>
    <row r="15" spans="1:11" ht="17.100000000000001">
      <c r="A15" t="s">
        <v>68</v>
      </c>
      <c r="B15" s="10" t="s">
        <v>69</v>
      </c>
      <c r="C15" s="5">
        <v>10</v>
      </c>
      <c r="D15" t="s">
        <v>66</v>
      </c>
      <c r="E15" s="314" t="s">
        <v>67</v>
      </c>
      <c r="F15" s="314"/>
    </row>
    <row r="16" spans="1:11" ht="17.100000000000001">
      <c r="A16" t="s">
        <v>70</v>
      </c>
      <c r="B16" s="10" t="s">
        <v>71</v>
      </c>
      <c r="C16" s="5">
        <v>3.8</v>
      </c>
      <c r="D16" t="s">
        <v>66</v>
      </c>
      <c r="E16" s="314" t="s">
        <v>67</v>
      </c>
      <c r="F16" s="314"/>
    </row>
    <row r="17" spans="1:10" ht="17.100000000000001">
      <c r="A17" t="s">
        <v>72</v>
      </c>
      <c r="B17" s="10" t="s">
        <v>73</v>
      </c>
      <c r="C17" s="47">
        <f>(2/3)*C15*(1+C5+C5^2)/(1+C5)</f>
        <v>7.3642512077294677</v>
      </c>
      <c r="D17" t="s">
        <v>66</v>
      </c>
      <c r="E17" s="314" t="s">
        <v>74</v>
      </c>
      <c r="F17" s="314"/>
    </row>
    <row r="18" spans="1:10" ht="17.100000000000001">
      <c r="A18" t="s">
        <v>75</v>
      </c>
      <c r="B18" s="10" t="s">
        <v>76</v>
      </c>
      <c r="C18" s="63">
        <f>General!C39</f>
        <v>69</v>
      </c>
      <c r="D18" t="s">
        <v>66</v>
      </c>
      <c r="E18" s="314" t="s">
        <v>77</v>
      </c>
      <c r="F18" s="314"/>
    </row>
    <row r="19" spans="1:10" ht="17.100000000000001">
      <c r="A19" t="s">
        <v>79</v>
      </c>
      <c r="B19" s="10" t="s">
        <v>80</v>
      </c>
      <c r="C19" s="47">
        <f>C20*TAN(C7)</f>
        <v>9.5092921360666072</v>
      </c>
      <c r="D19" t="s">
        <v>66</v>
      </c>
      <c r="E19" s="319"/>
      <c r="F19" s="319"/>
    </row>
    <row r="20" spans="1:10">
      <c r="A20" t="s">
        <v>81</v>
      </c>
      <c r="B20" s="9" t="s">
        <v>82</v>
      </c>
      <c r="C20" s="47">
        <f>(C18/6)*((1+2*C5)/(1+C5))</f>
        <v>14.666666666666668</v>
      </c>
      <c r="E20" s="319"/>
      <c r="F20" s="319"/>
    </row>
    <row r="21" spans="1:10">
      <c r="A21" t="s">
        <v>607</v>
      </c>
      <c r="B21" s="10" t="s">
        <v>608</v>
      </c>
      <c r="C21" s="47">
        <f>(1-Drag!C9^2)^0.5</f>
        <v>0.86422438320715966</v>
      </c>
      <c r="E21" s="314" t="s">
        <v>609</v>
      </c>
      <c r="F21" s="314"/>
    </row>
    <row r="22" spans="1:10">
      <c r="A22" t="s">
        <v>610</v>
      </c>
      <c r="B22" s="10" t="s">
        <v>611</v>
      </c>
      <c r="C22" s="47">
        <f>D30/(2*PI())</f>
        <v>0.96660409194790231</v>
      </c>
      <c r="D22" s="69"/>
      <c r="E22" s="319"/>
      <c r="F22" s="319"/>
    </row>
    <row r="23" spans="1:10">
      <c r="A23" t="s">
        <v>612</v>
      </c>
      <c r="B23" s="9" t="s">
        <v>153</v>
      </c>
      <c r="C23" s="47">
        <f>General!C89</f>
        <v>0.75661729604956662</v>
      </c>
      <c r="E23" s="319"/>
      <c r="F23" s="319"/>
    </row>
    <row r="24" spans="1:10">
      <c r="A24" t="s">
        <v>613</v>
      </c>
      <c r="B24" s="9" t="s">
        <v>614</v>
      </c>
      <c r="C24" s="47">
        <f>(1/2)*Drag!C12*(Drag!C8^2)</f>
        <v>211.69417655357609</v>
      </c>
      <c r="D24" t="s">
        <v>319</v>
      </c>
      <c r="E24" s="319"/>
      <c r="F24" s="319"/>
    </row>
    <row r="25" spans="1:10">
      <c r="A25" t="s">
        <v>615</v>
      </c>
      <c r="B25" s="10" t="s">
        <v>616</v>
      </c>
      <c r="C25" s="63">
        <f>'Performance T_O'!C39</f>
        <v>14.811146812284653</v>
      </c>
      <c r="D25" s="11" t="s">
        <v>55</v>
      </c>
      <c r="E25" s="25"/>
      <c r="F25" s="25"/>
    </row>
    <row r="26" spans="1:10">
      <c r="B26" s="10" t="s">
        <v>616</v>
      </c>
      <c r="C26" s="63">
        <f>RADIANS(C25)</f>
        <v>0.25850327787062971</v>
      </c>
      <c r="D26" s="11" t="s">
        <v>56</v>
      </c>
      <c r="E26" s="25"/>
      <c r="F26" s="25"/>
    </row>
    <row r="27" spans="1:10">
      <c r="B27" s="9"/>
      <c r="C27" s="69"/>
      <c r="E27" s="25"/>
      <c r="F27" s="25"/>
    </row>
    <row r="28" spans="1:10" ht="17.100000000000001">
      <c r="A28" s="71" t="s">
        <v>617</v>
      </c>
      <c r="B28" s="70" t="s">
        <v>618</v>
      </c>
      <c r="C28" s="70" t="s">
        <v>619</v>
      </c>
      <c r="D28" s="70" t="s">
        <v>620</v>
      </c>
      <c r="E28" s="70" t="s">
        <v>621</v>
      </c>
      <c r="F28" s="70" t="s">
        <v>622</v>
      </c>
      <c r="G28" s="70" t="s">
        <v>623</v>
      </c>
      <c r="H28" s="70" t="s">
        <v>624</v>
      </c>
      <c r="I28" s="70" t="s">
        <v>625</v>
      </c>
    </row>
    <row r="29" spans="1:10">
      <c r="A29" s="13">
        <v>4415</v>
      </c>
      <c r="B29" s="49">
        <v>-4</v>
      </c>
      <c r="C29" s="51">
        <v>-9.2999999999999999E-2</v>
      </c>
      <c r="D29" s="51">
        <v>0.106</v>
      </c>
      <c r="E29" s="51">
        <v>0.245</v>
      </c>
      <c r="F29" s="49">
        <v>15</v>
      </c>
      <c r="G29" s="50">
        <v>1.64</v>
      </c>
      <c r="H29" s="102">
        <v>6.4000000000000003E-3</v>
      </c>
      <c r="I29" s="50">
        <v>0.48</v>
      </c>
    </row>
    <row r="30" spans="1:10">
      <c r="A30" t="s">
        <v>626</v>
      </c>
      <c r="D30" s="69">
        <f>D29*(180/PI())</f>
        <v>6.0733526283867256</v>
      </c>
    </row>
    <row r="32" spans="1:10" ht="17.100000000000001">
      <c r="A32" s="71" t="s">
        <v>627</v>
      </c>
      <c r="B32" s="161" t="s">
        <v>618</v>
      </c>
      <c r="C32" s="70" t="s">
        <v>628</v>
      </c>
      <c r="D32" s="70" t="s">
        <v>629</v>
      </c>
      <c r="E32" s="183" t="s">
        <v>630</v>
      </c>
      <c r="F32" s="70" t="s">
        <v>631</v>
      </c>
      <c r="G32" s="70" t="s">
        <v>623</v>
      </c>
      <c r="H32" s="70" t="s">
        <v>624</v>
      </c>
      <c r="I32" s="70" t="s">
        <v>632</v>
      </c>
      <c r="J32" s="70" t="s">
        <v>625</v>
      </c>
    </row>
    <row r="33" spans="1:11">
      <c r="A33" s="97" t="s">
        <v>633</v>
      </c>
      <c r="B33" s="101" t="s">
        <v>634</v>
      </c>
      <c r="C33" s="49">
        <v>40</v>
      </c>
      <c r="D33" s="101" t="s">
        <v>634</v>
      </c>
      <c r="E33" s="101" t="s">
        <v>634</v>
      </c>
      <c r="F33" s="49">
        <v>1.9</v>
      </c>
      <c r="G33" s="50">
        <v>3.17</v>
      </c>
      <c r="H33" s="102" t="s">
        <v>634</v>
      </c>
      <c r="I33" s="102" t="s">
        <v>634</v>
      </c>
      <c r="J33" s="101" t="s">
        <v>634</v>
      </c>
    </row>
    <row r="34" spans="1:11">
      <c r="A34" s="310" t="s">
        <v>635</v>
      </c>
      <c r="B34" s="310"/>
      <c r="C34" s="310"/>
      <c r="D34" s="310"/>
      <c r="E34" s="310"/>
      <c r="F34" s="310"/>
      <c r="G34" s="310"/>
      <c r="H34" s="310"/>
      <c r="I34" s="310"/>
      <c r="J34" s="310"/>
      <c r="K34" s="310"/>
    </row>
    <row r="35" spans="1:11">
      <c r="A35" s="320" t="s">
        <v>636</v>
      </c>
      <c r="B35" s="320"/>
      <c r="C35" s="320"/>
      <c r="D35" s="320"/>
      <c r="E35" s="320"/>
      <c r="F35" s="320"/>
      <c r="G35" s="320"/>
      <c r="H35" s="320"/>
      <c r="I35" s="223"/>
      <c r="J35" s="223"/>
    </row>
    <row r="36" spans="1:11">
      <c r="A36" s="7" t="s">
        <v>7</v>
      </c>
      <c r="B36" s="22" t="s">
        <v>8</v>
      </c>
      <c r="C36" s="8" t="s">
        <v>9</v>
      </c>
      <c r="D36" s="23" t="s">
        <v>10</v>
      </c>
      <c r="E36" s="333" t="s">
        <v>11</v>
      </c>
      <c r="F36" s="333"/>
    </row>
    <row r="37" spans="1:11">
      <c r="A37" s="7" t="s">
        <v>637</v>
      </c>
      <c r="B37" s="114" t="s">
        <v>638</v>
      </c>
      <c r="C37" s="115">
        <f>(C147-C148)/C149</f>
        <v>-1.889127057914745</v>
      </c>
      <c r="D37" s="81" t="s">
        <v>55</v>
      </c>
      <c r="E37" s="334" t="s">
        <v>833</v>
      </c>
      <c r="F37" s="334"/>
      <c r="G37" s="334"/>
      <c r="H37" s="334"/>
      <c r="I37" s="334"/>
      <c r="J37" s="334"/>
    </row>
    <row r="38" spans="1:11">
      <c r="A38" t="s">
        <v>640</v>
      </c>
      <c r="B38" s="73" t="s">
        <v>301</v>
      </c>
      <c r="C38" s="78">
        <f>I29+D29*C37</f>
        <v>0.27975253186103699</v>
      </c>
      <c r="D38" s="113"/>
      <c r="E38" s="334" t="s">
        <v>641</v>
      </c>
      <c r="F38" s="334"/>
      <c r="G38" s="334"/>
      <c r="H38" s="334"/>
      <c r="I38" s="334"/>
      <c r="J38" s="334"/>
    </row>
    <row r="39" spans="1:11">
      <c r="A39" t="s">
        <v>642</v>
      </c>
      <c r="B39" s="73" t="s">
        <v>643</v>
      </c>
      <c r="C39" s="78">
        <f>D30</f>
        <v>6.0733526283867256</v>
      </c>
      <c r="D39" s="74" t="s">
        <v>644</v>
      </c>
      <c r="E39" s="333"/>
      <c r="F39" s="333"/>
      <c r="G39" s="333"/>
      <c r="H39" s="333"/>
      <c r="I39" s="333"/>
      <c r="J39" s="333"/>
    </row>
    <row r="40" spans="1:11">
      <c r="B40" s="73" t="s">
        <v>643</v>
      </c>
      <c r="C40" s="78">
        <f>D29</f>
        <v>0.106</v>
      </c>
      <c r="D40" s="74" t="s">
        <v>645</v>
      </c>
      <c r="E40" s="333"/>
      <c r="F40" s="333"/>
      <c r="G40" s="333"/>
      <c r="H40" s="333"/>
      <c r="I40" s="333"/>
      <c r="J40" s="333"/>
    </row>
    <row r="41" spans="1:11">
      <c r="A41" s="7" t="s">
        <v>834</v>
      </c>
      <c r="B41" s="17" t="s">
        <v>835</v>
      </c>
      <c r="C41" s="82">
        <f>C47+C46*C37</f>
        <v>0.22417834831836875</v>
      </c>
      <c r="D41" s="7"/>
      <c r="E41" s="319"/>
      <c r="F41" s="319"/>
      <c r="G41" s="319"/>
      <c r="H41" s="319"/>
      <c r="I41" s="319"/>
      <c r="J41" s="319"/>
    </row>
    <row r="42" spans="1:11">
      <c r="A42" s="7" t="s">
        <v>648</v>
      </c>
      <c r="B42" s="17" t="s">
        <v>649</v>
      </c>
      <c r="C42" s="83">
        <f>C41*(1/2)*Drag!C12*Drag!C8^2*'Lift (new)'!C3</f>
        <v>22594.39712892221</v>
      </c>
      <c r="D42" s="7" t="s">
        <v>327</v>
      </c>
      <c r="E42" s="319"/>
      <c r="F42" s="319"/>
    </row>
    <row r="43" spans="1:11">
      <c r="A43" s="11" t="s">
        <v>650</v>
      </c>
      <c r="B43" s="59" t="s">
        <v>651</v>
      </c>
      <c r="C43" s="78">
        <f>-4.18</f>
        <v>-4.18</v>
      </c>
      <c r="D43" s="11" t="s">
        <v>55</v>
      </c>
      <c r="E43" s="319" t="s">
        <v>836</v>
      </c>
      <c r="F43" s="319"/>
    </row>
    <row r="44" spans="1:11">
      <c r="A44" s="11"/>
      <c r="B44" s="59" t="s">
        <v>651</v>
      </c>
      <c r="C44" s="78">
        <f>RADIANS(C43)</f>
        <v>-7.2954762733362974E-2</v>
      </c>
      <c r="D44" s="11" t="s">
        <v>56</v>
      </c>
      <c r="E44" s="319"/>
      <c r="F44" s="319"/>
    </row>
    <row r="45" spans="1:11">
      <c r="A45" s="7" t="s">
        <v>653</v>
      </c>
      <c r="B45" s="17" t="s">
        <v>654</v>
      </c>
      <c r="C45" s="79">
        <f>(2*PI()*C4)/(2+SQRT((((C4*C21)/C22)^2)*(1+(((TAN(C11))^2)/(C21^2)))+4))</f>
        <v>5.6068029705587294</v>
      </c>
      <c r="D45" s="7" t="s">
        <v>644</v>
      </c>
      <c r="E45" s="319"/>
      <c r="F45" s="319"/>
    </row>
    <row r="46" spans="1:11">
      <c r="A46" s="7"/>
      <c r="B46" s="17"/>
      <c r="C46" s="79">
        <f>C45*(PI()/180)</f>
        <v>9.7857172346848528E-2</v>
      </c>
      <c r="D46" s="7" t="s">
        <v>645</v>
      </c>
      <c r="E46" s="319"/>
      <c r="F46" s="319"/>
    </row>
    <row r="47" spans="1:11">
      <c r="A47" s="81" t="s">
        <v>655</v>
      </c>
      <c r="B47" s="114" t="s">
        <v>656</v>
      </c>
      <c r="C47" s="115">
        <f>ABS(C43)*C46</f>
        <v>0.40904298040982684</v>
      </c>
      <c r="D47" s="81"/>
      <c r="E47" s="319"/>
      <c r="F47" s="319"/>
    </row>
    <row r="48" spans="1:11">
      <c r="A48" t="s">
        <v>659</v>
      </c>
      <c r="B48" s="9" t="s">
        <v>660</v>
      </c>
      <c r="C48" s="69">
        <f>C29+D29*(0.25-('Stability and Control'!C81/C14))*C37</f>
        <v>-0.13595163084719786</v>
      </c>
      <c r="D48" t="s">
        <v>645</v>
      </c>
      <c r="E48" s="314"/>
      <c r="F48" s="314"/>
    </row>
    <row r="49" spans="1:9">
      <c r="A49" s="7" t="s">
        <v>661</v>
      </c>
      <c r="B49" s="17" t="s">
        <v>662</v>
      </c>
      <c r="C49" s="144">
        <f>C46*(0.25-(('Stability and Control'!C81)/C17))</f>
        <v>2.1208699741415347E-2</v>
      </c>
      <c r="D49" s="7" t="s">
        <v>645</v>
      </c>
      <c r="E49" s="314"/>
      <c r="F49" s="314"/>
    </row>
    <row r="50" spans="1:9">
      <c r="A50" s="7"/>
      <c r="B50" s="17" t="s">
        <v>662</v>
      </c>
      <c r="C50" s="115">
        <f>C49*(180/PI())</f>
        <v>1.2151689841432998</v>
      </c>
      <c r="D50" s="7" t="s">
        <v>644</v>
      </c>
      <c r="E50" s="319"/>
      <c r="F50" s="319"/>
    </row>
    <row r="51" spans="1:9">
      <c r="A51" s="7" t="s">
        <v>663</v>
      </c>
      <c r="B51" s="17" t="s">
        <v>664</v>
      </c>
      <c r="C51" s="82">
        <f>C29</f>
        <v>-9.2999999999999999E-2</v>
      </c>
      <c r="D51" s="7" t="s">
        <v>645</v>
      </c>
      <c r="E51" s="314" t="s">
        <v>665</v>
      </c>
      <c r="F51" s="314"/>
    </row>
    <row r="52" spans="1:9">
      <c r="A52" s="7" t="s">
        <v>666</v>
      </c>
      <c r="B52" s="17" t="s">
        <v>667</v>
      </c>
      <c r="C52" s="82">
        <f>C51+C49*C37</f>
        <v>-0.13306592854469718</v>
      </c>
      <c r="D52" s="7"/>
      <c r="E52" s="319"/>
      <c r="F52" s="319"/>
    </row>
    <row r="53" spans="1:9">
      <c r="B53" s="9"/>
      <c r="C53" s="69"/>
      <c r="E53" s="319"/>
      <c r="F53" s="319"/>
    </row>
    <row r="54" spans="1:9">
      <c r="A54" s="320" t="s">
        <v>668</v>
      </c>
      <c r="B54" s="320"/>
      <c r="C54" s="320"/>
      <c r="D54" s="320"/>
      <c r="E54" s="320"/>
      <c r="F54" s="320"/>
      <c r="G54" s="320"/>
      <c r="H54" s="320"/>
    </row>
    <row r="55" spans="1:9">
      <c r="A55" t="s">
        <v>669</v>
      </c>
      <c r="B55" s="9" t="s">
        <v>546</v>
      </c>
      <c r="C55" s="69">
        <f>G29+((2*C20)/C18)*(G29-G29)</f>
        <v>1.64</v>
      </c>
      <c r="E55" s="319"/>
      <c r="F55" s="319"/>
    </row>
    <row r="56" spans="1:9">
      <c r="A56" t="s">
        <v>670</v>
      </c>
      <c r="B56" s="9" t="s">
        <v>671</v>
      </c>
      <c r="C56" s="69">
        <f>0.9*C55</f>
        <v>1.476</v>
      </c>
      <c r="E56" s="319"/>
      <c r="F56" s="319"/>
    </row>
    <row r="57" spans="1:9">
      <c r="B57" s="9"/>
      <c r="C57" s="69"/>
      <c r="E57" s="319"/>
      <c r="F57" s="319"/>
    </row>
    <row r="58" spans="1:9">
      <c r="A58" s="320" t="s">
        <v>672</v>
      </c>
      <c r="B58" s="320"/>
      <c r="C58" s="320"/>
      <c r="D58" s="320"/>
      <c r="E58" s="320"/>
      <c r="F58" s="320"/>
      <c r="G58" s="320"/>
      <c r="H58" s="320"/>
    </row>
    <row r="59" spans="1:9">
      <c r="A59" s="7" t="s">
        <v>673</v>
      </c>
      <c r="B59" s="17" t="s">
        <v>212</v>
      </c>
      <c r="C59" s="79">
        <f>0.592*SQRT((2*General!C7)/(Drag!C12*C3*C72))</f>
        <v>75.223546441518081</v>
      </c>
      <c r="D59" s="7" t="s">
        <v>213</v>
      </c>
      <c r="E59" s="314"/>
      <c r="F59" s="314"/>
      <c r="G59" s="58"/>
      <c r="H59" s="58"/>
      <c r="I59" s="58"/>
    </row>
    <row r="60" spans="1:9">
      <c r="A60" s="7"/>
      <c r="B60" s="17" t="s">
        <v>212</v>
      </c>
      <c r="C60" s="79">
        <f>C59*1.68780986</f>
        <v>126.96304338816213</v>
      </c>
      <c r="D60" s="7" t="s">
        <v>183</v>
      </c>
      <c r="E60" s="58"/>
      <c r="F60" s="58"/>
      <c r="G60" s="58"/>
      <c r="H60" s="58"/>
      <c r="I60" s="58"/>
    </row>
    <row r="61" spans="1:9">
      <c r="A61" s="7" t="s">
        <v>674</v>
      </c>
      <c r="B61" s="17" t="s">
        <v>675</v>
      </c>
      <c r="C61" s="82">
        <f>C59/SQRT(1716.46*1.4*Drag!C13)</f>
        <v>7.1147790797057422E-2</v>
      </c>
      <c r="D61" s="7"/>
      <c r="E61" s="314"/>
      <c r="F61" s="314"/>
      <c r="G61" s="58"/>
      <c r="H61" s="58"/>
      <c r="I61" s="58"/>
    </row>
    <row r="62" spans="1:9">
      <c r="A62" t="s">
        <v>676</v>
      </c>
      <c r="B62" s="9" t="s">
        <v>677</v>
      </c>
      <c r="C62" s="69">
        <f>(1/2)*SIN(PI()*(1-C5)^(1.5+0.8*(SIN(PI()*(1-C5)^2))^0.4))</f>
        <v>0.43544053800721427</v>
      </c>
      <c r="E62" s="314"/>
      <c r="F62" s="314"/>
      <c r="G62" s="58"/>
      <c r="H62" s="58"/>
      <c r="I62" s="58"/>
    </row>
    <row r="63" spans="1:9">
      <c r="A63" t="s">
        <v>678</v>
      </c>
      <c r="B63" s="9" t="s">
        <v>679</v>
      </c>
      <c r="C63" s="69">
        <f>4/((C62+1)*COS(C8))</f>
        <v>2.8304887373535239</v>
      </c>
      <c r="E63" s="314" t="s">
        <v>837</v>
      </c>
      <c r="F63" s="314"/>
      <c r="G63" s="58"/>
      <c r="H63" s="58"/>
      <c r="I63" s="58"/>
    </row>
    <row r="64" spans="1:9">
      <c r="A64" t="s">
        <v>680</v>
      </c>
      <c r="B64" s="10" t="s">
        <v>681</v>
      </c>
      <c r="C64">
        <f>25*C6</f>
        <v>3.75</v>
      </c>
      <c r="E64" s="314" t="s">
        <v>682</v>
      </c>
      <c r="F64" s="314"/>
      <c r="G64" s="58"/>
      <c r="H64" s="58"/>
      <c r="I64" s="58"/>
    </row>
    <row r="65" spans="1:11">
      <c r="A65" t="s">
        <v>683</v>
      </c>
      <c r="B65" s="9" t="s">
        <v>838</v>
      </c>
      <c r="C65">
        <v>0.86</v>
      </c>
      <c r="E65" s="314" t="s">
        <v>685</v>
      </c>
      <c r="F65" s="314"/>
      <c r="G65" s="58"/>
      <c r="H65" s="58"/>
      <c r="I65" s="58"/>
    </row>
    <row r="66" spans="1:11">
      <c r="A66" t="s">
        <v>686</v>
      </c>
      <c r="B66" s="10" t="s">
        <v>687</v>
      </c>
      <c r="C66">
        <v>0</v>
      </c>
      <c r="E66" s="314" t="s">
        <v>688</v>
      </c>
      <c r="F66" s="314"/>
      <c r="G66" s="58"/>
      <c r="H66" s="58"/>
      <c r="I66" s="58"/>
    </row>
    <row r="67" spans="1:11">
      <c r="A67" s="7" t="s">
        <v>671</v>
      </c>
      <c r="B67" s="17" t="s">
        <v>671</v>
      </c>
      <c r="C67" s="79">
        <f>C65*G29+C66</f>
        <v>1.4103999999999999</v>
      </c>
      <c r="E67" s="314"/>
      <c r="F67" s="314"/>
      <c r="G67" s="58"/>
      <c r="H67" s="58"/>
      <c r="I67" s="58"/>
    </row>
    <row r="68" spans="1:11">
      <c r="A68" t="s">
        <v>700</v>
      </c>
      <c r="B68" s="10" t="s">
        <v>701</v>
      </c>
      <c r="C68" s="69">
        <f>(0.00057*C7)-(0.01497*C7)+2.179</f>
        <v>2.0349999999999997</v>
      </c>
      <c r="E68" s="314" t="s">
        <v>702</v>
      </c>
      <c r="F68" s="314"/>
      <c r="G68" s="58"/>
      <c r="H68" s="58"/>
      <c r="I68" s="58"/>
    </row>
    <row r="69" spans="1:11">
      <c r="A69" s="7" t="s">
        <v>703</v>
      </c>
      <c r="B69" s="80" t="s">
        <v>704</v>
      </c>
      <c r="C69" s="79">
        <f>(C67/C46)+B29+C68</f>
        <v>12.447842371951303</v>
      </c>
      <c r="D69" s="81" t="s">
        <v>55</v>
      </c>
      <c r="E69" s="314"/>
      <c r="F69" s="314"/>
      <c r="G69" s="58"/>
      <c r="H69" s="58"/>
      <c r="I69" s="58"/>
    </row>
    <row r="70" spans="1:11" ht="14.25" customHeight="1">
      <c r="A70" t="s">
        <v>698</v>
      </c>
      <c r="B70" s="9" t="s">
        <v>699</v>
      </c>
      <c r="C70" s="69">
        <f>((C56-C67)/((C56+C67)/2))*100</f>
        <v>4.5454545454545521</v>
      </c>
      <c r="D70" t="s">
        <v>51</v>
      </c>
      <c r="E70" s="314"/>
      <c r="F70" s="314"/>
      <c r="G70" s="58"/>
      <c r="H70" s="58"/>
      <c r="I70" s="58"/>
    </row>
    <row r="71" spans="1:11">
      <c r="A71" s="7" t="s">
        <v>706</v>
      </c>
      <c r="B71" s="17" t="s">
        <v>707</v>
      </c>
      <c r="C71" s="79">
        <f>COS(C10)</f>
        <v>0.99137950702965794</v>
      </c>
      <c r="E71" s="314"/>
      <c r="F71" s="314"/>
      <c r="G71" s="58"/>
      <c r="H71" s="58"/>
      <c r="I71" s="58"/>
    </row>
    <row r="72" spans="1:11">
      <c r="A72" s="7" t="s">
        <v>708</v>
      </c>
      <c r="B72" s="17" t="s">
        <v>208</v>
      </c>
      <c r="C72" s="79">
        <f>(C67+F33)*C71</f>
        <v>3.2818627200709791</v>
      </c>
      <c r="E72" s="314" t="s">
        <v>839</v>
      </c>
      <c r="F72" s="314"/>
      <c r="G72" s="314"/>
      <c r="H72" s="314"/>
      <c r="I72" s="314"/>
      <c r="J72" s="314"/>
      <c r="K72" s="314"/>
    </row>
    <row r="73" spans="1:11">
      <c r="B73" s="9"/>
      <c r="E73" s="319"/>
      <c r="F73" s="319"/>
    </row>
    <row r="74" spans="1:11">
      <c r="B74" s="9"/>
      <c r="E74" s="319"/>
      <c r="F74" s="319"/>
    </row>
    <row r="75" spans="1:11">
      <c r="A75" s="320" t="s">
        <v>709</v>
      </c>
      <c r="B75" s="320"/>
      <c r="C75" s="320"/>
      <c r="D75" s="320"/>
      <c r="E75" s="320"/>
      <c r="F75" s="320"/>
      <c r="G75" s="320"/>
      <c r="H75" s="320"/>
    </row>
    <row r="76" spans="1:11">
      <c r="A76" t="s">
        <v>710</v>
      </c>
      <c r="B76" s="9" t="s">
        <v>711</v>
      </c>
      <c r="C76">
        <f>1*C18</f>
        <v>69</v>
      </c>
      <c r="E76" s="314" t="s">
        <v>712</v>
      </c>
      <c r="F76" s="314"/>
      <c r="G76" s="314"/>
      <c r="H76" s="314"/>
    </row>
    <row r="77" spans="1:11">
      <c r="A77" t="s">
        <v>713</v>
      </c>
      <c r="B77" s="9" t="s">
        <v>714</v>
      </c>
      <c r="C77" s="69">
        <f>C18+((C17*C6)/2)</f>
        <v>69.552318840579716</v>
      </c>
      <c r="E77" s="314" t="s">
        <v>715</v>
      </c>
      <c r="F77" s="314"/>
      <c r="G77" s="314"/>
      <c r="H77" s="314"/>
    </row>
    <row r="78" spans="1:11">
      <c r="A78" s="155" t="s">
        <v>716</v>
      </c>
      <c r="B78" s="10" t="s">
        <v>717</v>
      </c>
      <c r="C78" s="69">
        <f>1+((0.269*C41^1.45)/((C4^3.18)*((60/C18)^1.12)))</f>
        <v>1.0000237735849085</v>
      </c>
      <c r="E78" s="314" t="s">
        <v>718</v>
      </c>
      <c r="F78" s="314"/>
      <c r="G78" s="314"/>
      <c r="H78" s="314"/>
    </row>
    <row r="79" spans="1:11">
      <c r="A79" s="155" t="s">
        <v>716</v>
      </c>
      <c r="B79" s="10" t="s">
        <v>719</v>
      </c>
      <c r="C79" s="99">
        <f>1-2.25*((C5^0.00273)-0.997)*((C4^0.717)+13.6)</f>
        <v>0.98467846011711768</v>
      </c>
      <c r="E79" s="314" t="s">
        <v>718</v>
      </c>
      <c r="F79" s="314"/>
      <c r="G79" s="314"/>
      <c r="H79" s="314"/>
    </row>
    <row r="80" spans="1:11">
      <c r="A80" t="s">
        <v>720</v>
      </c>
      <c r="B80" s="10" t="s">
        <v>721</v>
      </c>
      <c r="C80" s="99">
        <f>(1/C78)*(1+C79*((288*(C77/C18)^0.787)/(C4^0.882))*EXP(-9.14*(C77/C18)^0.327))</f>
        <v>1.0038989515958763</v>
      </c>
      <c r="E80" s="314" t="s">
        <v>722</v>
      </c>
      <c r="F80" s="314"/>
      <c r="G80" s="314"/>
      <c r="H80" s="314"/>
    </row>
    <row r="81" spans="1:11">
      <c r="A81" s="7" t="s">
        <v>723</v>
      </c>
      <c r="B81" s="80" t="s">
        <v>724</v>
      </c>
      <c r="C81" s="82">
        <f>F33/40</f>
        <v>4.7500000000000001E-2</v>
      </c>
      <c r="D81" s="7" t="s">
        <v>645</v>
      </c>
      <c r="E81" s="314" t="s">
        <v>725</v>
      </c>
      <c r="F81" s="314"/>
      <c r="G81" s="314"/>
      <c r="H81" s="314"/>
    </row>
    <row r="82" spans="1:11">
      <c r="A82" s="7"/>
      <c r="B82" s="80"/>
      <c r="C82" s="82">
        <f>C81*(180/PI())</f>
        <v>2.7215495268714105</v>
      </c>
      <c r="D82" s="7" t="s">
        <v>644</v>
      </c>
      <c r="E82" s="319"/>
      <c r="F82" s="319"/>
      <c r="G82" s="319"/>
      <c r="H82" s="319"/>
    </row>
    <row r="83" spans="1:11">
      <c r="A83" s="155"/>
      <c r="B83" s="9"/>
      <c r="E83" s="319"/>
      <c r="F83" s="319"/>
      <c r="G83" s="319"/>
      <c r="H83" s="319"/>
    </row>
    <row r="84" spans="1:11">
      <c r="B84" s="9"/>
      <c r="E84" s="314"/>
      <c r="F84" s="314"/>
      <c r="G84" s="314"/>
      <c r="H84" s="314"/>
    </row>
    <row r="85" spans="1:11">
      <c r="A85" s="309" t="s">
        <v>726</v>
      </c>
      <c r="B85" s="309"/>
      <c r="C85" s="309"/>
      <c r="D85" s="309"/>
      <c r="E85" s="309"/>
      <c r="F85" s="309"/>
      <c r="G85" s="309"/>
      <c r="H85" s="309"/>
      <c r="I85" s="309"/>
      <c r="J85" s="309"/>
      <c r="K85" s="309"/>
    </row>
    <row r="86" spans="1:11">
      <c r="A86" s="7" t="s">
        <v>7</v>
      </c>
      <c r="B86" s="7" t="s">
        <v>8</v>
      </c>
      <c r="C86" s="7" t="s">
        <v>9</v>
      </c>
      <c r="D86" s="7" t="s">
        <v>10</v>
      </c>
      <c r="E86" s="312" t="s">
        <v>11</v>
      </c>
      <c r="F86" s="312"/>
      <c r="G86" s="312"/>
      <c r="H86" s="312"/>
      <c r="I86" s="312"/>
      <c r="J86" s="312"/>
      <c r="K86" s="312"/>
    </row>
    <row r="87" spans="1:11" ht="18">
      <c r="A87" t="s">
        <v>86</v>
      </c>
      <c r="B87" s="9" t="s">
        <v>87</v>
      </c>
      <c r="C87" s="47">
        <f>C100*((C98+C99)/2)</f>
        <v>108.17099999999999</v>
      </c>
      <c r="D87" t="s">
        <v>39</v>
      </c>
      <c r="E87" s="314" t="s">
        <v>88</v>
      </c>
      <c r="F87" s="314"/>
      <c r="G87" s="314"/>
      <c r="H87" s="314"/>
      <c r="I87" s="314"/>
      <c r="J87" s="314"/>
      <c r="K87" s="314"/>
    </row>
    <row r="88" spans="1:11" ht="17.100000000000001">
      <c r="A88" t="s">
        <v>89</v>
      </c>
      <c r="B88" s="9" t="s">
        <v>90</v>
      </c>
      <c r="C88" s="5">
        <f>Geometry!C30</f>
        <v>4.1594516540385147</v>
      </c>
      <c r="E88" s="319"/>
      <c r="F88" s="319"/>
      <c r="G88" s="319"/>
      <c r="H88" s="319"/>
      <c r="I88" s="319"/>
      <c r="J88" s="319"/>
      <c r="K88" s="319"/>
    </row>
    <row r="89" spans="1:11">
      <c r="A89" t="s">
        <v>91</v>
      </c>
      <c r="B89" s="10" t="s">
        <v>92</v>
      </c>
      <c r="C89" s="47">
        <f>C99/C98</f>
        <v>0.72881355932203384</v>
      </c>
      <c r="E89" s="319"/>
      <c r="F89" s="319"/>
      <c r="G89" s="319"/>
      <c r="H89" s="319"/>
      <c r="I89" s="319"/>
      <c r="J89" s="319"/>
      <c r="K89" s="319"/>
    </row>
    <row r="90" spans="1:11">
      <c r="A90" t="s">
        <v>49</v>
      </c>
      <c r="B90" s="9" t="s">
        <v>50</v>
      </c>
      <c r="C90" s="5">
        <v>9</v>
      </c>
      <c r="D90" t="s">
        <v>51</v>
      </c>
      <c r="E90" s="314" t="s">
        <v>93</v>
      </c>
      <c r="F90" s="314"/>
      <c r="G90" s="314"/>
      <c r="H90" s="314"/>
      <c r="I90" s="314"/>
      <c r="J90" s="314"/>
      <c r="K90" s="314"/>
    </row>
    <row r="91" spans="1:11">
      <c r="A91" t="s">
        <v>94</v>
      </c>
      <c r="B91" s="10" t="s">
        <v>95</v>
      </c>
      <c r="C91" s="5">
        <v>30</v>
      </c>
      <c r="D91" s="11" t="s">
        <v>55</v>
      </c>
      <c r="E91" s="319"/>
      <c r="F91" s="319"/>
      <c r="G91" s="319"/>
      <c r="H91" s="319"/>
      <c r="I91" s="319"/>
      <c r="J91" s="319"/>
      <c r="K91" s="319"/>
    </row>
    <row r="92" spans="1:11">
      <c r="B92" s="10" t="s">
        <v>95</v>
      </c>
      <c r="C92" s="154">
        <f>RADIANS(C91)</f>
        <v>0.52359877559829882</v>
      </c>
      <c r="D92" s="11" t="s">
        <v>56</v>
      </c>
      <c r="E92" s="319"/>
      <c r="F92" s="319"/>
      <c r="G92" s="319"/>
      <c r="H92" s="319"/>
      <c r="I92" s="319"/>
      <c r="J92" s="319"/>
      <c r="K92" s="319"/>
    </row>
    <row r="93" spans="1:11">
      <c r="A93" t="s">
        <v>727</v>
      </c>
      <c r="B93" s="10" t="s">
        <v>728</v>
      </c>
      <c r="C93" s="154">
        <f>TAN(C92)+(C98/(2*C100))*(C89-1)</f>
        <v>0.53963221166958786</v>
      </c>
      <c r="D93" s="11" t="s">
        <v>56</v>
      </c>
      <c r="E93" s="319"/>
      <c r="F93" s="319"/>
      <c r="G93" s="319"/>
      <c r="H93" s="319"/>
      <c r="I93" s="319"/>
      <c r="J93" s="319"/>
      <c r="K93" s="319"/>
    </row>
    <row r="94" spans="1:11">
      <c r="B94" s="10" t="s">
        <v>728</v>
      </c>
      <c r="C94" s="154">
        <f>DEGREES(C93)</f>
        <v>30.918648217977676</v>
      </c>
      <c r="D94" s="11" t="s">
        <v>55</v>
      </c>
      <c r="E94" s="319"/>
      <c r="F94" s="319"/>
      <c r="G94" s="319"/>
      <c r="H94" s="319"/>
      <c r="I94" s="319"/>
      <c r="J94" s="319"/>
      <c r="K94" s="319"/>
    </row>
    <row r="95" spans="1:11">
      <c r="A95" t="s">
        <v>729</v>
      </c>
      <c r="B95" s="10" t="s">
        <v>730</v>
      </c>
      <c r="C95" s="154">
        <f>TAN(C93)-(4/C88)*((0.5-0.25)*((1-C89)/(1+C89)))</f>
        <v>0.56121743115539813</v>
      </c>
      <c r="D95" s="11" t="s">
        <v>731</v>
      </c>
      <c r="E95" s="319"/>
      <c r="F95" s="319"/>
      <c r="G95" s="319"/>
      <c r="H95" s="319"/>
      <c r="I95" s="319"/>
      <c r="J95" s="319"/>
      <c r="K95" s="319"/>
    </row>
    <row r="96" spans="1:11">
      <c r="B96" s="10" t="s">
        <v>730</v>
      </c>
      <c r="C96" s="154">
        <f>DEGREES(C95)</f>
        <v>32.15539019437815</v>
      </c>
      <c r="D96" s="11" t="s">
        <v>55</v>
      </c>
      <c r="E96" s="319"/>
      <c r="F96" s="319"/>
      <c r="G96" s="319"/>
      <c r="H96" s="319"/>
      <c r="I96" s="319"/>
      <c r="J96" s="319"/>
      <c r="K96" s="319"/>
    </row>
    <row r="97" spans="1:11" ht="17.100000000000001">
      <c r="A97" t="s">
        <v>97</v>
      </c>
      <c r="B97" s="9" t="s">
        <v>98</v>
      </c>
      <c r="C97" s="6">
        <f>(C98+C99)/2</f>
        <v>5.0999999999999996</v>
      </c>
      <c r="D97" t="s">
        <v>66</v>
      </c>
      <c r="E97" s="319"/>
      <c r="F97" s="319"/>
      <c r="G97" s="319"/>
      <c r="H97" s="319"/>
      <c r="I97" s="319"/>
      <c r="J97" s="319"/>
      <c r="K97" s="319"/>
    </row>
    <row r="98" spans="1:11" ht="17.100000000000001">
      <c r="A98" t="s">
        <v>99</v>
      </c>
      <c r="B98" s="9" t="s">
        <v>100</v>
      </c>
      <c r="C98" s="5">
        <v>5.9</v>
      </c>
      <c r="D98" t="s">
        <v>66</v>
      </c>
      <c r="E98" s="319"/>
      <c r="F98" s="319"/>
      <c r="G98" s="319"/>
      <c r="H98" s="319"/>
      <c r="I98" s="319"/>
      <c r="J98" s="319"/>
      <c r="K98" s="319"/>
    </row>
    <row r="99" spans="1:11" ht="17.100000000000001">
      <c r="A99" t="s">
        <v>101</v>
      </c>
      <c r="B99" s="9" t="s">
        <v>102</v>
      </c>
      <c r="C99" s="5">
        <v>4.3</v>
      </c>
      <c r="D99" t="s">
        <v>66</v>
      </c>
      <c r="E99" s="319"/>
      <c r="F99" s="319"/>
      <c r="G99" s="319"/>
      <c r="H99" s="319"/>
      <c r="I99" s="319"/>
      <c r="J99" s="319"/>
      <c r="K99" s="319"/>
    </row>
    <row r="100" spans="1:11" ht="17.100000000000001">
      <c r="A100" t="s">
        <v>103</v>
      </c>
      <c r="B100" s="9" t="s">
        <v>104</v>
      </c>
      <c r="C100" s="5">
        <v>21.21</v>
      </c>
      <c r="D100" t="s">
        <v>66</v>
      </c>
      <c r="E100" s="319"/>
      <c r="F100" s="319"/>
      <c r="G100" s="319"/>
      <c r="H100" s="319"/>
      <c r="I100" s="319"/>
      <c r="J100" s="319"/>
      <c r="K100" s="319"/>
    </row>
    <row r="101" spans="1:11">
      <c r="A101" s="57" t="s">
        <v>79</v>
      </c>
      <c r="B101" s="9" t="s">
        <v>105</v>
      </c>
      <c r="C101" s="47">
        <f>C102*TAN(C91)</f>
        <v>-32.188359197264361</v>
      </c>
      <c r="D101" t="s">
        <v>66</v>
      </c>
      <c r="E101" s="319"/>
      <c r="F101" s="319"/>
      <c r="G101" s="319"/>
      <c r="H101" s="319"/>
      <c r="I101" s="319"/>
      <c r="J101" s="319"/>
      <c r="K101" s="319"/>
    </row>
    <row r="102" spans="1:11">
      <c r="A102" s="57" t="s">
        <v>81</v>
      </c>
      <c r="B102" s="9" t="s">
        <v>106</v>
      </c>
      <c r="C102" s="47">
        <f>(C100/6)*((1+2*C89)/(1+C89))</f>
        <v>5.0252450980392149</v>
      </c>
      <c r="D102" t="s">
        <v>66</v>
      </c>
      <c r="E102" s="319"/>
      <c r="F102" s="319"/>
      <c r="G102" s="319"/>
      <c r="H102" s="319"/>
      <c r="I102" s="319"/>
      <c r="J102" s="319"/>
      <c r="K102" s="319"/>
    </row>
    <row r="103" spans="1:11">
      <c r="A103" t="s">
        <v>732</v>
      </c>
      <c r="B103" s="9" t="s">
        <v>733</v>
      </c>
      <c r="C103" s="5">
        <v>0.9</v>
      </c>
      <c r="E103" s="314" t="s">
        <v>734</v>
      </c>
      <c r="F103" s="314"/>
      <c r="G103" s="314"/>
      <c r="H103" s="314"/>
      <c r="I103" s="314"/>
      <c r="J103" s="314"/>
      <c r="K103" s="314"/>
    </row>
    <row r="104" spans="1:11">
      <c r="A104" t="s">
        <v>735</v>
      </c>
      <c r="B104" s="9" t="s">
        <v>736</v>
      </c>
      <c r="C104" s="63">
        <f>'Stability and Control'!C115</f>
        <v>26.294555439619344</v>
      </c>
      <c r="E104" s="319"/>
      <c r="F104" s="319"/>
      <c r="G104" s="319"/>
      <c r="H104" s="319"/>
      <c r="I104" s="319"/>
      <c r="J104" s="319"/>
      <c r="K104" s="319"/>
    </row>
    <row r="105" spans="1:11">
      <c r="A105" t="s">
        <v>610</v>
      </c>
      <c r="B105" s="10" t="s">
        <v>611</v>
      </c>
      <c r="C105" s="47">
        <f>D121/(2*PI())</f>
        <v>1.6074649252281432E-2</v>
      </c>
      <c r="E105" s="319"/>
      <c r="F105" s="319"/>
      <c r="G105" s="319"/>
      <c r="H105" s="319"/>
      <c r="I105" s="319"/>
      <c r="J105" s="319"/>
      <c r="K105" s="319"/>
    </row>
    <row r="106" spans="1:11">
      <c r="E106" s="319"/>
      <c r="F106" s="319"/>
      <c r="G106" s="319"/>
      <c r="H106" s="319"/>
      <c r="I106" s="319"/>
      <c r="J106" s="319"/>
      <c r="K106" s="319"/>
    </row>
    <row r="107" spans="1:11" ht="17.100000000000001">
      <c r="A107" t="s">
        <v>108</v>
      </c>
      <c r="B107" s="9" t="s">
        <v>109</v>
      </c>
      <c r="C107" s="47">
        <f>General!C62</f>
        <v>54.093668760770875</v>
      </c>
      <c r="D107" t="s">
        <v>840</v>
      </c>
      <c r="E107" s="319"/>
      <c r="F107" s="319"/>
      <c r="G107" s="319"/>
      <c r="H107" s="319"/>
      <c r="I107" s="319"/>
      <c r="J107" s="319"/>
      <c r="K107" s="319"/>
    </row>
    <row r="108" spans="1:11" ht="17.100000000000001">
      <c r="A108" t="s">
        <v>111</v>
      </c>
      <c r="B108" s="9" t="s">
        <v>112</v>
      </c>
      <c r="C108" s="47">
        <f>C88</f>
        <v>4.1594516540385147</v>
      </c>
      <c r="E108" s="319"/>
      <c r="F108" s="319"/>
      <c r="G108" s="319"/>
      <c r="H108" s="319"/>
      <c r="I108" s="319"/>
      <c r="J108" s="319"/>
      <c r="K108" s="319"/>
    </row>
    <row r="109" spans="1:11">
      <c r="A109" t="s">
        <v>113</v>
      </c>
      <c r="B109" s="10" t="s">
        <v>114</v>
      </c>
      <c r="C109" s="47">
        <f>C89</f>
        <v>0.72881355932203384</v>
      </c>
      <c r="D109" t="s">
        <v>51</v>
      </c>
      <c r="E109" s="319"/>
      <c r="F109" s="319"/>
      <c r="G109" s="319"/>
      <c r="H109" s="319"/>
      <c r="I109" s="319"/>
      <c r="J109" s="319"/>
      <c r="K109" s="319"/>
    </row>
    <row r="110" spans="1:11">
      <c r="A110" t="s">
        <v>115</v>
      </c>
      <c r="B110" s="9" t="s">
        <v>50</v>
      </c>
      <c r="C110" s="76">
        <f>C90</f>
        <v>9</v>
      </c>
      <c r="D110" s="11" t="s">
        <v>51</v>
      </c>
      <c r="E110" s="319"/>
      <c r="F110" s="319"/>
      <c r="G110" s="319"/>
      <c r="H110" s="319"/>
      <c r="I110" s="319"/>
      <c r="J110" s="319"/>
      <c r="K110" s="319"/>
    </row>
    <row r="111" spans="1:11">
      <c r="A111" t="s">
        <v>116</v>
      </c>
      <c r="B111" s="10" t="s">
        <v>117</v>
      </c>
      <c r="C111" s="6">
        <f>C41^2/(PI()*'Lift (new)'!C23*General!C24)</f>
        <v>2.1142736271387631E-3</v>
      </c>
      <c r="D111" s="11" t="s">
        <v>55</v>
      </c>
      <c r="E111" s="319"/>
      <c r="F111" s="319"/>
      <c r="G111" s="319"/>
      <c r="H111" s="319"/>
      <c r="I111" s="319"/>
      <c r="J111" s="319"/>
      <c r="K111" s="319"/>
    </row>
    <row r="112" spans="1:11" ht="17.100000000000001">
      <c r="A112" t="s">
        <v>64</v>
      </c>
      <c r="B112" s="9" t="s">
        <v>98</v>
      </c>
      <c r="C112" s="6">
        <f>C97</f>
        <v>5.0999999999999996</v>
      </c>
      <c r="D112" t="s">
        <v>66</v>
      </c>
      <c r="E112" s="319"/>
      <c r="F112" s="319"/>
      <c r="G112" s="319"/>
      <c r="H112" s="319"/>
      <c r="I112" s="319"/>
      <c r="J112" s="319"/>
      <c r="K112" s="319"/>
    </row>
    <row r="113" spans="1:11" ht="17.100000000000001">
      <c r="A113" t="s">
        <v>118</v>
      </c>
      <c r="B113" s="9" t="s">
        <v>119</v>
      </c>
      <c r="C113" s="6">
        <f>C98</f>
        <v>5.9</v>
      </c>
      <c r="D113" t="s">
        <v>66</v>
      </c>
      <c r="E113" s="319"/>
      <c r="F113" s="319"/>
      <c r="G113" s="319"/>
      <c r="H113" s="319"/>
      <c r="I113" s="319"/>
      <c r="J113" s="319"/>
      <c r="K113" s="319"/>
    </row>
    <row r="114" spans="1:11" ht="17.100000000000001">
      <c r="A114" t="s">
        <v>120</v>
      </c>
      <c r="B114" s="9" t="s">
        <v>121</v>
      </c>
      <c r="C114" s="6">
        <f>C99</f>
        <v>4.3</v>
      </c>
      <c r="D114" t="s">
        <v>66</v>
      </c>
      <c r="E114" s="319"/>
      <c r="F114" s="319"/>
      <c r="G114" s="319"/>
      <c r="H114" s="319"/>
      <c r="I114" s="319"/>
      <c r="J114" s="319"/>
      <c r="K114" s="319"/>
    </row>
    <row r="115" spans="1:11" ht="17.100000000000001">
      <c r="A115" t="s">
        <v>122</v>
      </c>
      <c r="B115" s="9" t="s">
        <v>123</v>
      </c>
      <c r="C115" s="47">
        <f>General!C70</f>
        <v>10.606601717798211</v>
      </c>
      <c r="D115" t="s">
        <v>66</v>
      </c>
      <c r="E115" s="314"/>
      <c r="F115" s="314"/>
      <c r="G115" s="314"/>
      <c r="H115" s="314"/>
      <c r="I115" s="314"/>
      <c r="J115" s="314"/>
      <c r="K115" s="314"/>
    </row>
    <row r="116" spans="1:11">
      <c r="A116" t="s">
        <v>737</v>
      </c>
      <c r="B116" s="9" t="s">
        <v>738</v>
      </c>
      <c r="C116" s="5">
        <v>0.08</v>
      </c>
      <c r="E116" s="314" t="s">
        <v>734</v>
      </c>
      <c r="F116" s="314"/>
      <c r="G116" s="314"/>
      <c r="H116" s="314"/>
      <c r="I116" s="314"/>
      <c r="J116" s="314"/>
      <c r="K116" s="314"/>
    </row>
    <row r="117" spans="1:11">
      <c r="A117" t="s">
        <v>739</v>
      </c>
      <c r="B117" s="9" t="s">
        <v>740</v>
      </c>
      <c r="C117" s="5"/>
      <c r="E117" s="319"/>
      <c r="F117" s="319"/>
      <c r="G117" s="319"/>
      <c r="H117" s="319"/>
      <c r="I117" s="319"/>
      <c r="J117" s="319"/>
      <c r="K117" s="319"/>
    </row>
    <row r="118" spans="1:11">
      <c r="B118" s="9"/>
      <c r="E118" s="319"/>
      <c r="F118" s="319"/>
      <c r="G118" s="319"/>
      <c r="H118" s="319"/>
      <c r="I118" s="319"/>
      <c r="J118" s="319"/>
      <c r="K118" s="319"/>
    </row>
    <row r="119" spans="1:11">
      <c r="D119" s="214"/>
      <c r="E119" s="319"/>
      <c r="F119" s="319"/>
      <c r="G119" s="319"/>
      <c r="H119" s="319"/>
      <c r="I119" s="319"/>
      <c r="J119" s="319"/>
      <c r="K119" s="319"/>
    </row>
    <row r="120" spans="1:11" ht="17.100000000000001">
      <c r="A120" s="71" t="s">
        <v>741</v>
      </c>
      <c r="B120" s="70" t="s">
        <v>618</v>
      </c>
      <c r="C120" s="70" t="s">
        <v>619</v>
      </c>
      <c r="D120" s="215" t="s">
        <v>620</v>
      </c>
      <c r="E120" s="215" t="s">
        <v>621</v>
      </c>
      <c r="F120" s="215" t="s">
        <v>622</v>
      </c>
      <c r="G120" s="215" t="s">
        <v>742</v>
      </c>
      <c r="H120" s="215" t="s">
        <v>624</v>
      </c>
      <c r="I120" s="216" t="s">
        <v>169</v>
      </c>
    </row>
    <row r="121" spans="1:11">
      <c r="A121" s="68" t="s">
        <v>743</v>
      </c>
      <c r="B121" s="49">
        <v>0</v>
      </c>
      <c r="C121" s="51">
        <v>-3.0000000000000001E-3</v>
      </c>
      <c r="D121" s="51">
        <v>0.10100000000000001</v>
      </c>
      <c r="E121" s="51">
        <v>0.25</v>
      </c>
      <c r="F121" s="49">
        <v>14</v>
      </c>
      <c r="G121" s="50">
        <v>1.33</v>
      </c>
      <c r="H121" s="49"/>
      <c r="I121" s="95">
        <v>0</v>
      </c>
    </row>
    <row r="122" spans="1:11">
      <c r="A122" s="60"/>
      <c r="B122" s="98"/>
      <c r="C122" s="99"/>
      <c r="D122" s="99"/>
      <c r="E122" s="99"/>
      <c r="F122" s="98"/>
      <c r="G122" s="69"/>
      <c r="H122" s="98"/>
    </row>
    <row r="123" spans="1:11" ht="17.100000000000001">
      <c r="A123" s="167" t="s">
        <v>744</v>
      </c>
      <c r="B123" s="165" t="s">
        <v>745</v>
      </c>
      <c r="C123" s="161" t="s">
        <v>704</v>
      </c>
      <c r="D123" s="217" t="s">
        <v>628</v>
      </c>
      <c r="E123" s="161" t="s">
        <v>629</v>
      </c>
      <c r="F123" s="156" t="s">
        <v>630</v>
      </c>
      <c r="G123" s="161" t="s">
        <v>631</v>
      </c>
      <c r="H123" s="161" t="s">
        <v>623</v>
      </c>
      <c r="I123" s="161" t="s">
        <v>624</v>
      </c>
      <c r="J123" s="161" t="s">
        <v>632</v>
      </c>
      <c r="K123" s="161" t="s">
        <v>625</v>
      </c>
    </row>
    <row r="124" spans="1:11">
      <c r="A124" s="68" t="s">
        <v>746</v>
      </c>
      <c r="B124" s="166" t="s">
        <v>747</v>
      </c>
      <c r="C124" s="157">
        <v>12.4</v>
      </c>
      <c r="D124" s="162">
        <v>45</v>
      </c>
      <c r="E124" s="158">
        <v>0.79400000000000004</v>
      </c>
      <c r="F124" s="159">
        <v>-1.87</v>
      </c>
      <c r="G124" s="158">
        <v>0.66400000000000003</v>
      </c>
      <c r="H124" s="159">
        <v>1.9139999999999999</v>
      </c>
      <c r="I124" s="163" t="s">
        <v>634</v>
      </c>
      <c r="J124" s="164" t="s">
        <v>634</v>
      </c>
      <c r="K124" s="160">
        <v>1.19</v>
      </c>
    </row>
    <row r="125" spans="1:11">
      <c r="D125" s="143"/>
      <c r="E125" s="143"/>
      <c r="F125" s="143"/>
      <c r="G125" s="143"/>
      <c r="H125" s="143"/>
      <c r="I125" s="143"/>
      <c r="J125" s="143"/>
      <c r="K125" s="143"/>
    </row>
    <row r="126" spans="1:11">
      <c r="A126" s="310" t="s">
        <v>748</v>
      </c>
      <c r="B126" s="310"/>
      <c r="C126" s="310"/>
      <c r="D126" s="310"/>
      <c r="E126" s="310"/>
      <c r="F126" s="310"/>
      <c r="G126" s="310"/>
      <c r="H126" s="310"/>
      <c r="I126" s="310"/>
      <c r="J126" s="310"/>
      <c r="K126" s="310"/>
    </row>
    <row r="127" spans="1:11">
      <c r="A127" s="7" t="s">
        <v>7</v>
      </c>
      <c r="B127" s="22" t="s">
        <v>8</v>
      </c>
      <c r="C127" s="8" t="s">
        <v>9</v>
      </c>
      <c r="D127" s="23" t="s">
        <v>10</v>
      </c>
      <c r="E127" s="333" t="s">
        <v>11</v>
      </c>
      <c r="F127" s="333"/>
      <c r="G127" s="333"/>
      <c r="H127" s="333"/>
      <c r="I127" s="333"/>
      <c r="J127" s="333"/>
      <c r="K127" s="333"/>
    </row>
    <row r="128" spans="1:11">
      <c r="A128" s="11" t="s">
        <v>749</v>
      </c>
      <c r="B128" s="146" t="s">
        <v>750</v>
      </c>
      <c r="C128">
        <f>-I121/D121</f>
        <v>0</v>
      </c>
      <c r="D128" s="11" t="s">
        <v>55</v>
      </c>
      <c r="E128" s="319"/>
      <c r="F128" s="319"/>
      <c r="G128" s="319"/>
      <c r="H128" s="319"/>
      <c r="I128" s="319"/>
      <c r="J128" s="319"/>
      <c r="K128" s="319"/>
    </row>
    <row r="129" spans="1:11">
      <c r="A129" s="11" t="s">
        <v>751</v>
      </c>
      <c r="B129" s="146" t="s">
        <v>752</v>
      </c>
      <c r="C129" s="69">
        <f>I121+(D121*C37)</f>
        <v>-0.19080183284938926</v>
      </c>
      <c r="D129" s="11"/>
      <c r="E129" s="319"/>
      <c r="F129" s="319"/>
      <c r="G129" s="319"/>
      <c r="H129" s="319"/>
      <c r="I129" s="319"/>
      <c r="J129" s="319"/>
      <c r="K129" s="319"/>
    </row>
    <row r="130" spans="1:11">
      <c r="A130" t="s">
        <v>655</v>
      </c>
      <c r="B130" s="9" t="s">
        <v>656</v>
      </c>
      <c r="C130">
        <f>ABS(C128)</f>
        <v>0</v>
      </c>
      <c r="E130" s="319"/>
      <c r="F130" s="319"/>
      <c r="G130" s="319"/>
      <c r="H130" s="319"/>
      <c r="I130" s="319"/>
      <c r="J130" s="319"/>
      <c r="K130" s="319"/>
    </row>
    <row r="131" spans="1:11">
      <c r="A131" t="s">
        <v>642</v>
      </c>
      <c r="B131" s="9" t="s">
        <v>753</v>
      </c>
      <c r="C131" s="99">
        <f>D121</f>
        <v>0.10100000000000001</v>
      </c>
      <c r="D131" t="s">
        <v>645</v>
      </c>
      <c r="E131" s="319"/>
      <c r="F131" s="319"/>
      <c r="G131" s="319"/>
      <c r="H131" s="319"/>
      <c r="I131" s="319"/>
      <c r="J131" s="319"/>
      <c r="K131" s="319"/>
    </row>
    <row r="132" spans="1:11">
      <c r="B132" s="9" t="s">
        <v>753</v>
      </c>
      <c r="C132" s="99">
        <f>C131*(180/PI())</f>
        <v>5.7868737308213154</v>
      </c>
      <c r="D132" t="s">
        <v>644</v>
      </c>
      <c r="E132" s="319"/>
      <c r="F132" s="319"/>
      <c r="G132" s="319"/>
      <c r="H132" s="319"/>
      <c r="I132" s="319"/>
      <c r="J132" s="319"/>
      <c r="K132" s="319"/>
    </row>
    <row r="133" spans="1:11">
      <c r="A133" s="7" t="s">
        <v>756</v>
      </c>
      <c r="B133" s="17" t="s">
        <v>757</v>
      </c>
      <c r="C133" s="79">
        <f>(2*PI()*C88)/(2+SQRT((((C88*C21)/C105)^2)*(1+((TAN(C95)^2)/C21^2))+4))</f>
        <v>9.3827901655715557E-2</v>
      </c>
      <c r="D133" s="7" t="s">
        <v>645</v>
      </c>
      <c r="E133" s="319"/>
      <c r="F133" s="319"/>
      <c r="G133" s="319"/>
      <c r="H133" s="319"/>
      <c r="I133" s="319"/>
      <c r="J133" s="319"/>
      <c r="K133" s="319"/>
    </row>
    <row r="134" spans="1:11">
      <c r="A134" s="7"/>
      <c r="B134" s="17"/>
      <c r="C134" s="79">
        <f>C133*(180/PI())</f>
        <v>5.3759427654410503</v>
      </c>
      <c r="D134" s="7" t="s">
        <v>644</v>
      </c>
      <c r="E134" s="319"/>
      <c r="F134" s="319"/>
      <c r="G134" s="319"/>
      <c r="H134" s="319"/>
      <c r="I134" s="319"/>
      <c r="J134" s="319"/>
      <c r="K134" s="319"/>
    </row>
    <row r="135" spans="1:11">
      <c r="A135" s="7" t="s">
        <v>758</v>
      </c>
      <c r="B135" s="17" t="s">
        <v>759</v>
      </c>
      <c r="C135" s="82">
        <f>C133*C37+C130</f>
        <v>-0.17725282780517596</v>
      </c>
      <c r="D135" s="7"/>
      <c r="E135" s="319"/>
      <c r="F135" s="319"/>
      <c r="G135" s="319"/>
      <c r="H135" s="319"/>
      <c r="I135" s="319"/>
      <c r="J135" s="319"/>
      <c r="K135" s="319"/>
    </row>
    <row r="136" spans="1:11">
      <c r="A136" s="7" t="s">
        <v>841</v>
      </c>
      <c r="B136" s="17" t="s">
        <v>773</v>
      </c>
      <c r="C136" s="79">
        <f>(1/2)*Drag!C12*(Drag!C8^2)*'Lift (new)'!C87*'Lift (new)'!C135</f>
        <v>-4058.942773726536</v>
      </c>
      <c r="D136" s="7" t="s">
        <v>14</v>
      </c>
      <c r="E136" s="319"/>
      <c r="F136" s="319"/>
      <c r="G136" s="319"/>
      <c r="H136" s="319"/>
      <c r="I136" s="319"/>
      <c r="J136" s="319"/>
      <c r="K136" s="319"/>
    </row>
    <row r="137" spans="1:11">
      <c r="A137" s="7" t="s">
        <v>842</v>
      </c>
      <c r="B137" s="10" t="s">
        <v>761</v>
      </c>
      <c r="C137">
        <v>0.9</v>
      </c>
      <c r="E137" s="314" t="s">
        <v>843</v>
      </c>
      <c r="F137" s="314"/>
      <c r="G137" s="314"/>
      <c r="H137" s="314"/>
      <c r="I137" s="314"/>
      <c r="J137" s="314"/>
      <c r="K137" s="314"/>
    </row>
    <row r="138" spans="1:11">
      <c r="A138" t="s">
        <v>763</v>
      </c>
      <c r="B138" s="9" t="s">
        <v>764</v>
      </c>
      <c r="C138">
        <v>0.3</v>
      </c>
      <c r="E138" s="314" t="s">
        <v>765</v>
      </c>
      <c r="F138" s="314"/>
      <c r="G138" s="314"/>
      <c r="H138" s="314"/>
      <c r="I138" s="314"/>
      <c r="J138" s="314"/>
      <c r="K138" s="314"/>
    </row>
    <row r="139" spans="1:11">
      <c r="A139" t="s">
        <v>766</v>
      </c>
      <c r="B139" s="146" t="s">
        <v>767</v>
      </c>
      <c r="C139">
        <v>0.5</v>
      </c>
      <c r="E139" s="319"/>
      <c r="F139" s="319"/>
      <c r="G139" s="319"/>
      <c r="H139" s="319"/>
      <c r="I139" s="319"/>
      <c r="J139" s="319"/>
      <c r="K139" s="319"/>
    </row>
    <row r="140" spans="1:11">
      <c r="A140" s="7" t="s">
        <v>768</v>
      </c>
      <c r="B140" s="17" t="s">
        <v>769</v>
      </c>
      <c r="C140" s="144">
        <f>C133*C137*(C87/C3)*C139</f>
        <v>9.5930604442347883E-3</v>
      </c>
      <c r="D140" s="7" t="s">
        <v>645</v>
      </c>
      <c r="E140" s="319"/>
      <c r="F140" s="319"/>
      <c r="G140" s="319"/>
      <c r="H140" s="319"/>
      <c r="I140" s="319"/>
      <c r="J140" s="319"/>
      <c r="K140" s="319"/>
    </row>
    <row r="141" spans="1:11">
      <c r="A141" s="7"/>
      <c r="B141" s="9"/>
      <c r="C141" s="82">
        <f>C140*(180/PI())</f>
        <v>0.54964187606854797</v>
      </c>
      <c r="D141" s="7" t="s">
        <v>644</v>
      </c>
      <c r="E141" s="319"/>
      <c r="F141" s="319"/>
      <c r="G141" s="319"/>
      <c r="H141" s="319"/>
      <c r="I141" s="319"/>
      <c r="J141" s="319"/>
      <c r="K141" s="319"/>
    </row>
    <row r="142" spans="1:11">
      <c r="A142" s="7" t="s">
        <v>844</v>
      </c>
      <c r="B142" s="17" t="s">
        <v>771</v>
      </c>
      <c r="C142" s="82">
        <f>(2*C46)/(PI()*C88)</f>
        <v>1.4977409515867169E-2</v>
      </c>
      <c r="D142" s="7"/>
      <c r="E142" s="314" t="s">
        <v>845</v>
      </c>
      <c r="F142" s="314"/>
      <c r="G142" s="314"/>
      <c r="H142" s="314"/>
      <c r="I142" s="314"/>
      <c r="J142" s="314"/>
      <c r="K142" s="314"/>
    </row>
    <row r="143" spans="1:11">
      <c r="A143" s="7"/>
      <c r="B143" s="9"/>
      <c r="C143" s="82"/>
      <c r="D143" s="7"/>
      <c r="E143" s="319"/>
      <c r="F143" s="319"/>
      <c r="G143" s="319"/>
      <c r="H143" s="319"/>
      <c r="I143" s="319"/>
      <c r="J143" s="319"/>
      <c r="K143" s="319"/>
    </row>
    <row r="144" spans="1:11">
      <c r="A144" s="310" t="s">
        <v>774</v>
      </c>
      <c r="B144" s="310"/>
      <c r="C144" s="310"/>
      <c r="D144" s="310"/>
      <c r="E144" s="310"/>
      <c r="F144" s="310"/>
      <c r="G144" s="310"/>
      <c r="H144" s="310"/>
      <c r="I144" s="310"/>
      <c r="J144" s="310"/>
      <c r="K144" s="310"/>
    </row>
    <row r="145" spans="1:13">
      <c r="A145" t="s">
        <v>775</v>
      </c>
      <c r="B145" s="10" t="s">
        <v>776</v>
      </c>
      <c r="C145" s="98">
        <f>(C147-C148-C140*(C37)-C81*(-40))/C149</f>
        <v>14.539352681359317</v>
      </c>
      <c r="D145" s="11" t="str">
        <f>D128</f>
        <v>º</v>
      </c>
      <c r="E145" s="314" t="s">
        <v>846</v>
      </c>
      <c r="F145" s="314"/>
      <c r="G145" s="314"/>
      <c r="H145" s="314"/>
      <c r="I145" s="314"/>
      <c r="J145" s="314"/>
      <c r="K145" s="314"/>
    </row>
    <row r="146" spans="1:13">
      <c r="A146" s="7" t="s">
        <v>778</v>
      </c>
      <c r="B146" s="17" t="s">
        <v>847</v>
      </c>
      <c r="C146" s="79">
        <f>(C148+C149*(C145))*C80</f>
        <v>2.1136063797913036</v>
      </c>
      <c r="E146" s="314" t="s">
        <v>848</v>
      </c>
      <c r="F146" s="314"/>
      <c r="G146" s="314"/>
      <c r="H146" s="314"/>
      <c r="I146" s="314"/>
      <c r="J146" s="314"/>
      <c r="K146" s="314"/>
    </row>
    <row r="147" spans="1:13">
      <c r="A147" s="7" t="s">
        <v>786</v>
      </c>
      <c r="B147" s="17" t="s">
        <v>787</v>
      </c>
      <c r="C147" s="82">
        <f>(2*General!C7)/(Drag!C12*Drag!C8^2*'Lift (new)'!C3)</f>
        <v>0.18727502665219611</v>
      </c>
      <c r="E147" s="314" t="s">
        <v>849</v>
      </c>
      <c r="F147" s="314"/>
      <c r="G147" s="314"/>
      <c r="H147" s="314"/>
      <c r="I147" s="314"/>
      <c r="J147" s="314"/>
      <c r="K147" s="314"/>
      <c r="M147" s="25"/>
    </row>
    <row r="148" spans="1:13">
      <c r="A148" s="7" t="s">
        <v>792</v>
      </c>
      <c r="B148" s="17" t="s">
        <v>793</v>
      </c>
      <c r="C148" s="82">
        <f>C46*(-C43)+C133*C137*(C87/C3)*(-C142*(-C43))</f>
        <v>0.40784182234143451</v>
      </c>
      <c r="E148" s="319"/>
      <c r="F148" s="319"/>
      <c r="G148" s="319"/>
      <c r="H148" s="319"/>
      <c r="I148" s="319"/>
      <c r="J148" s="319"/>
      <c r="K148" s="319"/>
      <c r="M148" s="25"/>
    </row>
    <row r="149" spans="1:13">
      <c r="A149" s="7" t="s">
        <v>794</v>
      </c>
      <c r="B149" s="17" t="s">
        <v>795</v>
      </c>
      <c r="C149" s="82">
        <f>C46+C133*C137*(C87/C3)*(1-C142)</f>
        <v>0.11675593484575056</v>
      </c>
      <c r="E149" s="319"/>
      <c r="F149" s="319"/>
      <c r="G149" s="319"/>
      <c r="H149" s="319"/>
      <c r="I149" s="319"/>
      <c r="J149" s="319"/>
      <c r="K149" s="319"/>
    </row>
    <row r="150" spans="1:13">
      <c r="A150" s="7" t="s">
        <v>796</v>
      </c>
      <c r="B150" s="17" t="s">
        <v>797</v>
      </c>
      <c r="C150" s="82">
        <f>(General!C7/('Lift (new)'!C24*'Lift (new)'!C3))*COS(C26)</f>
        <v>0.18105256550875962</v>
      </c>
      <c r="E150" s="319"/>
      <c r="F150" s="319"/>
      <c r="G150" s="319"/>
      <c r="H150" s="319"/>
      <c r="I150" s="319"/>
      <c r="J150" s="319"/>
      <c r="K150" s="319"/>
    </row>
    <row r="151" spans="1:13">
      <c r="A151" s="7"/>
      <c r="B151" s="17" t="s">
        <v>850</v>
      </c>
      <c r="C151" s="144">
        <v>-4.0000000000000002E-4</v>
      </c>
      <c r="E151" s="314" t="s">
        <v>799</v>
      </c>
      <c r="F151" s="314"/>
      <c r="G151" s="314"/>
      <c r="H151" s="314"/>
      <c r="I151" s="314"/>
      <c r="J151" s="314"/>
      <c r="K151" s="314"/>
    </row>
    <row r="152" spans="1:13">
      <c r="A152" s="7"/>
      <c r="B152" s="17" t="s">
        <v>800</v>
      </c>
      <c r="C152" s="82">
        <v>4.2099999999999999E-2</v>
      </c>
      <c r="E152" s="319"/>
      <c r="F152" s="319"/>
      <c r="G152" s="319"/>
      <c r="H152" s="319"/>
      <c r="I152" s="319"/>
      <c r="J152" s="319"/>
      <c r="K152" s="319"/>
    </row>
    <row r="153" spans="1:13">
      <c r="A153" s="7" t="s">
        <v>801</v>
      </c>
      <c r="B153" s="17" t="s">
        <v>802</v>
      </c>
      <c r="C153" s="82">
        <f>C151/(2*C152)</f>
        <v>-4.7505938242280287E-3</v>
      </c>
      <c r="E153" s="319"/>
      <c r="F153" s="319"/>
      <c r="G153" s="319"/>
      <c r="H153" s="319"/>
      <c r="I153" s="319"/>
      <c r="J153" s="319"/>
      <c r="K153" s="319"/>
    </row>
    <row r="154" spans="1:13">
      <c r="A154" s="7" t="s">
        <v>851</v>
      </c>
      <c r="B154" s="17" t="s">
        <v>852</v>
      </c>
      <c r="C154" s="7"/>
      <c r="E154" s="319"/>
      <c r="F154" s="319"/>
      <c r="G154" s="319"/>
      <c r="H154" s="319"/>
      <c r="I154" s="319"/>
      <c r="J154" s="319"/>
      <c r="K154" s="319"/>
    </row>
    <row r="155" spans="1:13">
      <c r="A155" s="7" t="s">
        <v>853</v>
      </c>
      <c r="B155" s="17" t="s">
        <v>323</v>
      </c>
      <c r="C155" s="83">
        <f>C42+C136</f>
        <v>18535.454355195674</v>
      </c>
      <c r="D155" s="7" t="s">
        <v>14</v>
      </c>
      <c r="E155" s="314" t="s">
        <v>854</v>
      </c>
      <c r="F155" s="314"/>
      <c r="G155" s="314"/>
      <c r="H155" s="314"/>
      <c r="I155" s="314"/>
      <c r="J155" s="314"/>
      <c r="K155" s="314"/>
    </row>
    <row r="156" spans="1:13">
      <c r="B156" s="9"/>
      <c r="E156" s="319"/>
      <c r="F156" s="319"/>
      <c r="G156" s="319"/>
      <c r="H156" s="319"/>
      <c r="I156" s="319"/>
      <c r="J156" s="319"/>
      <c r="K156" s="319"/>
    </row>
    <row r="157" spans="1:13">
      <c r="B157" s="9"/>
      <c r="E157" s="319"/>
      <c r="F157" s="319"/>
      <c r="G157" s="319"/>
      <c r="H157" s="319"/>
      <c r="I157" s="319"/>
      <c r="J157" s="319"/>
      <c r="K157" s="319"/>
    </row>
    <row r="158" spans="1:13">
      <c r="B158" s="9"/>
      <c r="E158" s="319"/>
      <c r="F158" s="319"/>
      <c r="G158" s="319"/>
      <c r="H158" s="319"/>
      <c r="I158" s="319"/>
      <c r="J158" s="319"/>
      <c r="K158" s="319"/>
    </row>
    <row r="159" spans="1:13">
      <c r="E159" s="319"/>
      <c r="F159" s="319"/>
      <c r="G159" s="319"/>
      <c r="H159" s="319"/>
      <c r="I159" s="319"/>
      <c r="J159" s="319"/>
      <c r="K159" s="319"/>
    </row>
    <row r="160" spans="1:13">
      <c r="E160" s="319"/>
      <c r="F160" s="319"/>
      <c r="G160" s="319"/>
      <c r="H160" s="319"/>
      <c r="I160" s="319"/>
      <c r="J160" s="319"/>
      <c r="K160" s="319"/>
    </row>
    <row r="161" spans="5:12">
      <c r="E161" s="319"/>
      <c r="F161" s="319"/>
      <c r="G161" s="319"/>
      <c r="H161" s="319"/>
      <c r="I161" s="319"/>
      <c r="J161" s="319"/>
      <c r="K161" s="319"/>
    </row>
    <row r="162" spans="5:12">
      <c r="E162" s="319"/>
      <c r="F162" s="319"/>
      <c r="G162" s="319"/>
      <c r="H162" s="319"/>
      <c r="I162" s="319"/>
      <c r="J162" s="319"/>
      <c r="K162" s="319"/>
      <c r="L162" s="9"/>
    </row>
    <row r="163" spans="5:12">
      <c r="E163" s="319"/>
      <c r="F163" s="319"/>
      <c r="G163" s="319"/>
      <c r="H163" s="319"/>
      <c r="I163" s="319"/>
      <c r="J163" s="319"/>
      <c r="K163" s="319"/>
      <c r="L163" s="9"/>
    </row>
    <row r="164" spans="5:12">
      <c r="E164" s="319"/>
      <c r="F164" s="319"/>
      <c r="G164" s="319"/>
      <c r="H164" s="319"/>
      <c r="I164" s="319"/>
      <c r="J164" s="319"/>
      <c r="K164" s="319"/>
      <c r="L164" s="9"/>
    </row>
    <row r="165" spans="5:12">
      <c r="E165" s="319"/>
      <c r="F165" s="319"/>
      <c r="G165" s="319"/>
      <c r="H165" s="319"/>
      <c r="I165" s="319"/>
      <c r="J165" s="319"/>
      <c r="K165" s="319"/>
      <c r="L165" s="9"/>
    </row>
    <row r="166" spans="5:12">
      <c r="E166" s="319"/>
      <c r="F166" s="319"/>
      <c r="G166" s="319"/>
      <c r="H166" s="319"/>
      <c r="I166" s="319"/>
      <c r="J166" s="319"/>
      <c r="K166" s="319"/>
      <c r="L166" s="9"/>
    </row>
    <row r="167" spans="5:12">
      <c r="E167" s="319"/>
      <c r="F167" s="319"/>
      <c r="G167" s="319"/>
      <c r="H167" s="319"/>
      <c r="I167" s="319"/>
      <c r="J167" s="319"/>
      <c r="K167" s="319"/>
      <c r="L167" s="9"/>
    </row>
    <row r="168" spans="5:12">
      <c r="E168" s="319"/>
      <c r="F168" s="319"/>
      <c r="G168" s="319"/>
      <c r="H168" s="319"/>
      <c r="I168" s="319"/>
      <c r="J168" s="319"/>
      <c r="K168" s="319"/>
      <c r="L168" s="9"/>
    </row>
    <row r="169" spans="5:12">
      <c r="E169" s="319"/>
      <c r="F169" s="319"/>
      <c r="G169" s="319"/>
      <c r="H169" s="319"/>
      <c r="I169" s="319"/>
      <c r="J169" s="319"/>
      <c r="K169" s="319"/>
      <c r="L169" s="9"/>
    </row>
    <row r="170" spans="5:12">
      <c r="E170" s="319"/>
      <c r="F170" s="319"/>
      <c r="G170" s="319"/>
      <c r="H170" s="319"/>
      <c r="I170" s="319"/>
      <c r="J170" s="319"/>
      <c r="K170" s="319"/>
      <c r="L170" s="9"/>
    </row>
    <row r="171" spans="5:12">
      <c r="E171" s="319"/>
      <c r="F171" s="319"/>
      <c r="G171" s="319"/>
      <c r="H171" s="319"/>
      <c r="I171" s="319"/>
      <c r="J171" s="319"/>
      <c r="K171" s="319"/>
      <c r="L171" s="9"/>
    </row>
    <row r="172" spans="5:12">
      <c r="E172" s="319"/>
      <c r="F172" s="319"/>
      <c r="G172" s="319"/>
      <c r="H172" s="319"/>
      <c r="I172" s="319"/>
      <c r="J172" s="319"/>
      <c r="K172" s="319"/>
      <c r="L172" s="9"/>
    </row>
    <row r="173" spans="5:12">
      <c r="E173" s="319"/>
      <c r="F173" s="319"/>
      <c r="G173" s="319"/>
      <c r="H173" s="319"/>
      <c r="I173" s="319"/>
      <c r="J173" s="319"/>
      <c r="K173" s="319"/>
      <c r="L173" s="9"/>
    </row>
    <row r="174" spans="5:12">
      <c r="E174" s="319"/>
      <c r="F174" s="319"/>
      <c r="G174" s="319"/>
      <c r="H174" s="319"/>
      <c r="I174" s="319"/>
      <c r="J174" s="319"/>
      <c r="K174" s="319"/>
      <c r="L174" s="9"/>
    </row>
    <row r="175" spans="5:12">
      <c r="E175" s="319"/>
      <c r="F175" s="319"/>
      <c r="G175" s="319"/>
      <c r="H175" s="319"/>
      <c r="I175" s="319"/>
      <c r="J175" s="319"/>
      <c r="K175" s="319"/>
      <c r="L175" s="9"/>
    </row>
    <row r="176" spans="5:12">
      <c r="E176" s="319"/>
      <c r="F176" s="319"/>
      <c r="G176" s="319"/>
      <c r="H176" s="319"/>
      <c r="I176" s="319"/>
      <c r="J176" s="319"/>
      <c r="K176" s="319"/>
      <c r="L176" s="9"/>
    </row>
    <row r="177" spans="2:12">
      <c r="E177" s="319"/>
      <c r="F177" s="319"/>
      <c r="G177" s="319"/>
      <c r="H177" s="319"/>
      <c r="I177" s="319"/>
      <c r="J177" s="319"/>
      <c r="K177" s="319"/>
      <c r="L177" s="9"/>
    </row>
    <row r="178" spans="2:12">
      <c r="E178" s="319"/>
      <c r="F178" s="319"/>
      <c r="G178" s="319"/>
      <c r="H178" s="319"/>
      <c r="I178" s="319"/>
      <c r="J178" s="319"/>
      <c r="K178" s="319"/>
      <c r="L178" s="9"/>
    </row>
    <row r="179" spans="2:12">
      <c r="E179" s="319"/>
      <c r="F179" s="319"/>
      <c r="G179" s="319"/>
      <c r="H179" s="319"/>
      <c r="I179" s="319"/>
      <c r="J179" s="319"/>
      <c r="K179" s="319"/>
      <c r="L179" s="9"/>
    </row>
    <row r="180" spans="2:12">
      <c r="B180" s="9"/>
      <c r="E180" s="319"/>
      <c r="F180" s="319"/>
      <c r="G180" s="319"/>
      <c r="H180" s="319"/>
      <c r="I180" s="319"/>
      <c r="J180" s="319"/>
      <c r="K180" s="319"/>
      <c r="L180" s="9"/>
    </row>
    <row r="181" spans="2:12">
      <c r="B181" s="9"/>
      <c r="E181" s="319"/>
      <c r="F181" s="319"/>
      <c r="G181" s="319"/>
      <c r="H181" s="319"/>
      <c r="I181" s="319"/>
      <c r="J181" s="319"/>
      <c r="K181" s="319"/>
      <c r="L181" s="9"/>
    </row>
    <row r="182" spans="2:12">
      <c r="B182" s="9"/>
      <c r="E182" s="319"/>
      <c r="F182" s="319"/>
      <c r="G182" s="319"/>
      <c r="H182" s="319"/>
      <c r="I182" s="319"/>
      <c r="J182" s="319"/>
      <c r="K182" s="319"/>
      <c r="L182" s="9"/>
    </row>
    <row r="183" spans="2:12">
      <c r="B183" s="9"/>
      <c r="E183" s="319"/>
      <c r="F183" s="319"/>
      <c r="G183" s="319"/>
      <c r="H183" s="319"/>
      <c r="I183" s="319"/>
      <c r="J183" s="319"/>
      <c r="K183" s="319"/>
    </row>
    <row r="184" spans="2:12">
      <c r="B184" s="9"/>
      <c r="E184" s="319"/>
      <c r="F184" s="319"/>
      <c r="G184" s="319"/>
      <c r="H184" s="319"/>
      <c r="I184" s="319"/>
      <c r="J184" s="319"/>
      <c r="K184" s="319"/>
    </row>
    <row r="185" spans="2:12">
      <c r="B185" s="9"/>
      <c r="E185" s="319"/>
      <c r="F185" s="319"/>
      <c r="G185" s="319"/>
      <c r="H185" s="319"/>
      <c r="I185" s="319"/>
      <c r="J185" s="319"/>
      <c r="K185" s="319"/>
    </row>
    <row r="186" spans="2:12">
      <c r="B186" s="9"/>
      <c r="E186" s="319"/>
      <c r="F186" s="319"/>
      <c r="G186" s="319"/>
      <c r="H186" s="319"/>
      <c r="I186" s="319"/>
      <c r="J186" s="319"/>
      <c r="K186" s="319"/>
    </row>
    <row r="187" spans="2:12">
      <c r="B187" s="9"/>
      <c r="E187" s="319"/>
      <c r="F187" s="319"/>
      <c r="G187" s="319"/>
      <c r="H187" s="319"/>
      <c r="I187" s="319"/>
      <c r="J187" s="319"/>
      <c r="K187" s="319"/>
    </row>
    <row r="188" spans="2:12">
      <c r="B188" s="9"/>
      <c r="E188" s="319"/>
      <c r="F188" s="319"/>
      <c r="G188" s="319"/>
      <c r="H188" s="319"/>
      <c r="I188" s="319"/>
      <c r="J188" s="319"/>
      <c r="K188" s="319"/>
    </row>
    <row r="189" spans="2:12">
      <c r="B189" s="9"/>
      <c r="E189" s="319"/>
      <c r="F189" s="319"/>
      <c r="G189" s="319"/>
      <c r="H189" s="319"/>
      <c r="I189" s="319"/>
      <c r="J189" s="319"/>
      <c r="K189" s="319"/>
    </row>
    <row r="190" spans="2:12">
      <c r="B190" s="9"/>
      <c r="E190" s="319"/>
      <c r="F190" s="319"/>
      <c r="G190" s="319"/>
      <c r="H190" s="319"/>
      <c r="I190" s="319"/>
      <c r="J190" s="319"/>
      <c r="K190" s="319"/>
    </row>
    <row r="191" spans="2:12">
      <c r="B191" s="9"/>
      <c r="E191" s="319"/>
      <c r="F191" s="319"/>
      <c r="G191" s="319"/>
      <c r="H191" s="319"/>
      <c r="I191" s="319"/>
      <c r="J191" s="319"/>
      <c r="K191" s="319"/>
    </row>
    <row r="192" spans="2:12">
      <c r="B192" s="9"/>
      <c r="E192" s="319"/>
      <c r="F192" s="319"/>
      <c r="G192" s="319"/>
      <c r="H192" s="319"/>
      <c r="I192" s="319"/>
      <c r="J192" s="319"/>
      <c r="K192" s="319"/>
    </row>
    <row r="193" spans="5:11">
      <c r="E193" s="319"/>
      <c r="F193" s="319"/>
      <c r="G193" s="319"/>
      <c r="H193" s="319"/>
      <c r="I193" s="319"/>
      <c r="J193" s="319"/>
      <c r="K193" s="319"/>
    </row>
    <row r="194" spans="5:11">
      <c r="E194" s="319"/>
      <c r="F194" s="319"/>
      <c r="G194" s="319"/>
      <c r="H194" s="319"/>
      <c r="I194" s="319"/>
      <c r="J194" s="319"/>
      <c r="K194" s="319"/>
    </row>
    <row r="195" spans="5:11">
      <c r="E195" s="319"/>
      <c r="F195" s="319"/>
      <c r="G195" s="319"/>
      <c r="H195" s="319"/>
      <c r="I195" s="319"/>
      <c r="J195" s="319"/>
      <c r="K195" s="319"/>
    </row>
    <row r="196" spans="5:11">
      <c r="E196" s="319"/>
      <c r="F196" s="319"/>
      <c r="G196" s="319"/>
      <c r="H196" s="319"/>
      <c r="I196" s="319"/>
      <c r="J196" s="319"/>
      <c r="K196" s="319"/>
    </row>
    <row r="197" spans="5:11">
      <c r="E197" s="319"/>
      <c r="F197" s="319"/>
      <c r="G197" s="319"/>
      <c r="H197" s="319"/>
      <c r="I197" s="319"/>
      <c r="J197" s="319"/>
      <c r="K197" s="319"/>
    </row>
    <row r="198" spans="5:11">
      <c r="E198" s="319"/>
      <c r="F198" s="319"/>
      <c r="G198" s="319"/>
      <c r="H198" s="319"/>
      <c r="I198" s="319"/>
      <c r="J198" s="319"/>
      <c r="K198" s="319"/>
    </row>
    <row r="199" spans="5:11">
      <c r="E199" s="319"/>
      <c r="F199" s="319"/>
      <c r="G199" s="319"/>
      <c r="H199" s="319"/>
      <c r="I199" s="319"/>
      <c r="J199" s="319"/>
      <c r="K199" s="319"/>
    </row>
    <row r="200" spans="5:11">
      <c r="E200" s="319"/>
      <c r="F200" s="319"/>
      <c r="G200" s="319"/>
      <c r="H200" s="319"/>
      <c r="I200" s="319"/>
      <c r="J200" s="319"/>
      <c r="K200" s="319"/>
    </row>
    <row r="201" spans="5:11">
      <c r="E201" s="319"/>
      <c r="F201" s="319"/>
      <c r="G201" s="319"/>
      <c r="H201" s="319"/>
      <c r="I201" s="319"/>
      <c r="J201" s="319"/>
      <c r="K201" s="319"/>
    </row>
    <row r="202" spans="5:11">
      <c r="E202" s="319"/>
      <c r="F202" s="319"/>
      <c r="G202" s="319"/>
      <c r="H202" s="319"/>
      <c r="I202" s="319"/>
      <c r="J202" s="319"/>
      <c r="K202" s="319"/>
    </row>
    <row r="203" spans="5:11">
      <c r="E203" s="319"/>
      <c r="F203" s="319"/>
      <c r="G203" s="319"/>
      <c r="H203" s="319"/>
      <c r="I203" s="319"/>
      <c r="J203" s="319"/>
      <c r="K203" s="319"/>
    </row>
    <row r="204" spans="5:11">
      <c r="E204" s="319"/>
      <c r="F204" s="319"/>
      <c r="G204" s="319"/>
      <c r="H204" s="319"/>
      <c r="I204" s="319"/>
      <c r="J204" s="319"/>
      <c r="K204" s="319"/>
    </row>
    <row r="205" spans="5:11">
      <c r="E205" s="319"/>
      <c r="F205" s="319"/>
      <c r="G205" s="319"/>
      <c r="H205" s="319"/>
      <c r="I205" s="319"/>
      <c r="J205" s="319"/>
      <c r="K205" s="319"/>
    </row>
    <row r="206" spans="5:11">
      <c r="E206" s="319"/>
      <c r="F206" s="319"/>
      <c r="G206" s="319"/>
      <c r="H206" s="319"/>
      <c r="I206" s="319"/>
      <c r="J206" s="319"/>
      <c r="K206" s="319"/>
    </row>
    <row r="207" spans="5:11">
      <c r="E207" s="319"/>
      <c r="F207" s="319"/>
      <c r="G207" s="319"/>
      <c r="H207" s="319"/>
      <c r="I207" s="319"/>
      <c r="J207" s="319"/>
      <c r="K207" s="319"/>
    </row>
    <row r="208" spans="5:11">
      <c r="E208" s="319"/>
      <c r="F208" s="319"/>
      <c r="G208" s="319"/>
      <c r="H208" s="319"/>
      <c r="I208" s="319"/>
      <c r="J208" s="319"/>
      <c r="K208" s="319"/>
    </row>
    <row r="209" spans="5:11">
      <c r="E209" s="319"/>
      <c r="F209" s="319"/>
      <c r="G209" s="319"/>
      <c r="H209" s="319"/>
      <c r="I209" s="319"/>
      <c r="J209" s="319"/>
      <c r="K209" s="319"/>
    </row>
    <row r="210" spans="5:11">
      <c r="E210" s="319"/>
      <c r="F210" s="319"/>
      <c r="G210" s="319"/>
      <c r="H210" s="319"/>
      <c r="I210" s="319"/>
      <c r="J210" s="319"/>
      <c r="K210" s="319"/>
    </row>
    <row r="211" spans="5:11">
      <c r="E211" s="319"/>
      <c r="F211" s="319"/>
      <c r="G211" s="319"/>
      <c r="H211" s="319"/>
      <c r="I211" s="319"/>
      <c r="J211" s="319"/>
      <c r="K211" s="319"/>
    </row>
    <row r="212" spans="5:11">
      <c r="E212" s="319"/>
      <c r="F212" s="319"/>
      <c r="G212" s="319"/>
      <c r="H212" s="319"/>
      <c r="I212" s="319"/>
      <c r="J212" s="319"/>
      <c r="K212" s="319"/>
    </row>
    <row r="213" spans="5:11">
      <c r="E213" s="319"/>
      <c r="F213" s="319"/>
      <c r="G213" s="319"/>
      <c r="H213" s="319"/>
      <c r="I213" s="319"/>
      <c r="J213" s="319"/>
      <c r="K213" s="319"/>
    </row>
    <row r="214" spans="5:11">
      <c r="E214" s="319"/>
      <c r="F214" s="319"/>
      <c r="G214" s="319"/>
      <c r="H214" s="319"/>
      <c r="I214" s="319"/>
      <c r="J214" s="319"/>
      <c r="K214" s="319"/>
    </row>
    <row r="215" spans="5:11">
      <c r="E215" s="319"/>
      <c r="F215" s="319"/>
      <c r="G215" s="319"/>
      <c r="H215" s="319"/>
      <c r="I215" s="319"/>
      <c r="J215" s="319"/>
      <c r="K215" s="319"/>
    </row>
    <row r="216" spans="5:11">
      <c r="E216" s="319"/>
      <c r="F216" s="319"/>
      <c r="G216" s="319"/>
      <c r="H216" s="319"/>
      <c r="I216" s="319"/>
      <c r="J216" s="319"/>
      <c r="K216" s="319"/>
    </row>
    <row r="217" spans="5:11">
      <c r="E217" s="319"/>
      <c r="F217" s="319"/>
      <c r="G217" s="319"/>
      <c r="H217" s="319"/>
      <c r="I217" s="319"/>
      <c r="J217" s="319"/>
      <c r="K217" s="319"/>
    </row>
    <row r="218" spans="5:11">
      <c r="E218" s="319"/>
      <c r="F218" s="319"/>
      <c r="G218" s="319"/>
      <c r="H218" s="319"/>
      <c r="I218" s="319"/>
      <c r="J218" s="319"/>
      <c r="K218" s="319"/>
    </row>
    <row r="219" spans="5:11">
      <c r="E219" s="319"/>
      <c r="F219" s="319"/>
      <c r="G219" s="319"/>
      <c r="H219" s="319"/>
      <c r="I219" s="319"/>
      <c r="J219" s="319"/>
      <c r="K219" s="319"/>
    </row>
    <row r="220" spans="5:11">
      <c r="E220" s="319"/>
      <c r="F220" s="319"/>
      <c r="G220" s="319"/>
      <c r="H220" s="319"/>
      <c r="I220" s="319"/>
      <c r="J220" s="319"/>
      <c r="K220" s="319"/>
    </row>
    <row r="221" spans="5:11">
      <c r="E221" s="319"/>
      <c r="F221" s="319"/>
      <c r="G221" s="319"/>
      <c r="H221" s="319"/>
      <c r="I221" s="319"/>
      <c r="J221" s="319"/>
      <c r="K221" s="319"/>
    </row>
    <row r="222" spans="5:11">
      <c r="E222" s="319"/>
      <c r="F222" s="319"/>
      <c r="G222" s="319"/>
      <c r="H222" s="319"/>
      <c r="I222" s="319"/>
      <c r="J222" s="319"/>
      <c r="K222" s="319"/>
    </row>
    <row r="223" spans="5:11">
      <c r="E223" s="319"/>
      <c r="F223" s="319"/>
      <c r="G223" s="319"/>
      <c r="H223" s="319"/>
      <c r="I223" s="319"/>
      <c r="J223" s="319"/>
      <c r="K223" s="319"/>
    </row>
    <row r="224" spans="5:11">
      <c r="E224" s="319"/>
      <c r="F224" s="319"/>
      <c r="G224" s="319"/>
      <c r="H224" s="319"/>
      <c r="I224" s="319"/>
      <c r="J224" s="319"/>
      <c r="K224" s="319"/>
    </row>
    <row r="225" spans="5:11">
      <c r="E225" s="319"/>
      <c r="F225" s="319"/>
      <c r="G225" s="319"/>
      <c r="H225" s="319"/>
      <c r="I225" s="319"/>
      <c r="J225" s="319"/>
      <c r="K225" s="319"/>
    </row>
    <row r="226" spans="5:11">
      <c r="E226" s="319"/>
      <c r="F226" s="319"/>
      <c r="G226" s="319"/>
      <c r="H226" s="319"/>
      <c r="I226" s="319"/>
      <c r="J226" s="319"/>
      <c r="K226" s="319"/>
    </row>
    <row r="227" spans="5:11">
      <c r="E227" s="319"/>
      <c r="F227" s="319"/>
      <c r="G227" s="319"/>
      <c r="H227" s="319"/>
      <c r="I227" s="319"/>
      <c r="J227" s="319"/>
      <c r="K227" s="319"/>
    </row>
    <row r="228" spans="5:11">
      <c r="E228" s="319"/>
      <c r="F228" s="319"/>
      <c r="G228" s="319"/>
      <c r="H228" s="319"/>
      <c r="I228" s="319"/>
      <c r="J228" s="319"/>
      <c r="K228" s="319"/>
    </row>
    <row r="229" spans="5:11">
      <c r="E229" s="319"/>
      <c r="F229" s="319"/>
      <c r="G229" s="319"/>
      <c r="H229" s="319"/>
      <c r="I229" s="319"/>
      <c r="J229" s="319"/>
      <c r="K229" s="319"/>
    </row>
    <row r="230" spans="5:11">
      <c r="E230" s="319"/>
      <c r="F230" s="319"/>
      <c r="G230" s="319"/>
      <c r="H230" s="319"/>
      <c r="I230" s="319"/>
      <c r="J230" s="319"/>
      <c r="K230" s="319"/>
    </row>
    <row r="231" spans="5:11">
      <c r="E231" s="319"/>
      <c r="F231" s="319"/>
      <c r="G231" s="319"/>
      <c r="H231" s="319"/>
      <c r="I231" s="319"/>
      <c r="J231" s="319"/>
      <c r="K231" s="319"/>
    </row>
    <row r="232" spans="5:11">
      <c r="E232" s="319"/>
      <c r="F232" s="319"/>
      <c r="G232" s="319"/>
      <c r="H232" s="319"/>
      <c r="I232" s="319"/>
      <c r="J232" s="319"/>
      <c r="K232" s="319"/>
    </row>
    <row r="233" spans="5:11">
      <c r="E233" s="319"/>
      <c r="F233" s="319"/>
      <c r="G233" s="319"/>
      <c r="H233" s="319"/>
      <c r="I233" s="319"/>
      <c r="J233" s="319"/>
      <c r="K233" s="319"/>
    </row>
    <row r="234" spans="5:11">
      <c r="E234" s="319"/>
      <c r="F234" s="319"/>
      <c r="G234" s="319"/>
      <c r="H234" s="319"/>
      <c r="I234" s="319"/>
      <c r="J234" s="319"/>
      <c r="K234" s="319"/>
    </row>
    <row r="235" spans="5:11">
      <c r="E235" s="319"/>
      <c r="F235" s="319"/>
      <c r="G235" s="319"/>
      <c r="H235" s="319"/>
      <c r="I235" s="319"/>
      <c r="J235" s="319"/>
      <c r="K235" s="319"/>
    </row>
    <row r="236" spans="5:11">
      <c r="E236" s="319"/>
      <c r="F236" s="319"/>
      <c r="G236" s="319"/>
      <c r="H236" s="319"/>
      <c r="I236" s="319"/>
      <c r="J236" s="319"/>
      <c r="K236" s="319"/>
    </row>
    <row r="237" spans="5:11">
      <c r="E237" s="319"/>
      <c r="F237" s="319"/>
      <c r="G237" s="319"/>
      <c r="H237" s="319"/>
      <c r="I237" s="319"/>
      <c r="J237" s="319"/>
      <c r="K237" s="319"/>
    </row>
    <row r="238" spans="5:11">
      <c r="E238" s="319"/>
      <c r="F238" s="319"/>
      <c r="G238" s="319"/>
      <c r="H238" s="319"/>
      <c r="I238" s="319"/>
      <c r="J238" s="319"/>
      <c r="K238" s="319"/>
    </row>
    <row r="239" spans="5:11">
      <c r="E239" s="319"/>
      <c r="F239" s="319"/>
      <c r="G239" s="319"/>
      <c r="H239" s="319"/>
      <c r="I239" s="319"/>
      <c r="J239" s="319"/>
      <c r="K239" s="319"/>
    </row>
    <row r="240" spans="5:11">
      <c r="E240" s="319"/>
      <c r="F240" s="319"/>
      <c r="G240" s="319"/>
      <c r="H240" s="319"/>
      <c r="I240" s="319"/>
      <c r="J240" s="319"/>
      <c r="K240" s="319"/>
    </row>
    <row r="241" spans="5:11">
      <c r="E241" s="319"/>
      <c r="F241" s="319"/>
      <c r="G241" s="319"/>
      <c r="H241" s="319"/>
      <c r="I241" s="319"/>
      <c r="J241" s="319"/>
      <c r="K241" s="319"/>
    </row>
    <row r="242" spans="5:11">
      <c r="E242" s="319"/>
      <c r="F242" s="319"/>
      <c r="G242" s="319"/>
      <c r="H242" s="319"/>
      <c r="I242" s="319"/>
      <c r="J242" s="319"/>
      <c r="K242" s="319"/>
    </row>
    <row r="243" spans="5:11">
      <c r="E243" s="319"/>
      <c r="F243" s="319"/>
      <c r="G243" s="319"/>
      <c r="H243" s="319"/>
      <c r="I243" s="319"/>
      <c r="J243" s="319"/>
      <c r="K243" s="319"/>
    </row>
    <row r="244" spans="5:11">
      <c r="E244" s="319"/>
      <c r="F244" s="319"/>
      <c r="G244" s="319"/>
      <c r="H244" s="319"/>
      <c r="I244" s="319"/>
      <c r="J244" s="319"/>
      <c r="K244" s="319"/>
    </row>
    <row r="245" spans="5:11">
      <c r="E245" s="319"/>
      <c r="F245" s="319"/>
      <c r="G245" s="319"/>
      <c r="H245" s="319"/>
      <c r="I245" s="319"/>
      <c r="J245" s="319"/>
      <c r="K245" s="319"/>
    </row>
    <row r="246" spans="5:11">
      <c r="E246" s="319"/>
      <c r="F246" s="319"/>
      <c r="G246" s="319"/>
      <c r="H246" s="319"/>
      <c r="I246" s="319"/>
      <c r="J246" s="319"/>
      <c r="K246" s="319"/>
    </row>
    <row r="247" spans="5:11">
      <c r="E247" s="319"/>
      <c r="F247" s="319"/>
      <c r="G247" s="319"/>
      <c r="H247" s="319"/>
      <c r="I247" s="319"/>
      <c r="J247" s="319"/>
      <c r="K247" s="319"/>
    </row>
    <row r="248" spans="5:11">
      <c r="E248" s="319"/>
      <c r="F248" s="319"/>
      <c r="G248" s="319"/>
      <c r="H248" s="319"/>
      <c r="I248" s="319"/>
      <c r="J248" s="319"/>
      <c r="K248" s="319"/>
    </row>
    <row r="249" spans="5:11">
      <c r="E249" s="319"/>
      <c r="F249" s="319"/>
      <c r="G249" s="319"/>
      <c r="H249" s="319"/>
      <c r="I249" s="319"/>
      <c r="J249" s="319"/>
      <c r="K249" s="319"/>
    </row>
    <row r="250" spans="5:11">
      <c r="E250" s="319"/>
      <c r="F250" s="319"/>
      <c r="G250" s="319"/>
      <c r="H250" s="319"/>
      <c r="I250" s="319"/>
      <c r="J250" s="319"/>
      <c r="K250" s="319"/>
    </row>
    <row r="251" spans="5:11">
      <c r="E251" s="319"/>
      <c r="F251" s="319"/>
      <c r="G251" s="319"/>
      <c r="H251" s="319"/>
      <c r="I251" s="319"/>
      <c r="J251" s="319"/>
      <c r="K251" s="319"/>
    </row>
    <row r="252" spans="5:11">
      <c r="E252" s="319"/>
      <c r="F252" s="319"/>
      <c r="G252" s="319"/>
      <c r="H252" s="319"/>
      <c r="I252" s="319"/>
      <c r="J252" s="319"/>
      <c r="K252" s="319"/>
    </row>
    <row r="253" spans="5:11">
      <c r="E253" s="319"/>
      <c r="F253" s="319"/>
      <c r="G253" s="319"/>
      <c r="H253" s="319"/>
      <c r="I253" s="319"/>
      <c r="J253" s="319"/>
      <c r="K253" s="319"/>
    </row>
    <row r="254" spans="5:11">
      <c r="E254" s="319"/>
      <c r="F254" s="319"/>
      <c r="G254" s="319"/>
      <c r="H254" s="319"/>
      <c r="I254" s="319"/>
      <c r="J254" s="319"/>
      <c r="K254" s="319"/>
    </row>
    <row r="255" spans="5:11">
      <c r="E255" s="319"/>
      <c r="F255" s="319"/>
      <c r="G255" s="319"/>
      <c r="H255" s="319"/>
      <c r="I255" s="319"/>
      <c r="J255" s="319"/>
      <c r="K255" s="319"/>
    </row>
    <row r="256" spans="5:11">
      <c r="E256" s="319"/>
      <c r="F256" s="319"/>
      <c r="G256" s="319"/>
      <c r="H256" s="319"/>
      <c r="I256" s="319"/>
      <c r="J256" s="319"/>
      <c r="K256" s="319"/>
    </row>
    <row r="257" spans="5:11">
      <c r="E257" s="319"/>
      <c r="F257" s="319"/>
      <c r="G257" s="319"/>
      <c r="H257" s="319"/>
      <c r="I257" s="319"/>
      <c r="J257" s="319"/>
      <c r="K257" s="319"/>
    </row>
    <row r="258" spans="5:11">
      <c r="E258" s="319"/>
      <c r="F258" s="319"/>
      <c r="G258" s="319"/>
      <c r="H258" s="319"/>
      <c r="I258" s="319"/>
      <c r="J258" s="319"/>
      <c r="K258" s="319"/>
    </row>
    <row r="259" spans="5:11">
      <c r="E259" s="319"/>
      <c r="F259" s="319"/>
      <c r="G259" s="319"/>
      <c r="H259" s="319"/>
      <c r="I259" s="319"/>
      <c r="J259" s="319"/>
      <c r="K259" s="319"/>
    </row>
    <row r="260" spans="5:11">
      <c r="E260" s="319"/>
      <c r="F260" s="319"/>
      <c r="G260" s="319"/>
      <c r="H260" s="319"/>
      <c r="I260" s="319"/>
      <c r="J260" s="319"/>
      <c r="K260" s="319"/>
    </row>
    <row r="261" spans="5:11">
      <c r="E261" s="319"/>
      <c r="F261" s="319"/>
      <c r="G261" s="319"/>
      <c r="H261" s="319"/>
      <c r="I261" s="319"/>
      <c r="J261" s="319"/>
      <c r="K261" s="319"/>
    </row>
    <row r="262" spans="5:11">
      <c r="E262" s="319"/>
      <c r="F262" s="319"/>
      <c r="G262" s="319"/>
      <c r="H262" s="319"/>
      <c r="I262" s="319"/>
      <c r="J262" s="319"/>
      <c r="K262" s="319"/>
    </row>
    <row r="263" spans="5:11">
      <c r="E263" s="319"/>
      <c r="F263" s="319"/>
      <c r="G263" s="319"/>
      <c r="H263" s="319"/>
      <c r="I263" s="319"/>
      <c r="J263" s="319"/>
      <c r="K263" s="319"/>
    </row>
    <row r="264" spans="5:11">
      <c r="E264" s="319"/>
      <c r="F264" s="319"/>
      <c r="G264" s="319"/>
      <c r="H264" s="319"/>
      <c r="I264" s="319"/>
      <c r="J264" s="319"/>
      <c r="K264" s="319"/>
    </row>
    <row r="265" spans="5:11">
      <c r="E265" s="319"/>
      <c r="F265" s="319"/>
      <c r="G265" s="319"/>
      <c r="H265" s="319"/>
      <c r="I265" s="319"/>
      <c r="J265" s="319"/>
      <c r="K265" s="319"/>
    </row>
    <row r="266" spans="5:11">
      <c r="E266" s="319"/>
      <c r="F266" s="319"/>
      <c r="G266" s="319"/>
      <c r="H266" s="319"/>
      <c r="I266" s="319"/>
      <c r="J266" s="319"/>
      <c r="K266" s="319"/>
    </row>
  </sheetData>
  <mergeCells count="249">
    <mergeCell ref="A1:K1"/>
    <mergeCell ref="E3:F3"/>
    <mergeCell ref="E4:F4"/>
    <mergeCell ref="E5:F5"/>
    <mergeCell ref="E6:F6"/>
    <mergeCell ref="E7:F7"/>
    <mergeCell ref="E14:F14"/>
    <mergeCell ref="E15:F15"/>
    <mergeCell ref="E16:F16"/>
    <mergeCell ref="E17:F17"/>
    <mergeCell ref="E18:F18"/>
    <mergeCell ref="E19:F19"/>
    <mergeCell ref="E8:F8"/>
    <mergeCell ref="E9:F9"/>
    <mergeCell ref="E10:F10"/>
    <mergeCell ref="E11:F11"/>
    <mergeCell ref="E12:F12"/>
    <mergeCell ref="E13:F13"/>
    <mergeCell ref="A35:H35"/>
    <mergeCell ref="E36:F36"/>
    <mergeCell ref="E37:J37"/>
    <mergeCell ref="E20:F20"/>
    <mergeCell ref="E21:F21"/>
    <mergeCell ref="E22:F22"/>
    <mergeCell ref="E23:F23"/>
    <mergeCell ref="E24:F24"/>
    <mergeCell ref="A34:K34"/>
    <mergeCell ref="E47:F47"/>
    <mergeCell ref="E48:F48"/>
    <mergeCell ref="E49:F49"/>
    <mergeCell ref="E50:F50"/>
    <mergeCell ref="E51:F51"/>
    <mergeCell ref="E42:F42"/>
    <mergeCell ref="E43:F43"/>
    <mergeCell ref="E44:F44"/>
    <mergeCell ref="E45:F45"/>
    <mergeCell ref="E46:F46"/>
    <mergeCell ref="A58:H58"/>
    <mergeCell ref="E59:F59"/>
    <mergeCell ref="E61:F61"/>
    <mergeCell ref="E62:F62"/>
    <mergeCell ref="E63:F63"/>
    <mergeCell ref="E64:F64"/>
    <mergeCell ref="E52:F52"/>
    <mergeCell ref="E53:F53"/>
    <mergeCell ref="A54:H54"/>
    <mergeCell ref="E55:F55"/>
    <mergeCell ref="E56:F56"/>
    <mergeCell ref="E57:F57"/>
    <mergeCell ref="E71:F71"/>
    <mergeCell ref="E73:F73"/>
    <mergeCell ref="E74:F74"/>
    <mergeCell ref="A75:H75"/>
    <mergeCell ref="E76:H76"/>
    <mergeCell ref="E65:F65"/>
    <mergeCell ref="E66:F66"/>
    <mergeCell ref="E67:F67"/>
    <mergeCell ref="E68:F68"/>
    <mergeCell ref="E69:F69"/>
    <mergeCell ref="E70:F70"/>
    <mergeCell ref="E83:H83"/>
    <mergeCell ref="E84:H84"/>
    <mergeCell ref="A85:K85"/>
    <mergeCell ref="E86:K86"/>
    <mergeCell ref="E87:K87"/>
    <mergeCell ref="E88:K88"/>
    <mergeCell ref="E77:H77"/>
    <mergeCell ref="E78:H78"/>
    <mergeCell ref="E79:H79"/>
    <mergeCell ref="E80:H80"/>
    <mergeCell ref="E81:H81"/>
    <mergeCell ref="E82:H82"/>
    <mergeCell ref="E95:K95"/>
    <mergeCell ref="E96:K96"/>
    <mergeCell ref="E97:K97"/>
    <mergeCell ref="E98:K98"/>
    <mergeCell ref="E99:K99"/>
    <mergeCell ref="E100:K100"/>
    <mergeCell ref="E89:K89"/>
    <mergeCell ref="E90:K90"/>
    <mergeCell ref="E91:K91"/>
    <mergeCell ref="E92:K92"/>
    <mergeCell ref="E93:K93"/>
    <mergeCell ref="E94:K94"/>
    <mergeCell ref="E107:K107"/>
    <mergeCell ref="E108:K108"/>
    <mergeCell ref="E109:K109"/>
    <mergeCell ref="E110:K110"/>
    <mergeCell ref="E111:K111"/>
    <mergeCell ref="E112:K112"/>
    <mergeCell ref="E101:K101"/>
    <mergeCell ref="E102:K102"/>
    <mergeCell ref="E103:K103"/>
    <mergeCell ref="E104:K104"/>
    <mergeCell ref="E105:K105"/>
    <mergeCell ref="E106:K106"/>
    <mergeCell ref="E119:K119"/>
    <mergeCell ref="A126:K126"/>
    <mergeCell ref="E127:K127"/>
    <mergeCell ref="E128:K128"/>
    <mergeCell ref="E129:K129"/>
    <mergeCell ref="E130:K130"/>
    <mergeCell ref="E113:K113"/>
    <mergeCell ref="E114:K114"/>
    <mergeCell ref="E115:K115"/>
    <mergeCell ref="E116:K116"/>
    <mergeCell ref="E117:K117"/>
    <mergeCell ref="E118:K118"/>
    <mergeCell ref="E137:K137"/>
    <mergeCell ref="E138:K138"/>
    <mergeCell ref="E139:K139"/>
    <mergeCell ref="E140:K140"/>
    <mergeCell ref="E141:K141"/>
    <mergeCell ref="E142:K142"/>
    <mergeCell ref="E131:K131"/>
    <mergeCell ref="E132:K132"/>
    <mergeCell ref="E133:K133"/>
    <mergeCell ref="E134:K134"/>
    <mergeCell ref="E135:K135"/>
    <mergeCell ref="E136:K136"/>
    <mergeCell ref="E149:K149"/>
    <mergeCell ref="E150:K150"/>
    <mergeCell ref="E151:K151"/>
    <mergeCell ref="E152:K152"/>
    <mergeCell ref="E153:K153"/>
    <mergeCell ref="E154:K154"/>
    <mergeCell ref="A144:K144"/>
    <mergeCell ref="E145:K145"/>
    <mergeCell ref="E146:K146"/>
    <mergeCell ref="E147:K147"/>
    <mergeCell ref="E148:K148"/>
    <mergeCell ref="E161:K161"/>
    <mergeCell ref="E162:K162"/>
    <mergeCell ref="E163:K163"/>
    <mergeCell ref="E164:K164"/>
    <mergeCell ref="E165:K165"/>
    <mergeCell ref="E166:K166"/>
    <mergeCell ref="E155:K155"/>
    <mergeCell ref="E156:K156"/>
    <mergeCell ref="E157:K157"/>
    <mergeCell ref="E158:K158"/>
    <mergeCell ref="E159:K159"/>
    <mergeCell ref="E160:K160"/>
    <mergeCell ref="E173:K173"/>
    <mergeCell ref="E174:K174"/>
    <mergeCell ref="E175:K175"/>
    <mergeCell ref="E176:K176"/>
    <mergeCell ref="E177:K177"/>
    <mergeCell ref="E178:K178"/>
    <mergeCell ref="E167:K167"/>
    <mergeCell ref="E168:K168"/>
    <mergeCell ref="E169:K169"/>
    <mergeCell ref="E170:K170"/>
    <mergeCell ref="E171:K171"/>
    <mergeCell ref="E172:K172"/>
    <mergeCell ref="E185:K185"/>
    <mergeCell ref="E186:K186"/>
    <mergeCell ref="E187:K187"/>
    <mergeCell ref="E188:K188"/>
    <mergeCell ref="E189:K189"/>
    <mergeCell ref="E190:K190"/>
    <mergeCell ref="E179:K179"/>
    <mergeCell ref="E180:K180"/>
    <mergeCell ref="E181:K181"/>
    <mergeCell ref="E182:K182"/>
    <mergeCell ref="E183:K183"/>
    <mergeCell ref="E184:K184"/>
    <mergeCell ref="E197:K197"/>
    <mergeCell ref="E198:K198"/>
    <mergeCell ref="E199:K199"/>
    <mergeCell ref="E200:K200"/>
    <mergeCell ref="E201:K201"/>
    <mergeCell ref="E202:K202"/>
    <mergeCell ref="E191:K191"/>
    <mergeCell ref="E192:K192"/>
    <mergeCell ref="E193:K193"/>
    <mergeCell ref="E194:K194"/>
    <mergeCell ref="E195:K195"/>
    <mergeCell ref="E196:K196"/>
    <mergeCell ref="E209:K209"/>
    <mergeCell ref="E210:K210"/>
    <mergeCell ref="E211:K211"/>
    <mergeCell ref="E212:K212"/>
    <mergeCell ref="E213:K213"/>
    <mergeCell ref="E214:K214"/>
    <mergeCell ref="E203:K203"/>
    <mergeCell ref="E204:K204"/>
    <mergeCell ref="E205:K205"/>
    <mergeCell ref="E206:K206"/>
    <mergeCell ref="E207:K207"/>
    <mergeCell ref="E208:K208"/>
    <mergeCell ref="E221:K221"/>
    <mergeCell ref="E222:K222"/>
    <mergeCell ref="E223:K223"/>
    <mergeCell ref="E224:K224"/>
    <mergeCell ref="E225:K225"/>
    <mergeCell ref="E226:K226"/>
    <mergeCell ref="E215:K215"/>
    <mergeCell ref="E216:K216"/>
    <mergeCell ref="E217:K217"/>
    <mergeCell ref="E218:K218"/>
    <mergeCell ref="E219:K219"/>
    <mergeCell ref="E220:K220"/>
    <mergeCell ref="E233:K233"/>
    <mergeCell ref="E234:K234"/>
    <mergeCell ref="E235:K235"/>
    <mergeCell ref="E236:K236"/>
    <mergeCell ref="E237:K237"/>
    <mergeCell ref="E238:K238"/>
    <mergeCell ref="E227:K227"/>
    <mergeCell ref="E228:K228"/>
    <mergeCell ref="E229:K229"/>
    <mergeCell ref="E230:K230"/>
    <mergeCell ref="E231:K231"/>
    <mergeCell ref="E232:K232"/>
    <mergeCell ref="E247:K247"/>
    <mergeCell ref="E248:K248"/>
    <mergeCell ref="E249:K249"/>
    <mergeCell ref="E250:K250"/>
    <mergeCell ref="E239:K239"/>
    <mergeCell ref="E240:K240"/>
    <mergeCell ref="E241:K241"/>
    <mergeCell ref="E242:K242"/>
    <mergeCell ref="E243:K243"/>
    <mergeCell ref="E244:K244"/>
    <mergeCell ref="E263:K263"/>
    <mergeCell ref="E264:K264"/>
    <mergeCell ref="E265:K265"/>
    <mergeCell ref="E266:K266"/>
    <mergeCell ref="E38:J38"/>
    <mergeCell ref="E39:J39"/>
    <mergeCell ref="E40:J40"/>
    <mergeCell ref="E41:J41"/>
    <mergeCell ref="E143:K143"/>
    <mergeCell ref="E72:K72"/>
    <mergeCell ref="E257:K257"/>
    <mergeCell ref="E258:K258"/>
    <mergeCell ref="E259:K259"/>
    <mergeCell ref="E260:K260"/>
    <mergeCell ref="E261:K261"/>
    <mergeCell ref="E262:K262"/>
    <mergeCell ref="E251:K251"/>
    <mergeCell ref="E252:K252"/>
    <mergeCell ref="E253:K253"/>
    <mergeCell ref="E254:K254"/>
    <mergeCell ref="E255:K255"/>
    <mergeCell ref="E256:K256"/>
    <mergeCell ref="E245:K245"/>
    <mergeCell ref="E246:K246"/>
  </mergeCells>
  <pageMargins left="0.7" right="0.7" top="0.75" bottom="0.75" header="0.3" footer="0.3"/>
  <pageSetup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09C4-0E39-4660-B329-701412F8EE7D}">
  <dimension ref="A1:Z218"/>
  <sheetViews>
    <sheetView topLeftCell="N84" zoomScale="83" workbookViewId="0">
      <selection activeCell="L25" sqref="L25"/>
    </sheetView>
  </sheetViews>
  <sheetFormatPr defaultColWidth="8.42578125" defaultRowHeight="15"/>
  <cols>
    <col min="1" max="1" width="35.42578125" customWidth="1"/>
    <col min="2" max="2" width="13.42578125" style="9" customWidth="1"/>
    <col min="3" max="3" width="11.42578125" bestFit="1" customWidth="1"/>
    <col min="4" max="4" width="12.42578125" customWidth="1"/>
    <col min="5" max="5" width="10.42578125" customWidth="1"/>
    <col min="6" max="6" width="9" bestFit="1" customWidth="1"/>
    <col min="8" max="8" width="9.42578125" customWidth="1"/>
    <col min="9" max="9" width="9" bestFit="1" customWidth="1"/>
    <col min="16" max="17" width="11.42578125" customWidth="1"/>
    <col min="18" max="19" width="10.42578125" bestFit="1" customWidth="1"/>
    <col min="22" max="22" width="10.42578125" bestFit="1" customWidth="1"/>
    <col min="23" max="23" width="31.42578125" bestFit="1" customWidth="1"/>
    <col min="24" max="24" width="43.42578125" bestFit="1" customWidth="1"/>
  </cols>
  <sheetData>
    <row r="1" spans="1:26">
      <c r="A1" s="309" t="s">
        <v>855</v>
      </c>
      <c r="B1" s="309"/>
      <c r="C1" s="309"/>
      <c r="D1" s="309"/>
      <c r="E1" s="309"/>
      <c r="F1" s="309"/>
      <c r="G1" s="309"/>
      <c r="H1" s="309"/>
      <c r="I1" s="309"/>
      <c r="J1" s="309"/>
      <c r="K1" s="309"/>
      <c r="Q1" s="9"/>
      <c r="R1" s="9"/>
      <c r="S1" s="176"/>
      <c r="T1" s="176"/>
    </row>
    <row r="2" spans="1:26">
      <c r="A2" s="8"/>
      <c r="B2" s="17"/>
      <c r="C2" s="8"/>
      <c r="D2" s="8"/>
      <c r="E2" s="8"/>
      <c r="F2" s="8"/>
      <c r="G2" s="8"/>
      <c r="H2" s="8"/>
      <c r="I2" s="8"/>
      <c r="J2" s="8"/>
      <c r="K2" s="8"/>
      <c r="P2" s="6" t="s">
        <v>856</v>
      </c>
      <c r="Q2" s="172">
        <v>10000</v>
      </c>
      <c r="R2" s="116">
        <v>15000</v>
      </c>
      <c r="S2" s="116">
        <v>20000</v>
      </c>
      <c r="T2" s="116">
        <v>30000</v>
      </c>
      <c r="U2" s="169"/>
    </row>
    <row r="3" spans="1:26">
      <c r="A3" s="309" t="s">
        <v>857</v>
      </c>
      <c r="B3" s="309"/>
      <c r="C3" s="309"/>
      <c r="D3" s="309"/>
      <c r="E3" s="309"/>
      <c r="F3" s="309"/>
      <c r="G3" s="309"/>
      <c r="H3" s="309"/>
      <c r="I3" s="309"/>
      <c r="J3" s="309"/>
      <c r="K3" s="309"/>
      <c r="P3" s="170" t="s">
        <v>858</v>
      </c>
      <c r="Q3" s="171">
        <f>0.002378*(1-0.000006875*Q2)^4.2561</f>
        <v>1.756122750048278E-3</v>
      </c>
      <c r="R3" s="171">
        <f>0.002378*(1-0.000006875*R2)^4.2561</f>
        <v>1.4963533775013247E-3</v>
      </c>
      <c r="S3" s="171">
        <f>0.002378*(1-0.000006875*S2)^4.2561</f>
        <v>1.267057055955016E-3</v>
      </c>
      <c r="T3" s="171">
        <f>0.002378*(1-0.000006875*T2)^4.2561</f>
        <v>8.8972503086916048E-4</v>
      </c>
      <c r="W3" t="s">
        <v>859</v>
      </c>
    </row>
    <row r="4" spans="1:26">
      <c r="A4" s="7" t="s">
        <v>860</v>
      </c>
      <c r="B4" s="17" t="s">
        <v>861</v>
      </c>
      <c r="C4" s="7" t="s">
        <v>191</v>
      </c>
      <c r="D4" s="7" t="s">
        <v>862</v>
      </c>
      <c r="E4" s="7" t="s">
        <v>193</v>
      </c>
      <c r="G4" s="7" t="s">
        <v>863</v>
      </c>
      <c r="N4" t="s">
        <v>864</v>
      </c>
      <c r="O4" t="s">
        <v>865</v>
      </c>
      <c r="P4" s="39" t="s">
        <v>822</v>
      </c>
      <c r="Q4" s="338" t="s">
        <v>866</v>
      </c>
      <c r="R4" s="338"/>
      <c r="S4" s="338"/>
      <c r="T4" s="338"/>
      <c r="V4" t="s">
        <v>856</v>
      </c>
      <c r="W4" t="s">
        <v>867</v>
      </c>
      <c r="X4" t="s">
        <v>868</v>
      </c>
      <c r="Y4" t="s">
        <v>869</v>
      </c>
      <c r="Z4" t="s">
        <v>870</v>
      </c>
    </row>
    <row r="5" spans="1:26">
      <c r="A5" t="s">
        <v>871</v>
      </c>
      <c r="B5" s="9" t="s">
        <v>872</v>
      </c>
      <c r="C5" s="5">
        <v>15000</v>
      </c>
      <c r="D5" s="170" t="s">
        <v>66</v>
      </c>
      <c r="E5" t="s">
        <v>873</v>
      </c>
      <c r="G5" s="5" t="s">
        <v>874</v>
      </c>
      <c r="M5">
        <v>0</v>
      </c>
      <c r="N5" s="98">
        <f t="shared" ref="N5:N15" si="0">C$8</f>
        <v>531.92740930825562</v>
      </c>
      <c r="O5">
        <f t="shared" ref="O5:O15" si="1">P5/1.68780986</f>
        <v>0</v>
      </c>
      <c r="P5" s="39">
        <v>0</v>
      </c>
      <c r="Q5" s="173">
        <f t="shared" ref="Q5:T15" si="2">0.5*Q$3*$P5^2*$C$98*$C$19</f>
        <v>0</v>
      </c>
      <c r="R5" s="173">
        <f t="shared" si="2"/>
        <v>0</v>
      </c>
      <c r="S5" s="173">
        <f t="shared" si="2"/>
        <v>0</v>
      </c>
      <c r="T5" s="173">
        <f t="shared" si="2"/>
        <v>0</v>
      </c>
      <c r="V5" s="169">
        <v>15000</v>
      </c>
      <c r="W5" s="98">
        <f>'Performance Cruise'!C34</f>
        <v>1007.1247175448717</v>
      </c>
      <c r="X5" s="179">
        <f>R10+$W$5</f>
        <v>2641.2186923277741</v>
      </c>
      <c r="Y5" s="179">
        <f>X5/Thrust!C$36</f>
        <v>0.61588266918002654</v>
      </c>
      <c r="Z5" s="179">
        <f>ABS(X5-Thrust!C32)/Thrust!C33</f>
        <v>0.64606003882217877</v>
      </c>
    </row>
    <row r="6" spans="1:26">
      <c r="A6" t="s">
        <v>180</v>
      </c>
      <c r="B6" s="9" t="s">
        <v>875</v>
      </c>
      <c r="C6" s="5">
        <v>250</v>
      </c>
      <c r="D6" s="170" t="s">
        <v>173</v>
      </c>
      <c r="E6" t="s">
        <v>873</v>
      </c>
      <c r="G6" s="6" t="s">
        <v>4</v>
      </c>
      <c r="M6">
        <v>700</v>
      </c>
      <c r="N6" s="98">
        <f t="shared" si="0"/>
        <v>531.92740930825562</v>
      </c>
      <c r="O6">
        <f t="shared" si="1"/>
        <v>59.248380027830862</v>
      </c>
      <c r="P6" s="39">
        <v>100</v>
      </c>
      <c r="Q6" s="173">
        <f t="shared" si="2"/>
        <v>76.71101353411504</v>
      </c>
      <c r="R6" s="173">
        <f t="shared" si="2"/>
        <v>65.363758991316089</v>
      </c>
      <c r="S6" s="173">
        <f t="shared" si="2"/>
        <v>55.347629295952764</v>
      </c>
      <c r="T6" s="173">
        <f t="shared" si="2"/>
        <v>38.864998977303131</v>
      </c>
      <c r="V6" s="169">
        <v>15000</v>
      </c>
      <c r="W6" s="179"/>
      <c r="X6" s="179"/>
    </row>
    <row r="7" spans="1:26">
      <c r="A7" t="s">
        <v>180</v>
      </c>
      <c r="B7" s="9" t="s">
        <v>876</v>
      </c>
      <c r="C7" s="65">
        <f>C6/SQRT(C11)</f>
        <v>315.15837293915064</v>
      </c>
      <c r="D7" s="170" t="s">
        <v>596</v>
      </c>
      <c r="G7" s="148" t="s">
        <v>877</v>
      </c>
      <c r="M7">
        <v>1400</v>
      </c>
      <c r="N7" s="98">
        <f t="shared" si="0"/>
        <v>531.92740930825562</v>
      </c>
      <c r="O7">
        <f t="shared" si="1"/>
        <v>118.49676005566172</v>
      </c>
      <c r="P7" s="39">
        <v>200</v>
      </c>
      <c r="Q7" s="173">
        <f t="shared" si="2"/>
        <v>306.84405413646016</v>
      </c>
      <c r="R7" s="173">
        <f t="shared" si="2"/>
        <v>261.45503596526436</v>
      </c>
      <c r="S7" s="173">
        <f t="shared" si="2"/>
        <v>221.39051718381106</v>
      </c>
      <c r="T7" s="173">
        <f t="shared" si="2"/>
        <v>155.45999590921252</v>
      </c>
      <c r="V7" s="169">
        <v>15000</v>
      </c>
      <c r="W7" s="179"/>
      <c r="X7" s="179"/>
    </row>
    <row r="8" spans="1:26">
      <c r="A8" t="s">
        <v>180</v>
      </c>
      <c r="B8" s="9" t="s">
        <v>441</v>
      </c>
      <c r="C8" s="65">
        <f>C7*1.68780986</f>
        <v>531.92740930825562</v>
      </c>
      <c r="D8" s="170" t="s">
        <v>183</v>
      </c>
      <c r="E8" t="s">
        <v>878</v>
      </c>
      <c r="G8" s="170" t="s">
        <v>192</v>
      </c>
      <c r="M8">
        <v>2100</v>
      </c>
      <c r="N8" s="98">
        <f t="shared" si="0"/>
        <v>531.92740930825562</v>
      </c>
      <c r="O8">
        <f t="shared" si="1"/>
        <v>177.74514008349257</v>
      </c>
      <c r="P8" s="39">
        <v>300</v>
      </c>
      <c r="Q8" s="173">
        <f t="shared" si="2"/>
        <v>690.39912180703527</v>
      </c>
      <c r="R8" s="173">
        <f t="shared" si="2"/>
        <v>588.27383092184482</v>
      </c>
      <c r="S8" s="173">
        <f t="shared" si="2"/>
        <v>498.12866366357486</v>
      </c>
      <c r="T8" s="173">
        <f t="shared" si="2"/>
        <v>349.78499079572816</v>
      </c>
      <c r="V8" s="169">
        <v>15000</v>
      </c>
      <c r="W8" s="179"/>
      <c r="X8" s="179"/>
    </row>
    <row r="9" spans="1:26">
      <c r="A9" t="s">
        <v>879</v>
      </c>
      <c r="B9" s="9" t="s">
        <v>880</v>
      </c>
      <c r="C9" s="47">
        <f>C8/SQRT(1716.46*1.4*C13)</f>
        <v>0.50310656472580884</v>
      </c>
      <c r="D9" s="170"/>
      <c r="G9" s="9"/>
      <c r="M9">
        <v>2800</v>
      </c>
      <c r="N9" s="98">
        <f t="shared" si="0"/>
        <v>531.92740930825562</v>
      </c>
      <c r="O9">
        <f t="shared" si="1"/>
        <v>236.99352011132345</v>
      </c>
      <c r="P9" s="39">
        <v>400</v>
      </c>
      <c r="Q9" s="173">
        <f t="shared" si="2"/>
        <v>1227.3762165458406</v>
      </c>
      <c r="R9" s="173">
        <f t="shared" si="2"/>
        <v>1045.8201438610574</v>
      </c>
      <c r="S9" s="173">
        <f t="shared" si="2"/>
        <v>885.56206873524422</v>
      </c>
      <c r="T9" s="173">
        <f t="shared" si="2"/>
        <v>621.83998363685009</v>
      </c>
      <c r="V9" s="169">
        <v>15000</v>
      </c>
      <c r="W9" s="179"/>
      <c r="X9" s="179"/>
    </row>
    <row r="10" spans="1:26">
      <c r="B10" s="9" t="s">
        <v>881</v>
      </c>
      <c r="C10" s="64">
        <f>1-0.000006875*C5</f>
        <v>0.89687499999999998</v>
      </c>
      <c r="D10" s="170"/>
      <c r="G10" s="9"/>
      <c r="M10">
        <v>3500</v>
      </c>
      <c r="N10" s="98">
        <f t="shared" si="0"/>
        <v>531.92740930825562</v>
      </c>
      <c r="O10">
        <f t="shared" si="1"/>
        <v>296.24190013915432</v>
      </c>
      <c r="P10" s="39">
        <v>500</v>
      </c>
      <c r="Q10" s="173">
        <f t="shared" si="2"/>
        <v>1917.7753383528759</v>
      </c>
      <c r="R10" s="173">
        <f t="shared" si="2"/>
        <v>1634.0939747829023</v>
      </c>
      <c r="S10" s="173">
        <f t="shared" si="2"/>
        <v>1383.6907323988191</v>
      </c>
      <c r="T10" s="173">
        <f t="shared" si="2"/>
        <v>971.62497443257848</v>
      </c>
      <c r="V10" s="169">
        <v>15000</v>
      </c>
      <c r="W10" s="179"/>
      <c r="X10" s="179"/>
    </row>
    <row r="11" spans="1:26">
      <c r="A11" t="s">
        <v>882</v>
      </c>
      <c r="B11" s="9" t="s">
        <v>883</v>
      </c>
      <c r="C11" s="64">
        <f>C10^4.2561</f>
        <v>0.62924868692234004</v>
      </c>
      <c r="D11" s="170"/>
      <c r="G11" s="9"/>
      <c r="M11">
        <v>4200</v>
      </c>
      <c r="N11" s="98">
        <f t="shared" si="0"/>
        <v>531.92740930825562</v>
      </c>
      <c r="O11">
        <f t="shared" si="1"/>
        <v>355.49028016698514</v>
      </c>
      <c r="P11" s="39">
        <v>600</v>
      </c>
      <c r="Q11" s="173">
        <f t="shared" si="2"/>
        <v>2761.5964872281411</v>
      </c>
      <c r="R11" s="173">
        <f t="shared" si="2"/>
        <v>2353.0953236873793</v>
      </c>
      <c r="S11" s="173">
        <f t="shared" si="2"/>
        <v>1992.5146546542994</v>
      </c>
      <c r="T11" s="173">
        <f t="shared" si="2"/>
        <v>1399.1399631829127</v>
      </c>
      <c r="W11" s="179"/>
      <c r="X11" s="179"/>
    </row>
    <row r="12" spans="1:26">
      <c r="A12" t="s">
        <v>884</v>
      </c>
      <c r="B12" s="9" t="s">
        <v>885</v>
      </c>
      <c r="C12" s="67">
        <f>0.002378*C10^4.2561</f>
        <v>1.4963533775013247E-3</v>
      </c>
      <c r="D12" s="170" t="s">
        <v>319</v>
      </c>
      <c r="M12">
        <v>4900</v>
      </c>
      <c r="N12" s="98">
        <f t="shared" si="0"/>
        <v>531.92740930825562</v>
      </c>
      <c r="O12">
        <f t="shared" si="1"/>
        <v>414.73866019481602</v>
      </c>
      <c r="P12" s="39">
        <v>700</v>
      </c>
      <c r="Q12" s="173">
        <f t="shared" si="2"/>
        <v>3758.8396631716369</v>
      </c>
      <c r="R12" s="173">
        <f t="shared" si="2"/>
        <v>3202.8241905744885</v>
      </c>
      <c r="S12" s="173">
        <f t="shared" si="2"/>
        <v>2712.0338355016852</v>
      </c>
      <c r="T12" s="173">
        <f t="shared" si="2"/>
        <v>1904.3849498878537</v>
      </c>
      <c r="W12" s="179"/>
      <c r="X12" s="179"/>
    </row>
    <row r="13" spans="1:26">
      <c r="A13" t="s">
        <v>886</v>
      </c>
      <c r="B13" s="9" t="s">
        <v>887</v>
      </c>
      <c r="C13" s="65">
        <f>518.67*C10</f>
        <v>465.18215624999993</v>
      </c>
      <c r="D13" s="170" t="s">
        <v>888</v>
      </c>
      <c r="M13">
        <v>5600</v>
      </c>
      <c r="N13" s="98">
        <f t="shared" si="0"/>
        <v>531.92740930825562</v>
      </c>
      <c r="O13">
        <f t="shared" si="1"/>
        <v>473.9870402226469</v>
      </c>
      <c r="P13" s="39">
        <v>800</v>
      </c>
      <c r="Q13" s="173">
        <f t="shared" si="2"/>
        <v>4909.5048661833625</v>
      </c>
      <c r="R13" s="173">
        <f t="shared" si="2"/>
        <v>4183.2805754442297</v>
      </c>
      <c r="S13" s="173">
        <f t="shared" si="2"/>
        <v>3542.2482749409769</v>
      </c>
      <c r="T13" s="173">
        <f t="shared" si="2"/>
        <v>2487.3599345474004</v>
      </c>
      <c r="W13" s="179"/>
      <c r="X13" s="179"/>
    </row>
    <row r="14" spans="1:26">
      <c r="A14" t="s">
        <v>889</v>
      </c>
      <c r="B14" s="9" t="s">
        <v>890</v>
      </c>
      <c r="C14" s="6">
        <f>3.17*10^(-11)*734.7*C13^1.5/(216+C13)</f>
        <v>3.4303671930069452E-7</v>
      </c>
      <c r="D14" s="170" t="s">
        <v>891</v>
      </c>
      <c r="M14">
        <v>6300</v>
      </c>
      <c r="N14" s="98">
        <f t="shared" si="0"/>
        <v>531.92740930825562</v>
      </c>
      <c r="O14">
        <f t="shared" si="1"/>
        <v>533.23542025047777</v>
      </c>
      <c r="P14" s="39">
        <v>900</v>
      </c>
      <c r="Q14" s="173">
        <f t="shared" si="2"/>
        <v>6213.592096263319</v>
      </c>
      <c r="R14" s="173">
        <f t="shared" si="2"/>
        <v>5294.4644782966034</v>
      </c>
      <c r="S14" s="173">
        <f t="shared" si="2"/>
        <v>4483.1579729721734</v>
      </c>
      <c r="T14" s="173">
        <f t="shared" si="2"/>
        <v>3148.0649171615537</v>
      </c>
      <c r="W14" s="179"/>
      <c r="X14" s="179"/>
    </row>
    <row r="15" spans="1:26">
      <c r="A15" t="s">
        <v>892</v>
      </c>
      <c r="B15" s="9" t="s">
        <v>893</v>
      </c>
      <c r="C15" s="66">
        <f>C14/C12</f>
        <v>2.2924846794779988E-4</v>
      </c>
      <c r="D15" s="170" t="s">
        <v>894</v>
      </c>
      <c r="M15">
        <v>7000</v>
      </c>
      <c r="N15" s="98">
        <f t="shared" si="0"/>
        <v>531.92740930825562</v>
      </c>
      <c r="O15">
        <f t="shared" si="1"/>
        <v>592.48380027830865</v>
      </c>
      <c r="P15" s="39">
        <v>1000</v>
      </c>
      <c r="Q15" s="173">
        <f t="shared" si="2"/>
        <v>7671.1013534115036</v>
      </c>
      <c r="R15" s="173">
        <f t="shared" si="2"/>
        <v>6536.375899131609</v>
      </c>
      <c r="S15" s="173">
        <f t="shared" si="2"/>
        <v>5534.7629295952765</v>
      </c>
      <c r="T15" s="173">
        <f t="shared" si="2"/>
        <v>3886.4998977303139</v>
      </c>
      <c r="W15" s="179"/>
      <c r="X15" s="179"/>
    </row>
    <row r="17" spans="1:11">
      <c r="A17" s="309" t="s">
        <v>895</v>
      </c>
      <c r="B17" s="309"/>
      <c r="C17" s="309"/>
      <c r="D17" s="309"/>
      <c r="E17" s="309"/>
      <c r="F17" s="309"/>
      <c r="G17" s="309"/>
      <c r="H17" s="309"/>
      <c r="I17" s="309"/>
      <c r="J17" s="309"/>
      <c r="K17" s="309"/>
    </row>
    <row r="18" spans="1:11">
      <c r="A18" s="7" t="s">
        <v>860</v>
      </c>
      <c r="B18" s="17" t="s">
        <v>896</v>
      </c>
      <c r="C18" s="7" t="s">
        <v>897</v>
      </c>
      <c r="D18" s="7" t="s">
        <v>898</v>
      </c>
      <c r="E18" s="7" t="s">
        <v>899</v>
      </c>
      <c r="F18" s="7" t="s">
        <v>900</v>
      </c>
      <c r="G18" s="7" t="s">
        <v>192</v>
      </c>
      <c r="H18" s="7" t="s">
        <v>193</v>
      </c>
      <c r="J18" s="7"/>
      <c r="K18" s="7"/>
    </row>
    <row r="19" spans="1:11">
      <c r="A19" t="s">
        <v>901</v>
      </c>
      <c r="B19" s="9" t="s">
        <v>902</v>
      </c>
      <c r="C19" s="65">
        <f>General!C23</f>
        <v>476.1</v>
      </c>
      <c r="D19" s="65">
        <f>D24^2/D20</f>
        <v>216.37467504308356</v>
      </c>
      <c r="E19" s="65">
        <v>0</v>
      </c>
      <c r="F19" s="65">
        <f>PI()*(F24/2)^2</f>
        <v>48.192862955464733</v>
      </c>
      <c r="G19" s="170"/>
    </row>
    <row r="20" spans="1:11">
      <c r="A20" t="s">
        <v>308</v>
      </c>
      <c r="B20" s="9" t="s">
        <v>903</v>
      </c>
      <c r="C20" s="65">
        <f>General!C24</f>
        <v>10</v>
      </c>
      <c r="D20" s="6">
        <f>General!C48</f>
        <v>4.1594516540385147</v>
      </c>
      <c r="E20" s="6"/>
      <c r="G20" s="170"/>
    </row>
    <row r="21" spans="1:11">
      <c r="A21" t="s">
        <v>904</v>
      </c>
      <c r="B21" s="9" t="s">
        <v>905</v>
      </c>
      <c r="C21" s="64">
        <f>General!C25</f>
        <v>0.38</v>
      </c>
      <c r="D21" s="64">
        <f>General!C49</f>
        <v>0.72881355932203384</v>
      </c>
      <c r="E21" s="64"/>
      <c r="G21" s="170"/>
    </row>
    <row r="22" spans="1:11">
      <c r="A22" t="s">
        <v>906</v>
      </c>
      <c r="C22" s="339" t="s">
        <v>907</v>
      </c>
      <c r="D22" s="339"/>
      <c r="E22" s="339"/>
      <c r="F22" s="339"/>
      <c r="G22" s="170"/>
      <c r="H22" s="340" t="s">
        <v>908</v>
      </c>
    </row>
    <row r="23" spans="1:11">
      <c r="A23" t="s">
        <v>909</v>
      </c>
      <c r="B23" s="9" t="s">
        <v>910</v>
      </c>
      <c r="C23" s="339">
        <f>2.08*10^(-5)</f>
        <v>2.0800000000000001E-5</v>
      </c>
      <c r="D23" s="339"/>
      <c r="E23" s="339"/>
      <c r="F23" s="339"/>
      <c r="G23" s="170"/>
      <c r="H23" s="340"/>
    </row>
    <row r="24" spans="1:11">
      <c r="A24" t="s">
        <v>911</v>
      </c>
      <c r="B24" s="9" t="s">
        <v>912</v>
      </c>
      <c r="C24" s="6">
        <f>General!C39</f>
        <v>69</v>
      </c>
      <c r="D24" s="6">
        <v>30</v>
      </c>
      <c r="E24" s="6">
        <v>0</v>
      </c>
      <c r="F24" s="47">
        <f>General!C78</f>
        <v>7.8333300000000001</v>
      </c>
      <c r="G24" s="170" t="s">
        <v>66</v>
      </c>
    </row>
    <row r="25" spans="1:11">
      <c r="A25" t="s">
        <v>913</v>
      </c>
      <c r="B25" s="9" t="s">
        <v>914</v>
      </c>
      <c r="C25" s="47">
        <f>General!C35</f>
        <v>6.9</v>
      </c>
      <c r="D25" s="6">
        <f>General!C53</f>
        <v>5.0999999999999996</v>
      </c>
      <c r="E25" s="6"/>
      <c r="F25" s="6">
        <f>General!C$79</f>
        <v>68</v>
      </c>
      <c r="G25" s="170" t="s">
        <v>66</v>
      </c>
    </row>
    <row r="26" spans="1:11">
      <c r="A26" t="s">
        <v>915</v>
      </c>
      <c r="B26" s="9" t="s">
        <v>916</v>
      </c>
      <c r="C26" s="6">
        <f>General!C36</f>
        <v>10</v>
      </c>
      <c r="D26" s="6">
        <f>General!C54</f>
        <v>5.9</v>
      </c>
      <c r="E26" s="6"/>
      <c r="F26" s="6">
        <f>General!C$79</f>
        <v>68</v>
      </c>
      <c r="G26" s="170" t="s">
        <v>66</v>
      </c>
    </row>
    <row r="27" spans="1:11">
      <c r="A27" t="s">
        <v>917</v>
      </c>
      <c r="B27" s="9" t="s">
        <v>918</v>
      </c>
      <c r="C27" s="6">
        <f>General!C37</f>
        <v>3.8</v>
      </c>
      <c r="D27" s="6">
        <f>General!C55</f>
        <v>4.3</v>
      </c>
      <c r="E27" s="6"/>
      <c r="F27" s="6">
        <f>General!C$79</f>
        <v>68</v>
      </c>
      <c r="G27" s="170" t="s">
        <v>66</v>
      </c>
    </row>
    <row r="28" spans="1:11">
      <c r="A28" t="s">
        <v>919</v>
      </c>
      <c r="B28" s="9" t="s">
        <v>920</v>
      </c>
      <c r="C28" s="5">
        <v>1.07</v>
      </c>
      <c r="D28" s="5">
        <v>1.03</v>
      </c>
      <c r="E28" s="5">
        <v>1.03</v>
      </c>
      <c r="G28" s="170"/>
      <c r="H28" t="s">
        <v>921</v>
      </c>
    </row>
    <row r="29" spans="1:11">
      <c r="A29" t="s">
        <v>922</v>
      </c>
      <c r="B29" s="9" t="s">
        <v>923</v>
      </c>
      <c r="C29" s="65">
        <f>2*C19*C28</f>
        <v>1018.8540000000002</v>
      </c>
      <c r="D29" s="65">
        <f>2*D19*D28</f>
        <v>445.73183058875213</v>
      </c>
      <c r="E29" s="65">
        <f>2*E19*E28</f>
        <v>0</v>
      </c>
      <c r="F29" s="65">
        <f>General!C74</f>
        <v>549.5101284139937</v>
      </c>
      <c r="G29" s="170" t="s">
        <v>196</v>
      </c>
    </row>
    <row r="30" spans="1:11">
      <c r="A30" t="s">
        <v>924</v>
      </c>
      <c r="B30" s="9" t="s">
        <v>925</v>
      </c>
      <c r="C30" s="47">
        <f>F29/C19</f>
        <v>1.1541905658769034</v>
      </c>
      <c r="G30" s="170"/>
      <c r="H30" t="s">
        <v>926</v>
      </c>
    </row>
    <row r="31" spans="1:11">
      <c r="A31" t="s">
        <v>927</v>
      </c>
      <c r="B31" s="9" t="s">
        <v>928</v>
      </c>
      <c r="C31" s="65">
        <f>SUM(C19:F19)</f>
        <v>740.66753799854837</v>
      </c>
      <c r="G31" s="170" t="s">
        <v>196</v>
      </c>
    </row>
    <row r="32" spans="1:11">
      <c r="A32" t="s">
        <v>929</v>
      </c>
      <c r="B32" s="9" t="s">
        <v>930</v>
      </c>
      <c r="C32" s="65">
        <f>SUM(C29:F29)</f>
        <v>2014.095959002746</v>
      </c>
      <c r="G32" s="170" t="s">
        <v>196</v>
      </c>
    </row>
    <row r="34" spans="1:23">
      <c r="A34" s="309" t="s">
        <v>931</v>
      </c>
      <c r="B34" s="309"/>
      <c r="C34" s="309"/>
      <c r="D34" s="309"/>
      <c r="E34" s="309"/>
      <c r="F34" s="309"/>
      <c r="G34" s="309"/>
      <c r="H34" s="309"/>
      <c r="I34" s="309"/>
      <c r="J34" s="309"/>
      <c r="K34" s="309"/>
    </row>
    <row r="35" spans="1:23">
      <c r="A35" s="7" t="s">
        <v>860</v>
      </c>
      <c r="B35" s="17" t="s">
        <v>861</v>
      </c>
      <c r="C35" s="7" t="s">
        <v>897</v>
      </c>
      <c r="D35" s="7" t="s">
        <v>898</v>
      </c>
      <c r="E35" s="7" t="s">
        <v>899</v>
      </c>
      <c r="F35" s="7" t="s">
        <v>900</v>
      </c>
      <c r="G35" s="7" t="s">
        <v>192</v>
      </c>
      <c r="H35" s="7" t="s">
        <v>193</v>
      </c>
    </row>
    <row r="36" spans="1:23" ht="15.75" customHeight="1">
      <c r="A36" t="s">
        <v>932</v>
      </c>
      <c r="B36" s="9" t="s">
        <v>933</v>
      </c>
      <c r="C36" s="66">
        <f>$C$8*C26/$C$15</f>
        <v>23203095.49154222</v>
      </c>
      <c r="D36" s="66">
        <f>$C$8*D26/$C$15</f>
        <v>13689826.340009909</v>
      </c>
      <c r="E36" s="66">
        <f>$C$8*E26/$C$15</f>
        <v>0</v>
      </c>
      <c r="F36" s="66">
        <f>$C$8*F26/$C$15</f>
        <v>157781049.34248707</v>
      </c>
      <c r="G36" s="170"/>
      <c r="H36" t="s">
        <v>934</v>
      </c>
      <c r="P36" s="336" t="s">
        <v>935</v>
      </c>
      <c r="Q36" s="336"/>
      <c r="R36" s="336"/>
      <c r="S36" s="336"/>
      <c r="T36" s="336"/>
      <c r="U36" s="336"/>
      <c r="V36" s="336"/>
      <c r="W36" s="336"/>
    </row>
    <row r="37" spans="1:23">
      <c r="A37" t="s">
        <v>936</v>
      </c>
      <c r="B37" s="9" t="s">
        <v>937</v>
      </c>
      <c r="C37" s="66">
        <f>38.21*(C26/$C$23)^1.053</f>
        <v>36749915.596079409</v>
      </c>
      <c r="D37" s="66">
        <f>38.21*(D26/$C$23)^1.053</f>
        <v>21084510.081792824</v>
      </c>
      <c r="E37" s="66">
        <f>38.21*(E26/$C$23)^1.053</f>
        <v>0</v>
      </c>
      <c r="F37" s="66">
        <f>38.21*(F26/$C$23)^1.053</f>
        <v>276622964.38148206</v>
      </c>
      <c r="G37" s="170"/>
      <c r="H37" t="s">
        <v>938</v>
      </c>
      <c r="P37" s="336"/>
      <c r="Q37" s="336"/>
      <c r="R37" s="336"/>
      <c r="S37" s="336"/>
      <c r="T37" s="336"/>
      <c r="U37" s="336"/>
      <c r="V37" s="336"/>
      <c r="W37" s="336"/>
    </row>
    <row r="38" spans="1:23">
      <c r="A38" t="s">
        <v>939</v>
      </c>
      <c r="B38" s="9" t="s">
        <v>940</v>
      </c>
      <c r="C38" s="66">
        <f>MIN(C36:C37)</f>
        <v>23203095.49154222</v>
      </c>
      <c r="D38" s="66">
        <f>MIN(D36:D37)</f>
        <v>13689826.340009909</v>
      </c>
      <c r="E38" s="66">
        <f>MIN(E36:E37)</f>
        <v>0</v>
      </c>
      <c r="F38" s="66">
        <f>MIN(F36:F37)</f>
        <v>157781049.34248707</v>
      </c>
      <c r="G38" s="170"/>
      <c r="H38" t="s">
        <v>941</v>
      </c>
      <c r="P38" s="336"/>
      <c r="Q38" s="336"/>
      <c r="R38" s="336"/>
      <c r="S38" s="336"/>
      <c r="T38" s="336"/>
      <c r="U38" s="336"/>
      <c r="V38" s="336"/>
      <c r="W38" s="336"/>
    </row>
    <row r="39" spans="1:23">
      <c r="A39" t="s">
        <v>942</v>
      </c>
      <c r="B39" s="9" t="s">
        <v>943</v>
      </c>
      <c r="C39" s="5">
        <v>0.3</v>
      </c>
      <c r="D39" s="5">
        <v>0.4</v>
      </c>
      <c r="E39" s="5">
        <v>0.4</v>
      </c>
      <c r="F39" s="5">
        <v>0.4</v>
      </c>
      <c r="G39" s="170"/>
      <c r="H39" t="s">
        <v>944</v>
      </c>
      <c r="P39" s="336"/>
      <c r="Q39" s="336"/>
      <c r="R39" s="336"/>
      <c r="S39" s="336"/>
      <c r="T39" s="336"/>
      <c r="U39" s="336"/>
      <c r="V39" s="336"/>
      <c r="W39" s="336"/>
    </row>
    <row r="40" spans="1:23">
      <c r="A40" t="s">
        <v>945</v>
      </c>
      <c r="B40" s="9" t="s">
        <v>943</v>
      </c>
      <c r="C40" s="5">
        <v>0.6</v>
      </c>
      <c r="D40" s="5">
        <v>0.6</v>
      </c>
      <c r="E40" s="5">
        <v>0.6</v>
      </c>
      <c r="F40" s="5">
        <v>0.6</v>
      </c>
      <c r="G40" s="170"/>
      <c r="H40" t="s">
        <v>944</v>
      </c>
      <c r="P40" s="336"/>
      <c r="Q40" s="336"/>
      <c r="R40" s="336"/>
      <c r="S40" s="336"/>
      <c r="T40" s="336"/>
      <c r="U40" s="336"/>
      <c r="V40" s="336"/>
      <c r="W40" s="336"/>
    </row>
    <row r="41" spans="1:23">
      <c r="A41" t="s">
        <v>946</v>
      </c>
      <c r="B41" s="9" t="s">
        <v>947</v>
      </c>
      <c r="C41" s="66">
        <f>36.9*C39^0.625*(1/C$38)^0.375</f>
        <v>3.0070969323234189E-2</v>
      </c>
      <c r="D41" s="66">
        <f>36.9*D39^0.625*(1/D$38)^0.375</f>
        <v>4.3869696877956194E-2</v>
      </c>
      <c r="E41" s="66"/>
      <c r="F41" s="66">
        <f>36.9*F39^0.625*(1/F$38)^0.375</f>
        <v>1.7540553585327485E-2</v>
      </c>
      <c r="G41" s="170"/>
      <c r="H41" t="s">
        <v>948</v>
      </c>
    </row>
    <row r="42" spans="1:23">
      <c r="A42" t="s">
        <v>949</v>
      </c>
      <c r="B42" s="9" t="s">
        <v>947</v>
      </c>
      <c r="C42" s="66">
        <f>36.9*C40^0.625*(1/C$38)^0.375</f>
        <v>4.6375774420801881E-2</v>
      </c>
      <c r="D42" s="66">
        <f>36.9*D40^0.625*(1/D$38)^0.375</f>
        <v>5.6522540085860259E-2</v>
      </c>
      <c r="E42" s="66"/>
      <c r="F42" s="66">
        <f>36.9*F40^0.625*(1/F$38)^0.375</f>
        <v>2.2599578153297738E-2</v>
      </c>
      <c r="G42" s="170"/>
      <c r="H42" t="s">
        <v>948</v>
      </c>
    </row>
    <row r="43" spans="1:23">
      <c r="A43" t="s">
        <v>950</v>
      </c>
      <c r="B43" s="9" t="s">
        <v>951</v>
      </c>
      <c r="C43" s="66">
        <f>(0.074/C$38^0.2)*(1-(C39-C41))^0.8</f>
        <v>1.9355954734048518E-3</v>
      </c>
      <c r="D43" s="66">
        <f>(0.074/D$38^0.2)*(1-(D39-D41))^0.8</f>
        <v>1.9453176207384602E-3</v>
      </c>
      <c r="E43" s="66"/>
      <c r="F43" s="66">
        <f>(0.074/F$38^0.2)*(1-(F39-F41))^0.8</f>
        <v>1.1538600523030053E-3</v>
      </c>
      <c r="G43" s="170"/>
      <c r="H43" t="s">
        <v>952</v>
      </c>
    </row>
    <row r="44" spans="1:23">
      <c r="A44" t="s">
        <v>953</v>
      </c>
      <c r="B44" s="9" t="s">
        <v>954</v>
      </c>
      <c r="C44" s="66">
        <f>(0.074/C$38^0.2)*(1-(C40-C42))^0.8</f>
        <v>1.3058191328367513E-3</v>
      </c>
      <c r="D44" s="66">
        <f>(0.074/D$38^0.2)*(1-(D40-D42))^0.8</f>
        <v>1.4774810246908061E-3</v>
      </c>
      <c r="E44" s="66"/>
      <c r="F44" s="66">
        <f>(0.074/F$38^0.2)*(1-(F40-F42))^0.8</f>
        <v>8.5185170908941212E-4</v>
      </c>
      <c r="G44" s="170"/>
      <c r="H44" t="s">
        <v>952</v>
      </c>
    </row>
    <row r="45" spans="1:23">
      <c r="A45" t="s">
        <v>955</v>
      </c>
      <c r="B45" s="9" t="s">
        <v>956</v>
      </c>
      <c r="C45" s="66">
        <f>AVERAGE(C43:C44)</f>
        <v>1.6207073031208016E-3</v>
      </c>
      <c r="D45" s="66">
        <f>AVERAGE(D43:D44)</f>
        <v>1.7113993227146332E-3</v>
      </c>
      <c r="E45" s="66"/>
      <c r="F45" s="66">
        <f>AVERAGE(F43:F44)</f>
        <v>1.0028558806962086E-3</v>
      </c>
      <c r="G45" s="170"/>
      <c r="H45" t="s">
        <v>957</v>
      </c>
      <c r="Q45" t="s">
        <v>958</v>
      </c>
      <c r="R45" t="s">
        <v>959</v>
      </c>
      <c r="S45" t="s">
        <v>960</v>
      </c>
      <c r="T45" t="s">
        <v>961</v>
      </c>
    </row>
    <row r="47" spans="1:23">
      <c r="A47" s="309" t="s">
        <v>962</v>
      </c>
      <c r="B47" s="309"/>
      <c r="C47" s="309"/>
      <c r="D47" s="309"/>
      <c r="E47" s="309"/>
      <c r="F47" s="309"/>
      <c r="G47" s="309"/>
      <c r="H47" s="309"/>
      <c r="I47" s="309"/>
      <c r="J47" s="309"/>
      <c r="K47" s="309"/>
    </row>
    <row r="48" spans="1:23">
      <c r="A48" s="7" t="s">
        <v>860</v>
      </c>
      <c r="B48" s="17" t="s">
        <v>861</v>
      </c>
      <c r="C48" s="8" t="s">
        <v>963</v>
      </c>
      <c r="D48" s="8" t="s">
        <v>898</v>
      </c>
      <c r="E48" s="8" t="s">
        <v>899</v>
      </c>
      <c r="F48" s="8" t="s">
        <v>900</v>
      </c>
      <c r="G48" s="7" t="s">
        <v>192</v>
      </c>
      <c r="H48" s="7" t="s">
        <v>193</v>
      </c>
    </row>
    <row r="49" spans="1:8">
      <c r="A49" t="s">
        <v>964</v>
      </c>
      <c r="B49" s="9" t="s">
        <v>965</v>
      </c>
      <c r="C49" s="66">
        <f>$C$8*C27/$C$15</f>
        <v>8817176.2867860422</v>
      </c>
      <c r="D49" s="66">
        <f>$C$8*D27/$C$15</f>
        <v>9977331.0613631532</v>
      </c>
      <c r="E49" s="66">
        <f>$C$8*E27/$C$15</f>
        <v>0</v>
      </c>
      <c r="F49" s="66">
        <f>$C$8*F27/$C$15</f>
        <v>157781049.34248707</v>
      </c>
      <c r="G49" s="170"/>
      <c r="H49" t="s">
        <v>966</v>
      </c>
    </row>
    <row r="50" spans="1:8">
      <c r="A50" t="s">
        <v>936</v>
      </c>
      <c r="B50" s="9" t="s">
        <v>967</v>
      </c>
      <c r="C50" s="66">
        <f>38.21*(C27/$C$23)^1.053</f>
        <v>13266869.988846721</v>
      </c>
      <c r="D50" s="66">
        <f>38.21*(D27/$C$23)^1.053</f>
        <v>15111188.72999982</v>
      </c>
      <c r="E50" s="66">
        <f>38.21*(E27/$C$23)^1.053</f>
        <v>0</v>
      </c>
      <c r="F50" s="66">
        <f>38.21*(F27/$C$23)^1.053</f>
        <v>276622964.38148206</v>
      </c>
      <c r="G50" s="170"/>
    </row>
    <row r="51" spans="1:8">
      <c r="A51" t="s">
        <v>968</v>
      </c>
      <c r="B51" s="9" t="s">
        <v>969</v>
      </c>
      <c r="C51" s="66">
        <f>MIN(C49:C50)</f>
        <v>8817176.2867860422</v>
      </c>
      <c r="D51" s="66">
        <f>MIN(D49:D50)</f>
        <v>9977331.0613631532</v>
      </c>
      <c r="E51" s="66">
        <f>MIN(E49:E50)</f>
        <v>0</v>
      </c>
      <c r="F51" s="66">
        <f>MIN(F49:F50)</f>
        <v>157781049.34248707</v>
      </c>
      <c r="G51" s="170"/>
    </row>
    <row r="52" spans="1:8">
      <c r="A52" t="s">
        <v>942</v>
      </c>
      <c r="B52" s="9" t="s">
        <v>970</v>
      </c>
      <c r="C52" s="5">
        <f t="shared" ref="C52:F53" si="3">C39</f>
        <v>0.3</v>
      </c>
      <c r="D52" s="5">
        <f t="shared" si="3"/>
        <v>0.4</v>
      </c>
      <c r="E52" s="5">
        <f t="shared" si="3"/>
        <v>0.4</v>
      </c>
      <c r="F52" s="5">
        <f t="shared" si="3"/>
        <v>0.4</v>
      </c>
      <c r="G52" s="170"/>
    </row>
    <row r="53" spans="1:8">
      <c r="A53" t="s">
        <v>945</v>
      </c>
      <c r="B53" s="9" t="s">
        <v>970</v>
      </c>
      <c r="C53" s="5">
        <f t="shared" si="3"/>
        <v>0.6</v>
      </c>
      <c r="D53" s="5">
        <f t="shared" si="3"/>
        <v>0.6</v>
      </c>
      <c r="E53" s="5">
        <f t="shared" si="3"/>
        <v>0.6</v>
      </c>
      <c r="F53" s="5">
        <f t="shared" si="3"/>
        <v>0.6</v>
      </c>
      <c r="G53" s="170"/>
    </row>
    <row r="54" spans="1:8">
      <c r="A54" t="s">
        <v>946</v>
      </c>
      <c r="B54" s="9" t="s">
        <v>971</v>
      </c>
      <c r="C54" s="66">
        <f>36.9*C52^0.625*(1/C$51)^0.375</f>
        <v>4.3224360720715956E-2</v>
      </c>
      <c r="D54" s="66">
        <f>36.9*D52^0.625*(1/D$51)^0.375</f>
        <v>4.9395054294294076E-2</v>
      </c>
      <c r="E54" s="66"/>
      <c r="F54" s="66">
        <f>36.9*F52^0.625*(1/F$51)^0.375</f>
        <v>1.7540553585327485E-2</v>
      </c>
      <c r="G54" s="170"/>
    </row>
    <row r="55" spans="1:8">
      <c r="A55" t="s">
        <v>972</v>
      </c>
      <c r="B55" s="9" t="s">
        <v>971</v>
      </c>
      <c r="C55" s="66">
        <f>36.9*C53^0.625*(1/C$51)^0.375</f>
        <v>6.6661077024825946E-2</v>
      </c>
      <c r="D55" s="66">
        <f>36.9*D53^0.625*(1/D$51)^0.375</f>
        <v>6.3641514190525036E-2</v>
      </c>
      <c r="E55" s="66"/>
      <c r="F55" s="66">
        <f>36.9*F53^0.625*(1/F$51)^0.375</f>
        <v>2.2599578153297738E-2</v>
      </c>
      <c r="G55" s="170"/>
    </row>
    <row r="56" spans="1:8">
      <c r="A56" t="s">
        <v>973</v>
      </c>
      <c r="B56" s="9" t="s">
        <v>974</v>
      </c>
      <c r="C56" s="66">
        <f>(0.074/C$51^0.2)*(1-(C52-C54))^0.8</f>
        <v>2.3826582985467448E-3</v>
      </c>
      <c r="D56" s="66">
        <f>(0.074/D$51^0.2)*(1-(D52-D54))^0.8</f>
        <v>2.0865847287978695E-3</v>
      </c>
      <c r="E56" s="66"/>
      <c r="F56" s="66">
        <f>(0.074/F$51^0.2)*(1-(F52-F54))^0.8</f>
        <v>1.1538600523030053E-3</v>
      </c>
      <c r="G56" s="170"/>
    </row>
    <row r="57" spans="1:8">
      <c r="A57" t="s">
        <v>975</v>
      </c>
      <c r="B57" s="9" t="s">
        <v>976</v>
      </c>
      <c r="C57" s="66">
        <f>(0.074/C$51^0.2)*(1-(C53-C55))^0.8</f>
        <v>1.6419770329632718E-3</v>
      </c>
      <c r="D57" s="66">
        <f>(0.074/D$51^0.2)*(1-(D53-D55))^0.8</f>
        <v>1.5935830271709293E-3</v>
      </c>
      <c r="E57" s="66"/>
      <c r="F57" s="66">
        <f>(0.074/F$51^0.2)*(1-(F53-F55))^0.8</f>
        <v>8.5185170908941212E-4</v>
      </c>
      <c r="G57" s="170"/>
    </row>
    <row r="58" spans="1:8">
      <c r="A58" t="s">
        <v>955</v>
      </c>
      <c r="B58" s="9" t="s">
        <v>977</v>
      </c>
      <c r="C58" s="66">
        <f>AVERAGE(C56:C57)</f>
        <v>2.0123176657550084E-3</v>
      </c>
      <c r="D58" s="66">
        <f>AVERAGE(D56:D57)</f>
        <v>1.8400838779843993E-3</v>
      </c>
      <c r="E58" s="66"/>
      <c r="F58" s="66">
        <f>AVERAGE(F56:F57)</f>
        <v>1.0028558806962086E-3</v>
      </c>
      <c r="G58" s="170"/>
    </row>
    <row r="59" spans="1:8">
      <c r="G59" s="170"/>
    </row>
    <row r="60" spans="1:8">
      <c r="G60" s="170"/>
    </row>
    <row r="61" spans="1:8">
      <c r="A61" s="309" t="s">
        <v>978</v>
      </c>
      <c r="B61" s="309"/>
      <c r="C61" s="12" t="s">
        <v>979</v>
      </c>
      <c r="D61" s="12" t="s">
        <v>898</v>
      </c>
      <c r="E61" s="12" t="s">
        <v>899</v>
      </c>
      <c r="F61" s="12" t="s">
        <v>980</v>
      </c>
      <c r="G61" s="170"/>
    </row>
    <row r="62" spans="1:8">
      <c r="A62" t="s">
        <v>981</v>
      </c>
      <c r="B62" s="9" t="s">
        <v>923</v>
      </c>
      <c r="C62" s="65">
        <f>C29</f>
        <v>1018.8540000000002</v>
      </c>
      <c r="D62" s="65">
        <f>D29</f>
        <v>445.73183058875213</v>
      </c>
      <c r="E62" s="65">
        <f>E29</f>
        <v>0</v>
      </c>
      <c r="F62" s="65">
        <f>F29</f>
        <v>549.5101284139937</v>
      </c>
      <c r="G62" s="170"/>
    </row>
    <row r="63" spans="1:8">
      <c r="A63" t="s">
        <v>982</v>
      </c>
      <c r="B63" s="9" t="s">
        <v>983</v>
      </c>
      <c r="C63" s="66">
        <f>AVERAGE(C45,C58)</f>
        <v>1.8165124844379049E-3</v>
      </c>
      <c r="D63" s="66">
        <f>AVERAGE(D45,D58)</f>
        <v>1.7757416003495161E-3</v>
      </c>
      <c r="E63" s="66"/>
      <c r="F63" s="66">
        <f>AVERAGE(F45,F58)</f>
        <v>1.0028558806962086E-3</v>
      </c>
      <c r="G63" s="171"/>
    </row>
    <row r="64" spans="1:8">
      <c r="A64" t="s">
        <v>984</v>
      </c>
      <c r="B64" s="9" t="s">
        <v>985</v>
      </c>
      <c r="C64" s="66">
        <f>C63*C62/C19</f>
        <v>3.8873367166971169E-3</v>
      </c>
      <c r="D64" s="66">
        <f>D63*D62/D19</f>
        <v>3.6580276967200032E-3</v>
      </c>
      <c r="E64" s="66"/>
      <c r="F64" s="66">
        <f>F63*F62/F19</f>
        <v>1.143487707487637E-2</v>
      </c>
      <c r="G64" s="170"/>
    </row>
    <row r="65" spans="1:8">
      <c r="A65" t="s">
        <v>986</v>
      </c>
      <c r="B65" s="9" t="s">
        <v>987</v>
      </c>
      <c r="C65" s="116">
        <f>0.5*$C$12*$C$8^2*C63*C62</f>
        <v>391.79532818289761</v>
      </c>
      <c r="D65" s="116">
        <f>0.5*$C$12*$C$8^2*D63*D62</f>
        <v>167.55690483477625</v>
      </c>
      <c r="E65" s="116"/>
      <c r="F65" s="116">
        <f>0.5*$C$12*$C$8^2*F63*F62</f>
        <v>116.66031330093841</v>
      </c>
      <c r="G65" s="170" t="s">
        <v>14</v>
      </c>
      <c r="H65" t="s">
        <v>988</v>
      </c>
    </row>
    <row r="66" spans="1:8">
      <c r="A66" t="s">
        <v>989</v>
      </c>
      <c r="B66" s="9" t="s">
        <v>987</v>
      </c>
      <c r="C66" s="116">
        <f>0.5*$C$12*$C$8^2*C64*C19</f>
        <v>391.79532818289766</v>
      </c>
      <c r="D66" s="116">
        <f>0.5*$C$12*$C$8^2*D64*D19</f>
        <v>167.55690483477625</v>
      </c>
      <c r="E66" s="116"/>
      <c r="F66" s="116">
        <f>0.5*$C$12*$C$8^2*F64*F19</f>
        <v>116.66031330093843</v>
      </c>
      <c r="G66" s="170" t="s">
        <v>14</v>
      </c>
      <c r="H66" t="s">
        <v>990</v>
      </c>
    </row>
    <row r="67" spans="1:8">
      <c r="G67" s="170"/>
    </row>
    <row r="68" spans="1:8">
      <c r="A68" t="s">
        <v>991</v>
      </c>
      <c r="B68" s="9" t="s">
        <v>992</v>
      </c>
      <c r="C68" s="66">
        <f>SUM(C64:F64)</f>
        <v>1.8980241488293491E-2</v>
      </c>
      <c r="G68" s="170"/>
    </row>
    <row r="69" spans="1:8">
      <c r="A69" t="s">
        <v>993</v>
      </c>
      <c r="B69" s="9" t="s">
        <v>994</v>
      </c>
      <c r="C69" s="65">
        <f>SUM(C66:F66)</f>
        <v>676.01254631861241</v>
      </c>
      <c r="G69" s="170" t="s">
        <v>324</v>
      </c>
    </row>
    <row r="70" spans="1:8">
      <c r="G70" s="170"/>
    </row>
    <row r="71" spans="1:8">
      <c r="G71" s="170"/>
    </row>
    <row r="72" spans="1:8">
      <c r="A72" s="309" t="s">
        <v>995</v>
      </c>
      <c r="B72" s="309"/>
      <c r="C72" s="12" t="s">
        <v>979</v>
      </c>
      <c r="D72" s="12" t="s">
        <v>898</v>
      </c>
      <c r="E72" s="12" t="s">
        <v>899</v>
      </c>
      <c r="F72" s="12" t="s">
        <v>980</v>
      </c>
      <c r="G72" s="170"/>
    </row>
    <row r="73" spans="1:8">
      <c r="A73" t="s">
        <v>996</v>
      </c>
      <c r="B73" s="9" t="s">
        <v>997</v>
      </c>
      <c r="C73" s="5">
        <v>0.309</v>
      </c>
      <c r="D73" s="5">
        <v>0.309</v>
      </c>
      <c r="E73" s="5">
        <v>0.309</v>
      </c>
      <c r="F73" s="5">
        <f>15/52</f>
        <v>0.28846153846153844</v>
      </c>
      <c r="G73" s="170"/>
    </row>
    <row r="74" spans="1:8">
      <c r="A74" t="s">
        <v>998</v>
      </c>
      <c r="B74" s="9" t="s">
        <v>999</v>
      </c>
      <c r="C74" s="5">
        <v>0.15</v>
      </c>
      <c r="D74" s="5">
        <v>0.09</v>
      </c>
      <c r="E74" s="5">
        <v>0.09</v>
      </c>
      <c r="F74" s="5">
        <f>F24/52</f>
        <v>0.15064096153846154</v>
      </c>
      <c r="G74" s="170"/>
    </row>
    <row r="75" spans="1:8">
      <c r="A75" t="s">
        <v>1000</v>
      </c>
      <c r="B75" s="10" t="s">
        <v>1001</v>
      </c>
      <c r="C75" s="63">
        <f>General!C33</f>
        <v>0.17413833337751999</v>
      </c>
      <c r="D75" s="63">
        <f>General!C52</f>
        <v>0.52336267330928932</v>
      </c>
      <c r="E75" s="63">
        <f>General!C52</f>
        <v>0.52336267330928932</v>
      </c>
      <c r="F75" s="5">
        <f>PI()</f>
        <v>3.1415926535897931</v>
      </c>
      <c r="G75" s="170" t="s">
        <v>56</v>
      </c>
    </row>
    <row r="76" spans="1:8">
      <c r="B76" s="10" t="s">
        <v>1001</v>
      </c>
      <c r="C76" s="63">
        <f>C75*180/PI()</f>
        <v>9.9773915539740088</v>
      </c>
      <c r="D76" s="63">
        <f>DEGREES(D75)</f>
        <v>29.986472335306374</v>
      </c>
      <c r="E76" s="63">
        <f>DEGREES(E75)</f>
        <v>29.986472335306374</v>
      </c>
      <c r="F76" s="5">
        <v>180</v>
      </c>
      <c r="G76" s="175" t="s">
        <v>59</v>
      </c>
    </row>
    <row r="77" spans="1:8">
      <c r="A77" t="s">
        <v>1002</v>
      </c>
      <c r="B77" s="9" t="s">
        <v>1003</v>
      </c>
      <c r="C77" s="16"/>
      <c r="D77" s="16"/>
      <c r="E77" s="16"/>
      <c r="F77" s="47">
        <f>General!C79</f>
        <v>68</v>
      </c>
      <c r="G77" s="170" t="s">
        <v>66</v>
      </c>
    </row>
    <row r="78" spans="1:8">
      <c r="A78" t="s">
        <v>1004</v>
      </c>
      <c r="B78" s="9" t="s">
        <v>1005</v>
      </c>
      <c r="C78" s="16"/>
      <c r="D78" s="16"/>
      <c r="E78" s="16"/>
      <c r="F78" s="6">
        <f>General!C78</f>
        <v>7.8333300000000001</v>
      </c>
      <c r="G78" s="170" t="s">
        <v>462</v>
      </c>
    </row>
    <row r="79" spans="1:8">
      <c r="A79" t="s">
        <v>1006</v>
      </c>
      <c r="B79" s="9" t="s">
        <v>1007</v>
      </c>
      <c r="C79" s="16"/>
      <c r="D79" s="16"/>
      <c r="E79" s="16"/>
      <c r="F79" s="6">
        <f>F77/F78</f>
        <v>8.6808547578105344</v>
      </c>
      <c r="G79" s="170"/>
    </row>
    <row r="80" spans="1:8">
      <c r="A80" t="s">
        <v>1008</v>
      </c>
      <c r="B80" s="9" t="s">
        <v>1009</v>
      </c>
      <c r="C80" s="47">
        <f>(1+(0.6/C73)*C74+100*(C74^4))*1.34*$C9^0.18*COS(RADIANS(C75))^0.28</f>
        <v>1.5889821678001697</v>
      </c>
      <c r="D80" s="47">
        <f>(1+(0.6/D73)*D74+100*(D74^4))*1.34*$C9^0.18*COS(RADIANS(D75))^0.28</f>
        <v>1.3988316410363433</v>
      </c>
      <c r="E80" s="47">
        <f>(1+(0.6/E73)*E74+100*(E74^4))*1.34*$C9^0.18*COS(RADIANS(E75))^0.28</f>
        <v>1.3988316410363433</v>
      </c>
      <c r="F80" s="47">
        <f>1+60/F79^3+F79/400</f>
        <v>1.1134220808110844</v>
      </c>
      <c r="G80" s="170"/>
    </row>
    <row r="81" spans="1:18">
      <c r="A81" t="s">
        <v>1010</v>
      </c>
      <c r="B81" s="9" t="s">
        <v>1011</v>
      </c>
      <c r="C81" s="63">
        <v>1.1000000000000001</v>
      </c>
      <c r="D81" s="63">
        <v>1.03</v>
      </c>
      <c r="E81" s="63">
        <v>1.03</v>
      </c>
      <c r="F81" s="63">
        <v>1</v>
      </c>
      <c r="G81" s="170"/>
    </row>
    <row r="82" spans="1:18">
      <c r="A82" t="s">
        <v>1012</v>
      </c>
      <c r="B82" s="9" t="s">
        <v>923</v>
      </c>
      <c r="C82" s="65">
        <f>C29</f>
        <v>1018.8540000000002</v>
      </c>
      <c r="D82" s="65">
        <f>D29</f>
        <v>445.73183058875213</v>
      </c>
      <c r="E82" s="65">
        <f>E29</f>
        <v>0</v>
      </c>
      <c r="F82" s="65">
        <f>F29</f>
        <v>549.5101284139937</v>
      </c>
      <c r="G82" s="170"/>
    </row>
    <row r="83" spans="1:18">
      <c r="A83" t="s">
        <v>1013</v>
      </c>
      <c r="B83" s="9" t="s">
        <v>1014</v>
      </c>
      <c r="C83" s="65">
        <f>C63*C82*C81*C80</f>
        <v>3.234908867357198</v>
      </c>
      <c r="D83" s="65">
        <f>D63*D82*D81*D80</f>
        <v>1.1403970628384881</v>
      </c>
      <c r="E83" s="65">
        <f>E63*E82*E81*E80</f>
        <v>0</v>
      </c>
      <c r="F83" s="65">
        <f>F63*F82*F81*F80</f>
        <v>0.61358404325652505</v>
      </c>
      <c r="G83" s="170"/>
    </row>
    <row r="84" spans="1:18">
      <c r="A84" t="s">
        <v>1015</v>
      </c>
      <c r="B84" s="9" t="s">
        <v>1016</v>
      </c>
      <c r="C84" s="66">
        <f>(1/C31)*SUM(C83:F83)</f>
        <v>6.7356671077192379E-3</v>
      </c>
      <c r="D84" s="98"/>
      <c r="E84" s="98"/>
      <c r="F84" s="98"/>
      <c r="G84" s="170"/>
    </row>
    <row r="85" spans="1:18">
      <c r="C85" s="117"/>
      <c r="D85" s="98"/>
      <c r="E85" s="98"/>
      <c r="F85" s="98"/>
      <c r="G85" s="170"/>
    </row>
    <row r="86" spans="1:18">
      <c r="A86" s="148" t="s">
        <v>1017</v>
      </c>
      <c r="B86" s="149" t="s">
        <v>1018</v>
      </c>
      <c r="C86" s="150">
        <f>C63*C80*C81*C82/C19</f>
        <v>6.7945995953732369E-3</v>
      </c>
      <c r="D86" s="150">
        <f>D63*D80*D81*D82/D19</f>
        <v>5.2704738325380146E-3</v>
      </c>
      <c r="E86" s="150"/>
      <c r="F86" s="150">
        <f>F63*F80*F81*F82/F19</f>
        <v>1.2731844626527815E-2</v>
      </c>
      <c r="G86" s="170"/>
    </row>
    <row r="87" spans="1:18">
      <c r="A87" s="148" t="s">
        <v>1019</v>
      </c>
      <c r="B87" s="149" t="s">
        <v>1018</v>
      </c>
      <c r="C87" s="151">
        <f>(0.75/C62+0.005)</f>
        <v>5.7361211714337876E-3</v>
      </c>
      <c r="D87" s="151">
        <f>(0/D62+0.005)</f>
        <v>5.0000000000000001E-3</v>
      </c>
      <c r="E87" s="151"/>
      <c r="F87" s="151">
        <f>(0.25/F62+0.005)</f>
        <v>5.4549506680096225E-3</v>
      </c>
      <c r="G87" s="170"/>
    </row>
    <row r="89" spans="1:18">
      <c r="A89" s="7" t="s">
        <v>860</v>
      </c>
      <c r="B89" s="17" t="s">
        <v>861</v>
      </c>
      <c r="C89" s="7" t="s">
        <v>191</v>
      </c>
      <c r="D89" s="7" t="s">
        <v>862</v>
      </c>
      <c r="E89" s="7" t="s">
        <v>193</v>
      </c>
    </row>
    <row r="90" spans="1:18">
      <c r="A90" s="7" t="s">
        <v>1020</v>
      </c>
      <c r="B90" s="17" t="s">
        <v>434</v>
      </c>
      <c r="C90" s="145">
        <f>'Lift (new)'!C41^2/(PI()*Lift!C23*General!C24)</f>
        <v>2.1142736271387631E-3</v>
      </c>
      <c r="D90" s="170"/>
      <c r="E90" t="s">
        <v>1021</v>
      </c>
      <c r="F90" t="s">
        <v>1022</v>
      </c>
    </row>
    <row r="91" spans="1:18">
      <c r="A91" s="22" t="s">
        <v>1023</v>
      </c>
      <c r="B91" s="114" t="s">
        <v>1024</v>
      </c>
      <c r="C91" s="152">
        <v>2E-3</v>
      </c>
      <c r="D91" s="170"/>
      <c r="E91" t="s">
        <v>1025</v>
      </c>
    </row>
    <row r="92" spans="1:18">
      <c r="A92" t="s">
        <v>1026</v>
      </c>
      <c r="B92" s="9" t="s">
        <v>1027</v>
      </c>
      <c r="C92" s="5">
        <f>0.002+0.002</f>
        <v>4.0000000000000001E-3</v>
      </c>
      <c r="D92" s="170"/>
      <c r="E92" t="s">
        <v>1028</v>
      </c>
    </row>
    <row r="93" spans="1:18">
      <c r="A93" t="s">
        <v>1029</v>
      </c>
      <c r="B93" s="9" t="s">
        <v>1030</v>
      </c>
      <c r="C93" s="5">
        <f>0.002</f>
        <v>2E-3</v>
      </c>
      <c r="D93" s="170"/>
      <c r="E93" t="s">
        <v>1028</v>
      </c>
      <c r="K93" t="s">
        <v>1031</v>
      </c>
      <c r="L93" t="s">
        <v>1032</v>
      </c>
      <c r="M93" t="s">
        <v>1033</v>
      </c>
      <c r="N93" t="s">
        <v>1034</v>
      </c>
    </row>
    <row r="94" spans="1:18">
      <c r="A94" t="s">
        <v>1035</v>
      </c>
      <c r="B94" s="9" t="s">
        <v>1036</v>
      </c>
      <c r="C94" s="118">
        <v>0.25</v>
      </c>
      <c r="D94" s="170"/>
      <c r="E94" t="s">
        <v>1028</v>
      </c>
      <c r="K94">
        <v>-0.5</v>
      </c>
      <c r="L94">
        <f t="shared" ref="L94:L109" si="4">K94^2</f>
        <v>0.25</v>
      </c>
      <c r="M94" s="31">
        <f t="shared" ref="M94:M109" si="5">$C$95+N94+$C$91</f>
        <v>2.6753199810372982E-2</v>
      </c>
      <c r="N94">
        <f>K94^2/(PI()*Lift!$C$23*General!$C$24)</f>
        <v>1.0517532702653744E-2</v>
      </c>
    </row>
    <row r="95" spans="1:18">
      <c r="A95" s="7" t="s">
        <v>1037</v>
      </c>
      <c r="B95" s="17" t="s">
        <v>1038</v>
      </c>
      <c r="C95" s="145">
        <f>SUM(C92:C93)*(1+C94)+C84</f>
        <v>1.4235667107719237E-2</v>
      </c>
      <c r="D95" s="170"/>
      <c r="E95" s="117" t="s">
        <v>1039</v>
      </c>
      <c r="K95">
        <v>-0.4</v>
      </c>
      <c r="L95">
        <f t="shared" si="4"/>
        <v>0.16000000000000003</v>
      </c>
      <c r="M95" s="31">
        <f t="shared" si="5"/>
        <v>2.2966888037417636E-2</v>
      </c>
      <c r="N95">
        <f>K95^2/(PI()*Lift!$C$23*General!$C$24)</f>
        <v>6.7312209296983977E-3</v>
      </c>
      <c r="O95" s="117"/>
      <c r="P95" s="117"/>
      <c r="Q95" s="117"/>
      <c r="R95" s="117"/>
    </row>
    <row r="96" spans="1:18">
      <c r="A96" s="7"/>
      <c r="B96" s="17"/>
      <c r="C96" s="153"/>
      <c r="D96" s="170"/>
      <c r="E96" s="117"/>
      <c r="K96">
        <v>-0.3</v>
      </c>
      <c r="L96">
        <f t="shared" si="4"/>
        <v>0.09</v>
      </c>
      <c r="M96" s="31">
        <f t="shared" si="5"/>
        <v>2.0021978880674585E-2</v>
      </c>
      <c r="N96">
        <f>K96^2/(PI()*Lift!$C$23*General!$C$24)</f>
        <v>3.7863117729553478E-3</v>
      </c>
      <c r="O96" s="117"/>
      <c r="P96" s="117"/>
      <c r="Q96" s="117"/>
      <c r="R96" s="117"/>
    </row>
    <row r="97" spans="1:21">
      <c r="A97" s="309" t="s">
        <v>1040</v>
      </c>
      <c r="B97" s="309"/>
      <c r="C97" s="309"/>
      <c r="D97" s="309"/>
      <c r="E97" s="309"/>
      <c r="F97" s="309"/>
      <c r="K97">
        <v>0</v>
      </c>
      <c r="L97">
        <f t="shared" si="4"/>
        <v>0</v>
      </c>
      <c r="M97" s="31">
        <f t="shared" si="5"/>
        <v>1.6235667107719239E-2</v>
      </c>
      <c r="N97">
        <f>K97^2/(PI()*Lift!$C$23*General!$C$24)</f>
        <v>0</v>
      </c>
      <c r="O97" s="117"/>
      <c r="P97" s="117"/>
      <c r="Q97" s="117"/>
      <c r="R97" s="117"/>
    </row>
    <row r="98" spans="1:21">
      <c r="A98" s="7" t="s">
        <v>1041</v>
      </c>
      <c r="B98" s="17" t="s">
        <v>437</v>
      </c>
      <c r="C98" s="145">
        <f>C95+C90+C91</f>
        <v>1.8349940734858003E-2</v>
      </c>
      <c r="D98" s="170"/>
      <c r="E98" t="s">
        <v>1042</v>
      </c>
      <c r="K98">
        <v>-0.2</v>
      </c>
      <c r="L98">
        <f t="shared" si="4"/>
        <v>4.0000000000000008E-2</v>
      </c>
      <c r="M98" s="31">
        <f t="shared" si="5"/>
        <v>1.7918472340143834E-2</v>
      </c>
      <c r="N98">
        <f>K98^2/(PI()*Lift!$C$23*General!$C$24)</f>
        <v>1.6828052324245994E-3</v>
      </c>
      <c r="O98" s="117"/>
      <c r="P98" s="117"/>
      <c r="Q98" s="117"/>
      <c r="R98" s="117"/>
    </row>
    <row r="99" spans="1:21">
      <c r="A99" s="7" t="s">
        <v>1043</v>
      </c>
      <c r="B99" s="17" t="s">
        <v>1044</v>
      </c>
      <c r="C99" s="168">
        <f>C98*10^4</f>
        <v>183.49940734858004</v>
      </c>
      <c r="D99" s="170"/>
      <c r="E99" t="s">
        <v>1045</v>
      </c>
      <c r="K99">
        <v>-0.1</v>
      </c>
      <c r="L99">
        <f t="shared" si="4"/>
        <v>1.0000000000000002E-2</v>
      </c>
      <c r="M99" s="31">
        <f t="shared" si="5"/>
        <v>1.6656368415825386E-2</v>
      </c>
      <c r="N99">
        <f>K99^2/(PI()*Lift!$C$23*General!$C$24)</f>
        <v>4.2070130810614986E-4</v>
      </c>
      <c r="O99" s="117"/>
      <c r="P99" s="117"/>
      <c r="Q99" s="117"/>
      <c r="R99" s="117"/>
    </row>
    <row r="100" spans="1:21">
      <c r="A100" t="s">
        <v>317</v>
      </c>
      <c r="B100" s="9" t="s">
        <v>439</v>
      </c>
      <c r="C100" s="67">
        <f>'Drag (new)'!C12</f>
        <v>1.4963533775013247E-3</v>
      </c>
      <c r="D100" s="170" t="s">
        <v>201</v>
      </c>
      <c r="K100">
        <v>0.1</v>
      </c>
      <c r="L100">
        <f t="shared" si="4"/>
        <v>1.0000000000000002E-2</v>
      </c>
      <c r="M100" s="31">
        <f t="shared" si="5"/>
        <v>1.6656368415825386E-2</v>
      </c>
      <c r="N100">
        <f>K100^2/(PI()*Lift!$C$23*General!$C$24)</f>
        <v>4.2070130810614986E-4</v>
      </c>
      <c r="O100" s="117"/>
      <c r="P100" s="117"/>
      <c r="Q100" s="117"/>
      <c r="R100" s="117"/>
      <c r="S100" s="117"/>
      <c r="T100" s="117"/>
      <c r="U100" s="117"/>
    </row>
    <row r="101" spans="1:21">
      <c r="A101" t="s">
        <v>440</v>
      </c>
      <c r="B101" s="9" t="s">
        <v>441</v>
      </c>
      <c r="C101" s="65">
        <f>C8</f>
        <v>531.92740930825562</v>
      </c>
      <c r="D101" s="170" t="s">
        <v>183</v>
      </c>
      <c r="E101" s="69"/>
      <c r="K101">
        <v>0.2</v>
      </c>
      <c r="L101">
        <f t="shared" si="4"/>
        <v>4.0000000000000008E-2</v>
      </c>
      <c r="M101" s="31">
        <f t="shared" si="5"/>
        <v>1.7918472340143834E-2</v>
      </c>
      <c r="N101">
        <f>K101^2/(PI()*Lift!$C$23*General!$C$24)</f>
        <v>1.6828052324245994E-3</v>
      </c>
    </row>
    <row r="102" spans="1:21">
      <c r="A102" s="7" t="s">
        <v>442</v>
      </c>
      <c r="B102" s="17" t="s">
        <v>412</v>
      </c>
      <c r="C102" s="130">
        <f>0.5*C100*C101^2*C98*C19</f>
        <v>1849.4464401475668</v>
      </c>
      <c r="D102" s="174" t="s">
        <v>14</v>
      </c>
      <c r="E102" s="69"/>
      <c r="K102">
        <v>0.3</v>
      </c>
      <c r="L102">
        <f t="shared" si="4"/>
        <v>0.09</v>
      </c>
      <c r="M102" s="31">
        <f t="shared" si="5"/>
        <v>2.0021978880674585E-2</v>
      </c>
      <c r="N102">
        <f>K102^2/(PI()*Lift!$C$23*General!$C$24)</f>
        <v>3.7863117729553478E-3</v>
      </c>
    </row>
    <row r="103" spans="1:21">
      <c r="A103" s="7" t="s">
        <v>1046</v>
      </c>
      <c r="B103" s="17" t="s">
        <v>414</v>
      </c>
      <c r="C103" s="79">
        <f>'Lift (new)'!C155/C102</f>
        <v>10.022163363496341</v>
      </c>
      <c r="D103" s="174"/>
      <c r="E103" s="7"/>
      <c r="F103" s="7"/>
      <c r="K103">
        <v>0.4</v>
      </c>
      <c r="L103">
        <f t="shared" si="4"/>
        <v>0.16000000000000003</v>
      </c>
      <c r="M103" s="31">
        <f t="shared" si="5"/>
        <v>2.2966888037417636E-2</v>
      </c>
      <c r="N103">
        <f>K103^2/(PI()*Lift!$C$23*General!$C$24)</f>
        <v>6.7312209296983977E-3</v>
      </c>
    </row>
    <row r="104" spans="1:21">
      <c r="K104">
        <v>0.5</v>
      </c>
      <c r="L104">
        <f t="shared" si="4"/>
        <v>0.25</v>
      </c>
      <c r="M104" s="31">
        <f t="shared" si="5"/>
        <v>2.6753199810372982E-2</v>
      </c>
      <c r="N104">
        <f>K104^2/(PI()*Lift!$C$23*General!$C$24)</f>
        <v>1.0517532702653744E-2</v>
      </c>
    </row>
    <row r="105" spans="1:21">
      <c r="A105" s="309" t="s">
        <v>1047</v>
      </c>
      <c r="B105" s="309"/>
      <c r="C105" s="309"/>
      <c r="D105" s="309"/>
      <c r="E105" s="309"/>
      <c r="F105" s="309"/>
      <c r="K105">
        <v>0.6</v>
      </c>
      <c r="L105">
        <f t="shared" si="4"/>
        <v>0.36</v>
      </c>
      <c r="M105" s="31">
        <f t="shared" si="5"/>
        <v>3.138091419954063E-2</v>
      </c>
      <c r="N105">
        <f>K105^2/(PI()*Lift!$C$23*General!$C$24)</f>
        <v>1.5145247091821391E-2</v>
      </c>
    </row>
    <row r="106" spans="1:21">
      <c r="A106" t="s">
        <v>1048</v>
      </c>
      <c r="B106" s="9" t="s">
        <v>1049</v>
      </c>
      <c r="C106" s="66">
        <f>'Lift (new)'!C146^2/(PI()*Lift!C23*General!C24)</f>
        <v>0.18794123861461454</v>
      </c>
      <c r="D106" s="170"/>
      <c r="K106">
        <v>0.7</v>
      </c>
      <c r="L106">
        <f t="shared" si="4"/>
        <v>0.48999999999999994</v>
      </c>
      <c r="M106" s="31">
        <f t="shared" si="5"/>
        <v>3.6850031204920572E-2</v>
      </c>
      <c r="N106">
        <f>K106^2/(PI()*Lift!$C$23*General!$C$24)</f>
        <v>2.0614364097201337E-2</v>
      </c>
    </row>
    <row r="107" spans="1:21">
      <c r="C107" s="66"/>
      <c r="D107" s="170"/>
      <c r="K107">
        <v>0.8</v>
      </c>
      <c r="L107">
        <f t="shared" si="4"/>
        <v>0.64000000000000012</v>
      </c>
      <c r="M107" s="31">
        <f t="shared" si="5"/>
        <v>4.3160550826512829E-2</v>
      </c>
      <c r="N107">
        <f>K107^2/(PI()*Lift!$C$23*General!$C$24)</f>
        <v>2.6924883718793591E-2</v>
      </c>
    </row>
    <row r="108" spans="1:21">
      <c r="A108" t="s">
        <v>1050</v>
      </c>
      <c r="B108" s="9" t="s">
        <v>437</v>
      </c>
      <c r="C108" s="66">
        <f>C106+C95+C91</f>
        <v>0.20417690572233377</v>
      </c>
      <c r="D108" s="174"/>
      <c r="K108">
        <v>0.9</v>
      </c>
      <c r="L108">
        <f t="shared" si="4"/>
        <v>0.81</v>
      </c>
      <c r="M108" s="31">
        <f t="shared" si="5"/>
        <v>5.0312473064317374E-2</v>
      </c>
      <c r="N108">
        <f>K108^2/(PI()*Lift!$C$23*General!$C$24)</f>
        <v>3.4076805956598136E-2</v>
      </c>
    </row>
    <row r="109" spans="1:21">
      <c r="A109" t="s">
        <v>1051</v>
      </c>
      <c r="B109" s="9" t="s">
        <v>1052</v>
      </c>
      <c r="C109" s="75">
        <f>'Performance T_O'!C27</f>
        <v>165.36929623971309</v>
      </c>
      <c r="D109" s="170" t="s">
        <v>183</v>
      </c>
      <c r="K109">
        <v>1</v>
      </c>
      <c r="L109">
        <f t="shared" si="4"/>
        <v>1</v>
      </c>
      <c r="M109" s="31">
        <f t="shared" si="5"/>
        <v>5.8305797918334214E-2</v>
      </c>
      <c r="N109">
        <f>K109^2/(PI()*Lift!$C$23*General!$C$24)</f>
        <v>4.2070130810614975E-2</v>
      </c>
    </row>
    <row r="110" spans="1:21">
      <c r="A110" t="s">
        <v>1053</v>
      </c>
      <c r="B110" s="9" t="s">
        <v>885</v>
      </c>
      <c r="C110" s="100">
        <f>0.002378</f>
        <v>2.3779999999999999E-3</v>
      </c>
      <c r="D110" s="170" t="s">
        <v>319</v>
      </c>
    </row>
    <row r="111" spans="1:21">
      <c r="A111" s="7" t="s">
        <v>1054</v>
      </c>
      <c r="B111" s="17" t="s">
        <v>412</v>
      </c>
      <c r="C111" s="213">
        <f>0.5*C110*C109^2*C108*C19</f>
        <v>3160.7955868375329</v>
      </c>
      <c r="D111" s="174" t="s">
        <v>14</v>
      </c>
      <c r="E111" s="7"/>
      <c r="F111" s="7"/>
    </row>
    <row r="114" spans="6:13">
      <c r="F114" t="s">
        <v>1055</v>
      </c>
      <c r="G114" t="s">
        <v>1056</v>
      </c>
      <c r="I114" t="s">
        <v>568</v>
      </c>
      <c r="J114" t="s">
        <v>829</v>
      </c>
      <c r="K114" t="s">
        <v>312</v>
      </c>
      <c r="L114" t="s">
        <v>568</v>
      </c>
    </row>
    <row r="115" spans="6:13">
      <c r="F115">
        <v>0.22500000000000001</v>
      </c>
      <c r="G115">
        <f>1/(PI()*C20*Lift!C23)</f>
        <v>4.2070130810614975E-2</v>
      </c>
      <c r="I115" s="117">
        <f t="shared" ref="I115:I138" si="6">$C$95+$G$115*(K115-$F$115)</f>
        <v>7.4116704536908967E-2</v>
      </c>
      <c r="J115">
        <v>14</v>
      </c>
      <c r="K115" s="99">
        <f>'Performance Analysis'!J$66+'Performance Analysis'!L$67*RADIANS('Drag (new)'!J115)</f>
        <v>1.64836228282135</v>
      </c>
      <c r="L115" s="117">
        <f>C$95+C$91+K115^2/(PI()*C$20*'Performance Analysis'!J$70)</f>
        <v>0.13054434445606422</v>
      </c>
      <c r="M115">
        <v>1.64</v>
      </c>
    </row>
    <row r="116" spans="6:13">
      <c r="F116">
        <v>0.22500000000000001</v>
      </c>
      <c r="I116" s="117">
        <f t="shared" si="6"/>
        <v>7.033453423817429E-2</v>
      </c>
      <c r="J116">
        <v>13</v>
      </c>
      <c r="K116" s="99">
        <f>'Performance Analysis'!J$66+'Performance Analysis'!L$67*RADIANS('Drag (new)'!J116)</f>
        <v>1.5584607249735578</v>
      </c>
      <c r="L116" s="117">
        <f>C$95+C$91+K116^2/(PI()*C$20*'Performance Analysis'!J$70)</f>
        <v>0.11841559372268329</v>
      </c>
      <c r="M116">
        <v>1.64</v>
      </c>
    </row>
    <row r="117" spans="6:13">
      <c r="F117">
        <v>0.22500000000000001</v>
      </c>
      <c r="I117" s="117">
        <f t="shared" si="6"/>
        <v>6.6552363939439613E-2</v>
      </c>
      <c r="J117">
        <v>12</v>
      </c>
      <c r="K117" s="99">
        <f>'Performance Analysis'!J$66+'Performance Analysis'!L$67*RADIANS('Drag (new)'!J117)</f>
        <v>1.4685591671257656</v>
      </c>
      <c r="L117" s="117">
        <f>C$95+C$91+K117^2/(PI()*C$20*'Performance Analysis'!J$70)</f>
        <v>0.10696688899310616</v>
      </c>
      <c r="M117">
        <v>1.64</v>
      </c>
    </row>
    <row r="118" spans="6:13">
      <c r="F118">
        <v>0.22500000000000001</v>
      </c>
      <c r="I118" s="117">
        <f t="shared" si="6"/>
        <v>6.2770193640704908E-2</v>
      </c>
      <c r="J118">
        <v>11</v>
      </c>
      <c r="K118" s="99">
        <f>'Performance Analysis'!J$66+'Performance Analysis'!L$67*RADIANS('Drag (new)'!J118)</f>
        <v>1.3786576092779734</v>
      </c>
      <c r="L118" s="117">
        <f>C$95+C$91+K118^2/(PI()*C$20*'Performance Analysis'!J$70)</f>
        <v>9.6198230267332818E-2</v>
      </c>
      <c r="M118">
        <v>1.64</v>
      </c>
    </row>
    <row r="119" spans="6:13">
      <c r="F119">
        <v>0.22500000000000001</v>
      </c>
      <c r="I119" s="117">
        <f t="shared" si="6"/>
        <v>5.8988023341970217E-2</v>
      </c>
      <c r="J119">
        <v>10</v>
      </c>
      <c r="K119" s="99">
        <f>'Performance Analysis'!J$66+'Performance Analysis'!L$67*RADIANS('Drag (new)'!J119)</f>
        <v>1.288756051430181</v>
      </c>
      <c r="L119" s="117">
        <f>C$95+C$91+K119^2/(PI()*C$20*'Performance Analysis'!J$70)</f>
        <v>8.6109617545363254E-2</v>
      </c>
      <c r="M119">
        <v>1.64</v>
      </c>
    </row>
    <row r="120" spans="6:13">
      <c r="F120">
        <v>0.22500000000000001</v>
      </c>
      <c r="I120" s="117">
        <f t="shared" si="6"/>
        <v>5.5205853043235539E-2</v>
      </c>
      <c r="J120">
        <v>9</v>
      </c>
      <c r="K120" s="99">
        <f>'Performance Analysis'!J$66+'Performance Analysis'!L$67*RADIANS('Drag (new)'!J120)</f>
        <v>1.1988544935823888</v>
      </c>
      <c r="L120" s="117">
        <f>C$95+C$91+K120^2/(PI()*C$20*'Performance Analysis'!J$70)</f>
        <v>7.6701050827197498E-2</v>
      </c>
      <c r="M120">
        <v>1.64</v>
      </c>
    </row>
    <row r="121" spans="6:13">
      <c r="F121">
        <v>0.22500000000000001</v>
      </c>
      <c r="I121" s="117">
        <f t="shared" si="6"/>
        <v>5.1423682744500841E-2</v>
      </c>
      <c r="J121">
        <v>8</v>
      </c>
      <c r="K121" s="99">
        <f>'Performance Analysis'!J$66+'Performance Analysis'!L$67*RADIANS('Drag (new)'!J121)</f>
        <v>1.1089529357345964</v>
      </c>
      <c r="L121" s="117">
        <f>C$95+C$91+K121^2/(PI()*C$20*'Performance Analysis'!J$70)</f>
        <v>6.7972530112835522E-2</v>
      </c>
      <c r="M121">
        <v>1.64</v>
      </c>
    </row>
    <row r="122" spans="6:13">
      <c r="F122">
        <v>0.22500000000000001</v>
      </c>
      <c r="I122" s="117">
        <f t="shared" si="6"/>
        <v>4.7641512445766157E-2</v>
      </c>
      <c r="J122">
        <v>7</v>
      </c>
      <c r="K122" s="99">
        <f>'Performance Analysis'!J$66+'Performance Analysis'!L$67*RADIANS('Drag (new)'!J122)</f>
        <v>1.0190513778868042</v>
      </c>
      <c r="L122" s="117">
        <f>C$95+C$91+K122^2/(PI()*C$20*'Performance Analysis'!J$70)</f>
        <v>5.9924055402277361E-2</v>
      </c>
      <c r="M122">
        <v>1.64</v>
      </c>
    </row>
    <row r="123" spans="6:13">
      <c r="F123">
        <v>0.22500000000000001</v>
      </c>
      <c r="I123" s="117">
        <f t="shared" si="6"/>
        <v>4.3859342147031473E-2</v>
      </c>
      <c r="J123">
        <v>6</v>
      </c>
      <c r="K123" s="99">
        <f>'Performance Analysis'!J$66+'Performance Analysis'!L$67*RADIANS('Drag (new)'!J123)</f>
        <v>0.92914982003901214</v>
      </c>
      <c r="L123" s="117">
        <f>C$95+C$91+K123^2/(PI()*C$20*'Performance Analysis'!J$70)</f>
        <v>5.2555626695523015E-2</v>
      </c>
      <c r="M123">
        <v>1.64</v>
      </c>
    </row>
    <row r="124" spans="6:13">
      <c r="F124">
        <v>0.22500000000000001</v>
      </c>
      <c r="I124" s="117">
        <f t="shared" si="6"/>
        <v>4.0077171848296782E-2</v>
      </c>
      <c r="J124">
        <v>5</v>
      </c>
      <c r="K124" s="99">
        <f>'Performance Analysis'!J$66+'Performance Analysis'!L$67*RADIANS('Drag (new)'!J124)</f>
        <v>0.83924826219121984</v>
      </c>
      <c r="L124" s="117">
        <f>C$95+C$91+K124^2/(PI()*C$20*'Performance Analysis'!J$70)</f>
        <v>4.5867243992572443E-2</v>
      </c>
      <c r="M124">
        <v>1.64</v>
      </c>
    </row>
    <row r="125" spans="6:13">
      <c r="F125">
        <v>0.22500000000000001</v>
      </c>
      <c r="I125" s="117">
        <f t="shared" si="6"/>
        <v>3.6295001549562091E-2</v>
      </c>
      <c r="J125">
        <v>4</v>
      </c>
      <c r="K125" s="99">
        <f>'Performance Analysis'!J$66+'Performance Analysis'!L$67*RADIANS('Drag (new)'!J125)</f>
        <v>0.74934670434342754</v>
      </c>
      <c r="L125" s="117">
        <f>C$95+C$91+K125^2/(PI()*C$20*'Performance Analysis'!J$70)</f>
        <v>3.9858907293425672E-2</v>
      </c>
      <c r="M125">
        <v>1.64</v>
      </c>
    </row>
    <row r="126" spans="6:13">
      <c r="F126">
        <v>0.22500000000000001</v>
      </c>
      <c r="I126" s="117">
        <f t="shared" si="6"/>
        <v>3.2512831250827406E-2</v>
      </c>
      <c r="J126">
        <v>3</v>
      </c>
      <c r="K126" s="99">
        <f>'Performance Analysis'!J$66+'Performance Analysis'!L$67*RADIANS('Drag (new)'!J126)</f>
        <v>0.65944514649563535</v>
      </c>
      <c r="L126" s="117">
        <f>C$95+C$91+K126^2/(PI()*C$20*'Performance Analysis'!J$70)</f>
        <v>3.4530616598082695E-2</v>
      </c>
      <c r="M126">
        <v>1.64</v>
      </c>
    </row>
    <row r="127" spans="6:13">
      <c r="F127">
        <v>0.22500000000000001</v>
      </c>
      <c r="I127" s="117">
        <f t="shared" si="6"/>
        <v>2.8730660952092712E-2</v>
      </c>
      <c r="J127">
        <v>2</v>
      </c>
      <c r="K127" s="99">
        <f>'Performance Analysis'!J$66+'Performance Analysis'!L$67*RADIANS('Drag (new)'!J127)</f>
        <v>0.56954358864784305</v>
      </c>
      <c r="L127" s="117">
        <f>C$95+C$91+K127^2/(PI()*C$20*'Performance Analysis'!J$70)</f>
        <v>2.9882371906543519E-2</v>
      </c>
      <c r="M127">
        <v>1.64</v>
      </c>
    </row>
    <row r="128" spans="6:13">
      <c r="F128">
        <v>0.22500000000000001</v>
      </c>
      <c r="I128" s="117">
        <f t="shared" si="6"/>
        <v>2.4948490653358021E-2</v>
      </c>
      <c r="J128">
        <v>1</v>
      </c>
      <c r="K128" s="99">
        <f>'Performance Analysis'!J$66+'Performance Analysis'!L$67*RADIANS('Drag (new)'!J128)</f>
        <v>0.4796420308000508</v>
      </c>
      <c r="L128" s="117">
        <f>C$95+C$91+K128^2/(PI()*C$20*'Performance Analysis'!J$70)</f>
        <v>2.5914173218808137E-2</v>
      </c>
      <c r="M128">
        <v>1.64</v>
      </c>
    </row>
    <row r="129" spans="6:13">
      <c r="F129">
        <v>0.22500000000000001</v>
      </c>
      <c r="I129" s="117">
        <f t="shared" si="6"/>
        <v>2.1166320354623333E-2</v>
      </c>
      <c r="J129">
        <v>0</v>
      </c>
      <c r="K129" s="99">
        <f>'Performance Analysis'!J$66+'Performance Analysis'!L$67*RADIANS('Drag (new)'!J129)</f>
        <v>0.38974047295225855</v>
      </c>
      <c r="L129" s="117">
        <f>C$95+C$91+K129^2/(PI()*C$20*'Performance Analysis'!J$70)</f>
        <v>2.2626020534876553E-2</v>
      </c>
      <c r="M129">
        <v>1.64</v>
      </c>
    </row>
    <row r="130" spans="6:13">
      <c r="F130">
        <v>0.22500000000000001</v>
      </c>
      <c r="I130" s="117">
        <f t="shared" si="6"/>
        <v>1.7384150055888642E-2</v>
      </c>
      <c r="J130">
        <v>-1</v>
      </c>
      <c r="K130" s="99">
        <f>'Performance Analysis'!J$66+'Performance Analysis'!L$67*RADIANS('Drag (new)'!J130)</f>
        <v>0.29983891510446631</v>
      </c>
      <c r="L130" s="117">
        <f>C$95+C$91+K130^2/(PI()*C$20*'Performance Analysis'!J$70)</f>
        <v>2.0017913854748763E-2</v>
      </c>
      <c r="M130">
        <v>1.64</v>
      </c>
    </row>
    <row r="131" spans="6:13">
      <c r="F131">
        <v>0.22500000000000001</v>
      </c>
      <c r="I131" s="117">
        <f t="shared" si="6"/>
        <v>1.3601979757153954E-2</v>
      </c>
      <c r="J131">
        <v>-2</v>
      </c>
      <c r="K131" s="99">
        <f>'Performance Analysis'!J$66+'Performance Analysis'!L$67*RADIANS('Drag (new)'!J131)</f>
        <v>0.20993735725667406</v>
      </c>
      <c r="L131" s="117">
        <f>C$95+C$91+K131^2/(PI()*C$20*'Performance Analysis'!J$70)</f>
        <v>1.8089853178424774E-2</v>
      </c>
      <c r="M131">
        <v>1.64</v>
      </c>
    </row>
    <row r="132" spans="6:13">
      <c r="F132">
        <v>0.22500000000000001</v>
      </c>
      <c r="I132" s="117">
        <f t="shared" si="6"/>
        <v>9.8198094584192631E-3</v>
      </c>
      <c r="J132">
        <v>-3</v>
      </c>
      <c r="K132" s="99">
        <f>'Performance Analysis'!J$66+'Performance Analysis'!L$67*RADIANS('Drag (new)'!J132)</f>
        <v>0.12003579940888176</v>
      </c>
      <c r="L132" s="117">
        <f>C$95+C$91+K132^2/(PI()*C$20*'Performance Analysis'!J$70)</f>
        <v>1.684183850590458E-2</v>
      </c>
      <c r="M132">
        <v>1.64</v>
      </c>
    </row>
    <row r="133" spans="6:13">
      <c r="F133">
        <v>0.22500000000000001</v>
      </c>
      <c r="I133" s="117">
        <f t="shared" si="6"/>
        <v>6.0376391596845755E-3</v>
      </c>
      <c r="J133">
        <v>-4</v>
      </c>
      <c r="K133" s="99">
        <f>'Performance Analysis'!J$66+'Performance Analysis'!L$67*RADIANS('Drag (new)'!J133)</f>
        <v>3.013424156108957E-2</v>
      </c>
      <c r="L133" s="117">
        <f>C$95+C$91+K133^2/(PI()*C$20*'Performance Analysis'!J$70)</f>
        <v>1.6273869837188183E-2</v>
      </c>
      <c r="M133">
        <v>1.64</v>
      </c>
    </row>
    <row r="134" spans="6:13">
      <c r="F134">
        <v>0.22500000000000001</v>
      </c>
      <c r="I134" s="117">
        <f t="shared" si="6"/>
        <v>2.2554688609498861E-3</v>
      </c>
      <c r="J134">
        <v>-5</v>
      </c>
      <c r="K134" s="99">
        <f>'Performance Analysis'!J$66+'Performance Analysis'!L$67*RADIANS('Drag (new)'!J134)</f>
        <v>-5.9767316286702676E-2</v>
      </c>
      <c r="L134" s="117">
        <f>C$95+C$91+K134^2/(PI()*C$20*'Performance Analysis'!J$70)</f>
        <v>1.6385947172275584E-2</v>
      </c>
      <c r="M134">
        <v>1.64</v>
      </c>
    </row>
    <row r="135" spans="6:13">
      <c r="F135">
        <v>0.22500000000000001</v>
      </c>
      <c r="I135" s="117">
        <f t="shared" si="6"/>
        <v>-1.5267014377848068E-3</v>
      </c>
      <c r="J135">
        <v>-6</v>
      </c>
      <c r="K135" s="99">
        <f>'Performance Analysis'!J$66+'Performance Analysis'!L$67*RADIANS('Drag (new)'!J135)</f>
        <v>-0.14966887413449503</v>
      </c>
      <c r="L135" s="117">
        <f>C$95+C$91+K135^2/(PI()*C$20*'Performance Analysis'!J$70)</f>
        <v>1.7178070511166779E-2</v>
      </c>
      <c r="M135">
        <v>1.64</v>
      </c>
    </row>
    <row r="136" spans="6:13">
      <c r="F136">
        <v>0.22500000000000001</v>
      </c>
      <c r="I136" s="117">
        <f t="shared" si="6"/>
        <v>-5.3088717365194944E-3</v>
      </c>
      <c r="J136">
        <v>-7</v>
      </c>
      <c r="K136" s="99">
        <f>'Performance Analysis'!J$66+'Performance Analysis'!L$67*RADIANS('Drag (new)'!J136)</f>
        <v>-0.23957043198228722</v>
      </c>
      <c r="L136" s="117">
        <f>C$95+C$91+K136^2/(PI()*C$20*'Performance Analysis'!J$70)</f>
        <v>1.8650239853861772E-2</v>
      </c>
      <c r="M136">
        <v>1.64</v>
      </c>
    </row>
    <row r="137" spans="6:13">
      <c r="F137">
        <v>0.22500000000000001</v>
      </c>
      <c r="I137" s="117">
        <f t="shared" si="6"/>
        <v>-9.0910420352541786E-3</v>
      </c>
      <c r="J137">
        <v>-8</v>
      </c>
      <c r="K137" s="99">
        <f>'Performance Analysis'!J$66+'Performance Analysis'!L$67*RADIANS('Drag (new)'!J137)</f>
        <v>-0.32947198983007941</v>
      </c>
      <c r="L137" s="117">
        <f>C$95+C$91+K137^2/(PI()*C$20*'Performance Analysis'!J$70)</f>
        <v>2.0802455200360562E-2</v>
      </c>
      <c r="M137">
        <v>1.64</v>
      </c>
    </row>
    <row r="138" spans="6:13">
      <c r="F138">
        <v>0.22500000000000001</v>
      </c>
      <c r="I138" s="117">
        <f t="shared" si="6"/>
        <v>-1.287321233398887E-2</v>
      </c>
      <c r="J138">
        <v>-9</v>
      </c>
      <c r="K138" s="99">
        <f>'Performance Analysis'!J$66+'Performance Analysis'!L$67*RADIANS('Drag (new)'!J138)</f>
        <v>-0.41937354767787172</v>
      </c>
      <c r="L138" s="117">
        <f>C$95+C$91+K138^2/(PI()*C$20*'Performance Analysis'!J$70)</f>
        <v>2.3634716550663147E-2</v>
      </c>
      <c r="M138">
        <v>1.64</v>
      </c>
    </row>
    <row r="139" spans="6:13">
      <c r="K139" s="99"/>
    </row>
    <row r="142" spans="6:13">
      <c r="J142" t="s">
        <v>1057</v>
      </c>
      <c r="K142" t="s">
        <v>1058</v>
      </c>
    </row>
    <row r="143" spans="6:13">
      <c r="J143">
        <v>0</v>
      </c>
      <c r="K143">
        <f t="shared" ref="K143:K174" si="7">0.5*C$110*J143^2*C$108*C$19</f>
        <v>0</v>
      </c>
    </row>
    <row r="144" spans="6:13">
      <c r="J144">
        <v>2</v>
      </c>
      <c r="K144">
        <f t="shared" si="7"/>
        <v>0.46232421961730119</v>
      </c>
    </row>
    <row r="145" spans="10:11">
      <c r="J145">
        <v>4</v>
      </c>
      <c r="K145">
        <f t="shared" si="7"/>
        <v>1.8492968784692048</v>
      </c>
    </row>
    <row r="146" spans="10:11">
      <c r="J146">
        <v>6</v>
      </c>
      <c r="K146">
        <f t="shared" si="7"/>
        <v>4.1609179765557105</v>
      </c>
    </row>
    <row r="147" spans="10:11">
      <c r="J147">
        <v>8</v>
      </c>
      <c r="K147">
        <f t="shared" si="7"/>
        <v>7.3971875138768191</v>
      </c>
    </row>
    <row r="148" spans="10:11">
      <c r="J148">
        <v>10</v>
      </c>
      <c r="K148">
        <f t="shared" si="7"/>
        <v>11.558105490432528</v>
      </c>
    </row>
    <row r="149" spans="10:11">
      <c r="J149">
        <v>12</v>
      </c>
      <c r="K149">
        <f t="shared" si="7"/>
        <v>16.643671906222842</v>
      </c>
    </row>
    <row r="150" spans="10:11">
      <c r="J150">
        <v>14</v>
      </c>
      <c r="K150">
        <f t="shared" si="7"/>
        <v>22.653886761247758</v>
      </c>
    </row>
    <row r="151" spans="10:11">
      <c r="J151">
        <v>16</v>
      </c>
      <c r="K151">
        <f t="shared" si="7"/>
        <v>29.588750055507276</v>
      </c>
    </row>
    <row r="152" spans="10:11">
      <c r="J152">
        <v>18</v>
      </c>
      <c r="K152">
        <f t="shared" si="7"/>
        <v>37.448261789001393</v>
      </c>
    </row>
    <row r="153" spans="10:11">
      <c r="J153">
        <v>20</v>
      </c>
      <c r="K153">
        <f t="shared" si="7"/>
        <v>46.232421961730111</v>
      </c>
    </row>
    <row r="154" spans="10:11">
      <c r="J154">
        <v>22</v>
      </c>
      <c r="K154">
        <f t="shared" si="7"/>
        <v>55.941230573693446</v>
      </c>
    </row>
    <row r="155" spans="10:11">
      <c r="J155">
        <v>24</v>
      </c>
      <c r="K155">
        <f t="shared" si="7"/>
        <v>66.574687624891368</v>
      </c>
    </row>
    <row r="156" spans="10:11">
      <c r="J156">
        <v>26</v>
      </c>
      <c r="K156">
        <f t="shared" si="7"/>
        <v>78.132793115323892</v>
      </c>
    </row>
    <row r="157" spans="10:11">
      <c r="J157">
        <v>28</v>
      </c>
      <c r="K157">
        <f t="shared" si="7"/>
        <v>90.615547044991033</v>
      </c>
    </row>
    <row r="158" spans="10:11">
      <c r="J158">
        <v>30</v>
      </c>
      <c r="K158">
        <f t="shared" si="7"/>
        <v>104.02294941389277</v>
      </c>
    </row>
    <row r="159" spans="10:11">
      <c r="J159">
        <v>32</v>
      </c>
      <c r="K159">
        <f t="shared" si="7"/>
        <v>118.3550002220291</v>
      </c>
    </row>
    <row r="160" spans="10:11">
      <c r="J160">
        <v>34</v>
      </c>
      <c r="K160">
        <f t="shared" si="7"/>
        <v>133.61169946940007</v>
      </c>
    </row>
    <row r="161" spans="10:11">
      <c r="J161">
        <v>36</v>
      </c>
      <c r="K161">
        <f t="shared" si="7"/>
        <v>149.79304715600557</v>
      </c>
    </row>
    <row r="162" spans="10:11">
      <c r="J162">
        <v>38</v>
      </c>
      <c r="K162">
        <f t="shared" si="7"/>
        <v>166.89904328184574</v>
      </c>
    </row>
    <row r="163" spans="10:11">
      <c r="J163">
        <v>40</v>
      </c>
      <c r="K163">
        <f t="shared" si="7"/>
        <v>184.92968784692044</v>
      </c>
    </row>
    <row r="164" spans="10:11">
      <c r="J164">
        <v>42</v>
      </c>
      <c r="K164">
        <f t="shared" si="7"/>
        <v>203.88498085122981</v>
      </c>
    </row>
    <row r="165" spans="10:11">
      <c r="J165">
        <v>44</v>
      </c>
      <c r="K165">
        <f t="shared" si="7"/>
        <v>223.76492229477378</v>
      </c>
    </row>
    <row r="166" spans="10:11">
      <c r="J166">
        <v>46</v>
      </c>
      <c r="K166">
        <f t="shared" si="7"/>
        <v>244.56951217755233</v>
      </c>
    </row>
    <row r="167" spans="10:11">
      <c r="J167">
        <v>48</v>
      </c>
      <c r="K167">
        <f t="shared" si="7"/>
        <v>266.29875049956547</v>
      </c>
    </row>
    <row r="168" spans="10:11">
      <c r="J168">
        <v>50</v>
      </c>
      <c r="K168">
        <f t="shared" si="7"/>
        <v>288.95263726081322</v>
      </c>
    </row>
    <row r="169" spans="10:11">
      <c r="J169">
        <v>52</v>
      </c>
      <c r="K169">
        <f t="shared" si="7"/>
        <v>312.53117246129557</v>
      </c>
    </row>
    <row r="170" spans="10:11">
      <c r="J170">
        <v>54</v>
      </c>
      <c r="K170">
        <f t="shared" si="7"/>
        <v>337.03435610101252</v>
      </c>
    </row>
    <row r="171" spans="10:11">
      <c r="J171">
        <v>56</v>
      </c>
      <c r="K171">
        <f t="shared" si="7"/>
        <v>362.46218817996413</v>
      </c>
    </row>
    <row r="172" spans="10:11">
      <c r="J172">
        <v>58</v>
      </c>
      <c r="K172">
        <f t="shared" si="7"/>
        <v>388.81466869815029</v>
      </c>
    </row>
    <row r="173" spans="10:11">
      <c r="J173">
        <v>60</v>
      </c>
      <c r="K173">
        <f t="shared" si="7"/>
        <v>416.0917976555711</v>
      </c>
    </row>
    <row r="174" spans="10:11">
      <c r="J174">
        <v>62</v>
      </c>
      <c r="K174">
        <f t="shared" si="7"/>
        <v>444.2935750522264</v>
      </c>
    </row>
    <row r="175" spans="10:11">
      <c r="J175">
        <v>64</v>
      </c>
      <c r="K175">
        <f t="shared" ref="K175:K206" si="8">0.5*C$110*J175^2*C$108*C$19</f>
        <v>473.42000088811642</v>
      </c>
    </row>
    <row r="176" spans="10:11">
      <c r="J176">
        <v>66</v>
      </c>
      <c r="K176">
        <f t="shared" si="8"/>
        <v>503.47107516324098</v>
      </c>
    </row>
    <row r="177" spans="10:11">
      <c r="J177">
        <v>68</v>
      </c>
      <c r="K177">
        <f t="shared" si="8"/>
        <v>534.44679787760026</v>
      </c>
    </row>
    <row r="178" spans="10:11">
      <c r="J178">
        <v>70</v>
      </c>
      <c r="K178">
        <f t="shared" si="8"/>
        <v>566.34716903119386</v>
      </c>
    </row>
    <row r="179" spans="10:11">
      <c r="J179">
        <v>72</v>
      </c>
      <c r="K179">
        <f t="shared" si="8"/>
        <v>599.17218862402228</v>
      </c>
    </row>
    <row r="180" spans="10:11">
      <c r="J180">
        <v>74</v>
      </c>
      <c r="K180">
        <f t="shared" si="8"/>
        <v>632.92185665608531</v>
      </c>
    </row>
    <row r="181" spans="10:11">
      <c r="J181">
        <v>76</v>
      </c>
      <c r="K181">
        <f t="shared" si="8"/>
        <v>667.59617312738294</v>
      </c>
    </row>
    <row r="182" spans="10:11">
      <c r="J182">
        <v>78</v>
      </c>
      <c r="K182">
        <f t="shared" si="8"/>
        <v>703.19513803791506</v>
      </c>
    </row>
    <row r="183" spans="10:11">
      <c r="J183">
        <v>80</v>
      </c>
      <c r="K183">
        <f t="shared" si="8"/>
        <v>739.71875138768178</v>
      </c>
    </row>
    <row r="184" spans="10:11">
      <c r="J184">
        <v>82</v>
      </c>
      <c r="K184">
        <f t="shared" si="8"/>
        <v>777.16701317668321</v>
      </c>
    </row>
    <row r="185" spans="10:11">
      <c r="J185">
        <v>84</v>
      </c>
      <c r="K185">
        <f t="shared" si="8"/>
        <v>815.53992340491925</v>
      </c>
    </row>
    <row r="186" spans="10:11">
      <c r="J186">
        <v>86</v>
      </c>
      <c r="K186">
        <f t="shared" si="8"/>
        <v>854.83748207239</v>
      </c>
    </row>
    <row r="187" spans="10:11">
      <c r="J187">
        <v>88</v>
      </c>
      <c r="K187">
        <f t="shared" si="8"/>
        <v>895.05968917909513</v>
      </c>
    </row>
    <row r="188" spans="10:11">
      <c r="J188">
        <v>90</v>
      </c>
      <c r="K188">
        <f t="shared" si="8"/>
        <v>936.20654472503497</v>
      </c>
    </row>
    <row r="189" spans="10:11">
      <c r="J189">
        <v>92</v>
      </c>
      <c r="K189">
        <f t="shared" si="8"/>
        <v>978.2780487102093</v>
      </c>
    </row>
    <row r="190" spans="10:11">
      <c r="J190">
        <v>94</v>
      </c>
      <c r="K190">
        <f t="shared" si="8"/>
        <v>1021.2742011346182</v>
      </c>
    </row>
    <row r="191" spans="10:11">
      <c r="J191">
        <v>96</v>
      </c>
      <c r="K191">
        <f t="shared" si="8"/>
        <v>1065.1950019982619</v>
      </c>
    </row>
    <row r="192" spans="10:11">
      <c r="J192">
        <v>98</v>
      </c>
      <c r="K192">
        <f t="shared" si="8"/>
        <v>1110.0404513011401</v>
      </c>
    </row>
    <row r="193" spans="10:11">
      <c r="J193">
        <v>100</v>
      </c>
      <c r="K193">
        <f t="shared" si="8"/>
        <v>1155.8105490432529</v>
      </c>
    </row>
    <row r="194" spans="10:11">
      <c r="J194">
        <v>102</v>
      </c>
      <c r="K194">
        <f t="shared" si="8"/>
        <v>1202.5052952246003</v>
      </c>
    </row>
    <row r="195" spans="10:11">
      <c r="J195">
        <v>104</v>
      </c>
      <c r="K195">
        <f t="shared" si="8"/>
        <v>1250.1246898451823</v>
      </c>
    </row>
    <row r="196" spans="10:11">
      <c r="J196">
        <v>106</v>
      </c>
      <c r="K196">
        <f t="shared" si="8"/>
        <v>1298.6687329049989</v>
      </c>
    </row>
    <row r="197" spans="10:11">
      <c r="J197">
        <v>108</v>
      </c>
      <c r="K197">
        <f t="shared" si="8"/>
        <v>1348.1374244040501</v>
      </c>
    </row>
    <row r="198" spans="10:11">
      <c r="J198">
        <v>110</v>
      </c>
      <c r="K198">
        <f t="shared" si="8"/>
        <v>1398.5307643423362</v>
      </c>
    </row>
    <row r="199" spans="10:11">
      <c r="J199">
        <v>112</v>
      </c>
      <c r="K199">
        <f t="shared" si="8"/>
        <v>1449.8487527198565</v>
      </c>
    </row>
    <row r="200" spans="10:11">
      <c r="J200">
        <v>114</v>
      </c>
      <c r="K200">
        <f t="shared" si="8"/>
        <v>1502.0913895366116</v>
      </c>
    </row>
    <row r="201" spans="10:11">
      <c r="J201">
        <v>116</v>
      </c>
      <c r="K201">
        <f t="shared" si="8"/>
        <v>1555.2586747926011</v>
      </c>
    </row>
    <row r="202" spans="10:11">
      <c r="J202">
        <v>118</v>
      </c>
      <c r="K202">
        <f t="shared" si="8"/>
        <v>1609.3506084878254</v>
      </c>
    </row>
    <row r="203" spans="10:11">
      <c r="J203">
        <v>120</v>
      </c>
      <c r="K203">
        <f t="shared" si="8"/>
        <v>1664.3671906222844</v>
      </c>
    </row>
    <row r="204" spans="10:11">
      <c r="J204">
        <v>122</v>
      </c>
      <c r="K204">
        <f t="shared" si="8"/>
        <v>1720.3084211959776</v>
      </c>
    </row>
    <row r="205" spans="10:11">
      <c r="J205">
        <v>124</v>
      </c>
      <c r="K205">
        <f t="shared" si="8"/>
        <v>1777.1743002089056</v>
      </c>
    </row>
    <row r="206" spans="10:11">
      <c r="J206">
        <v>126</v>
      </c>
      <c r="K206">
        <f t="shared" si="8"/>
        <v>1834.9648276610683</v>
      </c>
    </row>
    <row r="207" spans="10:11">
      <c r="J207">
        <v>128</v>
      </c>
      <c r="K207">
        <f t="shared" ref="K207:K218" si="9">0.5*C$110*J207^2*C$108*C$19</f>
        <v>1893.6800035524657</v>
      </c>
    </row>
    <row r="208" spans="10:11">
      <c r="J208">
        <v>130</v>
      </c>
      <c r="K208">
        <f t="shared" si="9"/>
        <v>1953.3198278830978</v>
      </c>
    </row>
    <row r="209" spans="10:11">
      <c r="J209">
        <v>132</v>
      </c>
      <c r="K209">
        <f t="shared" si="9"/>
        <v>2013.8843006529639</v>
      </c>
    </row>
    <row r="210" spans="10:11">
      <c r="J210">
        <v>134</v>
      </c>
      <c r="K210">
        <f t="shared" si="9"/>
        <v>2075.3734218620652</v>
      </c>
    </row>
    <row r="211" spans="10:11">
      <c r="J211">
        <v>136</v>
      </c>
      <c r="K211">
        <f t="shared" si="9"/>
        <v>2137.787191510401</v>
      </c>
    </row>
    <row r="212" spans="10:11">
      <c r="J212">
        <v>138</v>
      </c>
      <c r="K212">
        <f t="shared" si="9"/>
        <v>2201.1256095979707</v>
      </c>
    </row>
    <row r="213" spans="10:11">
      <c r="J213">
        <v>140</v>
      </c>
      <c r="K213">
        <f t="shared" si="9"/>
        <v>2265.3886761247754</v>
      </c>
    </row>
    <row r="214" spans="10:11">
      <c r="J214">
        <v>142</v>
      </c>
      <c r="K214">
        <f t="shared" si="9"/>
        <v>2330.5763910908154</v>
      </c>
    </row>
    <row r="215" spans="10:11">
      <c r="J215">
        <v>144</v>
      </c>
      <c r="K215">
        <f t="shared" si="9"/>
        <v>2396.6887544960891</v>
      </c>
    </row>
    <row r="216" spans="10:11">
      <c r="J216">
        <v>146</v>
      </c>
      <c r="K216">
        <f t="shared" si="9"/>
        <v>2463.7257663405981</v>
      </c>
    </row>
    <row r="217" spans="10:11">
      <c r="J217">
        <v>148</v>
      </c>
      <c r="K217">
        <f t="shared" si="9"/>
        <v>2531.6874266243412</v>
      </c>
    </row>
    <row r="218" spans="10:11">
      <c r="J218">
        <v>150</v>
      </c>
      <c r="K218">
        <f t="shared" si="9"/>
        <v>2600.5737353473191</v>
      </c>
    </row>
  </sheetData>
  <mergeCells count="14">
    <mergeCell ref="A1:K1"/>
    <mergeCell ref="A3:K3"/>
    <mergeCell ref="Q4:T4"/>
    <mergeCell ref="A17:K17"/>
    <mergeCell ref="C22:F22"/>
    <mergeCell ref="H22:H23"/>
    <mergeCell ref="C23:F23"/>
    <mergeCell ref="A105:F105"/>
    <mergeCell ref="A34:K34"/>
    <mergeCell ref="P36:W40"/>
    <mergeCell ref="A47:K47"/>
    <mergeCell ref="A61:B61"/>
    <mergeCell ref="A72:B72"/>
    <mergeCell ref="A97:F9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43273-E6F0-4A62-8779-968D6940933E}">
  <dimension ref="A4:AP153"/>
  <sheetViews>
    <sheetView topLeftCell="A102" zoomScale="80" zoomScaleNormal="80" workbookViewId="0">
      <selection activeCell="J132" sqref="J132"/>
    </sheetView>
  </sheetViews>
  <sheetFormatPr defaultColWidth="11.42578125" defaultRowHeight="15"/>
  <cols>
    <col min="1" max="1" width="30" customWidth="1"/>
    <col min="3" max="3" width="16.140625" customWidth="1"/>
    <col min="4" max="4" width="15.7109375" customWidth="1"/>
    <col min="5" max="5" width="17.42578125" customWidth="1"/>
    <col min="6" max="6" width="19.42578125" customWidth="1"/>
    <col min="7" max="7" width="12.42578125" customWidth="1"/>
  </cols>
  <sheetData>
    <row r="4" spans="1:40">
      <c r="A4" t="s">
        <v>871</v>
      </c>
    </row>
    <row r="5" spans="1:40">
      <c r="A5">
        <v>40000</v>
      </c>
      <c r="B5" t="e">
        <f>SQRT((('FE-Performance Analysis'!D21+2*'FE-Performance Analysis'!#REF!*'FE-Performance Analysis'!D4*'FE-Performance Analysis'!J6)-SQRT(('FE-Performance Analysis'!D21+2*'FE-Performance Analysis'!#REF!*'FE-Performance Analysis'!D4*'FE-Performance Analysis'!J6)^2-4*'FE-Performance Analysis'!#REF!*'FE-Performance Analysis'!D4^2*('FE-Performance Analysis'!J7+'FE-Performance Analysis'!#REF!*'FE-Performance Analysis'!J6^2)))/('FE-Performance Analysis'!D14*'FE-Performance Analysis'!D7*('FE-Performance Analysis'!J7+'FE-Performance Analysis'!#REF!*'FE-Performance Analysis'!J6^2)))</f>
        <v>#REF!</v>
      </c>
      <c r="C5" s="69">
        <f>D5</f>
        <v>91.394094063596299</v>
      </c>
      <c r="D5" s="69">
        <f>'FE-Performance Analysis'!J18</f>
        <v>91.394094063596299</v>
      </c>
      <c r="E5">
        <f>C5/SQRT('FE-Performance Analysis'!$D$13)</f>
        <v>212.79275341538431</v>
      </c>
      <c r="F5">
        <f>E5/'FE-Performance Analysis'!$D$16</f>
        <v>0.22388592678257924</v>
      </c>
      <c r="G5" s="69">
        <f>H5</f>
        <v>111</v>
      </c>
      <c r="H5" s="69">
        <f>'FE-Performance Analysis'!Z21</f>
        <v>111</v>
      </c>
      <c r="I5">
        <f>G5/SQRT('FE-Performance Analysis'!$D$13)</f>
        <v>258.44115936716611</v>
      </c>
      <c r="J5">
        <f>I5/'FE-Performance Analysis'!$D$16</f>
        <v>0.27191404573225014</v>
      </c>
      <c r="K5" s="69">
        <f>L5</f>
        <v>139</v>
      </c>
      <c r="L5" s="69">
        <f>'FE-Performance Analysis'!AA21</f>
        <v>139</v>
      </c>
      <c r="M5">
        <f>K5/SQRT('FE-Performance Analysis'!$D$13)</f>
        <v>323.633523892217</v>
      </c>
      <c r="N5">
        <f>M5/'FE-Performance Analysis'!$D$16</f>
        <v>0.34050497618723213</v>
      </c>
      <c r="O5">
        <f>'FE-Performance Analysis'!M22</f>
        <v>23.470885367621477</v>
      </c>
      <c r="P5" s="69">
        <f>Q5</f>
        <v>142</v>
      </c>
      <c r="Q5" s="69">
        <f>'FE-Performance Analysis'!AB21</f>
        <v>142</v>
      </c>
      <c r="R5">
        <f>P5/SQRT('FE-Performance Analysis'!$D$13)</f>
        <v>330.6184200913296</v>
      </c>
      <c r="S5">
        <f>R5/'FE-Performance Analysis'!$D$16</f>
        <v>0.34785400445026593</v>
      </c>
      <c r="T5">
        <f>'FE-Performance Analysis'!AB22</f>
        <v>3594.2197143210901</v>
      </c>
      <c r="U5" s="69">
        <f>V5</f>
        <v>98</v>
      </c>
      <c r="V5" s="69">
        <f>'FE-Performance Analysis'!AC21</f>
        <v>98</v>
      </c>
      <c r="W5">
        <f>U5/SQRT('FE-Performance Analysis'!$D$13)</f>
        <v>228.17327583767818</v>
      </c>
      <c r="X5">
        <f>W5/'FE-Performance Analysis'!$D$16</f>
        <v>0.24006825659243705</v>
      </c>
      <c r="Y5">
        <f>'FE-Performance Analysis'!AC22</f>
        <v>7.2982740075706474</v>
      </c>
      <c r="Z5" s="69">
        <f>AA5</f>
        <v>109</v>
      </c>
      <c r="AA5" s="69">
        <f>'FE-Performance Analysis'!AD21</f>
        <v>109</v>
      </c>
      <c r="AB5">
        <f>Z5/SQRT('FE-Performance Analysis'!$D$13)</f>
        <v>253.78456190109102</v>
      </c>
      <c r="AC5">
        <f>AB5/'FE-Performance Analysis'!$D$16</f>
        <v>0.26701469355689428</v>
      </c>
      <c r="AD5">
        <f>'FE-Performance Analysis'!AD22</f>
        <v>12.770901335808707</v>
      </c>
      <c r="AE5" s="69">
        <f>AF5</f>
        <v>127</v>
      </c>
      <c r="AF5" s="69">
        <f>'FE-Performance Analysis'!AE21</f>
        <v>127</v>
      </c>
      <c r="AG5">
        <f>AE5/SQRT('FE-Performance Analysis'!$D$13)</f>
        <v>295.69393909576661</v>
      </c>
      <c r="AH5">
        <f>AG5/'FE-Performance Analysis'!$D$16</f>
        <v>0.311108863135097</v>
      </c>
      <c r="AI5">
        <f>'FE-Performance Analysis'!AE22</f>
        <v>3514.9269216651496</v>
      </c>
      <c r="AJ5" s="69">
        <f>AK5</f>
        <v>65</v>
      </c>
      <c r="AK5" s="69">
        <f>'FE-Performance Analysis'!Y21</f>
        <v>65</v>
      </c>
      <c r="AL5">
        <f>AJ5/SQRT('FE-Performance Analysis'!$D$13)</f>
        <v>151.3394176474396</v>
      </c>
      <c r="AM5">
        <f>AL5/'FE-Performance Analysis'!$D$16</f>
        <v>0.1592289456990654</v>
      </c>
      <c r="AN5" t="e">
        <f>SQRT((('FE-Performance Analysis'!D21+2*'FE-Performance Analysis'!#REF!*'FE-Performance Analysis'!D4*'FE-Performance Analysis'!J6)-SQRT(('FE-Performance Analysis'!D21+2*'FE-Performance Analysis'!#REF!*'FE-Performance Analysis'!D4*'FE-Performance Analysis'!J6)^2-4*'FE-Performance Analysis'!#REF!*'FE-Performance Analysis'!D4^2*('FE-Performance Analysis'!J7+'FE-Performance Analysis'!#REF!*'FE-Performance Analysis'!J6^2)))/('FE-Performance Analysis'!D14*'FE-Performance Analysis'!D7*('FE-Performance Analysis'!J7+'FE-Performance Analysis'!#REF!*'FE-Performance Analysis'!J6^2)))</f>
        <v>#REF!</v>
      </c>
    </row>
    <row r="7" spans="1:40">
      <c r="B7" t="s">
        <v>1059</v>
      </c>
      <c r="C7" s="344" t="s">
        <v>1060</v>
      </c>
      <c r="D7" s="344"/>
      <c r="E7" s="344"/>
      <c r="F7" s="344"/>
      <c r="G7" s="345" t="s">
        <v>1061</v>
      </c>
      <c r="H7" s="345"/>
      <c r="I7" s="345"/>
      <c r="J7" s="345"/>
      <c r="K7" s="344" t="s">
        <v>1062</v>
      </c>
      <c r="L7" s="344"/>
      <c r="M7" s="344"/>
      <c r="N7" s="344"/>
      <c r="O7" s="344"/>
      <c r="P7" s="345" t="s">
        <v>1063</v>
      </c>
      <c r="Q7" s="345"/>
      <c r="R7" s="345"/>
      <c r="S7" s="345"/>
      <c r="T7" s="345"/>
      <c r="U7" s="344" t="s">
        <v>1064</v>
      </c>
      <c r="V7" s="344"/>
      <c r="W7" s="344"/>
      <c r="X7" s="344"/>
      <c r="Y7" s="344"/>
      <c r="Z7" s="345" t="s">
        <v>1065</v>
      </c>
      <c r="AA7" s="345"/>
      <c r="AB7" s="345"/>
      <c r="AC7" s="345"/>
      <c r="AD7" s="345"/>
      <c r="AE7" s="344" t="s">
        <v>1066</v>
      </c>
      <c r="AF7" s="344"/>
      <c r="AG7" s="344"/>
      <c r="AH7" s="344"/>
      <c r="AI7" s="344"/>
      <c r="AJ7" s="345" t="s">
        <v>1067</v>
      </c>
      <c r="AK7" s="345"/>
      <c r="AL7" s="345"/>
      <c r="AM7" s="345"/>
    </row>
    <row r="8" spans="1:40">
      <c r="A8" s="91" t="s">
        <v>1068</v>
      </c>
      <c r="B8" s="283"/>
      <c r="C8" s="284" t="s">
        <v>173</v>
      </c>
      <c r="D8" s="285" t="s">
        <v>595</v>
      </c>
      <c r="E8" s="285" t="s">
        <v>596</v>
      </c>
      <c r="F8" s="285" t="s">
        <v>185</v>
      </c>
      <c r="G8" s="91" t="s">
        <v>173</v>
      </c>
      <c r="H8" s="91" t="s">
        <v>595</v>
      </c>
      <c r="I8" s="91" t="s">
        <v>596</v>
      </c>
      <c r="J8" s="91" t="s">
        <v>185</v>
      </c>
      <c r="K8" s="285" t="s">
        <v>173</v>
      </c>
      <c r="L8" s="285" t="s">
        <v>595</v>
      </c>
      <c r="M8" s="285" t="s">
        <v>596</v>
      </c>
      <c r="N8" s="285" t="s">
        <v>185</v>
      </c>
      <c r="O8" s="285" t="s">
        <v>1069</v>
      </c>
      <c r="P8" s="91" t="s">
        <v>173</v>
      </c>
      <c r="Q8" s="91" t="s">
        <v>595</v>
      </c>
      <c r="R8" s="91" t="s">
        <v>596</v>
      </c>
      <c r="S8" s="91" t="s">
        <v>185</v>
      </c>
      <c r="T8" s="91" t="s">
        <v>1070</v>
      </c>
      <c r="U8" s="285" t="s">
        <v>173</v>
      </c>
      <c r="V8" s="285" t="s">
        <v>595</v>
      </c>
      <c r="W8" s="285" t="s">
        <v>596</v>
      </c>
      <c r="X8" s="285" t="s">
        <v>185</v>
      </c>
      <c r="Y8" s="285" t="s">
        <v>1071</v>
      </c>
      <c r="Z8" s="91" t="s">
        <v>173</v>
      </c>
      <c r="AA8" s="91" t="s">
        <v>595</v>
      </c>
      <c r="AB8" s="91" t="s">
        <v>596</v>
      </c>
      <c r="AC8" s="91" t="s">
        <v>185</v>
      </c>
      <c r="AD8" s="91" t="s">
        <v>1072</v>
      </c>
      <c r="AE8" s="285" t="s">
        <v>173</v>
      </c>
      <c r="AF8" s="285" t="s">
        <v>595</v>
      </c>
      <c r="AG8" s="285" t="s">
        <v>596</v>
      </c>
      <c r="AH8" s="285" t="s">
        <v>185</v>
      </c>
      <c r="AI8" s="285" t="s">
        <v>1073</v>
      </c>
      <c r="AJ8" s="91" t="s">
        <v>173</v>
      </c>
      <c r="AK8" s="91" t="s">
        <v>595</v>
      </c>
      <c r="AL8" s="91" t="s">
        <v>596</v>
      </c>
      <c r="AM8" s="91" t="s">
        <v>185</v>
      </c>
    </row>
    <row r="9" spans="1:40">
      <c r="A9">
        <v>0</v>
      </c>
      <c r="B9">
        <v>84.637478685882272</v>
      </c>
      <c r="C9">
        <v>91.394094063596299</v>
      </c>
      <c r="D9">
        <v>91.394094063596299</v>
      </c>
      <c r="E9">
        <v>91.394094063596299</v>
      </c>
      <c r="F9">
        <v>8.187473515937474E-2</v>
      </c>
      <c r="G9">
        <v>111</v>
      </c>
      <c r="H9">
        <v>111</v>
      </c>
      <c r="I9">
        <v>111</v>
      </c>
      <c r="J9">
        <v>9.9438543549287467E-2</v>
      </c>
      <c r="K9">
        <v>139</v>
      </c>
      <c r="L9">
        <v>139</v>
      </c>
      <c r="M9">
        <v>139</v>
      </c>
      <c r="N9">
        <v>0.1245221401202789</v>
      </c>
      <c r="O9">
        <v>23.470885367621477</v>
      </c>
      <c r="P9">
        <v>194</v>
      </c>
      <c r="Q9">
        <v>194</v>
      </c>
      <c r="R9">
        <v>194</v>
      </c>
      <c r="S9">
        <v>0.1737934905275835</v>
      </c>
      <c r="T9">
        <v>2745.7109531809651</v>
      </c>
      <c r="U9">
        <v>109</v>
      </c>
      <c r="V9">
        <v>109</v>
      </c>
      <c r="W9">
        <v>109</v>
      </c>
      <c r="X9">
        <v>9.764685807993094E-2</v>
      </c>
      <c r="Y9">
        <v>10.307653655623406</v>
      </c>
      <c r="Z9">
        <v>127</v>
      </c>
      <c r="AA9">
        <v>127</v>
      </c>
      <c r="AB9">
        <v>127</v>
      </c>
      <c r="AC9">
        <v>0.11377202730413971</v>
      </c>
      <c r="AD9">
        <v>22.63925353965907</v>
      </c>
      <c r="AE9">
        <v>154</v>
      </c>
      <c r="AF9">
        <v>154</v>
      </c>
      <c r="AG9">
        <v>154</v>
      </c>
      <c r="AH9">
        <v>0.13795978114045288</v>
      </c>
      <c r="AI9">
        <v>3160.7869054029893</v>
      </c>
      <c r="AJ9">
        <v>247</v>
      </c>
      <c r="AK9">
        <v>247</v>
      </c>
      <c r="AL9">
        <v>247</v>
      </c>
      <c r="AM9">
        <v>0.22127315546553156</v>
      </c>
    </row>
    <row r="10" spans="1:40">
      <c r="A10">
        <v>1000</v>
      </c>
      <c r="B10">
        <v>86.185971179293233</v>
      </c>
      <c r="C10">
        <v>91.394094063596299</v>
      </c>
      <c r="D10">
        <v>91.394094063596299</v>
      </c>
      <c r="E10">
        <v>93.066202812544418</v>
      </c>
      <c r="F10">
        <v>8.3660786764539793E-2</v>
      </c>
      <c r="G10">
        <v>111</v>
      </c>
      <c r="H10">
        <v>111</v>
      </c>
      <c r="I10">
        <v>113.03081033883971</v>
      </c>
      <c r="J10">
        <v>0.10160773982180994</v>
      </c>
      <c r="K10">
        <v>139</v>
      </c>
      <c r="L10">
        <v>139</v>
      </c>
      <c r="M10">
        <v>141.54308682070919</v>
      </c>
      <c r="N10">
        <v>0.12723852103812236</v>
      </c>
      <c r="O10">
        <v>23.470885367621477</v>
      </c>
      <c r="P10">
        <v>193</v>
      </c>
      <c r="Q10">
        <v>193</v>
      </c>
      <c r="R10">
        <v>196.53104860717175</v>
      </c>
      <c r="S10">
        <v>0.17666931338386774</v>
      </c>
      <c r="T10">
        <v>2771.5254572150534</v>
      </c>
      <c r="U10">
        <v>109</v>
      </c>
      <c r="V10">
        <v>109</v>
      </c>
      <c r="W10">
        <v>110.99421916156334</v>
      </c>
      <c r="X10">
        <v>9.9776969734930485E-2</v>
      </c>
      <c r="Y10">
        <v>10.252704133319911</v>
      </c>
      <c r="Z10">
        <v>126</v>
      </c>
      <c r="AA10">
        <v>126</v>
      </c>
      <c r="AB10">
        <v>128.30524416841266</v>
      </c>
      <c r="AC10">
        <v>0.11533851547340587</v>
      </c>
      <c r="AD10">
        <v>22.458797971104719</v>
      </c>
      <c r="AE10">
        <v>153</v>
      </c>
      <c r="AF10">
        <v>153</v>
      </c>
      <c r="AG10">
        <v>155.79922506164394</v>
      </c>
      <c r="AH10">
        <v>0.14005391164627856</v>
      </c>
      <c r="AI10">
        <v>3187.97198195804</v>
      </c>
      <c r="AJ10">
        <v>246</v>
      </c>
      <c r="AK10">
        <v>246</v>
      </c>
      <c r="AL10">
        <v>250.50071480499614</v>
      </c>
      <c r="AM10">
        <v>0.22518472068617337</v>
      </c>
    </row>
    <row r="11" spans="1:40">
      <c r="A11">
        <v>2000</v>
      </c>
      <c r="B11">
        <v>87.773848252764438</v>
      </c>
      <c r="C11">
        <v>91.394094063596299</v>
      </c>
      <c r="D11">
        <v>91.394094063596299</v>
      </c>
      <c r="E11">
        <v>94.78084021511701</v>
      </c>
      <c r="F11">
        <v>8.5498616320913795E-2</v>
      </c>
      <c r="G11">
        <v>111</v>
      </c>
      <c r="H11">
        <v>111</v>
      </c>
      <c r="I11">
        <v>115.11327259896258</v>
      </c>
      <c r="J11">
        <v>0.1038398214770596</v>
      </c>
      <c r="K11">
        <v>139</v>
      </c>
      <c r="L11">
        <v>139</v>
      </c>
      <c r="M11">
        <v>144.15085487617836</v>
      </c>
      <c r="N11">
        <v>0.13003365031811967</v>
      </c>
      <c r="O11">
        <v>23.470885367621477</v>
      </c>
      <c r="P11">
        <v>192</v>
      </c>
      <c r="Q11">
        <v>192</v>
      </c>
      <c r="R11">
        <v>199.11484990090824</v>
      </c>
      <c r="S11">
        <v>0.17961482633869766</v>
      </c>
      <c r="T11">
        <v>2797.4365388617343</v>
      </c>
      <c r="U11">
        <v>109</v>
      </c>
      <c r="V11">
        <v>109</v>
      </c>
      <c r="W11">
        <v>113.03915957916145</v>
      </c>
      <c r="X11">
        <v>0.10196883370269816</v>
      </c>
      <c r="Y11">
        <v>10.197153042829658</v>
      </c>
      <c r="Z11">
        <v>126</v>
      </c>
      <c r="AA11">
        <v>126</v>
      </c>
      <c r="AB11">
        <v>130.66912024747103</v>
      </c>
      <c r="AC11">
        <v>0.11787222978477034</v>
      </c>
      <c r="AD11">
        <v>22.276798946922987</v>
      </c>
      <c r="AE11">
        <v>153</v>
      </c>
      <c r="AF11">
        <v>153</v>
      </c>
      <c r="AG11">
        <v>158.66964601478625</v>
      </c>
      <c r="AH11">
        <v>0.14313056473864971</v>
      </c>
      <c r="AI11">
        <v>3215.1903583718554</v>
      </c>
      <c r="AJ11">
        <v>244</v>
      </c>
      <c r="AK11">
        <v>244</v>
      </c>
      <c r="AL11">
        <v>253.04178841573756</v>
      </c>
      <c r="AM11">
        <v>0.22826050847209495</v>
      </c>
    </row>
    <row r="12" spans="1:40">
      <c r="A12">
        <v>3000</v>
      </c>
      <c r="B12">
        <v>89.402396734241051</v>
      </c>
      <c r="C12">
        <v>91.394094063596299</v>
      </c>
      <c r="D12">
        <v>91.394094063596299</v>
      </c>
      <c r="E12">
        <v>96.539395826817042</v>
      </c>
      <c r="F12">
        <v>8.7390101674022488E-2</v>
      </c>
      <c r="G12">
        <v>111</v>
      </c>
      <c r="H12">
        <v>111</v>
      </c>
      <c r="I12">
        <v>117.24907442400036</v>
      </c>
      <c r="J12">
        <v>0.10613706919690644</v>
      </c>
      <c r="K12">
        <v>139</v>
      </c>
      <c r="L12">
        <v>139</v>
      </c>
      <c r="M12">
        <v>146.82541752194641</v>
      </c>
      <c r="N12">
        <v>0.13291038394927923</v>
      </c>
      <c r="O12">
        <v>23.470885367621474</v>
      </c>
      <c r="P12">
        <v>191</v>
      </c>
      <c r="Q12">
        <v>191</v>
      </c>
      <c r="R12">
        <v>201.75291184670331</v>
      </c>
      <c r="S12">
        <v>0.18263225420368584</v>
      </c>
      <c r="T12">
        <v>2823.4321215300797</v>
      </c>
      <c r="U12">
        <v>108</v>
      </c>
      <c r="V12">
        <v>108</v>
      </c>
      <c r="W12">
        <v>114.08018052064899</v>
      </c>
      <c r="X12">
        <v>0.10326849975915221</v>
      </c>
      <c r="Y12">
        <v>10.140980015888241</v>
      </c>
      <c r="Z12">
        <v>126</v>
      </c>
      <c r="AA12">
        <v>126</v>
      </c>
      <c r="AB12">
        <v>133.09354394075717</v>
      </c>
      <c r="AC12">
        <v>0.12047991638567759</v>
      </c>
      <c r="AD12">
        <v>22.092261728135803</v>
      </c>
      <c r="AE12">
        <v>153</v>
      </c>
      <c r="AF12">
        <v>153</v>
      </c>
      <c r="AG12">
        <v>161.6135890709194</v>
      </c>
      <c r="AH12">
        <v>0.14629704132546562</v>
      </c>
      <c r="AI12">
        <v>3242.2042058442944</v>
      </c>
      <c r="AJ12">
        <v>242</v>
      </c>
      <c r="AK12">
        <v>242</v>
      </c>
      <c r="AL12">
        <v>255.62410820367646</v>
      </c>
      <c r="AM12">
        <v>0.23139793464550773</v>
      </c>
    </row>
    <row r="13" spans="1:40">
      <c r="A13">
        <v>4000</v>
      </c>
      <c r="B13">
        <v>91.072954944717381</v>
      </c>
      <c r="C13">
        <v>91.394094063596299</v>
      </c>
      <c r="D13">
        <v>91.394094063596299</v>
      </c>
      <c r="E13">
        <v>98.343314806890035</v>
      </c>
      <c r="F13">
        <v>8.9337202633439305E-2</v>
      </c>
      <c r="G13">
        <v>111</v>
      </c>
      <c r="H13">
        <v>111</v>
      </c>
      <c r="I13">
        <v>119.43997098946957</v>
      </c>
      <c r="J13">
        <v>0.10850186321023596</v>
      </c>
      <c r="K13">
        <v>139</v>
      </c>
      <c r="L13">
        <v>139</v>
      </c>
      <c r="M13">
        <v>149.56897268050693</v>
      </c>
      <c r="N13">
        <v>0.13587170257858375</v>
      </c>
      <c r="O13">
        <v>23.470885367621477</v>
      </c>
      <c r="P13">
        <v>190</v>
      </c>
      <c r="Q13">
        <v>190</v>
      </c>
      <c r="R13">
        <v>204.44679718918215</v>
      </c>
      <c r="S13">
        <v>0.185723909999503</v>
      </c>
      <c r="T13">
        <v>2849.4990628869914</v>
      </c>
      <c r="U13">
        <v>108</v>
      </c>
      <c r="V13">
        <v>108</v>
      </c>
      <c r="W13">
        <v>116.21186366542985</v>
      </c>
      <c r="X13">
        <v>0.10556938042077012</v>
      </c>
      <c r="Y13">
        <v>10.084278205783606</v>
      </c>
      <c r="Z13">
        <v>126</v>
      </c>
      <c r="AA13">
        <v>126</v>
      </c>
      <c r="AB13">
        <v>135.58050760966816</v>
      </c>
      <c r="AC13">
        <v>0.12316427715756514</v>
      </c>
      <c r="AD13">
        <v>21.90507857688457</v>
      </c>
      <c r="AE13">
        <v>153</v>
      </c>
      <c r="AF13">
        <v>153</v>
      </c>
      <c r="AG13">
        <v>164.63347352602563</v>
      </c>
      <c r="AH13">
        <v>0.14955662226275768</v>
      </c>
      <c r="AI13">
        <v>3268.9661685180645</v>
      </c>
      <c r="AJ13">
        <v>241</v>
      </c>
      <c r="AK13">
        <v>241</v>
      </c>
      <c r="AL13">
        <v>259.32462169785737</v>
      </c>
      <c r="AM13">
        <v>0.23557611742042223</v>
      </c>
    </row>
    <row r="14" spans="1:40">
      <c r="A14">
        <v>5000</v>
      </c>
      <c r="B14">
        <v>92.786915142232289</v>
      </c>
      <c r="C14">
        <v>91.394094063596299</v>
      </c>
      <c r="D14">
        <v>91.394094063596299</v>
      </c>
      <c r="E14">
        <v>100.19410055742382</v>
      </c>
      <c r="F14">
        <v>9.1341965163960245E-2</v>
      </c>
      <c r="G14">
        <v>111</v>
      </c>
      <c r="H14">
        <v>111</v>
      </c>
      <c r="I14">
        <v>121.68778820801212</v>
      </c>
      <c r="J14">
        <v>0.11093668838321681</v>
      </c>
      <c r="K14">
        <v>139</v>
      </c>
      <c r="L14">
        <v>139</v>
      </c>
      <c r="M14">
        <v>152.38380685507826</v>
      </c>
      <c r="N14">
        <v>0.13892071788528954</v>
      </c>
      <c r="O14">
        <v>23.470885367621477</v>
      </c>
      <c r="P14">
        <v>189</v>
      </c>
      <c r="Q14">
        <v>189</v>
      </c>
      <c r="R14">
        <v>207.19812586769632</v>
      </c>
      <c r="S14">
        <v>0.18889219913899077</v>
      </c>
      <c r="T14">
        <v>2875.6230762197511</v>
      </c>
      <c r="U14">
        <v>108</v>
      </c>
      <c r="V14">
        <v>108</v>
      </c>
      <c r="W14">
        <v>118.39892906725504</v>
      </c>
      <c r="X14">
        <v>0.10793839950799473</v>
      </c>
      <c r="Y14">
        <v>10.026896437008856</v>
      </c>
      <c r="Z14">
        <v>126</v>
      </c>
      <c r="AA14">
        <v>126</v>
      </c>
      <c r="AB14">
        <v>138.13208391179754</v>
      </c>
      <c r="AC14">
        <v>0.12592813275932718</v>
      </c>
      <c r="AD14">
        <v>21.715137520550648</v>
      </c>
      <c r="AE14">
        <v>152</v>
      </c>
      <c r="AF14">
        <v>152</v>
      </c>
      <c r="AG14">
        <v>166.63552979835896</v>
      </c>
      <c r="AH14">
        <v>0.15191330301125186</v>
      </c>
      <c r="AI14">
        <v>3295.6653595964017</v>
      </c>
      <c r="AJ14">
        <v>239</v>
      </c>
      <c r="AK14">
        <v>239</v>
      </c>
      <c r="AL14">
        <v>262.01244488031438</v>
      </c>
      <c r="AM14">
        <v>0.23886368039269204</v>
      </c>
    </row>
    <row r="15" spans="1:40">
      <c r="A15">
        <v>6000</v>
      </c>
      <c r="B15">
        <v>94.545726100326135</v>
      </c>
      <c r="C15">
        <v>91.394094063596299</v>
      </c>
      <c r="D15">
        <v>91.394094063596299</v>
      </c>
      <c r="E15">
        <v>102.09331750764385</v>
      </c>
      <c r="F15">
        <v>9.3406525822921249E-2</v>
      </c>
      <c r="G15">
        <v>111</v>
      </c>
      <c r="H15">
        <v>111</v>
      </c>
      <c r="I15">
        <v>123.99442611097913</v>
      </c>
      <c r="J15">
        <v>0.11344413960851378</v>
      </c>
      <c r="K15">
        <v>139</v>
      </c>
      <c r="L15">
        <v>139</v>
      </c>
      <c r="M15">
        <v>155.27229936419909</v>
      </c>
      <c r="N15">
        <v>0.14206067932958033</v>
      </c>
      <c r="O15">
        <v>23.470885367621477</v>
      </c>
      <c r="P15">
        <v>188</v>
      </c>
      <c r="Q15">
        <v>188</v>
      </c>
      <c r="R15">
        <v>210.00857755733401</v>
      </c>
      <c r="S15">
        <v>0.19213962384144675</v>
      </c>
      <c r="T15">
        <v>2901.7886458574162</v>
      </c>
      <c r="U15">
        <v>108</v>
      </c>
      <c r="V15">
        <v>108</v>
      </c>
      <c r="W15">
        <v>120.64322540527699</v>
      </c>
      <c r="X15">
        <v>0.11037808178125666</v>
      </c>
      <c r="Y15">
        <v>9.9688029352707055</v>
      </c>
      <c r="Z15">
        <v>126</v>
      </c>
      <c r="AA15">
        <v>126</v>
      </c>
      <c r="AB15">
        <v>140.75042963948982</v>
      </c>
      <c r="AC15">
        <v>0.12877442874479944</v>
      </c>
      <c r="AD15">
        <v>21.522322149596558</v>
      </c>
      <c r="AE15">
        <v>152</v>
      </c>
      <c r="AF15">
        <v>152</v>
      </c>
      <c r="AG15">
        <v>169.79416908890835</v>
      </c>
      <c r="AH15">
        <v>0.15534692991436119</v>
      </c>
      <c r="AI15">
        <v>3322.0385858099407</v>
      </c>
      <c r="AJ15">
        <v>237</v>
      </c>
      <c r="AK15">
        <v>237</v>
      </c>
      <c r="AL15">
        <v>264.74485575046896</v>
      </c>
      <c r="AM15">
        <v>0.24221856835331321</v>
      </c>
    </row>
    <row r="16" spans="1:40">
      <c r="A16">
        <v>7000</v>
      </c>
      <c r="B16">
        <v>96.350895829387838</v>
      </c>
      <c r="C16">
        <v>91.394094063596299</v>
      </c>
      <c r="D16">
        <v>91.394094063596299</v>
      </c>
      <c r="E16">
        <v>104.04259405250555</v>
      </c>
      <c r="F16">
        <v>9.5533116460010573E-2</v>
      </c>
      <c r="G16">
        <v>111</v>
      </c>
      <c r="H16">
        <v>111</v>
      </c>
      <c r="I16">
        <v>126.36186241741144</v>
      </c>
      <c r="J16">
        <v>0.11602692751330616</v>
      </c>
      <c r="K16">
        <v>139</v>
      </c>
      <c r="L16">
        <v>139</v>
      </c>
      <c r="M16">
        <v>158.23692681099271</v>
      </c>
      <c r="N16">
        <v>0.14529498130044646</v>
      </c>
      <c r="O16">
        <v>23.470885367621474</v>
      </c>
      <c r="P16">
        <v>187</v>
      </c>
      <c r="Q16">
        <v>187</v>
      </c>
      <c r="R16">
        <v>212.87989434284631</v>
      </c>
      <c r="S16">
        <v>0.19546878779268698</v>
      </c>
      <c r="T16">
        <v>2927.9789361710691</v>
      </c>
      <c r="U16">
        <v>108</v>
      </c>
      <c r="V16">
        <v>108</v>
      </c>
      <c r="W16">
        <v>122.94667694667059</v>
      </c>
      <c r="X16">
        <v>0.11289106460754113</v>
      </c>
      <c r="Y16">
        <v>9.9099646785375484</v>
      </c>
      <c r="Z16">
        <v>125</v>
      </c>
      <c r="AA16">
        <v>125</v>
      </c>
      <c r="AB16">
        <v>142.29939461420207</v>
      </c>
      <c r="AC16">
        <v>0.13066095440687631</v>
      </c>
      <c r="AD16">
        <v>21.327712993851499</v>
      </c>
      <c r="AE16">
        <v>151</v>
      </c>
      <c r="AF16">
        <v>151</v>
      </c>
      <c r="AG16">
        <v>171.89766869395612</v>
      </c>
      <c r="AH16">
        <v>0.15783843292350661</v>
      </c>
      <c r="AI16">
        <v>3348.0520421768551</v>
      </c>
      <c r="AJ16">
        <v>235</v>
      </c>
      <c r="AK16">
        <v>235</v>
      </c>
      <c r="AL16">
        <v>267.52286187469991</v>
      </c>
      <c r="AM16">
        <v>0.24564259428492746</v>
      </c>
    </row>
    <row r="17" spans="1:39">
      <c r="A17">
        <v>8000</v>
      </c>
      <c r="B17">
        <v>98.203994449913182</v>
      </c>
      <c r="C17">
        <v>91.394094063596299</v>
      </c>
      <c r="D17">
        <v>91.394094063596299</v>
      </c>
      <c r="E17">
        <v>106.04362565532506</v>
      </c>
      <c r="F17">
        <v>9.7724069197141383E-2</v>
      </c>
      <c r="G17">
        <v>111</v>
      </c>
      <c r="H17">
        <v>111</v>
      </c>
      <c r="I17">
        <v>128.79215630224834</v>
      </c>
      <c r="J17">
        <v>0.11868788450744513</v>
      </c>
      <c r="K17">
        <v>139</v>
      </c>
      <c r="L17">
        <v>139</v>
      </c>
      <c r="M17">
        <v>161.28026780191459</v>
      </c>
      <c r="N17">
        <v>0.14862717068950337</v>
      </c>
      <c r="O17">
        <v>23.470885367621474</v>
      </c>
      <c r="P17">
        <v>186</v>
      </c>
      <c r="Q17">
        <v>186</v>
      </c>
      <c r="R17">
        <v>215.81388353349723</v>
      </c>
      <c r="S17">
        <v>0.19888240106652968</v>
      </c>
      <c r="T17">
        <v>2954.1756936310121</v>
      </c>
      <c r="U17">
        <v>108</v>
      </c>
      <c r="V17">
        <v>108</v>
      </c>
      <c r="W17">
        <v>125.31128721299838</v>
      </c>
      <c r="X17">
        <v>0.11548010384508174</v>
      </c>
      <c r="Y17">
        <v>9.8503473368969168</v>
      </c>
      <c r="Z17">
        <v>125</v>
      </c>
      <c r="AA17">
        <v>125</v>
      </c>
      <c r="AB17">
        <v>145.03621205208145</v>
      </c>
      <c r="AC17">
        <v>0.13365752759847424</v>
      </c>
      <c r="AD17">
        <v>21.130258541494296</v>
      </c>
      <c r="AE17">
        <v>151</v>
      </c>
      <c r="AF17">
        <v>151</v>
      </c>
      <c r="AG17">
        <v>175.20374415891442</v>
      </c>
      <c r="AH17">
        <v>0.16145829333895689</v>
      </c>
      <c r="AI17">
        <v>3373.862031621235</v>
      </c>
      <c r="AJ17">
        <v>234</v>
      </c>
      <c r="AK17">
        <v>234</v>
      </c>
      <c r="AL17">
        <v>271.50778896149649</v>
      </c>
      <c r="AM17">
        <v>0.25020689166434379</v>
      </c>
    </row>
    <row r="18" spans="1:39">
      <c r="A18">
        <v>9000</v>
      </c>
      <c r="B18">
        <v>100.10665722733765</v>
      </c>
      <c r="C18">
        <v>91.394094063596299</v>
      </c>
      <c r="D18">
        <v>91.394094063596299</v>
      </c>
      <c r="E18">
        <v>108.09817812488298</v>
      </c>
      <c r="F18">
        <v>9.9981821707266091E-2</v>
      </c>
      <c r="G18">
        <v>111</v>
      </c>
      <c r="H18">
        <v>111</v>
      </c>
      <c r="I18">
        <v>131.28745237643707</v>
      </c>
      <c r="J18">
        <v>0.12142997119468177</v>
      </c>
      <c r="K18">
        <v>139</v>
      </c>
      <c r="L18">
        <v>139</v>
      </c>
      <c r="M18">
        <v>164.40500793085366</v>
      </c>
      <c r="N18">
        <v>0.15206095491946639</v>
      </c>
      <c r="O18">
        <v>23.470885367621477</v>
      </c>
      <c r="P18">
        <v>185</v>
      </c>
      <c r="Q18">
        <v>185</v>
      </c>
      <c r="R18">
        <v>218.81242062739514</v>
      </c>
      <c r="S18">
        <v>0.20238328532446964</v>
      </c>
      <c r="T18">
        <v>2980.3591413530175</v>
      </c>
      <c r="U18">
        <v>108</v>
      </c>
      <c r="V18">
        <v>108</v>
      </c>
      <c r="W18">
        <v>127.73914285274959</v>
      </c>
      <c r="X18">
        <v>0.118148080081312</v>
      </c>
      <c r="Y18">
        <v>9.7899152090503705</v>
      </c>
      <c r="Z18">
        <v>125</v>
      </c>
      <c r="AA18">
        <v>125</v>
      </c>
      <c r="AB18">
        <v>147.84623015364537</v>
      </c>
      <c r="AC18">
        <v>0.13674546305707408</v>
      </c>
      <c r="AD18">
        <v>20.929599862154408</v>
      </c>
      <c r="AE18">
        <v>151</v>
      </c>
      <c r="AF18">
        <v>151</v>
      </c>
      <c r="AG18">
        <v>178.5982460256036</v>
      </c>
      <c r="AH18">
        <v>0.16518851937294549</v>
      </c>
      <c r="AI18">
        <v>3399.1574806109111</v>
      </c>
      <c r="AJ18">
        <v>232</v>
      </c>
      <c r="AK18">
        <v>232</v>
      </c>
      <c r="AL18">
        <v>274.40260316516577</v>
      </c>
      <c r="AM18">
        <v>0.25379957943392945</v>
      </c>
    </row>
    <row r="19" spans="1:39">
      <c r="A19">
        <v>10000</v>
      </c>
      <c r="B19">
        <v>102.0605877787965</v>
      </c>
      <c r="C19">
        <v>91.394094063596299</v>
      </c>
      <c r="D19">
        <v>91.394094063596299</v>
      </c>
      <c r="E19">
        <v>110.20809107818026</v>
      </c>
      <c r="F19">
        <v>0.1023089228124342</v>
      </c>
      <c r="G19">
        <v>111</v>
      </c>
      <c r="H19">
        <v>111</v>
      </c>
      <c r="I19">
        <v>133.84998489252101</v>
      </c>
      <c r="J19">
        <v>0.12425628317162328</v>
      </c>
      <c r="K19">
        <v>139</v>
      </c>
      <c r="L19">
        <v>139</v>
      </c>
      <c r="M19">
        <v>167.61394504558936</v>
      </c>
      <c r="N19">
        <v>0.15560021045815886</v>
      </c>
      <c r="O19">
        <v>23.470885367621474</v>
      </c>
      <c r="P19">
        <v>184</v>
      </c>
      <c r="Q19">
        <v>184</v>
      </c>
      <c r="R19">
        <v>221.87745243444922</v>
      </c>
      <c r="S19">
        <v>0.20597437931151966</v>
      </c>
      <c r="T19">
        <v>3006.5078655155376</v>
      </c>
      <c r="U19">
        <v>108</v>
      </c>
      <c r="V19">
        <v>108</v>
      </c>
      <c r="W19">
        <v>130.23241773326367</v>
      </c>
      <c r="X19">
        <v>0.12089800524806588</v>
      </c>
      <c r="Y19">
        <v>9.7286311552311098</v>
      </c>
      <c r="Z19">
        <v>125</v>
      </c>
      <c r="AA19">
        <v>125</v>
      </c>
      <c r="AB19">
        <v>150.73196496905518</v>
      </c>
      <c r="AC19">
        <v>0.13992824681489108</v>
      </c>
      <c r="AD19">
        <v>20.725602093983966</v>
      </c>
      <c r="AE19">
        <v>150</v>
      </c>
      <c r="AF19">
        <v>150</v>
      </c>
      <c r="AG19">
        <v>180.87835796286623</v>
      </c>
      <c r="AH19">
        <v>0.16791389617786931</v>
      </c>
      <c r="AI19">
        <v>3424.0700911354447</v>
      </c>
      <c r="AJ19">
        <v>230</v>
      </c>
      <c r="AK19">
        <v>230</v>
      </c>
      <c r="AL19">
        <v>277.34681554306155</v>
      </c>
      <c r="AM19">
        <v>0.25746797413939959</v>
      </c>
    </row>
    <row r="20" spans="1:39">
      <c r="A20">
        <v>11000</v>
      </c>
      <c r="B20">
        <v>104.06756146291171</v>
      </c>
      <c r="C20">
        <v>91.394094063596299</v>
      </c>
      <c r="D20">
        <v>91.394094063596299</v>
      </c>
      <c r="E20">
        <v>112.37528160083205</v>
      </c>
      <c r="F20">
        <v>0.10470803842293919</v>
      </c>
      <c r="G20">
        <v>111</v>
      </c>
      <c r="H20">
        <v>111</v>
      </c>
      <c r="I20">
        <v>136.48208219026279</v>
      </c>
      <c r="J20">
        <v>0.12717005824094832</v>
      </c>
      <c r="K20">
        <v>139</v>
      </c>
      <c r="L20">
        <v>139</v>
      </c>
      <c r="M20">
        <v>170.90999481483357</v>
      </c>
      <c r="N20">
        <v>0.15924899185127761</v>
      </c>
      <c r="O20">
        <v>23.470885367621477</v>
      </c>
      <c r="P20">
        <v>183</v>
      </c>
      <c r="Q20">
        <v>183</v>
      </c>
      <c r="R20">
        <v>225.01100036773053</v>
      </c>
      <c r="S20">
        <v>0.20965874466750939</v>
      </c>
      <c r="T20">
        <v>3032.5986929745718</v>
      </c>
      <c r="U20">
        <v>107</v>
      </c>
      <c r="V20">
        <v>107</v>
      </c>
      <c r="W20">
        <v>131.56380895818126</v>
      </c>
      <c r="X20">
        <v>0.12258735343947272</v>
      </c>
      <c r="Y20">
        <v>9.666648157731343</v>
      </c>
      <c r="Z20">
        <v>124</v>
      </c>
      <c r="AA20">
        <v>124</v>
      </c>
      <c r="AB20">
        <v>152.4664701945278</v>
      </c>
      <c r="AC20">
        <v>0.14206384884574408</v>
      </c>
      <c r="AD20">
        <v>20.51892333679934</v>
      </c>
      <c r="AE20">
        <v>150</v>
      </c>
      <c r="AF20">
        <v>150</v>
      </c>
      <c r="AG20">
        <v>184.43524620305783</v>
      </c>
      <c r="AH20">
        <v>0.17185143005533557</v>
      </c>
      <c r="AI20">
        <v>3448.4679570472558</v>
      </c>
      <c r="AJ20">
        <v>228</v>
      </c>
      <c r="AK20">
        <v>228</v>
      </c>
      <c r="AL20">
        <v>280.34157422864786</v>
      </c>
      <c r="AM20">
        <v>0.26121417368411004</v>
      </c>
    </row>
    <row r="21" spans="1:39">
      <c r="A21">
        <v>12000</v>
      </c>
      <c r="B21">
        <v>106.12942896450976</v>
      </c>
      <c r="C21">
        <v>91.394094063596299</v>
      </c>
      <c r="D21">
        <v>91.394094063596299</v>
      </c>
      <c r="E21">
        <v>114.60174811795382</v>
      </c>
      <c r="F21">
        <v>0.1071819578410687</v>
      </c>
      <c r="G21">
        <v>111</v>
      </c>
      <c r="H21">
        <v>111</v>
      </c>
      <c r="I21">
        <v>139.18617139791493</v>
      </c>
      <c r="J21">
        <v>0.1301746840674409</v>
      </c>
      <c r="K21">
        <v>139</v>
      </c>
      <c r="L21">
        <v>139</v>
      </c>
      <c r="M21">
        <v>174.29619661540698</v>
      </c>
      <c r="N21">
        <v>0.16301154130967827</v>
      </c>
      <c r="O21">
        <v>23.470885367621477</v>
      </c>
      <c r="P21">
        <v>182</v>
      </c>
      <c r="Q21">
        <v>182</v>
      </c>
      <c r="R21">
        <v>228.21516391369835</v>
      </c>
      <c r="S21">
        <v>0.21343957207454275</v>
      </c>
      <c r="T21">
        <v>3058.606559342501</v>
      </c>
      <c r="U21">
        <v>107</v>
      </c>
      <c r="V21">
        <v>107</v>
      </c>
      <c r="W21">
        <v>134.17045350970179</v>
      </c>
      <c r="X21">
        <v>0.125483704461407</v>
      </c>
      <c r="Y21">
        <v>9.6037732907393174</v>
      </c>
      <c r="Z21">
        <v>124</v>
      </c>
      <c r="AA21">
        <v>124</v>
      </c>
      <c r="AB21">
        <v>155.48725453460767</v>
      </c>
      <c r="AC21">
        <v>0.14542036778705111</v>
      </c>
      <c r="AD21">
        <v>20.309550983914225</v>
      </c>
      <c r="AE21">
        <v>149</v>
      </c>
      <c r="AF21">
        <v>149</v>
      </c>
      <c r="AG21">
        <v>186.83549133593988</v>
      </c>
      <c r="AH21">
        <v>0.17473899032476303</v>
      </c>
      <c r="AI21">
        <v>3472.2411773289396</v>
      </c>
      <c r="AJ21">
        <v>226</v>
      </c>
      <c r="AK21">
        <v>226</v>
      </c>
      <c r="AL21">
        <v>283.38806068404301</v>
      </c>
      <c r="AM21">
        <v>0.26504034774091573</v>
      </c>
    </row>
    <row r="22" spans="1:39">
      <c r="A22">
        <v>13000</v>
      </c>
      <c r="B22">
        <v>108.24812008704664</v>
      </c>
      <c r="C22">
        <v>91.394094063596299</v>
      </c>
      <c r="D22">
        <v>91.394094063596299</v>
      </c>
      <c r="E22">
        <v>116.88957448933581</v>
      </c>
      <c r="F22">
        <v>0.109733600454787</v>
      </c>
      <c r="G22">
        <v>111</v>
      </c>
      <c r="H22">
        <v>111</v>
      </c>
      <c r="I22">
        <v>141.96478340589317</v>
      </c>
      <c r="J22">
        <v>0.13327370630760499</v>
      </c>
      <c r="K22">
        <v>139</v>
      </c>
      <c r="L22">
        <v>139</v>
      </c>
      <c r="M22">
        <v>177.77571976053289</v>
      </c>
      <c r="N22">
        <v>0.16689229888970356</v>
      </c>
      <c r="O22">
        <v>23.470885367621474</v>
      </c>
      <c r="P22">
        <v>180</v>
      </c>
      <c r="Q22">
        <v>180</v>
      </c>
      <c r="R22">
        <v>230.21316227982675</v>
      </c>
      <c r="S22">
        <v>0.21611952374206211</v>
      </c>
      <c r="T22">
        <v>3084.530840880152</v>
      </c>
      <c r="U22">
        <v>107</v>
      </c>
      <c r="V22">
        <v>107</v>
      </c>
      <c r="W22">
        <v>136.84893535523034</v>
      </c>
      <c r="X22">
        <v>0.12847105022444805</v>
      </c>
      <c r="Y22">
        <v>9.5399390337811933</v>
      </c>
      <c r="Z22">
        <v>124</v>
      </c>
      <c r="AA22">
        <v>124</v>
      </c>
      <c r="AB22">
        <v>158.59128957054733</v>
      </c>
      <c r="AC22">
        <v>0.14888233857786504</v>
      </c>
      <c r="AD22">
        <v>20.096456102352256</v>
      </c>
      <c r="AE22">
        <v>149</v>
      </c>
      <c r="AF22">
        <v>149</v>
      </c>
      <c r="AG22">
        <v>190.56533988718994</v>
      </c>
      <c r="AH22">
        <v>0.17889893909759588</v>
      </c>
      <c r="AI22">
        <v>3495.4852324121225</v>
      </c>
      <c r="AJ22">
        <v>224</v>
      </c>
      <c r="AK22">
        <v>224</v>
      </c>
      <c r="AL22">
        <v>286.48749083711772</v>
      </c>
      <c r="AM22">
        <v>0.26894874065678842</v>
      </c>
    </row>
    <row r="23" spans="1:39">
      <c r="A23">
        <v>14000</v>
      </c>
      <c r="B23">
        <v>110.42564776645587</v>
      </c>
      <c r="C23">
        <v>91.394094063596299</v>
      </c>
      <c r="D23">
        <v>91.394094063596299</v>
      </c>
      <c r="E23">
        <v>119.2409343437168</v>
      </c>
      <c r="F23">
        <v>0.11236602284864372</v>
      </c>
      <c r="G23">
        <v>111</v>
      </c>
      <c r="H23">
        <v>111</v>
      </c>
      <c r="I23">
        <v>144.82055813084065</v>
      </c>
      <c r="J23">
        <v>0.13647083724600864</v>
      </c>
      <c r="K23">
        <v>139</v>
      </c>
      <c r="L23">
        <v>139</v>
      </c>
      <c r="M23">
        <v>181.35187009177341</v>
      </c>
      <c r="N23">
        <v>0.17089591330806486</v>
      </c>
      <c r="O23">
        <v>23.470885367621477</v>
      </c>
      <c r="P23">
        <v>179</v>
      </c>
      <c r="Q23">
        <v>179</v>
      </c>
      <c r="R23">
        <v>233.53945860739168</v>
      </c>
      <c r="S23">
        <v>0.22007459339671664</v>
      </c>
      <c r="T23">
        <v>3110.3334116009323</v>
      </c>
      <c r="U23">
        <v>107</v>
      </c>
      <c r="V23">
        <v>107</v>
      </c>
      <c r="W23">
        <v>139.60179927927882</v>
      </c>
      <c r="X23">
        <v>0.13155296923714346</v>
      </c>
      <c r="Y23">
        <v>9.4751021219281224</v>
      </c>
      <c r="Z23">
        <v>124</v>
      </c>
      <c r="AA23">
        <v>124</v>
      </c>
      <c r="AB23">
        <v>161.78152439841656</v>
      </c>
      <c r="AC23">
        <v>0.15245390827482044</v>
      </c>
      <c r="AD23">
        <v>19.879481713252353</v>
      </c>
      <c r="AE23">
        <v>148</v>
      </c>
      <c r="AF23">
        <v>148</v>
      </c>
      <c r="AG23">
        <v>193.09407750778752</v>
      </c>
      <c r="AH23">
        <v>0.18196111632801151</v>
      </c>
      <c r="AI23">
        <v>3517.8903135143346</v>
      </c>
      <c r="AJ23">
        <v>222</v>
      </c>
      <c r="AK23">
        <v>222</v>
      </c>
      <c r="AL23">
        <v>289.6411162616813</v>
      </c>
      <c r="AM23">
        <v>0.27294167449201728</v>
      </c>
    </row>
    <row r="24" spans="1:39">
      <c r="A24">
        <v>15000</v>
      </c>
      <c r="B24">
        <v>112.66411232115568</v>
      </c>
      <c r="C24">
        <v>91.394094063596299</v>
      </c>
      <c r="D24">
        <v>91.394094063596299</v>
      </c>
      <c r="E24">
        <v>121.65809566806975</v>
      </c>
      <c r="F24">
        <v>0.11508242636134075</v>
      </c>
      <c r="G24">
        <v>111</v>
      </c>
      <c r="H24">
        <v>111</v>
      </c>
      <c r="I24">
        <v>147.75625008940941</v>
      </c>
      <c r="J24">
        <v>0.13976996497410402</v>
      </c>
      <c r="K24">
        <v>139</v>
      </c>
      <c r="L24">
        <v>139</v>
      </c>
      <c r="M24">
        <v>185.02809695880998</v>
      </c>
      <c r="N24">
        <v>0.17502725343604017</v>
      </c>
      <c r="O24">
        <v>23.470885367621477</v>
      </c>
      <c r="P24">
        <v>178</v>
      </c>
      <c r="Q24">
        <v>178</v>
      </c>
      <c r="R24">
        <v>236.9424550983322</v>
      </c>
      <c r="S24">
        <v>0.22413561950802266</v>
      </c>
      <c r="T24">
        <v>3135.9734593081603</v>
      </c>
      <c r="U24">
        <v>107</v>
      </c>
      <c r="V24">
        <v>107</v>
      </c>
      <c r="W24">
        <v>142.43170053663789</v>
      </c>
      <c r="X24">
        <v>0.1347332094795417</v>
      </c>
      <c r="Y24">
        <v>9.4092174708088265</v>
      </c>
      <c r="Z24">
        <v>123</v>
      </c>
      <c r="AA24">
        <v>123</v>
      </c>
      <c r="AB24">
        <v>163.72989874772392</v>
      </c>
      <c r="AC24">
        <v>0.15488023145779092</v>
      </c>
      <c r="AD24">
        <v>19.660030491614219</v>
      </c>
      <c r="AE24">
        <v>148</v>
      </c>
      <c r="AF24">
        <v>148</v>
      </c>
      <c r="AG24">
        <v>197.00833345254586</v>
      </c>
      <c r="AH24">
        <v>0.18635995329880534</v>
      </c>
      <c r="AI24">
        <v>3539.683526465541</v>
      </c>
      <c r="AJ24">
        <v>220</v>
      </c>
      <c r="AK24">
        <v>220</v>
      </c>
      <c r="AL24">
        <v>292.85022540243307</v>
      </c>
      <c r="AM24">
        <v>0.27702155220092689</v>
      </c>
    </row>
    <row r="25" spans="1:39">
      <c r="A25">
        <v>16000</v>
      </c>
      <c r="B25">
        <v>114.96570595405311</v>
      </c>
      <c r="C25">
        <v>91.394094063596299</v>
      </c>
      <c r="D25">
        <v>91.394094063596299</v>
      </c>
      <c r="E25">
        <v>124.143425669001</v>
      </c>
      <c r="F25">
        <v>0.11788616512170967</v>
      </c>
      <c r="G25">
        <v>111</v>
      </c>
      <c r="H25">
        <v>111</v>
      </c>
      <c r="I25">
        <v>150.7747343025294</v>
      </c>
      <c r="J25">
        <v>0.14317516315008674</v>
      </c>
      <c r="K25">
        <v>139</v>
      </c>
      <c r="L25">
        <v>139</v>
      </c>
      <c r="M25">
        <v>188.80800061307735</v>
      </c>
      <c r="N25">
        <v>0.17929142052127978</v>
      </c>
      <c r="O25">
        <v>23.470885367621474</v>
      </c>
      <c r="P25">
        <v>177</v>
      </c>
      <c r="Q25">
        <v>177</v>
      </c>
      <c r="R25">
        <v>240.42457632024957</v>
      </c>
      <c r="S25">
        <v>0.2283063412393275</v>
      </c>
      <c r="T25">
        <v>3161.4174841312342</v>
      </c>
      <c r="U25">
        <v>106</v>
      </c>
      <c r="V25">
        <v>106</v>
      </c>
      <c r="W25">
        <v>143.98307960421727</v>
      </c>
      <c r="X25">
        <v>0.1367258314766594</v>
      </c>
      <c r="Y25">
        <v>9.3424131989183277</v>
      </c>
      <c r="Z25">
        <v>123</v>
      </c>
      <c r="AA25">
        <v>123</v>
      </c>
      <c r="AB25">
        <v>167.07470557847853</v>
      </c>
      <c r="AC25">
        <v>0.15865355916631232</v>
      </c>
      <c r="AD25">
        <v>19.436818068177313</v>
      </c>
      <c r="AE25">
        <v>147</v>
      </c>
      <c r="AF25">
        <v>147</v>
      </c>
      <c r="AG25">
        <v>199.67464813037677</v>
      </c>
      <c r="AH25">
        <v>0.18961035119876352</v>
      </c>
      <c r="AI25">
        <v>3560.4595919131302</v>
      </c>
      <c r="AJ25">
        <v>218</v>
      </c>
      <c r="AK25">
        <v>218</v>
      </c>
      <c r="AL25">
        <v>296.1161448464091</v>
      </c>
      <c r="AM25">
        <v>0.28119086096143159</v>
      </c>
    </row>
    <row r="26" spans="1:39">
      <c r="A26">
        <v>17000</v>
      </c>
      <c r="B26">
        <v>117.3327175235783</v>
      </c>
      <c r="C26">
        <v>91.394094063596299</v>
      </c>
      <c r="D26">
        <v>91.394094063596299</v>
      </c>
      <c r="E26">
        <v>126.69939592465666</v>
      </c>
      <c r="F26">
        <v>0.12078075459737736</v>
      </c>
      <c r="G26">
        <v>111</v>
      </c>
      <c r="H26">
        <v>111</v>
      </c>
      <c r="I26">
        <v>153.87901255250424</v>
      </c>
      <c r="J26">
        <v>0.14669070138142515</v>
      </c>
      <c r="K26">
        <v>139</v>
      </c>
      <c r="L26">
        <v>139</v>
      </c>
      <c r="M26">
        <v>192.69534004322603</v>
      </c>
      <c r="N26">
        <v>0.18369376118935221</v>
      </c>
      <c r="O26">
        <v>23.470885367621477</v>
      </c>
      <c r="P26">
        <v>176</v>
      </c>
      <c r="Q26">
        <v>176</v>
      </c>
      <c r="R26">
        <v>243.98834422739412</v>
      </c>
      <c r="S26">
        <v>0.23259066164982728</v>
      </c>
      <c r="T26">
        <v>3186.6293113714769</v>
      </c>
      <c r="U26">
        <v>106</v>
      </c>
      <c r="V26">
        <v>106</v>
      </c>
      <c r="W26">
        <v>146.94752550058965</v>
      </c>
      <c r="X26">
        <v>0.14008301213000962</v>
      </c>
      <c r="Y26">
        <v>9.2745882909057293</v>
      </c>
      <c r="Z26">
        <v>123</v>
      </c>
      <c r="AA26">
        <v>123</v>
      </c>
      <c r="AB26">
        <v>170.51458147709928</v>
      </c>
      <c r="AC26">
        <v>0.16254915558482244</v>
      </c>
      <c r="AD26">
        <v>19.209278340376546</v>
      </c>
      <c r="AE26">
        <v>147</v>
      </c>
      <c r="AF26">
        <v>147</v>
      </c>
      <c r="AG26">
        <v>203.78571932628941</v>
      </c>
      <c r="AH26">
        <v>0.19426606399161711</v>
      </c>
      <c r="AI26">
        <v>3580.4577905095593</v>
      </c>
      <c r="AJ26">
        <v>216</v>
      </c>
      <c r="AK26">
        <v>216</v>
      </c>
      <c r="AL26">
        <v>299.44024064271093</v>
      </c>
      <c r="AM26">
        <v>0.28545217566115161</v>
      </c>
    </row>
    <row r="27" spans="1:39">
      <c r="A27">
        <v>18000</v>
      </c>
      <c r="B27">
        <v>119.767537602076</v>
      </c>
      <c r="C27">
        <v>91.394094063596299</v>
      </c>
      <c r="D27">
        <v>91.394094063596299</v>
      </c>
      <c r="E27">
        <v>129.32858784692584</v>
      </c>
      <c r="F27">
        <v>0.12376988069314231</v>
      </c>
      <c r="G27">
        <v>111</v>
      </c>
      <c r="H27">
        <v>111</v>
      </c>
      <c r="I27">
        <v>157.07222001696911</v>
      </c>
      <c r="J27">
        <v>0.15032105627502509</v>
      </c>
      <c r="K27">
        <v>139</v>
      </c>
      <c r="L27">
        <v>139</v>
      </c>
      <c r="M27">
        <v>196.69404128251088</v>
      </c>
      <c r="N27">
        <v>0.18823988128133773</v>
      </c>
      <c r="O27">
        <v>23.470885367621477</v>
      </c>
      <c r="P27">
        <v>175</v>
      </c>
      <c r="Q27">
        <v>175</v>
      </c>
      <c r="R27">
        <v>247.63638290963601</v>
      </c>
      <c r="S27">
        <v>0.23699265628945401</v>
      </c>
      <c r="T27">
        <v>3211.5698866339644</v>
      </c>
      <c r="U27">
        <v>106</v>
      </c>
      <c r="V27">
        <v>106</v>
      </c>
      <c r="W27">
        <v>149.99689479097952</v>
      </c>
      <c r="X27">
        <v>0.14354983752389786</v>
      </c>
      <c r="Y27">
        <v>9.2055839476793899</v>
      </c>
      <c r="Z27">
        <v>122</v>
      </c>
      <c r="AA27">
        <v>122</v>
      </c>
      <c r="AB27">
        <v>172.63793551414625</v>
      </c>
      <c r="AC27">
        <v>0.16521773752750507</v>
      </c>
      <c r="AD27">
        <v>18.978623759135058</v>
      </c>
      <c r="AE27">
        <v>146</v>
      </c>
      <c r="AF27">
        <v>146</v>
      </c>
      <c r="AG27">
        <v>206.59949659889631</v>
      </c>
      <c r="AH27">
        <v>0.19771958753291588</v>
      </c>
      <c r="AI27">
        <v>3599.3070733509412</v>
      </c>
      <c r="AJ27">
        <v>214</v>
      </c>
      <c r="AK27">
        <v>214</v>
      </c>
      <c r="AL27">
        <v>302.82391967235486</v>
      </c>
      <c r="AM27">
        <v>0.2898081625482466</v>
      </c>
    </row>
    <row r="28" spans="1:39">
      <c r="A28">
        <v>19000</v>
      </c>
      <c r="B28">
        <v>122.27266384128674</v>
      </c>
      <c r="C28">
        <v>91.394094063596299</v>
      </c>
      <c r="D28">
        <v>91.394094063596299</v>
      </c>
      <c r="E28">
        <v>132.03369847524846</v>
      </c>
      <c r="F28">
        <v>0.12685740943907556</v>
      </c>
      <c r="G28">
        <v>111</v>
      </c>
      <c r="H28">
        <v>111</v>
      </c>
      <c r="I28">
        <v>160.35763230558888</v>
      </c>
      <c r="J28">
        <v>0.15407092320362675</v>
      </c>
      <c r="K28">
        <v>139</v>
      </c>
      <c r="L28">
        <v>139</v>
      </c>
      <c r="M28">
        <v>200.8082062205122</v>
      </c>
      <c r="N28">
        <v>0.19293566058832542</v>
      </c>
      <c r="O28">
        <v>23.470885367621477</v>
      </c>
      <c r="P28">
        <v>173</v>
      </c>
      <c r="Q28">
        <v>173</v>
      </c>
      <c r="R28">
        <v>249.92676026006197</v>
      </c>
      <c r="S28">
        <v>0.24012855598403093</v>
      </c>
      <c r="T28">
        <v>3236.2780911380414</v>
      </c>
      <c r="U28">
        <v>106</v>
      </c>
      <c r="V28">
        <v>106</v>
      </c>
      <c r="W28">
        <v>153.13431553506686</v>
      </c>
      <c r="X28">
        <v>0.14713079152778771</v>
      </c>
      <c r="Y28">
        <v>9.1353472906043152</v>
      </c>
      <c r="Z28">
        <v>122</v>
      </c>
      <c r="AA28">
        <v>122</v>
      </c>
      <c r="AB28">
        <v>176.24892920073734</v>
      </c>
      <c r="AC28">
        <v>0.16933921289047268</v>
      </c>
      <c r="AD28">
        <v>18.744146844801989</v>
      </c>
      <c r="AE28">
        <v>146</v>
      </c>
      <c r="AF28">
        <v>146</v>
      </c>
      <c r="AG28">
        <v>210.92084969924304</v>
      </c>
      <c r="AH28">
        <v>0.20265184493450009</v>
      </c>
      <c r="AI28">
        <v>3617.1115560967755</v>
      </c>
      <c r="AJ28">
        <v>212</v>
      </c>
      <c r="AK28">
        <v>212</v>
      </c>
      <c r="AL28">
        <v>306.26863107013372</v>
      </c>
      <c r="AM28">
        <v>0.29426158305557543</v>
      </c>
    </row>
    <row r="29" spans="1:39">
      <c r="A29">
        <v>20000</v>
      </c>
      <c r="B29">
        <v>124.85070666617371</v>
      </c>
      <c r="C29">
        <v>91.394094063596299</v>
      </c>
      <c r="D29">
        <v>91.394094063596299</v>
      </c>
      <c r="E29">
        <v>134.81754662498076</v>
      </c>
      <c r="F29">
        <v>0.13004739731161774</v>
      </c>
      <c r="G29">
        <v>111</v>
      </c>
      <c r="H29">
        <v>111</v>
      </c>
      <c r="I29">
        <v>163.73867292737418</v>
      </c>
      <c r="J29">
        <v>0.15794522884098874</v>
      </c>
      <c r="K29">
        <v>139</v>
      </c>
      <c r="L29">
        <v>139</v>
      </c>
      <c r="M29">
        <v>205.04212195409917</v>
      </c>
      <c r="N29">
        <v>0.19778726854862552</v>
      </c>
      <c r="O29">
        <v>23.470885367621477</v>
      </c>
      <c r="P29">
        <v>172</v>
      </c>
      <c r="Q29">
        <v>172</v>
      </c>
      <c r="R29">
        <v>253.72118687845366</v>
      </c>
      <c r="S29">
        <v>0.24474395820405462</v>
      </c>
      <c r="T29">
        <v>3260.6429727592508</v>
      </c>
      <c r="U29">
        <v>105</v>
      </c>
      <c r="V29">
        <v>105</v>
      </c>
      <c r="W29">
        <v>154.88793385021881</v>
      </c>
      <c r="X29">
        <v>0.149407648903638</v>
      </c>
      <c r="Y29">
        <v>9.0639219587778985</v>
      </c>
      <c r="Z29">
        <v>122</v>
      </c>
      <c r="AA29">
        <v>122</v>
      </c>
      <c r="AB29">
        <v>179.96502790215899</v>
      </c>
      <c r="AC29">
        <v>0.17359745872613175</v>
      </c>
      <c r="AD29">
        <v>18.504839957045835</v>
      </c>
      <c r="AE29">
        <v>145</v>
      </c>
      <c r="AF29">
        <v>145</v>
      </c>
      <c r="AG29">
        <v>213.89286103125454</v>
      </c>
      <c r="AH29">
        <v>0.20632484848597626</v>
      </c>
      <c r="AI29">
        <v>3633.6938472458196</v>
      </c>
      <c r="AJ29">
        <v>209</v>
      </c>
      <c r="AK29">
        <v>209</v>
      </c>
      <c r="AL29">
        <v>308.30074452091173</v>
      </c>
      <c r="AM29">
        <v>0.29739236781771755</v>
      </c>
    </row>
    <row r="30" spans="1:39">
      <c r="A30">
        <v>21000</v>
      </c>
      <c r="B30">
        <v>127.50439532000614</v>
      </c>
      <c r="C30">
        <v>91.394094063596299</v>
      </c>
      <c r="D30">
        <v>91.394094063596299</v>
      </c>
      <c r="E30">
        <v>137.68307941505799</v>
      </c>
      <c r="F30">
        <v>0.13334410223449394</v>
      </c>
      <c r="G30">
        <v>111</v>
      </c>
      <c r="H30">
        <v>111</v>
      </c>
      <c r="I30">
        <v>167.21892121866136</v>
      </c>
      <c r="J30">
        <v>0.16194914452272444</v>
      </c>
      <c r="K30">
        <v>139</v>
      </c>
      <c r="L30">
        <v>139</v>
      </c>
      <c r="M30">
        <v>209.40027071526063</v>
      </c>
      <c r="N30">
        <v>0.20280118097890718</v>
      </c>
      <c r="O30">
        <v>23.470885367621477</v>
      </c>
      <c r="P30">
        <v>171</v>
      </c>
      <c r="Q30">
        <v>171</v>
      </c>
      <c r="R30">
        <v>257.60752728280266</v>
      </c>
      <c r="S30">
        <v>0.24948922264311602</v>
      </c>
      <c r="T30">
        <v>3284.6127665286413</v>
      </c>
      <c r="U30">
        <v>105</v>
      </c>
      <c r="V30">
        <v>105</v>
      </c>
      <c r="W30">
        <v>158.18006061224725</v>
      </c>
      <c r="X30">
        <v>0.15319513671068527</v>
      </c>
      <c r="Y30">
        <v>8.9914127064680116</v>
      </c>
      <c r="Z30">
        <v>121</v>
      </c>
      <c r="AA30">
        <v>121</v>
      </c>
      <c r="AB30">
        <v>182.28368889601825</v>
      </c>
      <c r="AC30">
        <v>0.17653915754278968</v>
      </c>
      <c r="AD30">
        <v>18.262604001560614</v>
      </c>
      <c r="AE30">
        <v>145</v>
      </c>
      <c r="AF30">
        <v>145</v>
      </c>
      <c r="AG30">
        <v>218.43913132167475</v>
      </c>
      <c r="AH30">
        <v>0.21155518879094631</v>
      </c>
      <c r="AI30">
        <v>3648.8427532967967</v>
      </c>
      <c r="AJ30">
        <v>207</v>
      </c>
      <c r="AK30">
        <v>207</v>
      </c>
      <c r="AL30">
        <v>311.84069092128743</v>
      </c>
      <c r="AM30">
        <v>0.30201326951535096</v>
      </c>
    </row>
    <row r="31" spans="1:39">
      <c r="A31">
        <v>22000</v>
      </c>
      <c r="B31">
        <v>130.23658428540941</v>
      </c>
      <c r="C31">
        <v>91.394094063596299</v>
      </c>
      <c r="D31">
        <v>91.394094063596299</v>
      </c>
      <c r="E31">
        <v>140.6333792016375</v>
      </c>
      <c r="F31">
        <v>0.13675199531014445</v>
      </c>
      <c r="G31">
        <v>111</v>
      </c>
      <c r="H31">
        <v>111</v>
      </c>
      <c r="I31">
        <v>170.80212076416424</v>
      </c>
      <c r="J31">
        <v>0.16608810049436504</v>
      </c>
      <c r="K31">
        <v>139</v>
      </c>
      <c r="L31">
        <v>139</v>
      </c>
      <c r="M31">
        <v>213.88734041638588</v>
      </c>
      <c r="N31">
        <v>0.20798419791636705</v>
      </c>
      <c r="O31">
        <v>23.470885367621477</v>
      </c>
      <c r="P31">
        <v>169</v>
      </c>
      <c r="Q31">
        <v>169</v>
      </c>
      <c r="R31">
        <v>260.05007575805189</v>
      </c>
      <c r="S31">
        <v>0.25287287372565492</v>
      </c>
      <c r="T31">
        <v>3308.1665537576205</v>
      </c>
      <c r="U31">
        <v>105</v>
      </c>
      <c r="V31">
        <v>105</v>
      </c>
      <c r="W31">
        <v>161.56957369583105</v>
      </c>
      <c r="X31">
        <v>0.15711036533250747</v>
      </c>
      <c r="Y31">
        <v>8.917515566256192</v>
      </c>
      <c r="Z31">
        <v>121</v>
      </c>
      <c r="AA31">
        <v>121</v>
      </c>
      <c r="AB31">
        <v>186.18969921138626</v>
      </c>
      <c r="AC31">
        <v>0.18105099243079434</v>
      </c>
      <c r="AD31">
        <v>18.015570061030385</v>
      </c>
      <c r="AE31">
        <v>144</v>
      </c>
      <c r="AF31">
        <v>144</v>
      </c>
      <c r="AG31">
        <v>221.58112963999687</v>
      </c>
      <c r="AH31">
        <v>0.2154656438845817</v>
      </c>
      <c r="AI31">
        <v>3662.7689152776629</v>
      </c>
      <c r="AJ31">
        <v>205</v>
      </c>
      <c r="AK31">
        <v>205</v>
      </c>
      <c r="AL31">
        <v>315.44535816805109</v>
      </c>
      <c r="AM31">
        <v>0.30673928469680029</v>
      </c>
    </row>
    <row r="32" spans="1:39">
      <c r="A32">
        <v>23000</v>
      </c>
      <c r="B32">
        <v>133.05026010804647</v>
      </c>
      <c r="C32">
        <v>91.394094063596299</v>
      </c>
      <c r="D32">
        <v>91.394094063596299</v>
      </c>
      <c r="E32">
        <v>143.67167094651498</v>
      </c>
      <c r="F32">
        <v>0.14027577333659533</v>
      </c>
      <c r="G32">
        <v>111</v>
      </c>
      <c r="H32">
        <v>111</v>
      </c>
      <c r="I32">
        <v>174.49218834606648</v>
      </c>
      <c r="J32">
        <v>0.17036780111335553</v>
      </c>
      <c r="K32">
        <v>139</v>
      </c>
      <c r="L32">
        <v>139</v>
      </c>
      <c r="M32">
        <v>218.50823585678594</v>
      </c>
      <c r="N32">
        <v>0.21334346265546322</v>
      </c>
      <c r="O32">
        <v>23.470885367621477</v>
      </c>
      <c r="P32">
        <v>168</v>
      </c>
      <c r="Q32">
        <v>168</v>
      </c>
      <c r="R32">
        <v>264.09628506431682</v>
      </c>
      <c r="S32">
        <v>0.2578539692526462</v>
      </c>
      <c r="T32">
        <v>3331.3140766913671</v>
      </c>
      <c r="U32">
        <v>105</v>
      </c>
      <c r="V32">
        <v>105</v>
      </c>
      <c r="W32">
        <v>165.06017816519801</v>
      </c>
      <c r="X32">
        <v>0.16115873078290385</v>
      </c>
      <c r="Y32">
        <v>8.8421681598616058</v>
      </c>
      <c r="Z32">
        <v>120</v>
      </c>
      <c r="AA32">
        <v>120</v>
      </c>
      <c r="AB32">
        <v>188.64020361736917</v>
      </c>
      <c r="AC32">
        <v>0.18418140660903301</v>
      </c>
      <c r="AD32">
        <v>17.764150687583417</v>
      </c>
      <c r="AE32">
        <v>143</v>
      </c>
      <c r="AF32">
        <v>143</v>
      </c>
      <c r="AG32">
        <v>224.79624264403159</v>
      </c>
      <c r="AH32">
        <v>0.21948284287576433</v>
      </c>
      <c r="AI32">
        <v>3675.0272986086311</v>
      </c>
      <c r="AJ32">
        <v>203</v>
      </c>
      <c r="AK32">
        <v>203</v>
      </c>
      <c r="AL32">
        <v>319.11634445271619</v>
      </c>
      <c r="AM32">
        <v>0.31157354618028082</v>
      </c>
    </row>
    <row r="33" spans="1:39">
      <c r="A33">
        <v>24000</v>
      </c>
      <c r="B33">
        <v>135.94854865172485</v>
      </c>
      <c r="C33">
        <v>91.394094063596299</v>
      </c>
      <c r="D33">
        <v>91.394094063596299</v>
      </c>
      <c r="E33">
        <v>146.80133005140706</v>
      </c>
      <c r="F33">
        <v>0.14392037216931805</v>
      </c>
      <c r="G33">
        <v>111</v>
      </c>
      <c r="H33">
        <v>111</v>
      </c>
      <c r="I33">
        <v>178.29322345891842</v>
      </c>
      <c r="J33">
        <v>0.17479424107730676</v>
      </c>
      <c r="K33">
        <v>139</v>
      </c>
      <c r="L33">
        <v>139</v>
      </c>
      <c r="M33">
        <v>223.26809063774471</v>
      </c>
      <c r="N33">
        <v>0.21888648206978056</v>
      </c>
      <c r="O33">
        <v>23.470885367621477</v>
      </c>
      <c r="P33">
        <v>167</v>
      </c>
      <c r="Q33">
        <v>167</v>
      </c>
      <c r="R33">
        <v>268.24295781657094</v>
      </c>
      <c r="S33">
        <v>0.26297872306225428</v>
      </c>
      <c r="T33">
        <v>3353.9137006324659</v>
      </c>
      <c r="U33">
        <v>104</v>
      </c>
      <c r="V33">
        <v>104</v>
      </c>
      <c r="W33">
        <v>167.04950666421186</v>
      </c>
      <c r="X33">
        <v>0.16377118082918835</v>
      </c>
      <c r="Y33">
        <v>8.7655286063720617</v>
      </c>
      <c r="Z33">
        <v>120</v>
      </c>
      <c r="AA33">
        <v>120</v>
      </c>
      <c r="AB33">
        <v>192.74943076639829</v>
      </c>
      <c r="AC33">
        <v>0.18896674711060191</v>
      </c>
      <c r="AD33">
        <v>17.508881866398095</v>
      </c>
      <c r="AE33">
        <v>143</v>
      </c>
      <c r="AF33">
        <v>143</v>
      </c>
      <c r="AG33">
        <v>229.69307166329131</v>
      </c>
      <c r="AH33">
        <v>0.22518537364013397</v>
      </c>
      <c r="AI33">
        <v>3685.5514941685387</v>
      </c>
      <c r="AJ33">
        <v>200</v>
      </c>
      <c r="AK33">
        <v>200</v>
      </c>
      <c r="AL33">
        <v>321.24905127733052</v>
      </c>
      <c r="AM33">
        <v>0.31494457851766988</v>
      </c>
    </row>
    <row r="34" spans="1:39">
      <c r="A34">
        <v>25000</v>
      </c>
      <c r="B34">
        <v>138.93472281603766</v>
      </c>
      <c r="C34">
        <v>91.394094063596299</v>
      </c>
      <c r="D34">
        <v>91.394094063596299</v>
      </c>
      <c r="E34">
        <v>150.02589069169247</v>
      </c>
      <c r="F34">
        <v>0.14769098099267208</v>
      </c>
      <c r="G34">
        <v>111</v>
      </c>
      <c r="H34">
        <v>111</v>
      </c>
      <c r="I34">
        <v>182.20951843113639</v>
      </c>
      <c r="J34">
        <v>0.17937372275695512</v>
      </c>
      <c r="K34">
        <v>139</v>
      </c>
      <c r="L34">
        <v>139</v>
      </c>
      <c r="M34">
        <v>228.17227983718882</v>
      </c>
      <c r="N34">
        <v>0.22462114831726812</v>
      </c>
      <c r="O34">
        <v>23.470885367621474</v>
      </c>
      <c r="P34">
        <v>165</v>
      </c>
      <c r="Q34">
        <v>165</v>
      </c>
      <c r="R34">
        <v>270.85198685709463</v>
      </c>
      <c r="S34">
        <v>0.26663661490898732</v>
      </c>
      <c r="T34">
        <v>3375.9525802996682</v>
      </c>
      <c r="U34">
        <v>104</v>
      </c>
      <c r="V34">
        <v>104</v>
      </c>
      <c r="W34">
        <v>170.71882807962328</v>
      </c>
      <c r="X34">
        <v>0.16806186636687687</v>
      </c>
      <c r="Y34">
        <v>8.6875129202795502</v>
      </c>
      <c r="Z34">
        <v>119</v>
      </c>
      <c r="AA34">
        <v>119</v>
      </c>
      <c r="AB34">
        <v>195.3417359757228</v>
      </c>
      <c r="AC34">
        <v>0.19230155863133025</v>
      </c>
      <c r="AD34">
        <v>17.248249739990882</v>
      </c>
      <c r="AE34">
        <v>142</v>
      </c>
      <c r="AF34">
        <v>142</v>
      </c>
      <c r="AG34">
        <v>233.09686141640873</v>
      </c>
      <c r="AH34">
        <v>0.22946908677015881</v>
      </c>
      <c r="AI34">
        <v>3694.488988899649</v>
      </c>
      <c r="AJ34">
        <v>198</v>
      </c>
      <c r="AK34">
        <v>198</v>
      </c>
      <c r="AL34">
        <v>325.02238422851354</v>
      </c>
      <c r="AM34">
        <v>0.31996393789078481</v>
      </c>
    </row>
    <row r="35" spans="1:39">
      <c r="A35">
        <v>26000</v>
      </c>
      <c r="B35">
        <v>142.0122107501754</v>
      </c>
      <c r="C35">
        <v>91.394094063596299</v>
      </c>
      <c r="D35">
        <v>91.394094063596299</v>
      </c>
      <c r="E35">
        <v>153.34905468593232</v>
      </c>
      <c r="F35">
        <v>0.15159305757105584</v>
      </c>
      <c r="G35">
        <v>111</v>
      </c>
      <c r="H35">
        <v>111</v>
      </c>
      <c r="I35">
        <v>186.24556919721704</v>
      </c>
      <c r="J35">
        <v>0.18411287471899773</v>
      </c>
      <c r="K35">
        <v>139</v>
      </c>
      <c r="L35">
        <v>139</v>
      </c>
      <c r="M35">
        <v>233.22643349921773</v>
      </c>
      <c r="N35">
        <v>0.23055576203550168</v>
      </c>
      <c r="O35">
        <v>23.470885367621477</v>
      </c>
      <c r="P35">
        <v>164</v>
      </c>
      <c r="Q35">
        <v>164</v>
      </c>
      <c r="R35">
        <v>275.17363376886124</v>
      </c>
      <c r="S35">
        <v>0.27202262571095165</v>
      </c>
      <c r="T35">
        <v>3397.4260960233073</v>
      </c>
      <c r="U35">
        <v>104</v>
      </c>
      <c r="V35">
        <v>104</v>
      </c>
      <c r="W35">
        <v>174.50035312171687</v>
      </c>
      <c r="X35">
        <v>0.17250215288987175</v>
      </c>
      <c r="Y35">
        <v>8.6078621379738252</v>
      </c>
      <c r="Z35">
        <v>119</v>
      </c>
      <c r="AA35">
        <v>119</v>
      </c>
      <c r="AB35">
        <v>199.66867328350295</v>
      </c>
      <c r="AC35">
        <v>0.19738227109514173</v>
      </c>
      <c r="AD35">
        <v>16.984197679082314</v>
      </c>
      <c r="AE35">
        <v>141</v>
      </c>
      <c r="AF35">
        <v>141</v>
      </c>
      <c r="AG35">
        <v>236.58220952078921</v>
      </c>
      <c r="AH35">
        <v>0.23387311112953768</v>
      </c>
      <c r="AI35">
        <v>3701.4273903299804</v>
      </c>
      <c r="AJ35">
        <v>195</v>
      </c>
      <c r="AK35">
        <v>195</v>
      </c>
      <c r="AL35">
        <v>327.1881621032191</v>
      </c>
      <c r="AM35">
        <v>0.3234415366685095</v>
      </c>
    </row>
    <row r="36" spans="1:39">
      <c r="A36">
        <v>27000</v>
      </c>
      <c r="B36">
        <v>145.18460459929315</v>
      </c>
      <c r="C36">
        <v>91.394094063596299</v>
      </c>
      <c r="D36">
        <v>91.394094063596299</v>
      </c>
      <c r="E36">
        <v>156.77470094046097</v>
      </c>
      <c r="F36">
        <v>0.15563234455593614</v>
      </c>
      <c r="G36">
        <v>111</v>
      </c>
      <c r="H36">
        <v>111</v>
      </c>
      <c r="I36">
        <v>190.40608676838622</v>
      </c>
      <c r="J36">
        <v>0.18901867153131388</v>
      </c>
      <c r="K36">
        <v>139</v>
      </c>
      <c r="L36">
        <v>139</v>
      </c>
      <c r="M36">
        <v>238.4364509982494</v>
      </c>
      <c r="N36">
        <v>0.23669905714281647</v>
      </c>
      <c r="O36">
        <v>23.470885367621477</v>
      </c>
      <c r="P36">
        <v>163</v>
      </c>
      <c r="Q36">
        <v>163</v>
      </c>
      <c r="R36">
        <v>279.60533462384643</v>
      </c>
      <c r="S36">
        <v>0.277567959095533</v>
      </c>
      <c r="T36">
        <v>3418.1631730768199</v>
      </c>
      <c r="U36">
        <v>103</v>
      </c>
      <c r="V36">
        <v>103</v>
      </c>
      <c r="W36">
        <v>176.68312555985386</v>
      </c>
      <c r="X36">
        <v>0.1753957042137417</v>
      </c>
      <c r="Y36">
        <v>8.5265966172550343</v>
      </c>
      <c r="Z36">
        <v>118</v>
      </c>
      <c r="AA36">
        <v>118</v>
      </c>
      <c r="AB36">
        <v>202.41367782585201</v>
      </c>
      <c r="AC36">
        <v>0.20093876793418952</v>
      </c>
      <c r="AD36">
        <v>16.714320789309664</v>
      </c>
      <c r="AE36">
        <v>140</v>
      </c>
      <c r="AF36">
        <v>140</v>
      </c>
      <c r="AG36">
        <v>240.15182114931594</v>
      </c>
      <c r="AH36">
        <v>0.23840192805751298</v>
      </c>
      <c r="AI36">
        <v>3706.2502459929738</v>
      </c>
      <c r="AJ36">
        <v>193</v>
      </c>
      <c r="AK36">
        <v>193</v>
      </c>
      <c r="AL36">
        <v>331.06643915584266</v>
      </c>
      <c r="AM36">
        <v>0.32865408653642858</v>
      </c>
    </row>
    <row r="37" spans="1:39">
      <c r="A37">
        <v>28000</v>
      </c>
      <c r="B37">
        <v>148.45566982282534</v>
      </c>
      <c r="C37">
        <v>91.394094063596299</v>
      </c>
      <c r="D37">
        <v>91.394094063596299</v>
      </c>
      <c r="E37">
        <v>160.30689551158216</v>
      </c>
      <c r="F37">
        <v>0.15981488693155566</v>
      </c>
      <c r="G37">
        <v>111</v>
      </c>
      <c r="H37">
        <v>111</v>
      </c>
      <c r="I37">
        <v>194.69600945334253</v>
      </c>
      <c r="J37">
        <v>0.19409845495113431</v>
      </c>
      <c r="K37">
        <v>139</v>
      </c>
      <c r="L37">
        <v>139</v>
      </c>
      <c r="M37">
        <v>243.80851634247395</v>
      </c>
      <c r="N37">
        <v>0.24306022737124025</v>
      </c>
      <c r="O37">
        <v>23.470885367621477</v>
      </c>
      <c r="P37">
        <v>161</v>
      </c>
      <c r="Q37">
        <v>161</v>
      </c>
      <c r="R37">
        <v>282.39691461250584</v>
      </c>
      <c r="S37">
        <v>0.28153019141560925</v>
      </c>
      <c r="T37">
        <v>3438.2468232955048</v>
      </c>
      <c r="U37">
        <v>103</v>
      </c>
      <c r="V37">
        <v>103</v>
      </c>
      <c r="W37">
        <v>180.66386462787639</v>
      </c>
      <c r="X37">
        <v>0.18010937711681832</v>
      </c>
      <c r="Y37">
        <v>8.4439403254558378</v>
      </c>
      <c r="Z37">
        <v>118</v>
      </c>
      <c r="AA37">
        <v>118</v>
      </c>
      <c r="AB37">
        <v>206.97413617562538</v>
      </c>
      <c r="AC37">
        <v>0.20633889805616079</v>
      </c>
      <c r="AD37">
        <v>16.440892644690326</v>
      </c>
      <c r="AE37">
        <v>139</v>
      </c>
      <c r="AF37">
        <v>139</v>
      </c>
      <c r="AG37">
        <v>243.80851634247395</v>
      </c>
      <c r="AH37">
        <v>0.24306022737124025</v>
      </c>
      <c r="AI37">
        <v>3708.8367522838639</v>
      </c>
      <c r="AJ37">
        <v>190</v>
      </c>
      <c r="AK37">
        <v>190</v>
      </c>
      <c r="AL37">
        <v>333.26343960482052</v>
      </c>
      <c r="AM37">
        <v>0.33224059856500465</v>
      </c>
    </row>
    <row r="38" spans="1:39">
      <c r="A38">
        <v>29000</v>
      </c>
      <c r="B38">
        <v>151.82935512741602</v>
      </c>
      <c r="C38">
        <v>91.394094063596299</v>
      </c>
      <c r="D38">
        <v>91.394094063596299</v>
      </c>
      <c r="E38">
        <v>163.94990233144583</v>
      </c>
      <c r="F38">
        <v>0.16414705068938479</v>
      </c>
      <c r="G38">
        <v>111</v>
      </c>
      <c r="H38">
        <v>111</v>
      </c>
      <c r="I38">
        <v>199.12051588505446</v>
      </c>
      <c r="J38">
        <v>0.19935995660554562</v>
      </c>
      <c r="K38">
        <v>139</v>
      </c>
      <c r="L38">
        <v>139</v>
      </c>
      <c r="M38">
        <v>249.34911448668981</v>
      </c>
      <c r="N38">
        <v>0.24964895466820577</v>
      </c>
      <c r="O38">
        <v>23.470885367621477</v>
      </c>
      <c r="P38">
        <v>160</v>
      </c>
      <c r="Q38">
        <v>160</v>
      </c>
      <c r="R38">
        <v>287.02056343791634</v>
      </c>
      <c r="S38">
        <v>0.28736570321520089</v>
      </c>
      <c r="T38">
        <v>3457.483287393929</v>
      </c>
      <c r="U38">
        <v>103</v>
      </c>
      <c r="V38">
        <v>103</v>
      </c>
      <c r="W38">
        <v>184.76948771315864</v>
      </c>
      <c r="X38">
        <v>0.18499167144478557</v>
      </c>
      <c r="Y38">
        <v>8.3594383217696766</v>
      </c>
      <c r="Z38">
        <v>117</v>
      </c>
      <c r="AA38">
        <v>117</v>
      </c>
      <c r="AB38">
        <v>209.88378701397633</v>
      </c>
      <c r="AC38">
        <v>0.21013617047611566</v>
      </c>
      <c r="AD38">
        <v>16.161734418103773</v>
      </c>
      <c r="AE38">
        <v>139</v>
      </c>
      <c r="AF38">
        <v>139</v>
      </c>
      <c r="AG38">
        <v>249.34911448668981</v>
      </c>
      <c r="AH38">
        <v>0.24964895466820577</v>
      </c>
      <c r="AI38">
        <v>3709.230158431878</v>
      </c>
      <c r="AJ38">
        <v>188</v>
      </c>
      <c r="AK38">
        <v>188</v>
      </c>
      <c r="AL38">
        <v>337.24916203955166</v>
      </c>
      <c r="AM38">
        <v>0.33765470127786101</v>
      </c>
    </row>
    <row r="39" spans="1:39">
      <c r="A39">
        <v>30000</v>
      </c>
      <c r="B39">
        <v>155.30980306071922</v>
      </c>
      <c r="C39">
        <v>91.394094063596299</v>
      </c>
      <c r="D39">
        <v>91.394094063596299</v>
      </c>
      <c r="E39">
        <v>167.70819464755212</v>
      </c>
      <c r="F39">
        <v>0.16863554282935708</v>
      </c>
      <c r="G39">
        <v>111</v>
      </c>
      <c r="H39">
        <v>111</v>
      </c>
      <c r="I39">
        <v>203.68503891427241</v>
      </c>
      <c r="J39">
        <v>0.20481132228340043</v>
      </c>
      <c r="K39">
        <v>139</v>
      </c>
      <c r="L39">
        <v>139</v>
      </c>
      <c r="M39">
        <v>255.06504873048524</v>
      </c>
      <c r="N39">
        <v>0.2564754396161501</v>
      </c>
      <c r="O39">
        <v>23.470885367621477</v>
      </c>
      <c r="P39">
        <v>158</v>
      </c>
      <c r="Q39">
        <v>158</v>
      </c>
      <c r="R39">
        <v>289.93005539148686</v>
      </c>
      <c r="S39">
        <v>0.29153323352051597</v>
      </c>
      <c r="T39">
        <v>3475.8904502189334</v>
      </c>
      <c r="U39">
        <v>102</v>
      </c>
      <c r="V39">
        <v>102</v>
      </c>
      <c r="W39">
        <v>187.17003575906114</v>
      </c>
      <c r="X39">
        <v>0.18820499885501663</v>
      </c>
      <c r="Y39">
        <v>8.2730948095666523</v>
      </c>
      <c r="Z39">
        <v>117</v>
      </c>
      <c r="AA39">
        <v>117</v>
      </c>
      <c r="AB39">
        <v>214.69504101774658</v>
      </c>
      <c r="AC39">
        <v>0.21588220456898963</v>
      </c>
      <c r="AD39">
        <v>15.878288433075657</v>
      </c>
      <c r="AE39">
        <v>138</v>
      </c>
      <c r="AF39">
        <v>138</v>
      </c>
      <c r="AG39">
        <v>253.23004837990624</v>
      </c>
      <c r="AH39">
        <v>0.25463029256855191</v>
      </c>
      <c r="AI39">
        <v>3707.1336593285582</v>
      </c>
      <c r="AJ39">
        <v>185</v>
      </c>
      <c r="AK39">
        <v>185</v>
      </c>
      <c r="AL39">
        <v>339.47506485712069</v>
      </c>
      <c r="AM39">
        <v>0.34135220380566739</v>
      </c>
    </row>
    <row r="40" spans="1:39">
      <c r="A40">
        <v>31000</v>
      </c>
      <c r="B40">
        <v>158.90136131623777</v>
      </c>
      <c r="C40">
        <v>91.394094063596299</v>
      </c>
      <c r="D40">
        <v>91.394094063596299</v>
      </c>
      <c r="E40">
        <v>171.58646723005637</v>
      </c>
      <c r="F40">
        <v>0.1732874327946822</v>
      </c>
      <c r="G40">
        <v>111</v>
      </c>
      <c r="H40">
        <v>111</v>
      </c>
      <c r="I40">
        <v>208.39528043555077</v>
      </c>
      <c r="J40">
        <v>0.21046113796833715</v>
      </c>
      <c r="K40">
        <v>139</v>
      </c>
      <c r="L40">
        <v>139</v>
      </c>
      <c r="M40">
        <v>260.96345928415815</v>
      </c>
      <c r="N40">
        <v>0.26355043403242218</v>
      </c>
      <c r="O40">
        <v>23.470885367621474</v>
      </c>
      <c r="P40">
        <v>157</v>
      </c>
      <c r="Q40">
        <v>157</v>
      </c>
      <c r="R40">
        <v>294.75728854397721</v>
      </c>
      <c r="S40">
        <v>0.29767926721647686</v>
      </c>
      <c r="T40">
        <v>3493.3403443318266</v>
      </c>
      <c r="U40">
        <v>102</v>
      </c>
      <c r="V40">
        <v>102</v>
      </c>
      <c r="W40">
        <v>191.49836580564124</v>
      </c>
      <c r="X40">
        <v>0.19339672137630978</v>
      </c>
      <c r="Y40">
        <v>8.1852008824178366</v>
      </c>
      <c r="Z40">
        <v>116</v>
      </c>
      <c r="AA40">
        <v>116</v>
      </c>
      <c r="AB40">
        <v>217.78245522994496</v>
      </c>
      <c r="AC40">
        <v>0.21994136940835232</v>
      </c>
      <c r="AD40">
        <v>15.5898055533491</v>
      </c>
      <c r="AE40">
        <v>137</v>
      </c>
      <c r="AF40">
        <v>137</v>
      </c>
      <c r="AG40">
        <v>257.20858936640047</v>
      </c>
      <c r="AH40">
        <v>0.25975834145641608</v>
      </c>
      <c r="AI40">
        <v>3702.3739569741178</v>
      </c>
      <c r="AJ40">
        <v>182</v>
      </c>
      <c r="AK40">
        <v>182</v>
      </c>
      <c r="AL40">
        <v>341.69316251594813</v>
      </c>
      <c r="AM40">
        <v>0.34508042441655279</v>
      </c>
    </row>
    <row r="41" spans="1:39">
      <c r="A41">
        <v>32000</v>
      </c>
      <c r="B41">
        <v>162.60859480366233</v>
      </c>
      <c r="C41">
        <v>91.394094063596299</v>
      </c>
      <c r="D41">
        <v>91.394094063596299</v>
      </c>
      <c r="E41">
        <v>175.5896494056841</v>
      </c>
      <c r="F41">
        <v>0.17811017545665564</v>
      </c>
      <c r="G41">
        <v>111</v>
      </c>
      <c r="H41">
        <v>111</v>
      </c>
      <c r="I41">
        <v>213.2572272172047</v>
      </c>
      <c r="J41">
        <v>0.2163184577543022</v>
      </c>
      <c r="K41">
        <v>139</v>
      </c>
      <c r="L41">
        <v>139</v>
      </c>
      <c r="M41">
        <v>267.05184309181493</v>
      </c>
      <c r="N41">
        <v>0.27088527592655864</v>
      </c>
      <c r="O41">
        <v>23.470885367621477</v>
      </c>
      <c r="P41">
        <v>155</v>
      </c>
      <c r="Q41">
        <v>155</v>
      </c>
      <c r="R41">
        <v>297.79162359159216</v>
      </c>
      <c r="S41">
        <v>0.3020663148821337</v>
      </c>
      <c r="T41">
        <v>3509.8033070092483</v>
      </c>
      <c r="U41">
        <v>102</v>
      </c>
      <c r="V41">
        <v>102</v>
      </c>
      <c r="W41">
        <v>195.96610068608001</v>
      </c>
      <c r="X41">
        <v>0.19877912334179121</v>
      </c>
      <c r="Y41">
        <v>8.0952203889380225</v>
      </c>
      <c r="Z41">
        <v>116</v>
      </c>
      <c r="AA41">
        <v>116</v>
      </c>
      <c r="AB41">
        <v>222.86340862338511</v>
      </c>
      <c r="AC41">
        <v>0.22606253242791943</v>
      </c>
      <c r="AD41">
        <v>15.295646089112617</v>
      </c>
      <c r="AE41">
        <v>136</v>
      </c>
      <c r="AF41">
        <v>136</v>
      </c>
      <c r="AG41">
        <v>261.2881342481067</v>
      </c>
      <c r="AH41">
        <v>0.2650388311223883</v>
      </c>
      <c r="AI41">
        <v>3694.8062393642022</v>
      </c>
      <c r="AJ41">
        <v>180</v>
      </c>
      <c r="AK41">
        <v>180</v>
      </c>
      <c r="AL41">
        <v>345.82253062249413</v>
      </c>
      <c r="AM41">
        <v>0.3507866882502198</v>
      </c>
    </row>
    <row r="42" spans="1:39">
      <c r="A42">
        <v>33000</v>
      </c>
      <c r="B42">
        <v>166.43629854386324</v>
      </c>
      <c r="C42">
        <v>91.394094063596299</v>
      </c>
      <c r="D42">
        <v>91.394094063596299</v>
      </c>
      <c r="E42">
        <v>179.72291898213069</v>
      </c>
      <c r="F42">
        <v>0.18311163577646444</v>
      </c>
      <c r="G42">
        <v>111</v>
      </c>
      <c r="H42">
        <v>111</v>
      </c>
      <c r="I42">
        <v>218.27716781277886</v>
      </c>
      <c r="J42">
        <v>0.22239283379781838</v>
      </c>
      <c r="K42">
        <v>139</v>
      </c>
      <c r="L42">
        <v>139</v>
      </c>
      <c r="M42">
        <v>273.33807500879516</v>
      </c>
      <c r="N42">
        <v>0.2784919270080789</v>
      </c>
      <c r="O42">
        <v>23.470885367621477</v>
      </c>
      <c r="P42">
        <v>154</v>
      </c>
      <c r="Q42">
        <v>154</v>
      </c>
      <c r="R42">
        <v>302.83498957808962</v>
      </c>
      <c r="S42">
        <v>0.30854501265643275</v>
      </c>
      <c r="T42">
        <v>3525.1393933963054</v>
      </c>
      <c r="U42">
        <v>101</v>
      </c>
      <c r="V42">
        <v>101</v>
      </c>
      <c r="W42">
        <v>198.6125580999159</v>
      </c>
      <c r="X42">
        <v>0.20235744336558251</v>
      </c>
      <c r="Y42">
        <v>8.0032818656324736</v>
      </c>
      <c r="Z42">
        <v>115</v>
      </c>
      <c r="AA42">
        <v>115</v>
      </c>
      <c r="AB42">
        <v>226.14301169792404</v>
      </c>
      <c r="AC42">
        <v>0.23040698997071274</v>
      </c>
      <c r="AD42">
        <v>14.997785986059473</v>
      </c>
      <c r="AE42">
        <v>135</v>
      </c>
      <c r="AF42">
        <v>135</v>
      </c>
      <c r="AG42">
        <v>265.47223112364998</v>
      </c>
      <c r="AH42">
        <v>0.27047777083518454</v>
      </c>
      <c r="AI42">
        <v>3684.2802284377044</v>
      </c>
      <c r="AJ42">
        <v>177</v>
      </c>
      <c r="AK42">
        <v>177</v>
      </c>
      <c r="AL42">
        <v>348.06359191767439</v>
      </c>
      <c r="AM42">
        <v>0.35462641065057526</v>
      </c>
    </row>
    <row r="43" spans="1:39">
      <c r="A43">
        <v>34000</v>
      </c>
      <c r="B43">
        <v>170.38951145283897</v>
      </c>
      <c r="C43">
        <v>91.394094063596299</v>
      </c>
      <c r="D43">
        <v>91.394094063596299</v>
      </c>
      <c r="E43">
        <v>183.9917171323834</v>
      </c>
      <c r="F43">
        <v>0.18830011528264207</v>
      </c>
      <c r="G43">
        <v>111</v>
      </c>
      <c r="H43">
        <v>111</v>
      </c>
      <c r="I43">
        <v>223.46171063836158</v>
      </c>
      <c r="J43">
        <v>0.2286943484753966</v>
      </c>
      <c r="K43">
        <v>139</v>
      </c>
      <c r="L43">
        <v>139</v>
      </c>
      <c r="M43">
        <v>279.83043043902939</v>
      </c>
      <c r="N43">
        <v>0.28638301295567686</v>
      </c>
      <c r="O43">
        <v>23.470885367621477</v>
      </c>
      <c r="P43">
        <v>152</v>
      </c>
      <c r="Q43">
        <v>152</v>
      </c>
      <c r="R43">
        <v>306.00162177505371</v>
      </c>
      <c r="S43">
        <v>0.31316703575009269</v>
      </c>
      <c r="T43">
        <v>3539.3534213530643</v>
      </c>
      <c r="U43">
        <v>101</v>
      </c>
      <c r="V43">
        <v>101</v>
      </c>
      <c r="W43">
        <v>203.33002499526594</v>
      </c>
      <c r="X43">
        <v>0.20809125401815368</v>
      </c>
      <c r="Y43">
        <v>7.9094650782420723</v>
      </c>
      <c r="Z43">
        <v>114</v>
      </c>
      <c r="AA43">
        <v>114</v>
      </c>
      <c r="AB43">
        <v>229.50121633129029</v>
      </c>
      <c r="AC43">
        <v>0.23487527681256953</v>
      </c>
      <c r="AD43">
        <v>14.694307629745767</v>
      </c>
      <c r="AE43">
        <v>134</v>
      </c>
      <c r="AF43">
        <v>134</v>
      </c>
      <c r="AG43">
        <v>269.76458761748154</v>
      </c>
      <c r="AH43">
        <v>0.27608146572705539</v>
      </c>
      <c r="AI43">
        <v>3670.6399881223388</v>
      </c>
      <c r="AJ43">
        <v>174</v>
      </c>
      <c r="AK43">
        <v>174</v>
      </c>
      <c r="AL43">
        <v>350.29133018986414</v>
      </c>
      <c r="AM43">
        <v>0.35849384355602715</v>
      </c>
    </row>
    <row r="44" spans="1:39">
      <c r="A44">
        <v>35000</v>
      </c>
      <c r="B44">
        <v>174.47353108456795</v>
      </c>
      <c r="C44">
        <v>91.394094063596299</v>
      </c>
      <c r="D44">
        <v>91.394094063596299</v>
      </c>
      <c r="E44">
        <v>188.40176431449626</v>
      </c>
      <c r="F44">
        <v>0.19368438051565862</v>
      </c>
      <c r="G44">
        <v>111</v>
      </c>
      <c r="H44">
        <v>111</v>
      </c>
      <c r="I44">
        <v>228.81780330747762</v>
      </c>
      <c r="J44">
        <v>0.23523364893007329</v>
      </c>
      <c r="K44">
        <v>139</v>
      </c>
      <c r="L44">
        <v>139</v>
      </c>
      <c r="M44">
        <v>286.53760954720173</v>
      </c>
      <c r="N44">
        <v>0.2945718666781999</v>
      </c>
      <c r="O44">
        <v>23.470885367621477</v>
      </c>
      <c r="P44">
        <v>150</v>
      </c>
      <c r="Q44">
        <v>150</v>
      </c>
      <c r="R44">
        <v>309.21324771280757</v>
      </c>
      <c r="S44">
        <v>0.3178833093649639</v>
      </c>
      <c r="T44">
        <v>3552.2010222475701</v>
      </c>
      <c r="U44">
        <v>101</v>
      </c>
      <c r="V44">
        <v>101</v>
      </c>
      <c r="W44">
        <v>208.20358679329044</v>
      </c>
      <c r="X44">
        <v>0.21404142830574235</v>
      </c>
      <c r="Y44">
        <v>7.813285254226356</v>
      </c>
      <c r="Z44">
        <v>113</v>
      </c>
      <c r="AA44">
        <v>113</v>
      </c>
      <c r="AB44">
        <v>232.94064661031504</v>
      </c>
      <c r="AC44">
        <v>0.23947209305493947</v>
      </c>
      <c r="AD44">
        <v>14.385404651008811</v>
      </c>
      <c r="AE44">
        <v>133</v>
      </c>
      <c r="AF44">
        <v>133</v>
      </c>
      <c r="AG44">
        <v>274.16907963868942</v>
      </c>
      <c r="AH44">
        <v>0.28185653430360136</v>
      </c>
      <c r="AI44">
        <v>3653.7237178293653</v>
      </c>
      <c r="AJ44">
        <v>171</v>
      </c>
      <c r="AK44">
        <v>171</v>
      </c>
      <c r="AL44">
        <v>352.50310239260068</v>
      </c>
      <c r="AM44">
        <v>0.36238697267605885</v>
      </c>
    </row>
    <row r="45" spans="1:39">
      <c r="A45">
        <v>36000</v>
      </c>
      <c r="B45">
        <v>178.69392940891228</v>
      </c>
      <c r="C45">
        <v>91.394094063596299</v>
      </c>
      <c r="D45">
        <v>91.394094063596299</v>
      </c>
      <c r="E45">
        <v>192.95907730904449</v>
      </c>
      <c r="F45">
        <v>0.19927369360528727</v>
      </c>
      <c r="G45">
        <v>111</v>
      </c>
      <c r="H45">
        <v>111</v>
      </c>
      <c r="I45">
        <v>234.35275332342559</v>
      </c>
      <c r="J45">
        <v>0.24202198420824855</v>
      </c>
      <c r="K45">
        <v>139</v>
      </c>
      <c r="L45">
        <v>139</v>
      </c>
      <c r="M45">
        <v>293.46876317077619</v>
      </c>
      <c r="N45">
        <v>0.3030725748193383</v>
      </c>
      <c r="O45">
        <v>23.470885367621477</v>
      </c>
      <c r="P45">
        <v>149</v>
      </c>
      <c r="Q45">
        <v>149</v>
      </c>
      <c r="R45">
        <v>314.58162383054423</v>
      </c>
      <c r="S45">
        <v>0.32487635718044172</v>
      </c>
      <c r="T45">
        <v>3563.818816623826</v>
      </c>
      <c r="U45">
        <v>100</v>
      </c>
      <c r="V45">
        <v>100</v>
      </c>
      <c r="W45">
        <v>211.12860659768072</v>
      </c>
      <c r="X45">
        <v>0.21803782361103474</v>
      </c>
      <c r="Y45">
        <v>7.7151578059511445</v>
      </c>
      <c r="Z45">
        <v>113</v>
      </c>
      <c r="AA45">
        <v>113</v>
      </c>
      <c r="AB45">
        <v>238.57532545537919</v>
      </c>
      <c r="AC45">
        <v>0.24638274068046925</v>
      </c>
      <c r="AD45">
        <v>14.072109499149432</v>
      </c>
      <c r="AE45">
        <v>132</v>
      </c>
      <c r="AF45">
        <v>132</v>
      </c>
      <c r="AG45">
        <v>278.68976070893854</v>
      </c>
      <c r="AH45">
        <v>0.28780992716656584</v>
      </c>
      <c r="AI45">
        <v>3633.3635294638107</v>
      </c>
      <c r="AJ45">
        <v>168</v>
      </c>
      <c r="AK45">
        <v>168</v>
      </c>
      <c r="AL45">
        <v>354.69605908410358</v>
      </c>
      <c r="AM45">
        <v>0.36630354366653833</v>
      </c>
    </row>
    <row r="46" spans="1:39">
      <c r="A46">
        <v>37000</v>
      </c>
      <c r="B46">
        <v>183.05656970752744</v>
      </c>
      <c r="C46">
        <v>91.394094063596299</v>
      </c>
      <c r="D46">
        <v>91.394094063596299</v>
      </c>
      <c r="E46">
        <v>197.66998746383598</v>
      </c>
      <c r="F46">
        <v>0.20507784516200528</v>
      </c>
      <c r="G46">
        <v>111</v>
      </c>
      <c r="H46">
        <v>111</v>
      </c>
      <c r="I46">
        <v>240.0742502378541</v>
      </c>
      <c r="J46">
        <v>0.24907124520696683</v>
      </c>
      <c r="K46">
        <v>139</v>
      </c>
      <c r="L46">
        <v>139</v>
      </c>
      <c r="M46">
        <v>300.63352056812363</v>
      </c>
      <c r="N46">
        <v>0.31190002778169723</v>
      </c>
      <c r="O46">
        <v>23.470885367621477</v>
      </c>
      <c r="P46">
        <v>147</v>
      </c>
      <c r="Q46">
        <v>147</v>
      </c>
      <c r="R46">
        <v>317.93616923391488</v>
      </c>
      <c r="S46">
        <v>0.32985110851733446</v>
      </c>
      <c r="T46">
        <v>3573.884841614687</v>
      </c>
      <c r="U46">
        <v>100</v>
      </c>
      <c r="V46">
        <v>100</v>
      </c>
      <c r="W46">
        <v>216.28310832239109</v>
      </c>
      <c r="X46">
        <v>0.2243885091954656</v>
      </c>
      <c r="Y46">
        <v>7.6146287160306487</v>
      </c>
      <c r="Z46">
        <v>112</v>
      </c>
      <c r="AA46">
        <v>112</v>
      </c>
      <c r="AB46">
        <v>242.23708132107802</v>
      </c>
      <c r="AC46">
        <v>0.2513151302989215</v>
      </c>
      <c r="AD46">
        <v>13.754122804063316</v>
      </c>
      <c r="AE46">
        <v>131</v>
      </c>
      <c r="AF46">
        <v>131</v>
      </c>
      <c r="AG46">
        <v>283.33087190233232</v>
      </c>
      <c r="AH46">
        <v>0.29394894704605995</v>
      </c>
      <c r="AI46">
        <v>3609.3852058029033</v>
      </c>
      <c r="AJ46">
        <v>165</v>
      </c>
      <c r="AK46">
        <v>165</v>
      </c>
      <c r="AL46">
        <v>356.86712873194529</v>
      </c>
      <c r="AM46">
        <v>0.37024104017251824</v>
      </c>
    </row>
    <row r="47" spans="1:39">
      <c r="A47">
        <v>38000</v>
      </c>
      <c r="B47">
        <v>187.56762467822546</v>
      </c>
      <c r="C47">
        <v>91.394094063596299</v>
      </c>
      <c r="D47">
        <v>91.394094063596299</v>
      </c>
      <c r="E47">
        <v>202.54116024354684</v>
      </c>
      <c r="F47">
        <v>0.21110718968094241</v>
      </c>
      <c r="G47">
        <v>111</v>
      </c>
      <c r="H47">
        <v>111</v>
      </c>
      <c r="I47">
        <v>245.99038939419455</v>
      </c>
      <c r="J47">
        <v>0.25639400767273751</v>
      </c>
      <c r="K47">
        <v>139</v>
      </c>
      <c r="L47">
        <v>139</v>
      </c>
      <c r="M47">
        <v>308.04201915128868</v>
      </c>
      <c r="N47">
        <v>0.32106997357216682</v>
      </c>
      <c r="O47">
        <v>23.470885367621474</v>
      </c>
      <c r="P47">
        <v>146</v>
      </c>
      <c r="Q47">
        <v>146</v>
      </c>
      <c r="R47">
        <v>323.55492659056222</v>
      </c>
      <c r="S47">
        <v>0.33723896504702416</v>
      </c>
      <c r="T47">
        <v>3582.3738767906248</v>
      </c>
      <c r="U47">
        <v>99</v>
      </c>
      <c r="V47">
        <v>99</v>
      </c>
      <c r="W47">
        <v>219.39683378401136</v>
      </c>
      <c r="X47">
        <v>0.22867573657298212</v>
      </c>
      <c r="Y47">
        <v>7.5116607094579857</v>
      </c>
      <c r="Z47">
        <v>111</v>
      </c>
      <c r="AA47">
        <v>111</v>
      </c>
      <c r="AB47">
        <v>245.99038939419455</v>
      </c>
      <c r="AC47">
        <v>0.25639400767273751</v>
      </c>
      <c r="AD47">
        <v>13.431109368239561</v>
      </c>
      <c r="AE47">
        <v>129</v>
      </c>
      <c r="AF47">
        <v>129</v>
      </c>
      <c r="AG47">
        <v>285.88072280946938</v>
      </c>
      <c r="AH47">
        <v>0.29797141432237068</v>
      </c>
      <c r="AI47">
        <v>3581.7461612737579</v>
      </c>
      <c r="AJ47">
        <v>162</v>
      </c>
      <c r="AK47">
        <v>162</v>
      </c>
      <c r="AL47">
        <v>359.01300073747313</v>
      </c>
      <c r="AM47">
        <v>0.37419665984669803</v>
      </c>
    </row>
    <row r="48" spans="1:39">
      <c r="A48">
        <v>39000</v>
      </c>
      <c r="B48">
        <v>192.23359584647878</v>
      </c>
      <c r="C48">
        <v>91.394094063596299</v>
      </c>
      <c r="D48">
        <v>91.394094063596299</v>
      </c>
      <c r="E48">
        <v>207.57961619084699</v>
      </c>
      <c r="F48">
        <v>0.21737268367596385</v>
      </c>
      <c r="G48">
        <v>111</v>
      </c>
      <c r="H48">
        <v>111</v>
      </c>
      <c r="I48">
        <v>252.10969738537779</v>
      </c>
      <c r="J48">
        <v>0.2640035785161603</v>
      </c>
      <c r="K48">
        <v>139</v>
      </c>
      <c r="L48">
        <v>139</v>
      </c>
      <c r="M48">
        <v>315.70493636547309</v>
      </c>
      <c r="N48">
        <v>0.33059907579951608</v>
      </c>
      <c r="O48">
        <v>23.470885367621477</v>
      </c>
      <c r="P48">
        <v>144</v>
      </c>
      <c r="Q48">
        <v>144</v>
      </c>
      <c r="R48">
        <v>327.0612290404901</v>
      </c>
      <c r="S48">
        <v>0.34249112888582961</v>
      </c>
      <c r="T48">
        <v>3589.2367213132397</v>
      </c>
      <c r="U48">
        <v>99</v>
      </c>
      <c r="V48">
        <v>99</v>
      </c>
      <c r="W48">
        <v>224.85459496533696</v>
      </c>
      <c r="X48">
        <v>0.23546265110900785</v>
      </c>
      <c r="Y48">
        <v>7.4064162628260508</v>
      </c>
      <c r="Z48">
        <v>110</v>
      </c>
      <c r="AA48">
        <v>110</v>
      </c>
      <c r="AB48">
        <v>249.83843885037439</v>
      </c>
      <c r="AC48">
        <v>0.26162516789889761</v>
      </c>
      <c r="AD48">
        <v>13.103291811784864</v>
      </c>
      <c r="AE48">
        <v>128</v>
      </c>
      <c r="AF48">
        <v>128</v>
      </c>
      <c r="AG48">
        <v>290.72109248043563</v>
      </c>
      <c r="AH48">
        <v>0.3044365590096263</v>
      </c>
      <c r="AI48">
        <v>3550.3760813430495</v>
      </c>
      <c r="AJ48">
        <v>159</v>
      </c>
      <c r="AK48">
        <v>159</v>
      </c>
      <c r="AL48">
        <v>361.13010706554115</v>
      </c>
      <c r="AM48">
        <v>0.37816728814477019</v>
      </c>
    </row>
    <row r="49" spans="1:39">
      <c r="A49">
        <v>40000</v>
      </c>
      <c r="B49">
        <v>197.06133439183088</v>
      </c>
      <c r="C49">
        <v>91.394094063596299</v>
      </c>
      <c r="D49">
        <v>91.394094063596299</v>
      </c>
      <c r="E49">
        <v>212.79275341538431</v>
      </c>
      <c r="F49">
        <v>0.22388592678257924</v>
      </c>
      <c r="G49">
        <v>111</v>
      </c>
      <c r="H49">
        <v>111</v>
      </c>
      <c r="I49">
        <v>258.44115936716611</v>
      </c>
      <c r="J49">
        <v>0.27191404573225014</v>
      </c>
      <c r="K49">
        <v>139</v>
      </c>
      <c r="L49">
        <v>139</v>
      </c>
      <c r="M49">
        <v>323.633523892217</v>
      </c>
      <c r="N49">
        <v>0.34050497618723213</v>
      </c>
      <c r="O49">
        <v>23.470885367621477</v>
      </c>
      <c r="P49">
        <v>142</v>
      </c>
      <c r="Q49">
        <v>142</v>
      </c>
      <c r="R49">
        <v>330.6184200913296</v>
      </c>
      <c r="S49">
        <v>0.34785400445026593</v>
      </c>
      <c r="T49">
        <v>3594.2197143210901</v>
      </c>
      <c r="U49">
        <v>98</v>
      </c>
      <c r="V49">
        <v>98</v>
      </c>
      <c r="W49">
        <v>228.17327583767818</v>
      </c>
      <c r="X49">
        <v>0.24006825659243705</v>
      </c>
      <c r="Y49">
        <v>7.2982740075706474</v>
      </c>
      <c r="Z49">
        <v>109</v>
      </c>
      <c r="AA49">
        <v>109</v>
      </c>
      <c r="AB49">
        <v>253.78456190109102</v>
      </c>
      <c r="AC49">
        <v>0.26701469355689428</v>
      </c>
      <c r="AD49">
        <v>12.770901335808707</v>
      </c>
      <c r="AE49">
        <v>127</v>
      </c>
      <c r="AF49">
        <v>127</v>
      </c>
      <c r="AG49">
        <v>295.69393909576661</v>
      </c>
      <c r="AH49">
        <v>0.311108863135097</v>
      </c>
      <c r="AI49">
        <v>3514.9269216651496</v>
      </c>
      <c r="AJ49">
        <v>65</v>
      </c>
      <c r="AK49">
        <v>65</v>
      </c>
      <c r="AL49">
        <v>151.3394176474396</v>
      </c>
      <c r="AM49">
        <v>0.1592289456990654</v>
      </c>
    </row>
    <row r="52" spans="1:39">
      <c r="A52" s="7" t="s">
        <v>1074</v>
      </c>
    </row>
    <row r="53" spans="1:39">
      <c r="A53" s="309" t="s">
        <v>1075</v>
      </c>
      <c r="B53" s="309"/>
      <c r="C53" s="309"/>
      <c r="D53" s="309"/>
      <c r="E53" s="309"/>
      <c r="F53" s="7"/>
    </row>
    <row r="54" spans="1:39">
      <c r="A54" t="s">
        <v>1076</v>
      </c>
      <c r="B54" t="s">
        <v>1077</v>
      </c>
      <c r="C54" s="6">
        <f>Thrust!C41</f>
        <v>3600</v>
      </c>
      <c r="D54" t="s">
        <v>14</v>
      </c>
    </row>
    <row r="55" spans="1:39">
      <c r="A55" t="s">
        <v>43</v>
      </c>
      <c r="B55" t="s">
        <v>1078</v>
      </c>
      <c r="C55" s="47">
        <f>General!C23</f>
        <v>476.1</v>
      </c>
      <c r="D55" t="s">
        <v>1079</v>
      </c>
    </row>
    <row r="56" spans="1:39">
      <c r="A56" t="s">
        <v>1080</v>
      </c>
      <c r="B56" t="s">
        <v>1081</v>
      </c>
      <c r="C56" s="66">
        <f>Drag!C92</f>
        <v>1.5047746178408776E-2</v>
      </c>
    </row>
    <row r="57" spans="1:39">
      <c r="A57" t="s">
        <v>1082</v>
      </c>
      <c r="B57" t="s">
        <v>1083</v>
      </c>
      <c r="C57" s="66">
        <f>Lift!C161</f>
        <v>-4.7505938242280287E-3</v>
      </c>
    </row>
    <row r="58" spans="1:39">
      <c r="A58" t="s">
        <v>1084</v>
      </c>
      <c r="B58" t="s">
        <v>155</v>
      </c>
      <c r="C58" s="100">
        <f>1/(PI()*General!C24*Lift!C23)</f>
        <v>4.2070130810614975E-2</v>
      </c>
    </row>
    <row r="59" spans="1:39">
      <c r="A59" t="s">
        <v>1085</v>
      </c>
      <c r="B59" t="s">
        <v>199</v>
      </c>
      <c r="C59" s="6">
        <f>General!C7</f>
        <v>18875</v>
      </c>
      <c r="D59" t="s">
        <v>14</v>
      </c>
    </row>
    <row r="60" spans="1:39">
      <c r="A60" t="s">
        <v>1086</v>
      </c>
      <c r="B60" t="s">
        <v>1087</v>
      </c>
      <c r="C60" s="47">
        <f>Lift!C76</f>
        <v>2.2232676824647108</v>
      </c>
    </row>
    <row r="61" spans="1:39">
      <c r="A61" t="s">
        <v>1088</v>
      </c>
      <c r="C61" s="66">
        <f>(C54+2*C59*C58*C57)^2-4*C58*(C56+C58*C57^2)*C59^2</f>
        <v>12003527.574711164</v>
      </c>
      <c r="D61" t="str">
        <f>IF(C61&lt;0.001, "Vmax = 0", "Vmax is calculated")</f>
        <v>Vmax is calculated</v>
      </c>
    </row>
    <row r="63" spans="1:39">
      <c r="C63" s="7" t="s">
        <v>1089</v>
      </c>
      <c r="G63" s="287" t="s">
        <v>1059</v>
      </c>
      <c r="H63" s="341" t="s">
        <v>1060</v>
      </c>
      <c r="I63" s="341"/>
      <c r="J63" s="341"/>
      <c r="K63" s="341"/>
      <c r="L63" s="342" t="s">
        <v>1067</v>
      </c>
      <c r="M63" s="342"/>
      <c r="N63" s="342"/>
      <c r="O63" s="343"/>
      <c r="P63" s="25"/>
      <c r="Q63" s="25"/>
      <c r="R63" s="25"/>
      <c r="S63" s="319"/>
      <c r="T63" s="319"/>
      <c r="U63" s="319"/>
      <c r="V63" s="319"/>
      <c r="W63" s="319"/>
      <c r="X63" s="319"/>
      <c r="Y63" s="319"/>
      <c r="Z63" s="319"/>
      <c r="AA63" s="319"/>
      <c r="AB63" s="319"/>
      <c r="AC63" s="319"/>
      <c r="AD63" s="319"/>
      <c r="AE63" s="319"/>
      <c r="AF63" s="319"/>
      <c r="AG63" s="319"/>
      <c r="AH63" s="319"/>
      <c r="AI63" s="319"/>
      <c r="AJ63" s="319"/>
      <c r="AK63" s="319"/>
      <c r="AL63" s="319"/>
    </row>
    <row r="64" spans="1:39">
      <c r="B64" s="91" t="s">
        <v>527</v>
      </c>
      <c r="C64" s="91" t="s">
        <v>1090</v>
      </c>
      <c r="D64" s="91" t="s">
        <v>372</v>
      </c>
      <c r="E64" s="91" t="s">
        <v>1091</v>
      </c>
      <c r="F64" s="91" t="s">
        <v>1092</v>
      </c>
      <c r="G64" s="105" t="s">
        <v>173</v>
      </c>
      <c r="H64" s="284" t="s">
        <v>173</v>
      </c>
      <c r="I64" s="285" t="s">
        <v>595</v>
      </c>
      <c r="J64" s="285" t="s">
        <v>596</v>
      </c>
      <c r="K64" s="285" t="s">
        <v>185</v>
      </c>
      <c r="L64" s="91" t="s">
        <v>173</v>
      </c>
      <c r="M64" s="91" t="s">
        <v>595</v>
      </c>
      <c r="N64" s="91" t="s">
        <v>596</v>
      </c>
      <c r="O64" s="91" t="s">
        <v>185</v>
      </c>
      <c r="P64" s="91" t="s">
        <v>1068</v>
      </c>
    </row>
    <row r="65" spans="2:16">
      <c r="B65" s="286">
        <f>(1-0.0000068756*P65)^4.2561</f>
        <v>1</v>
      </c>
      <c r="C65" s="190">
        <f>B65*0.002378</f>
        <v>2.3779999999999999E-3</v>
      </c>
      <c r="D65" s="69">
        <f t="shared" ref="D65:D101" si="0">(1-0.0000068756*P65)^5.2561</f>
        <v>1</v>
      </c>
      <c r="E65" s="69">
        <f t="shared" ref="E65:E101" si="1">D65*2116</f>
        <v>2116</v>
      </c>
      <c r="F65" s="69">
        <f t="shared" ref="F65:F101" si="2">SQRT(1.4*1716*(1-0.000006875*P65)*518.67)/1.68780986</f>
        <v>661.37032465982361</v>
      </c>
      <c r="G65" s="69">
        <f>SQRT((2/C65)*(C$59/C$55)*SQRT(C$58/(C$56+C$58*C$57^2)))/1.68780986</f>
        <v>139.89387287008671</v>
      </c>
      <c r="H65" s="69">
        <f t="shared" ref="H65:H101" si="3">I65*SQRT(D65^(-1))*SQRT((((D65*((1+0.2*K65^2)^3.5-1))+1)^0.2857-1)/((((1+0.2*K65^2)^3.5-1)+1)^0.2857-1))</f>
        <v>72.557793105986278</v>
      </c>
      <c r="I65" s="69">
        <f t="shared" ref="I65:I101" si="4">J65*SQRT(B65)</f>
        <v>72.557793105986278</v>
      </c>
      <c r="J65" s="69">
        <f>SQRT(2*C$59/(C65*C$55*C$60))/1.68780986</f>
        <v>72.557793105986278</v>
      </c>
      <c r="K65" s="69">
        <f t="shared" ref="K65:K101" si="5">J65/F65</f>
        <v>0.10970826842481395</v>
      </c>
      <c r="L65" s="69">
        <f t="shared" ref="L65:L101" si="6">M65*SQRT(D65^(-1))*SQRT((((D65*((1+0.2*O65^2)^3.5-1))+1)^0.2857-1)/((((1+0.2*O65^2)^3.5-1)+1)^0.2857-1))</f>
        <v>381.3152091308761</v>
      </c>
      <c r="M65" s="69">
        <f>N65*SQRT(B65)</f>
        <v>381.3152091308761</v>
      </c>
      <c r="N65" s="69">
        <f>SQRT((C$54+2*C$59*C$58*C$57+SQRT(C$61))/(C65*C$55*(C$56+C$58*C$57^2)))/1.68780986</f>
        <v>381.3152091308761</v>
      </c>
      <c r="O65" s="69">
        <f>N65/F65</f>
        <v>0.57655324847997358</v>
      </c>
      <c r="P65">
        <v>0</v>
      </c>
    </row>
    <row r="66" spans="2:16">
      <c r="B66" s="286">
        <f t="shared" ref="B66:B101" si="7">(1-0.0000068756*P66)^4.2561</f>
        <v>0.971062636220133</v>
      </c>
      <c r="C66" s="190">
        <f t="shared" ref="C66:C101" si="8">B66*0.002378</f>
        <v>2.3091869489314763E-3</v>
      </c>
      <c r="D66" s="69">
        <f t="shared" si="0"/>
        <v>0.96438599795853786</v>
      </c>
      <c r="E66" s="69">
        <f t="shared" si="1"/>
        <v>2040.6407716802662</v>
      </c>
      <c r="F66" s="69">
        <f t="shared" si="2"/>
        <v>659.09294316852504</v>
      </c>
      <c r="G66" s="69">
        <f>SQRT((2/C66)*(C$59/C$55)*SQRT(C$58/(C$56+C$58*C$57^2)))/1.68780986</f>
        <v>141.96296832411838</v>
      </c>
      <c r="H66" s="69">
        <f t="shared" si="3"/>
        <v>72.561810018962206</v>
      </c>
      <c r="I66" s="69">
        <f t="shared" si="4"/>
        <v>72.557793105986278</v>
      </c>
      <c r="J66" s="69">
        <f t="shared" ref="J66:J101" si="9">SQRT(2*C$59/(C66*C$55*C$60))/1.68780986</f>
        <v>73.630956617654761</v>
      </c>
      <c r="K66" s="69">
        <f t="shared" si="5"/>
        <v>0.11171558940334138</v>
      </c>
      <c r="L66" s="69">
        <f t="shared" si="6"/>
        <v>381.84703471088426</v>
      </c>
      <c r="M66" s="69">
        <f t="shared" ref="M66:M101" si="10">N66*SQRT(B66)</f>
        <v>381.31520913087616</v>
      </c>
      <c r="N66" s="69">
        <f t="shared" ref="N66:N101" si="11">SQRT((C$54+2*C$59*C$58*C$57+SQRT(C$61))/(C66*C$55*(C$56+C$58*C$57^2)))/1.68780986</f>
        <v>386.95503844990947</v>
      </c>
      <c r="O66" s="69">
        <f t="shared" ref="O66:O101" si="12">N66/F66</f>
        <v>0.58710238436124174</v>
      </c>
      <c r="P66">
        <v>1000</v>
      </c>
    </row>
    <row r="67" spans="2:16">
      <c r="B67" s="286">
        <f t="shared" si="7"/>
        <v>0.94277029606144325</v>
      </c>
      <c r="C67" s="190">
        <f t="shared" si="8"/>
        <v>2.241907764034112E-3</v>
      </c>
      <c r="D67" s="69">
        <f t="shared" si="0"/>
        <v>0.9298060731662432</v>
      </c>
      <c r="E67" s="69">
        <f t="shared" si="1"/>
        <v>1967.4696508197705</v>
      </c>
      <c r="F67" s="69">
        <f t="shared" si="2"/>
        <v>656.80766524794501</v>
      </c>
      <c r="G67" s="69">
        <f t="shared" ref="G67:G101" si="13">SQRT((2/C67)*(C$59/C$55)*SQRT(C$58/(C$56+C$58*C$57^2)))/1.68780986</f>
        <v>144.07736200570653</v>
      </c>
      <c r="H67" s="69">
        <f t="shared" si="3"/>
        <v>72.566004877517415</v>
      </c>
      <c r="I67" s="69">
        <f t="shared" si="4"/>
        <v>72.557793105986264</v>
      </c>
      <c r="J67" s="69">
        <f t="shared" si="9"/>
        <v>74.727614649531162</v>
      </c>
      <c r="K67" s="69">
        <f t="shared" si="5"/>
        <v>0.1137739685503236</v>
      </c>
      <c r="L67" s="69">
        <f t="shared" si="6"/>
        <v>382.40269922769824</v>
      </c>
      <c r="M67" s="69">
        <f t="shared" si="10"/>
        <v>381.31520913087616</v>
      </c>
      <c r="N67" s="69">
        <f t="shared" si="11"/>
        <v>392.71833924599594</v>
      </c>
      <c r="O67" s="69">
        <f t="shared" si="12"/>
        <v>0.59791984781076613</v>
      </c>
      <c r="P67">
        <v>2000</v>
      </c>
    </row>
    <row r="68" spans="2:16">
      <c r="B68" s="286">
        <f t="shared" si="7"/>
        <v>0.9151129485014563</v>
      </c>
      <c r="C68" s="190">
        <f t="shared" si="8"/>
        <v>2.1761385915364628E-3</v>
      </c>
      <c r="D68" s="69">
        <f t="shared" si="0"/>
        <v>0.89623709673530649</v>
      </c>
      <c r="E68" s="69">
        <f t="shared" si="1"/>
        <v>1896.4376966919085</v>
      </c>
      <c r="F68" s="69">
        <f t="shared" si="2"/>
        <v>654.51440818546143</v>
      </c>
      <c r="G68" s="69">
        <f t="shared" si="13"/>
        <v>146.23837187226414</v>
      </c>
      <c r="H68" s="69">
        <f t="shared" si="3"/>
        <v>72.570386894057876</v>
      </c>
      <c r="I68" s="69">
        <f t="shared" si="4"/>
        <v>72.557793105986278</v>
      </c>
      <c r="J68" s="69">
        <f t="shared" si="9"/>
        <v>75.848450777524377</v>
      </c>
      <c r="K68" s="69">
        <f t="shared" si="5"/>
        <v>0.11588507423053117</v>
      </c>
      <c r="L68" s="69">
        <f t="shared" si="6"/>
        <v>382.98345848692452</v>
      </c>
      <c r="M68" s="69">
        <f t="shared" si="10"/>
        <v>381.3152091308761</v>
      </c>
      <c r="N68" s="69">
        <f t="shared" si="11"/>
        <v>398.60870393670353</v>
      </c>
      <c r="O68" s="69">
        <f t="shared" si="12"/>
        <v>0.60901440663740869</v>
      </c>
      <c r="P68">
        <v>3000</v>
      </c>
    </row>
    <row r="69" spans="2:16">
      <c r="B69" s="286">
        <f t="shared" si="7"/>
        <v>0.88808064997454295</v>
      </c>
      <c r="C69" s="190">
        <f t="shared" si="8"/>
        <v>2.1118557856394629E-3</v>
      </c>
      <c r="D69" s="69">
        <f t="shared" si="0"/>
        <v>0.86365630070668309</v>
      </c>
      <c r="E69" s="69">
        <f t="shared" si="1"/>
        <v>1827.4967322953414</v>
      </c>
      <c r="F69" s="69">
        <f t="shared" si="2"/>
        <v>652.21308781430696</v>
      </c>
      <c r="G69" s="69">
        <f t="shared" si="13"/>
        <v>148.44736385439444</v>
      </c>
      <c r="H69" s="69">
        <f t="shared" si="3"/>
        <v>72.574965827909779</v>
      </c>
      <c r="I69" s="69">
        <f t="shared" si="4"/>
        <v>72.557793105986264</v>
      </c>
      <c r="J69" s="69">
        <f t="shared" si="9"/>
        <v>76.994173459467973</v>
      </c>
      <c r="K69" s="69">
        <f t="shared" si="5"/>
        <v>0.11805064157404513</v>
      </c>
      <c r="L69" s="69">
        <f t="shared" si="6"/>
        <v>383.59064461592516</v>
      </c>
      <c r="M69" s="69">
        <f t="shared" si="10"/>
        <v>381.3152091308761</v>
      </c>
      <c r="N69" s="69">
        <f t="shared" si="11"/>
        <v>404.62985570234713</v>
      </c>
      <c r="O69" s="69">
        <f t="shared" si="12"/>
        <v>0.62039517952382794</v>
      </c>
      <c r="P69">
        <v>4000</v>
      </c>
    </row>
    <row r="70" spans="2:16">
      <c r="B70" s="286">
        <f t="shared" si="7"/>
        <v>0.86166354421536295</v>
      </c>
      <c r="C70" s="190">
        <f t="shared" si="8"/>
        <v>2.0490359081441331E-3</v>
      </c>
      <c r="D70" s="69">
        <f t="shared" si="0"/>
        <v>0.83204127489232715</v>
      </c>
      <c r="E70" s="69">
        <f t="shared" si="1"/>
        <v>1760.5993376721642</v>
      </c>
      <c r="F70" s="69">
        <f t="shared" si="2"/>
        <v>649.90361847752547</v>
      </c>
      <c r="G70" s="69">
        <f t="shared" si="13"/>
        <v>150.70575395752712</v>
      </c>
      <c r="H70" s="69">
        <f t="shared" si="3"/>
        <v>72.579752022040211</v>
      </c>
      <c r="I70" s="69">
        <f t="shared" si="4"/>
        <v>72.557793105986278</v>
      </c>
      <c r="J70" s="69">
        <f t="shared" si="9"/>
        <v>78.1655171251615</v>
      </c>
      <c r="K70" s="69">
        <f t="shared" si="5"/>
        <v>0.12027247564534767</v>
      </c>
      <c r="L70" s="69">
        <f t="shared" si="6"/>
        <v>384.22567133298656</v>
      </c>
      <c r="M70" s="69">
        <f t="shared" si="10"/>
        <v>381.31520913087616</v>
      </c>
      <c r="N70" s="69">
        <f t="shared" si="11"/>
        <v>410.78565421451549</v>
      </c>
      <c r="O70" s="69">
        <f t="shared" si="12"/>
        <v>0.63207165268109833</v>
      </c>
      <c r="P70">
        <v>5000</v>
      </c>
    </row>
    <row r="71" spans="2:16">
      <c r="B71" s="286">
        <f t="shared" si="7"/>
        <v>0.83585186210149409</v>
      </c>
      <c r="C71" s="190">
        <f t="shared" si="8"/>
        <v>1.9876557280773528E-3</v>
      </c>
      <c r="D71" s="69">
        <f t="shared" si="0"/>
        <v>0.80136996372310387</v>
      </c>
      <c r="E71" s="69">
        <f t="shared" si="1"/>
        <v>1695.6988432380879</v>
      </c>
      <c r="F71" s="69">
        <f t="shared" si="2"/>
        <v>647.58591299076988</v>
      </c>
      <c r="G71" s="69">
        <f t="shared" si="13"/>
        <v>153.01501047141849</v>
      </c>
      <c r="H71" s="69">
        <f t="shared" si="3"/>
        <v>72.584756442493685</v>
      </c>
      <c r="I71" s="69">
        <f t="shared" si="4"/>
        <v>72.557793105986278</v>
      </c>
      <c r="J71" s="69">
        <f t="shared" si="9"/>
        <v>79.363243322356567</v>
      </c>
      <c r="K71" s="69">
        <f t="shared" si="5"/>
        <v>0.12255245478677937</v>
      </c>
      <c r="L71" s="69">
        <f t="shared" si="6"/>
        <v>384.8900396236333</v>
      </c>
      <c r="M71" s="69">
        <f t="shared" si="10"/>
        <v>381.31520913087616</v>
      </c>
      <c r="N71" s="69">
        <f t="shared" si="11"/>
        <v>417.08010165860799</v>
      </c>
      <c r="O71" s="69">
        <f t="shared" si="12"/>
        <v>0.64405369741968532</v>
      </c>
      <c r="P71">
        <v>6000</v>
      </c>
    </row>
    <row r="72" spans="2:16">
      <c r="B72" s="286">
        <f t="shared" si="7"/>
        <v>0.81063592149522889</v>
      </c>
      <c r="C72" s="190">
        <f t="shared" si="8"/>
        <v>1.9276922213156543E-3</v>
      </c>
      <c r="D72" s="69">
        <f t="shared" si="0"/>
        <v>0.77162066310240074</v>
      </c>
      <c r="E72" s="69">
        <f t="shared" si="1"/>
        <v>1632.7493231246799</v>
      </c>
      <c r="F72" s="69">
        <f t="shared" si="2"/>
        <v>645.25988260389875</v>
      </c>
      <c r="G72" s="69">
        <f t="shared" si="13"/>
        <v>155.37665629387465</v>
      </c>
      <c r="H72" s="69">
        <f t="shared" si="3"/>
        <v>72.589990720838557</v>
      </c>
      <c r="I72" s="69">
        <f t="shared" si="4"/>
        <v>72.557793105986264</v>
      </c>
      <c r="J72" s="69">
        <f t="shared" si="9"/>
        <v>80.588141921986576</v>
      </c>
      <c r="K72" s="69">
        <f t="shared" si="5"/>
        <v>0.12489253414729436</v>
      </c>
      <c r="L72" s="69">
        <f t="shared" si="6"/>
        <v>385.5853438587576</v>
      </c>
      <c r="M72" s="69">
        <f t="shared" si="10"/>
        <v>381.31520913087616</v>
      </c>
      <c r="N72" s="69">
        <f t="shared" si="11"/>
        <v>423.51734906771514</v>
      </c>
      <c r="O72" s="69">
        <f t="shared" si="12"/>
        <v>0.6563515886942205</v>
      </c>
      <c r="P72">
        <v>7000</v>
      </c>
    </row>
    <row r="73" spans="2:16">
      <c r="B73" s="286">
        <f t="shared" si="7"/>
        <v>0.78600612708453133</v>
      </c>
      <c r="C73" s="190">
        <f t="shared" si="8"/>
        <v>1.8691225702070155E-3</v>
      </c>
      <c r="D73" s="69">
        <f t="shared" si="0"/>
        <v>0.74277201726547215</v>
      </c>
      <c r="E73" s="69">
        <f t="shared" si="1"/>
        <v>1571.705588533739</v>
      </c>
      <c r="F73" s="69">
        <f t="shared" si="2"/>
        <v>642.92543696132077</v>
      </c>
      <c r="G73" s="69">
        <f t="shared" si="13"/>
        <v>157.79227137548037</v>
      </c>
      <c r="H73" s="69">
        <f t="shared" si="3"/>
        <v>72.59546719981077</v>
      </c>
      <c r="I73" s="69">
        <f t="shared" si="4"/>
        <v>72.557793105986264</v>
      </c>
      <c r="J73" s="69">
        <f t="shared" si="9"/>
        <v>81.841032386157352</v>
      </c>
      <c r="K73" s="69">
        <f t="shared" si="5"/>
        <v>0.12729474940821328</v>
      </c>
      <c r="L73" s="69">
        <f t="shared" si="6"/>
        <v>386.31327839237048</v>
      </c>
      <c r="M73" s="69">
        <f t="shared" si="10"/>
        <v>381.3152091308761</v>
      </c>
      <c r="N73" s="69">
        <f t="shared" si="11"/>
        <v>430.10170298632875</v>
      </c>
      <c r="O73" s="69">
        <f t="shared" si="12"/>
        <v>0.66897602468356565</v>
      </c>
      <c r="P73">
        <v>8000</v>
      </c>
    </row>
    <row r="74" spans="2:16">
      <c r="B74" s="286">
        <f t="shared" si="7"/>
        <v>0.76195297022314279</v>
      </c>
      <c r="C74" s="190">
        <f t="shared" si="8"/>
        <v>1.8119241631906334E-3</v>
      </c>
      <c r="D74" s="69">
        <f t="shared" si="0"/>
        <v>0.71480301564454662</v>
      </c>
      <c r="E74" s="69">
        <f t="shared" si="1"/>
        <v>1512.5231811038607</v>
      </c>
      <c r="F74" s="69">
        <f t="shared" si="2"/>
        <v>640.58248406104065</v>
      </c>
      <c r="G74" s="69">
        <f t="shared" si="13"/>
        <v>160.26349529257132</v>
      </c>
      <c r="H74" s="69">
        <f t="shared" si="3"/>
        <v>72.601198982513992</v>
      </c>
      <c r="I74" s="69">
        <f t="shared" si="4"/>
        <v>72.557793105986278</v>
      </c>
      <c r="J74" s="69">
        <f t="shared" si="9"/>
        <v>83.122765102652849</v>
      </c>
      <c r="K74" s="69">
        <f t="shared" si="5"/>
        <v>0.1297612207185049</v>
      </c>
      <c r="L74" s="69">
        <f t="shared" si="6"/>
        <v>387.07564468031131</v>
      </c>
      <c r="M74" s="69">
        <f t="shared" si="10"/>
        <v>381.3152091308761</v>
      </c>
      <c r="N74" s="69">
        <f t="shared" si="11"/>
        <v>436.83763248361157</v>
      </c>
      <c r="O74" s="69">
        <f t="shared" si="12"/>
        <v>0.68193814747202119</v>
      </c>
      <c r="P74">
        <v>9000</v>
      </c>
    </row>
    <row r="75" spans="2:16">
      <c r="B75" s="286">
        <f t="shared" si="7"/>
        <v>0.73846702876982673</v>
      </c>
      <c r="C75" s="190">
        <f t="shared" si="8"/>
        <v>1.756074594414648E-3</v>
      </c>
      <c r="D75" s="69">
        <f t="shared" si="0"/>
        <v>0.68769298973972848</v>
      </c>
      <c r="E75" s="69">
        <f t="shared" si="1"/>
        <v>1455.1583662892654</v>
      </c>
      <c r="F75" s="69">
        <f t="shared" si="2"/>
        <v>638.2309302123499</v>
      </c>
      <c r="G75" s="69">
        <f t="shared" si="13"/>
        <v>162.79202995617743</v>
      </c>
      <c r="H75" s="69">
        <f t="shared" si="3"/>
        <v>72.607199985356459</v>
      </c>
      <c r="I75" s="69">
        <f t="shared" si="4"/>
        <v>72.557793105986264</v>
      </c>
      <c r="J75" s="69">
        <f t="shared" si="9"/>
        <v>84.434222789964295</v>
      </c>
      <c r="K75" s="69">
        <f t="shared" si="5"/>
        <v>0.13229415685302442</v>
      </c>
      <c r="L75" s="69">
        <f t="shared" si="6"/>
        <v>387.87435896504138</v>
      </c>
      <c r="M75" s="69">
        <f t="shared" si="10"/>
        <v>381.31520913087604</v>
      </c>
      <c r="N75" s="69">
        <f t="shared" si="11"/>
        <v>443.72977653729015</v>
      </c>
      <c r="O75" s="69">
        <f t="shared" si="12"/>
        <v>0.6952495649022431</v>
      </c>
      <c r="P75">
        <v>10000</v>
      </c>
    </row>
    <row r="76" spans="2:16">
      <c r="B76" s="286">
        <f t="shared" si="7"/>
        <v>0.71553896692674157</v>
      </c>
      <c r="C76" s="190">
        <f t="shared" si="8"/>
        <v>1.7015516633517914E-3</v>
      </c>
      <c r="D76" s="69">
        <f t="shared" si="0"/>
        <v>0.66142160999572508</v>
      </c>
      <c r="E76" s="69">
        <f t="shared" si="1"/>
        <v>1399.5681267509542</v>
      </c>
      <c r="F76" s="69">
        <f t="shared" si="2"/>
        <v>635.87067999211092</v>
      </c>
      <c r="G76" s="69">
        <f t="shared" si="13"/>
        <v>165.37964246519269</v>
      </c>
      <c r="H76" s="69">
        <f t="shared" si="3"/>
        <v>72.613484995150898</v>
      </c>
      <c r="I76" s="69">
        <f t="shared" si="4"/>
        <v>72.557793105986278</v>
      </c>
      <c r="J76" s="69">
        <f t="shared" si="9"/>
        <v>85.776321977124169</v>
      </c>
      <c r="K76" s="69">
        <f t="shared" si="5"/>
        <v>0.13489585960810202</v>
      </c>
      <c r="L76" s="69">
        <f t="shared" si="6"/>
        <v>388.71146057588328</v>
      </c>
      <c r="M76" s="69">
        <f t="shared" si="10"/>
        <v>381.3152091308761</v>
      </c>
      <c r="N76" s="69">
        <f t="shared" si="11"/>
        <v>450.78295181067131</v>
      </c>
      <c r="O76" s="69">
        <f t="shared" si="12"/>
        <v>0.70892237367551536</v>
      </c>
      <c r="P76">
        <v>11000</v>
      </c>
    </row>
    <row r="77" spans="2:16">
      <c r="B77" s="286">
        <f t="shared" si="7"/>
        <v>0.69315953507692796</v>
      </c>
      <c r="C77" s="190">
        <f t="shared" si="8"/>
        <v>1.6483333744129346E-3</v>
      </c>
      <c r="D77" s="69">
        <f t="shared" si="0"/>
        <v>0.63596888268442886</v>
      </c>
      <c r="E77" s="69">
        <f t="shared" si="1"/>
        <v>1345.7101557602514</v>
      </c>
      <c r="F77" s="69">
        <f t="shared" si="2"/>
        <v>633.50163619957414</v>
      </c>
      <c r="G77" s="69">
        <f t="shared" si="13"/>
        <v>168.02816811259282</v>
      </c>
      <c r="H77" s="69">
        <f t="shared" si="3"/>
        <v>72.620069730701388</v>
      </c>
      <c r="I77" s="69">
        <f t="shared" si="4"/>
        <v>72.557793105986278</v>
      </c>
      <c r="J77" s="69">
        <f t="shared" si="9"/>
        <v>87.15001456292039</v>
      </c>
      <c r="K77" s="69">
        <f t="shared" si="5"/>
        <v>0.13756872844992185</v>
      </c>
      <c r="L77" s="69">
        <f t="shared" si="6"/>
        <v>389.58912089861781</v>
      </c>
      <c r="M77" s="69">
        <f t="shared" si="10"/>
        <v>381.31520913087616</v>
      </c>
      <c r="N77" s="69">
        <f t="shared" si="11"/>
        <v>458.00216084682927</v>
      </c>
      <c r="O77" s="69">
        <f t="shared" si="12"/>
        <v>0.72296918378051878</v>
      </c>
      <c r="P77">
        <v>12000</v>
      </c>
    </row>
    <row r="78" spans="2:16">
      <c r="B78" s="286">
        <f t="shared" si="7"/>
        <v>0.67131956962090222</v>
      </c>
      <c r="C78" s="190">
        <f t="shared" si="8"/>
        <v>1.5963979365585055E-3</v>
      </c>
      <c r="D78" s="69">
        <f t="shared" si="0"/>
        <v>0.61131514679339116</v>
      </c>
      <c r="E78" s="69">
        <f t="shared" si="1"/>
        <v>1293.5428506148157</v>
      </c>
      <c r="F78" s="69">
        <f t="shared" si="2"/>
        <v>631.12369980966935</v>
      </c>
      <c r="G78" s="69">
        <f t="shared" si="13"/>
        <v>170.73951355413331</v>
      </c>
      <c r="H78" s="69">
        <f t="shared" si="3"/>
        <v>72.626970909237883</v>
      </c>
      <c r="I78" s="69">
        <f t="shared" si="4"/>
        <v>72.557793105986264</v>
      </c>
      <c r="J78" s="69">
        <f t="shared" si="9"/>
        <v>88.556289459383123</v>
      </c>
      <c r="K78" s="69">
        <f t="shared" si="5"/>
        <v>0.14031526543225903</v>
      </c>
      <c r="L78" s="69">
        <f t="shared" si="6"/>
        <v>390.50965307344387</v>
      </c>
      <c r="M78" s="69">
        <f t="shared" si="10"/>
        <v>381.3152091308761</v>
      </c>
      <c r="N78" s="69">
        <f t="shared" si="11"/>
        <v>465.39260070567269</v>
      </c>
      <c r="O78" s="69">
        <f t="shared" si="12"/>
        <v>0.73740314433766807</v>
      </c>
      <c r="P78">
        <v>13000</v>
      </c>
    </row>
    <row r="79" spans="2:16">
      <c r="B79" s="286">
        <f t="shared" si="7"/>
        <v>0.65000999281234406</v>
      </c>
      <c r="C79" s="190">
        <f t="shared" si="8"/>
        <v>1.545723762907754E-3</v>
      </c>
      <c r="D79" s="69">
        <f t="shared" si="0"/>
        <v>0.58744107092021636</v>
      </c>
      <c r="E79" s="69">
        <f t="shared" si="1"/>
        <v>1243.0253060671778</v>
      </c>
      <c r="F79" s="69">
        <f t="shared" si="2"/>
        <v>628.73676992470689</v>
      </c>
      <c r="G79" s="69">
        <f t="shared" si="13"/>
        <v>173.51566014961782</v>
      </c>
      <c r="H79" s="69">
        <f t="shared" si="3"/>
        <v>72.634206318148784</v>
      </c>
      <c r="I79" s="69">
        <f t="shared" si="4"/>
        <v>72.557793105986264</v>
      </c>
      <c r="J79" s="69">
        <f t="shared" si="9"/>
        <v>89.996174324777584</v>
      </c>
      <c r="K79" s="69">
        <f t="shared" si="5"/>
        <v>0.14313808040136558</v>
      </c>
      <c r="L79" s="69">
        <f t="shared" si="6"/>
        <v>391.47552248579541</v>
      </c>
      <c r="M79" s="69">
        <f t="shared" si="10"/>
        <v>381.31520913087616</v>
      </c>
      <c r="N79" s="69">
        <f t="shared" si="11"/>
        <v>472.95967207139444</v>
      </c>
      <c r="O79" s="69">
        <f t="shared" si="12"/>
        <v>0.75223797095250655</v>
      </c>
      <c r="P79">
        <v>14000</v>
      </c>
    </row>
    <row r="80" spans="2:16">
      <c r="B80" s="286">
        <f t="shared" si="7"/>
        <v>0.62922181259286314</v>
      </c>
      <c r="C80" s="190">
        <f t="shared" si="8"/>
        <v>1.4962894703458285E-3</v>
      </c>
      <c r="D80" s="69">
        <f t="shared" si="0"/>
        <v>0.56432765017291076</v>
      </c>
      <c r="E80" s="69">
        <f t="shared" si="1"/>
        <v>1194.1173077658791</v>
      </c>
      <c r="F80" s="69">
        <f t="shared" si="2"/>
        <v>626.34074372442183</v>
      </c>
      <c r="G80" s="69">
        <f t="shared" si="13"/>
        <v>176.35866748753674</v>
      </c>
      <c r="H80" s="69">
        <f t="shared" si="3"/>
        <v>72.641794892526036</v>
      </c>
      <c r="I80" s="69">
        <f t="shared" si="4"/>
        <v>72.557793105986278</v>
      </c>
      <c r="J80" s="69">
        <f t="shared" si="9"/>
        <v>91.470737391703963</v>
      </c>
      <c r="K80" s="69">
        <f t="shared" si="5"/>
        <v>0.14603989650711494</v>
      </c>
      <c r="L80" s="69">
        <f t="shared" si="6"/>
        <v>392.48935812057215</v>
      </c>
      <c r="M80" s="69">
        <f t="shared" si="10"/>
        <v>381.31520913087616</v>
      </c>
      <c r="N80" s="69">
        <f t="shared" si="11"/>
        <v>480.70898885974242</v>
      </c>
      <c r="O80" s="69">
        <f t="shared" si="12"/>
        <v>0.76748797467859664</v>
      </c>
      <c r="P80">
        <v>15000</v>
      </c>
    </row>
    <row r="81" spans="2:16">
      <c r="B81" s="286">
        <f t="shared" si="7"/>
        <v>0.60894612242583845</v>
      </c>
      <c r="C81" s="190">
        <f t="shared" si="8"/>
        <v>1.4480738791286438E-3</v>
      </c>
      <c r="D81" s="69">
        <f t="shared" si="0"/>
        <v>0.54195620307622094</v>
      </c>
      <c r="E81" s="69">
        <f t="shared" si="1"/>
        <v>1146.7793257092835</v>
      </c>
      <c r="F81" s="69">
        <f t="shared" si="2"/>
        <v>623.93551641429247</v>
      </c>
      <c r="G81" s="69">
        <f t="shared" si="13"/>
        <v>179.27067710463936</v>
      </c>
      <c r="H81" s="69">
        <f t="shared" si="3"/>
        <v>72.649756798925324</v>
      </c>
      <c r="I81" s="69">
        <f t="shared" si="4"/>
        <v>72.557793105986278</v>
      </c>
      <c r="J81" s="69">
        <f t="shared" si="9"/>
        <v>92.98108939630238</v>
      </c>
      <c r="K81" s="69">
        <f t="shared" si="5"/>
        <v>0.14902355604094678</v>
      </c>
      <c r="L81" s="69">
        <f t="shared" si="6"/>
        <v>393.55396485698066</v>
      </c>
      <c r="M81" s="69">
        <f t="shared" si="10"/>
        <v>381.3152091308761</v>
      </c>
      <c r="N81" s="69">
        <f t="shared" si="11"/>
        <v>488.6463883566293</v>
      </c>
      <c r="O81" s="69">
        <f t="shared" si="12"/>
        <v>0.7831680926978497</v>
      </c>
      <c r="P81">
        <v>16000</v>
      </c>
    </row>
    <row r="82" spans="2:16">
      <c r="B82" s="286">
        <f t="shared" si="7"/>
        <v>0.58917410112931001</v>
      </c>
      <c r="C82" s="190">
        <f t="shared" si="8"/>
        <v>1.4010560124854991E-3</v>
      </c>
      <c r="D82" s="69">
        <f t="shared" si="0"/>
        <v>0.52030836848399031</v>
      </c>
      <c r="E82" s="69">
        <f t="shared" si="1"/>
        <v>1100.9725077121236</v>
      </c>
      <c r="F82" s="69">
        <f t="shared" si="2"/>
        <v>621.52098117205833</v>
      </c>
      <c r="G82" s="69">
        <f t="shared" si="13"/>
        <v>182.25391641283005</v>
      </c>
      <c r="H82" s="69">
        <f t="shared" si="3"/>
        <v>72.658113526013892</v>
      </c>
      <c r="I82" s="69">
        <f t="shared" si="4"/>
        <v>72.557793105986278</v>
      </c>
      <c r="J82" s="69">
        <f t="shared" si="9"/>
        <v>94.528385614989247</v>
      </c>
      <c r="K82" s="69">
        <f t="shared" si="5"/>
        <v>0.1520920266227031</v>
      </c>
      <c r="L82" s="69">
        <f t="shared" si="6"/>
        <v>394.67233678841728</v>
      </c>
      <c r="M82" s="69">
        <f t="shared" si="10"/>
        <v>381.31520913087621</v>
      </c>
      <c r="N82" s="69">
        <f t="shared" si="11"/>
        <v>496.77794192185655</v>
      </c>
      <c r="O82" s="69">
        <f t="shared" si="12"/>
        <v>0.79929392083439799</v>
      </c>
      <c r="P82">
        <v>17000</v>
      </c>
    </row>
    <row r="83" spans="2:16">
      <c r="B83" s="286">
        <f t="shared" si="7"/>
        <v>0.56989701270791915</v>
      </c>
      <c r="C83" s="190">
        <f>B83*0.002378</f>
        <v>1.3552150962194316E-3</v>
      </c>
      <c r="D83" s="69">
        <f t="shared" si="0"/>
        <v>0.4993661024975769</v>
      </c>
      <c r="E83" s="69">
        <f t="shared" si="1"/>
        <v>1056.6586728848727</v>
      </c>
      <c r="F83" s="69">
        <f t="shared" si="2"/>
        <v>619.09702909235978</v>
      </c>
      <c r="G83" s="69">
        <f t="shared" si="13"/>
        <v>185.31070284666879</v>
      </c>
      <c r="H83" s="69">
        <f t="shared" si="3"/>
        <v>72.666887982676897</v>
      </c>
      <c r="I83" s="69">
        <f t="shared" si="4"/>
        <v>72.557793105986278</v>
      </c>
      <c r="J83" s="69">
        <f t="shared" si="9"/>
        <v>96.113828015612683</v>
      </c>
      <c r="K83" s="69">
        <f t="shared" si="5"/>
        <v>0.15524840776012508</v>
      </c>
      <c r="L83" s="69">
        <f t="shared" si="6"/>
        <v>395.84767165976433</v>
      </c>
      <c r="M83" s="69">
        <f t="shared" si="10"/>
        <v>381.31520913087616</v>
      </c>
      <c r="N83" s="69">
        <f t="shared" si="11"/>
        <v>505.10996629414689</v>
      </c>
      <c r="O83" s="69">
        <f t="shared" si="12"/>
        <v>0.81588174802691915</v>
      </c>
      <c r="P83">
        <v>18000</v>
      </c>
    </row>
    <row r="84" spans="2:16">
      <c r="B84" s="286">
        <f t="shared" si="7"/>
        <v>0.55110620618387751</v>
      </c>
      <c r="C84" s="190">
        <f t="shared" si="8"/>
        <v>1.3105305583052606E-3</v>
      </c>
      <c r="D84" s="69">
        <f t="shared" si="0"/>
        <v>0.47911167539035798</v>
      </c>
      <c r="E84" s="69">
        <f t="shared" si="1"/>
        <v>1013.8003051259975</v>
      </c>
      <c r="F84" s="69">
        <f t="shared" si="2"/>
        <v>616.66354912942131</v>
      </c>
      <c r="G84" s="69">
        <f t="shared" si="13"/>
        <v>188.44344824572002</v>
      </c>
      <c r="H84" s="69">
        <f t="shared" si="3"/>
        <v>72.676104604267863</v>
      </c>
      <c r="I84" s="69">
        <f t="shared" si="4"/>
        <v>72.557793105986278</v>
      </c>
      <c r="J84" s="69">
        <f t="shared" si="9"/>
        <v>97.738667530415285</v>
      </c>
      <c r="K84" s="69">
        <f t="shared" si="5"/>
        <v>0.15849593780660212</v>
      </c>
      <c r="L84" s="69">
        <f t="shared" si="6"/>
        <v>397.08338652313205</v>
      </c>
      <c r="M84" s="69">
        <f t="shared" si="10"/>
        <v>381.31520913087616</v>
      </c>
      <c r="N84" s="69">
        <f t="shared" si="11"/>
        <v>513.64903553631689</v>
      </c>
      <c r="O84" s="69">
        <f t="shared" si="12"/>
        <v>0.83294859289391143</v>
      </c>
      <c r="P84">
        <v>19000</v>
      </c>
    </row>
    <row r="85" spans="2:16">
      <c r="B85" s="286">
        <f t="shared" si="7"/>
        <v>0.53279311542695518</v>
      </c>
      <c r="C85" s="190">
        <f t="shared" si="8"/>
        <v>1.2669820284852995E-3</v>
      </c>
      <c r="D85" s="69">
        <f t="shared" si="0"/>
        <v>0.45952766853836374</v>
      </c>
      <c r="E85" s="69">
        <f t="shared" si="1"/>
        <v>972.36054662717765</v>
      </c>
      <c r="F85" s="69">
        <f t="shared" si="2"/>
        <v>614.22042803768943</v>
      </c>
      <c r="G85" s="69">
        <f t="shared" si="13"/>
        <v>191.6546634870349</v>
      </c>
      <c r="H85" s="69">
        <f t="shared" si="3"/>
        <v>72.685789467754901</v>
      </c>
      <c r="I85" s="69">
        <f t="shared" si="4"/>
        <v>72.557793105986278</v>
      </c>
      <c r="J85" s="69">
        <f t="shared" si="9"/>
        <v>99.404206458731963</v>
      </c>
      <c r="K85" s="69">
        <f t="shared" si="5"/>
        <v>0.1618380013447426</v>
      </c>
      <c r="L85" s="69">
        <f t="shared" si="6"/>
        <v>398.38313472252685</v>
      </c>
      <c r="M85" s="69">
        <f t="shared" si="10"/>
        <v>381.31520913087616</v>
      </c>
      <c r="N85" s="69">
        <f t="shared" si="11"/>
        <v>522.40199366224829</v>
      </c>
      <c r="O85" s="69">
        <f t="shared" si="12"/>
        <v>0.8505122425367998</v>
      </c>
      <c r="P85">
        <v>20000</v>
      </c>
    </row>
    <row r="86" spans="2:16">
      <c r="B86" s="286">
        <f t="shared" si="7"/>
        <v>0.5149492589834731</v>
      </c>
      <c r="C86" s="190">
        <f t="shared" si="8"/>
        <v>1.2245493378626989E-3</v>
      </c>
      <c r="D86" s="69">
        <f t="shared" si="0"/>
        <v>0.44059697135707104</v>
      </c>
      <c r="E86" s="69">
        <f t="shared" si="1"/>
        <v>932.30319139156234</v>
      </c>
      <c r="F86" s="69">
        <f t="shared" si="2"/>
        <v>611.76755031033667</v>
      </c>
      <c r="G86" s="69">
        <f t="shared" si="13"/>
        <v>194.94696338417822</v>
      </c>
      <c r="H86" s="69">
        <f t="shared" si="3"/>
        <v>72.695970416588665</v>
      </c>
      <c r="I86" s="69">
        <f t="shared" si="4"/>
        <v>72.557793105986278</v>
      </c>
      <c r="J86" s="69">
        <f t="shared" si="9"/>
        <v>101.11180100793443</v>
      </c>
      <c r="K86" s="69">
        <f t="shared" si="5"/>
        <v>0.16527813702548061</v>
      </c>
      <c r="L86" s="69">
        <f t="shared" si="6"/>
        <v>399.75082432823223</v>
      </c>
      <c r="M86" s="69">
        <f t="shared" si="10"/>
        <v>381.31520913087616</v>
      </c>
      <c r="N86" s="69">
        <f t="shared" si="11"/>
        <v>531.37596799039204</v>
      </c>
      <c r="O86" s="69">
        <f t="shared" si="12"/>
        <v>0.86859129373703514</v>
      </c>
      <c r="P86">
        <v>21000</v>
      </c>
    </row>
    <row r="87" spans="2:16">
      <c r="B87" s="286">
        <f t="shared" si="7"/>
        <v>0.49756623990428656</v>
      </c>
      <c r="C87" s="190">
        <f t="shared" si="8"/>
        <v>1.1832125184923934E-3</v>
      </c>
      <c r="D87" s="69">
        <f t="shared" si="0"/>
        <v>0.42230277824439649</v>
      </c>
      <c r="E87" s="69">
        <f t="shared" si="1"/>
        <v>893.59267876514298</v>
      </c>
      <c r="F87" s="69">
        <f t="shared" si="2"/>
        <v>609.30479811553971</v>
      </c>
      <c r="G87" s="69">
        <f t="shared" si="13"/>
        <v>198.3230718704302</v>
      </c>
      <c r="H87" s="69">
        <f t="shared" si="3"/>
        <v>72.706677196238999</v>
      </c>
      <c r="I87" s="69">
        <f t="shared" si="4"/>
        <v>72.557793105986264</v>
      </c>
      <c r="J87" s="69">
        <f t="shared" si="9"/>
        <v>102.86286398176691</v>
      </c>
      <c r="K87" s="69">
        <f t="shared" si="5"/>
        <v>0.1688200458947666</v>
      </c>
      <c r="L87" s="69">
        <f t="shared" si="6"/>
        <v>401.19063815288558</v>
      </c>
      <c r="M87" s="69">
        <f t="shared" si="10"/>
        <v>381.31520913087616</v>
      </c>
      <c r="N87" s="69">
        <f t="shared" si="11"/>
        <v>540.57838327186209</v>
      </c>
      <c r="O87" s="69">
        <f t="shared" si="12"/>
        <v>0.88720519671560938</v>
      </c>
      <c r="P87">
        <v>22000</v>
      </c>
    </row>
    <row r="88" spans="2:16">
      <c r="B88" s="286">
        <f t="shared" si="7"/>
        <v>0.48063574557174599</v>
      </c>
      <c r="C88" s="190">
        <f t="shared" si="8"/>
        <v>1.1429518029696119E-3</v>
      </c>
      <c r="D88" s="69">
        <f t="shared" si="0"/>
        <v>0.4046285855299247</v>
      </c>
      <c r="E88" s="69">
        <f t="shared" si="1"/>
        <v>856.19408698132065</v>
      </c>
      <c r="F88" s="69">
        <f t="shared" si="2"/>
        <v>606.83205123042615</v>
      </c>
      <c r="G88" s="69">
        <f t="shared" si="13"/>
        <v>201.78582748511363</v>
      </c>
      <c r="H88" s="69">
        <f t="shared" si="3"/>
        <v>72.717941601304034</v>
      </c>
      <c r="I88" s="69">
        <f t="shared" si="4"/>
        <v>72.557793105986264</v>
      </c>
      <c r="J88" s="69">
        <f t="shared" si="9"/>
        <v>104.65886762590159</v>
      </c>
      <c r="K88" s="69">
        <f t="shared" si="5"/>
        <v>0.17246760024242777</v>
      </c>
      <c r="L88" s="69">
        <f t="shared" si="6"/>
        <v>402.70705549340204</v>
      </c>
      <c r="M88" s="69">
        <f t="shared" si="10"/>
        <v>381.31520913087616</v>
      </c>
      <c r="N88" s="69">
        <f t="shared" si="11"/>
        <v>550.01697664477069</v>
      </c>
      <c r="O88" s="69">
        <f t="shared" si="12"/>
        <v>0.90637430163674459</v>
      </c>
      <c r="P88">
        <v>23000</v>
      </c>
    </row>
    <row r="89" spans="2:16">
      <c r="B89" s="286">
        <f t="shared" si="7"/>
        <v>0.4641495475256186</v>
      </c>
      <c r="C89" s="190">
        <f t="shared" si="8"/>
        <v>1.1037476240159209E-3</v>
      </c>
      <c r="D89" s="69">
        <f t="shared" si="0"/>
        <v>0.38755818843040718</v>
      </c>
      <c r="E89" s="69">
        <f t="shared" si="1"/>
        <v>820.07312671874161</v>
      </c>
      <c r="F89" s="69">
        <f t="shared" si="2"/>
        <v>604.34918697259354</v>
      </c>
      <c r="G89" s="69">
        <f t="shared" si="13"/>
        <v>205.33818918342828</v>
      </c>
      <c r="H89" s="69">
        <f t="shared" si="3"/>
        <v>72.729797635465886</v>
      </c>
      <c r="I89" s="69">
        <f t="shared" si="4"/>
        <v>72.557793105986264</v>
      </c>
      <c r="J89" s="69">
        <f t="shared" si="9"/>
        <v>106.50134664128569</v>
      </c>
      <c r="K89" s="69">
        <f t="shared" si="5"/>
        <v>0.17622485301054172</v>
      </c>
      <c r="L89" s="69">
        <f t="shared" si="6"/>
        <v>404.30487575607691</v>
      </c>
      <c r="M89" s="69">
        <f t="shared" si="10"/>
        <v>381.31520913087616</v>
      </c>
      <c r="N89" s="69">
        <f t="shared" si="11"/>
        <v>559.69981347036423</v>
      </c>
      <c r="O89" s="69">
        <f t="shared" si="12"/>
        <v>0.92611990805200817</v>
      </c>
      <c r="P89">
        <v>24000</v>
      </c>
    </row>
    <row r="90" spans="2:16">
      <c r="B90" s="286">
        <f t="shared" si="7"/>
        <v>0.44809950128795967</v>
      </c>
      <c r="C90" s="190">
        <f t="shared" si="8"/>
        <v>1.0655806140627681E-3</v>
      </c>
      <c r="D90" s="69">
        <f t="shared" si="0"/>
        <v>0.37107567801157226</v>
      </c>
      <c r="E90" s="69">
        <f t="shared" si="1"/>
        <v>785.19613467248689</v>
      </c>
      <c r="F90" s="69">
        <f t="shared" si="2"/>
        <v>601.85608012908108</v>
      </c>
      <c r="G90" s="69">
        <f t="shared" si="13"/>
        <v>208.98324249172563</v>
      </c>
      <c r="H90" s="69">
        <f t="shared" si="3"/>
        <v>72.742281685334277</v>
      </c>
      <c r="I90" s="69">
        <f t="shared" si="4"/>
        <v>72.557793105986278</v>
      </c>
      <c r="J90" s="69">
        <f t="shared" si="9"/>
        <v>108.39190137665527</v>
      </c>
      <c r="K90" s="69">
        <f t="shared" si="5"/>
        <v>0.18009604780167424</v>
      </c>
      <c r="L90" s="69">
        <f t="shared" si="6"/>
        <v>405.98924413642322</v>
      </c>
      <c r="M90" s="69">
        <f t="shared" si="10"/>
        <v>381.3152091308761</v>
      </c>
      <c r="N90" s="69">
        <f t="shared" si="11"/>
        <v>569.63530411073941</v>
      </c>
      <c r="O90" s="69">
        <f t="shared" si="12"/>
        <v>0.94646431749691518</v>
      </c>
      <c r="P90">
        <v>25000</v>
      </c>
    </row>
    <row r="91" spans="2:16">
      <c r="B91" s="286">
        <f t="shared" si="7"/>
        <v>0.43247754618691514</v>
      </c>
      <c r="C91" s="190">
        <f t="shared" si="8"/>
        <v>1.0284316048324842E-3</v>
      </c>
      <c r="D91" s="69">
        <f t="shared" si="0"/>
        <v>0.35516543815628354</v>
      </c>
      <c r="E91" s="69">
        <f t="shared" si="1"/>
        <v>751.53006713869593</v>
      </c>
      <c r="F91" s="69">
        <f t="shared" si="2"/>
        <v>599.35260288268626</v>
      </c>
      <c r="G91" s="69">
        <f t="shared" si="13"/>
        <v>212.72420603184148</v>
      </c>
      <c r="H91" s="69">
        <f t="shared" si="3"/>
        <v>72.755432709701665</v>
      </c>
      <c r="I91" s="69">
        <f t="shared" si="4"/>
        <v>72.557793105986278</v>
      </c>
      <c r="J91" s="69">
        <f t="shared" si="9"/>
        <v>110.33220121246605</v>
      </c>
      <c r="K91" s="69">
        <f t="shared" si="5"/>
        <v>0.18408562953060509</v>
      </c>
      <c r="L91" s="69">
        <f t="shared" si="6"/>
        <v>407.76567954063574</v>
      </c>
      <c r="M91" s="69">
        <f t="shared" si="10"/>
        <v>381.3152091308761</v>
      </c>
      <c r="N91" s="69">
        <f t="shared" si="11"/>
        <v>579.8322217125201</v>
      </c>
      <c r="O91" s="69">
        <f t="shared" si="12"/>
        <v>0.96743088946927125</v>
      </c>
      <c r="P91">
        <v>26000</v>
      </c>
    </row>
    <row r="92" spans="2:16">
      <c r="B92" s="286">
        <f t="shared" si="7"/>
        <v>0.41727570517944246</v>
      </c>
      <c r="C92" s="190">
        <f t="shared" si="8"/>
        <v>9.9228162691671409E-4</v>
      </c>
      <c r="D92" s="69">
        <f t="shared" si="0"/>
        <v>0.33981214253908448</v>
      </c>
      <c r="E92" s="69">
        <f t="shared" si="1"/>
        <v>719.04249361270274</v>
      </c>
      <c r="F92" s="69">
        <f t="shared" si="2"/>
        <v>596.83862473549664</v>
      </c>
      <c r="G92" s="69">
        <f t="shared" si="13"/>
        <v>216.56443843993264</v>
      </c>
      <c r="H92" s="69">
        <f t="shared" si="3"/>
        <v>72.769292445585435</v>
      </c>
      <c r="I92" s="69">
        <f t="shared" si="4"/>
        <v>72.557793105986264</v>
      </c>
      <c r="J92" s="69">
        <f t="shared" si="9"/>
        <v>112.32398814943889</v>
      </c>
      <c r="K92" s="69">
        <f t="shared" si="5"/>
        <v>0.18819825576673754</v>
      </c>
      <c r="L92" s="69">
        <f t="shared" si="6"/>
        <v>409.64010495200557</v>
      </c>
      <c r="M92" s="69">
        <f t="shared" si="10"/>
        <v>381.3152091308761</v>
      </c>
      <c r="N92" s="69">
        <f t="shared" si="11"/>
        <v>590.29972106584989</v>
      </c>
      <c r="O92" s="69">
        <f t="shared" si="12"/>
        <v>0.9890441010372869</v>
      </c>
      <c r="P92">
        <v>27000</v>
      </c>
    </row>
    <row r="93" spans="2:16">
      <c r="B93" s="286">
        <f t="shared" si="7"/>
        <v>0.40248608467293318</v>
      </c>
      <c r="C93" s="190">
        <f t="shared" si="8"/>
        <v>9.5711190935223508E-4</v>
      </c>
      <c r="D93" s="69">
        <f t="shared" si="0"/>
        <v>0.32500075160717107</v>
      </c>
      <c r="E93" s="69">
        <f t="shared" si="1"/>
        <v>687.70159040077397</v>
      </c>
      <c r="F93" s="69">
        <f t="shared" si="2"/>
        <v>594.3140124295129</v>
      </c>
      <c r="G93" s="69">
        <f t="shared" si="13"/>
        <v>220.50744570725101</v>
      </c>
      <c r="H93" s="69">
        <f t="shared" si="3"/>
        <v>72.783905632811255</v>
      </c>
      <c r="I93" s="69">
        <f t="shared" si="4"/>
        <v>72.557793105986264</v>
      </c>
      <c r="J93" s="69">
        <f t="shared" si="9"/>
        <v>114.36908061594866</v>
      </c>
      <c r="K93" s="69">
        <f t="shared" si="5"/>
        <v>0.19243880881828127</v>
      </c>
      <c r="L93" s="69">
        <f t="shared" si="6"/>
        <v>411.61888046314999</v>
      </c>
      <c r="M93" s="69">
        <f t="shared" si="10"/>
        <v>381.3152091308761</v>
      </c>
      <c r="N93" s="69">
        <f t="shared" si="11"/>
        <v>601.04735861348104</v>
      </c>
      <c r="O93" s="69">
        <f t="shared" si="12"/>
        <v>1.0113296103459561</v>
      </c>
      <c r="P93">
        <v>28000</v>
      </c>
    </row>
    <row r="94" spans="2:16">
      <c r="B94" s="286">
        <f t="shared" si="7"/>
        <v>0.38810087434571827</v>
      </c>
      <c r="C94" s="190">
        <f t="shared" si="8"/>
        <v>9.2290387919411799E-4</v>
      </c>
      <c r="D94" s="69">
        <f t="shared" si="0"/>
        <v>0.31071650956782709</v>
      </c>
      <c r="E94" s="69">
        <f t="shared" si="1"/>
        <v>657.47613424552208</v>
      </c>
      <c r="F94" s="69">
        <f t="shared" si="2"/>
        <v>591.77862986422156</v>
      </c>
      <c r="G94" s="69">
        <f t="shared" si="13"/>
        <v>224.55688897245028</v>
      </c>
      <c r="H94" s="69">
        <f t="shared" si="3"/>
        <v>72.799320258926329</v>
      </c>
      <c r="I94" s="69">
        <f t="shared" si="4"/>
        <v>72.557793105986264</v>
      </c>
      <c r="J94" s="69">
        <f t="shared" si="9"/>
        <v>116.46937750960615</v>
      </c>
      <c r="K94" s="69">
        <f t="shared" si="5"/>
        <v>0.19681240861355373</v>
      </c>
      <c r="L94" s="69">
        <f t="shared" si="6"/>
        <v>413.70883921356454</v>
      </c>
      <c r="M94" s="69">
        <f t="shared" si="10"/>
        <v>381.31520913087604</v>
      </c>
      <c r="N94" s="69">
        <f t="shared" si="11"/>
        <v>612.08511369062455</v>
      </c>
      <c r="O94" s="69">
        <f t="shared" si="12"/>
        <v>1.0343143243125594</v>
      </c>
      <c r="P94">
        <v>29000</v>
      </c>
    </row>
    <row r="95" spans="2:16">
      <c r="B95" s="286">
        <f t="shared" si="7"/>
        <v>0.37411234696644796</v>
      </c>
      <c r="C95" s="190">
        <f t="shared" si="8"/>
        <v>8.8963916108621317E-4</v>
      </c>
      <c r="D95" s="69">
        <f t="shared" si="0"/>
        <v>0.29694494138237271</v>
      </c>
      <c r="E95" s="69">
        <f t="shared" si="1"/>
        <v>628.33549596510068</v>
      </c>
      <c r="F95" s="69">
        <f t="shared" si="2"/>
        <v>589.23233801097786</v>
      </c>
      <c r="G95" s="69">
        <f t="shared" si="13"/>
        <v>228.71659279736826</v>
      </c>
      <c r="H95" s="69">
        <f t="shared" si="3"/>
        <v>72.815587826537026</v>
      </c>
      <c r="I95" s="69">
        <f t="shared" si="4"/>
        <v>72.557793105986278</v>
      </c>
      <c r="J95" s="69">
        <f t="shared" si="9"/>
        <v>118.62686248960141</v>
      </c>
      <c r="K95" s="69">
        <f t="shared" si="5"/>
        <v>0.20132442643939086</v>
      </c>
      <c r="L95" s="69">
        <f t="shared" si="6"/>
        <v>415.91732649161003</v>
      </c>
      <c r="M95" s="69">
        <f t="shared" si="10"/>
        <v>381.31520913087616</v>
      </c>
      <c r="N95" s="69">
        <f t="shared" si="11"/>
        <v>623.42341108263486</v>
      </c>
      <c r="O95" s="69">
        <f t="shared" si="12"/>
        <v>1.0580264708265554</v>
      </c>
      <c r="P95">
        <v>30000</v>
      </c>
    </row>
    <row r="96" spans="2:16">
      <c r="B96" s="286">
        <f t="shared" si="7"/>
        <v>0.36051285821231782</v>
      </c>
      <c r="C96" s="190">
        <f t="shared" si="8"/>
        <v>8.5729957682889179E-4</v>
      </c>
      <c r="D96" s="69">
        <f t="shared" si="0"/>
        <v>0.28367184976665483</v>
      </c>
      <c r="E96" s="69">
        <f t="shared" si="1"/>
        <v>600.24963410624161</v>
      </c>
      <c r="F96" s="69">
        <f t="shared" si="2"/>
        <v>586.67499482404355</v>
      </c>
      <c r="G96" s="69">
        <f t="shared" si="13"/>
        <v>232.99055396079427</v>
      </c>
      <c r="H96" s="69">
        <f t="shared" si="3"/>
        <v>72.83276364529307</v>
      </c>
      <c r="I96" s="69">
        <f t="shared" si="4"/>
        <v>72.557793105986278</v>
      </c>
      <c r="J96" s="69">
        <f t="shared" si="9"/>
        <v>120.84360853770654</v>
      </c>
      <c r="K96" s="69">
        <f t="shared" si="5"/>
        <v>0.20598049960174311</v>
      </c>
      <c r="L96" s="69">
        <f t="shared" si="6"/>
        <v>418.25224228058624</v>
      </c>
      <c r="M96" s="69">
        <f t="shared" si="10"/>
        <v>381.3152091308761</v>
      </c>
      <c r="N96" s="69">
        <f t="shared" si="11"/>
        <v>635.07314499458744</v>
      </c>
      <c r="O96" s="69">
        <f t="shared" si="12"/>
        <v>1.082495675795863</v>
      </c>
      <c r="P96">
        <v>31000</v>
      </c>
    </row>
    <row r="97" spans="1:42">
      <c r="B97" s="286">
        <f t="shared" si="7"/>
        <v>0.3472948464861339</v>
      </c>
      <c r="C97" s="190">
        <f t="shared" si="8"/>
        <v>8.2586714494402638E-4</v>
      </c>
      <c r="D97" s="69">
        <f t="shared" si="0"/>
        <v>0.27088331219813189</v>
      </c>
      <c r="E97" s="69">
        <f t="shared" si="1"/>
        <v>573.18908861124703</v>
      </c>
      <c r="F97" s="69">
        <f t="shared" si="2"/>
        <v>584.10645514811722</v>
      </c>
      <c r="G97" s="69">
        <f t="shared" si="13"/>
        <v>237.38295080751553</v>
      </c>
      <c r="H97" s="69">
        <f t="shared" si="3"/>
        <v>72.850907151135303</v>
      </c>
      <c r="I97" s="69">
        <f t="shared" si="4"/>
        <v>72.557793105986278</v>
      </c>
      <c r="J97" s="69">
        <f>SQRT(2*C$59/(C97*C$55*C$60))/1.68780986</f>
        <v>123.12178280728125</v>
      </c>
      <c r="K97" s="69">
        <f t="shared" si="5"/>
        <v>0.21078654707909389</v>
      </c>
      <c r="L97" s="69">
        <f t="shared" si="6"/>
        <v>420.72208754977163</v>
      </c>
      <c r="M97" s="69">
        <f t="shared" si="10"/>
        <v>381.31520913087616</v>
      </c>
      <c r="N97" s="69">
        <f t="shared" si="11"/>
        <v>647.04570453440874</v>
      </c>
      <c r="O97" s="69">
        <f t="shared" si="12"/>
        <v>1.1077530454107574</v>
      </c>
      <c r="P97">
        <v>32000</v>
      </c>
    </row>
    <row r="98" spans="1:42">
      <c r="B98" s="286">
        <f t="shared" si="7"/>
        <v>0.33445083273219328</v>
      </c>
      <c r="C98" s="190">
        <f t="shared" si="8"/>
        <v>7.953240802371556E-4</v>
      </c>
      <c r="D98" s="69">
        <f t="shared" si="0"/>
        <v>0.25856567792958884</v>
      </c>
      <c r="E98" s="69">
        <f t="shared" si="1"/>
        <v>547.12497449901002</v>
      </c>
      <c r="F98" s="69">
        <f t="shared" si="2"/>
        <v>581.52657062219237</v>
      </c>
      <c r="G98" s="69">
        <f t="shared" si="13"/>
        <v>241.89815319298197</v>
      </c>
      <c r="H98" s="69">
        <f t="shared" si="3"/>
        <v>72.870082255535948</v>
      </c>
      <c r="I98" s="69">
        <f t="shared" si="4"/>
        <v>72.557793105986264</v>
      </c>
      <c r="J98" s="69">
        <f t="shared" si="9"/>
        <v>125.46365178120385</v>
      </c>
      <c r="K98" s="69">
        <f t="shared" si="5"/>
        <v>0.21574878624542745</v>
      </c>
      <c r="L98" s="69">
        <f t="shared" si="6"/>
        <v>423.33601461293205</v>
      </c>
      <c r="M98" s="69">
        <f t="shared" si="10"/>
        <v>381.3152091308761</v>
      </c>
      <c r="N98" s="69">
        <f t="shared" si="11"/>
        <v>659.35300081950948</v>
      </c>
      <c r="O98" s="69">
        <f t="shared" si="12"/>
        <v>1.1338312540285964</v>
      </c>
      <c r="P98">
        <v>33000</v>
      </c>
    </row>
    <row r="99" spans="1:42">
      <c r="B99" s="286">
        <f t="shared" si="7"/>
        <v>0.32197342025096437</v>
      </c>
      <c r="C99" s="190">
        <f t="shared" si="8"/>
        <v>7.6565279335679326E-4</v>
      </c>
      <c r="D99" s="69">
        <f t="shared" si="0"/>
        <v>0.24670556500952834</v>
      </c>
      <c r="E99" s="69">
        <f t="shared" si="1"/>
        <v>522.02897556016194</v>
      </c>
      <c r="F99" s="69">
        <f t="shared" si="2"/>
        <v>578.93518957955541</v>
      </c>
      <c r="G99" s="69">
        <f t="shared" si="13"/>
        <v>246.54073306725019</v>
      </c>
      <c r="H99" s="69">
        <f t="shared" si="3"/>
        <v>72.890357727945968</v>
      </c>
      <c r="I99" s="69">
        <f t="shared" si="4"/>
        <v>72.557793105986292</v>
      </c>
      <c r="J99" s="69">
        <f t="shared" si="9"/>
        <v>127.87158676137267</v>
      </c>
      <c r="K99" s="69">
        <f t="shared" si="5"/>
        <v>0.22087375074615492</v>
      </c>
      <c r="L99" s="69">
        <f t="shared" si="6"/>
        <v>426.10388189854888</v>
      </c>
      <c r="M99" s="69">
        <f t="shared" si="10"/>
        <v>381.31520913087616</v>
      </c>
      <c r="N99" s="69">
        <f t="shared" si="11"/>
        <v>672.00749582593028</v>
      </c>
      <c r="O99" s="69">
        <f t="shared" si="12"/>
        <v>1.160764638117727</v>
      </c>
      <c r="P99">
        <v>34000</v>
      </c>
    </row>
    <row r="100" spans="1:42">
      <c r="B100" s="286">
        <f t="shared" si="7"/>
        <v>0.30985529451254856</v>
      </c>
      <c r="C100" s="190">
        <f t="shared" si="8"/>
        <v>7.368358903508405E-4</v>
      </c>
      <c r="D100" s="69">
        <f t="shared" si="0"/>
        <v>0.23528985730928179</v>
      </c>
      <c r="E100" s="69">
        <f t="shared" si="1"/>
        <v>497.87333806644028</v>
      </c>
      <c r="F100" s="69">
        <f t="shared" si="2"/>
        <v>576.33215694374007</v>
      </c>
      <c r="G100" s="69">
        <f t="shared" si="13"/>
        <v>251.31547574549134</v>
      </c>
      <c r="H100" s="69">
        <f t="shared" si="3"/>
        <v>72.911807614937743</v>
      </c>
      <c r="I100" s="69">
        <f t="shared" si="4"/>
        <v>72.557793105986264</v>
      </c>
      <c r="J100" s="69">
        <f t="shared" si="9"/>
        <v>130.34806971430277</v>
      </c>
      <c r="K100" s="69">
        <f t="shared" si="5"/>
        <v>0.22616830961772444</v>
      </c>
      <c r="L100" s="69">
        <f t="shared" si="6"/>
        <v>429.03631349722451</v>
      </c>
      <c r="M100" s="69">
        <f t="shared" si="10"/>
        <v>381.3152091308761</v>
      </c>
      <c r="N100" s="69">
        <f t="shared" si="11"/>
        <v>685.0222331088878</v>
      </c>
      <c r="O100" s="69">
        <f t="shared" si="12"/>
        <v>1.1885892967373635</v>
      </c>
      <c r="P100">
        <v>35000</v>
      </c>
    </row>
    <row r="101" spans="1:42">
      <c r="B101" s="286">
        <f t="shared" si="7"/>
        <v>0.29808922296890156</v>
      </c>
      <c r="C101" s="190">
        <f t="shared" si="8"/>
        <v>7.0885617222004791E-4</v>
      </c>
      <c r="D101" s="69">
        <f t="shared" si="0"/>
        <v>0.22430570155688229</v>
      </c>
      <c r="E101" s="69">
        <f t="shared" si="1"/>
        <v>474.63086449436292</v>
      </c>
      <c r="F101" s="69">
        <f t="shared" si="2"/>
        <v>573.71731412023109</v>
      </c>
      <c r="G101" s="69">
        <f t="shared" si="13"/>
        <v>256.22739191631547</v>
      </c>
      <c r="H101" s="69">
        <f t="shared" si="3"/>
        <v>72.934511699935783</v>
      </c>
      <c r="I101" s="69">
        <f t="shared" si="4"/>
        <v>72.557793105986278</v>
      </c>
      <c r="J101" s="69">
        <f t="shared" si="9"/>
        <v>132.89569949940122</v>
      </c>
      <c r="K101" s="69">
        <f t="shared" si="5"/>
        <v>0.23163968774969013</v>
      </c>
      <c r="L101" s="69">
        <f t="shared" si="6"/>
        <v>432.14476387185505</v>
      </c>
      <c r="M101" s="69">
        <f t="shared" si="10"/>
        <v>381.31520913087616</v>
      </c>
      <c r="N101" s="69">
        <f t="shared" si="11"/>
        <v>698.4108705344205</v>
      </c>
      <c r="O101" s="69">
        <f t="shared" si="12"/>
        <v>1.2173431990725279</v>
      </c>
      <c r="P101">
        <v>36000</v>
      </c>
    </row>
    <row r="102" spans="1:42">
      <c r="B102" s="286"/>
      <c r="C102" s="190"/>
      <c r="D102" s="69"/>
      <c r="AM102" s="69"/>
      <c r="AN102" s="69"/>
      <c r="AO102" s="69"/>
      <c r="AP102" s="69"/>
    </row>
    <row r="103" spans="1:42">
      <c r="B103" s="286"/>
      <c r="C103" s="190"/>
      <c r="D103" s="69"/>
      <c r="AM103" s="69"/>
      <c r="AN103" s="69"/>
      <c r="AO103" s="69"/>
      <c r="AP103" s="69"/>
    </row>
    <row r="104" spans="1:42">
      <c r="B104" s="286"/>
      <c r="C104" s="190"/>
      <c r="D104" s="69"/>
      <c r="AM104" s="69"/>
      <c r="AN104" s="69"/>
      <c r="AO104" s="69"/>
      <c r="AP104" s="69"/>
    </row>
    <row r="105" spans="1:42">
      <c r="A105" s="309" t="s">
        <v>1075</v>
      </c>
      <c r="B105" s="309"/>
      <c r="C105" s="309"/>
      <c r="D105" s="309"/>
      <c r="E105" s="309"/>
      <c r="F105" s="7"/>
      <c r="AM105" s="69"/>
      <c r="AN105" s="69"/>
      <c r="AO105" s="69"/>
      <c r="AP105" s="69"/>
    </row>
    <row r="106" spans="1:42">
      <c r="A106" t="s">
        <v>1076</v>
      </c>
      <c r="B106" t="s">
        <v>1077</v>
      </c>
      <c r="C106" s="6">
        <v>3600</v>
      </c>
      <c r="D106" t="s">
        <v>14</v>
      </c>
      <c r="AM106" s="69"/>
      <c r="AN106" s="69"/>
      <c r="AO106" s="69"/>
      <c r="AP106" s="69"/>
    </row>
    <row r="107" spans="1:42">
      <c r="A107" t="s">
        <v>43</v>
      </c>
      <c r="B107" t="s">
        <v>1078</v>
      </c>
      <c r="C107" s="47">
        <v>476.1</v>
      </c>
      <c r="D107" t="s">
        <v>1079</v>
      </c>
      <c r="AM107" s="69"/>
      <c r="AN107" s="69"/>
      <c r="AO107" s="69"/>
      <c r="AP107" s="69"/>
    </row>
    <row r="108" spans="1:42">
      <c r="A108" t="s">
        <v>1080</v>
      </c>
      <c r="B108" t="s">
        <v>1081</v>
      </c>
      <c r="C108" s="66">
        <v>1.5047746178408776E-2</v>
      </c>
      <c r="AM108" s="69"/>
      <c r="AN108" s="69"/>
      <c r="AO108" s="69"/>
      <c r="AP108" s="69"/>
    </row>
    <row r="109" spans="1:42">
      <c r="A109" t="s">
        <v>1082</v>
      </c>
      <c r="B109" t="s">
        <v>1083</v>
      </c>
      <c r="C109" s="66">
        <v>-4.7505938242280287E-3</v>
      </c>
      <c r="AM109" s="69"/>
      <c r="AN109" s="69"/>
      <c r="AO109" s="69"/>
      <c r="AP109" s="69"/>
    </row>
    <row r="110" spans="1:42">
      <c r="A110" t="s">
        <v>1084</v>
      </c>
      <c r="B110" t="s">
        <v>155</v>
      </c>
      <c r="C110" s="100">
        <v>4.2070130810614975E-2</v>
      </c>
      <c r="AM110" s="69"/>
      <c r="AN110" s="69"/>
      <c r="AO110" s="69"/>
      <c r="AP110" s="69"/>
    </row>
    <row r="111" spans="1:42">
      <c r="A111" t="s">
        <v>1085</v>
      </c>
      <c r="B111" t="s">
        <v>199</v>
      </c>
      <c r="C111" s="6">
        <v>18875</v>
      </c>
      <c r="D111" t="s">
        <v>14</v>
      </c>
      <c r="AM111" s="69"/>
      <c r="AN111" s="69"/>
      <c r="AO111" s="69"/>
      <c r="AP111" s="69"/>
    </row>
    <row r="112" spans="1:42">
      <c r="A112" t="s">
        <v>1086</v>
      </c>
      <c r="B112" t="s">
        <v>1087</v>
      </c>
      <c r="C112" s="47">
        <v>2.2232676824647108</v>
      </c>
      <c r="AM112" s="69"/>
      <c r="AN112" s="69"/>
      <c r="AO112" s="69"/>
      <c r="AP112" s="69"/>
    </row>
    <row r="113" spans="1:42">
      <c r="A113" t="s">
        <v>1088</v>
      </c>
      <c r="C113" s="66">
        <v>12003527.574711164</v>
      </c>
      <c r="D113" t="s">
        <v>1093</v>
      </c>
      <c r="AM113" s="69"/>
      <c r="AN113" s="69"/>
      <c r="AO113" s="69"/>
      <c r="AP113" s="69"/>
    </row>
    <row r="114" spans="1:42">
      <c r="AM114" s="69"/>
      <c r="AN114" s="69"/>
      <c r="AO114" s="69"/>
      <c r="AP114" s="69"/>
    </row>
    <row r="115" spans="1:42">
      <c r="C115" s="7" t="s">
        <v>1094</v>
      </c>
      <c r="G115" s="287" t="s">
        <v>1059</v>
      </c>
      <c r="H115" s="341" t="s">
        <v>1060</v>
      </c>
      <c r="I115" s="341"/>
      <c r="J115" s="341"/>
      <c r="K115" s="341"/>
      <c r="L115" s="342" t="s">
        <v>1067</v>
      </c>
      <c r="M115" s="342"/>
      <c r="N115" s="342"/>
      <c r="O115" s="343"/>
      <c r="P115" s="25"/>
      <c r="AM115" s="69"/>
      <c r="AN115" s="69"/>
      <c r="AO115" s="69"/>
      <c r="AP115" s="69"/>
    </row>
    <row r="116" spans="1:42">
      <c r="A116" s="25"/>
      <c r="B116" s="91" t="s">
        <v>527</v>
      </c>
      <c r="C116" s="91" t="s">
        <v>1090</v>
      </c>
      <c r="D116" s="91" t="s">
        <v>372</v>
      </c>
      <c r="E116" s="91" t="s">
        <v>1091</v>
      </c>
      <c r="F116" s="91" t="s">
        <v>1092</v>
      </c>
      <c r="G116" s="105" t="s">
        <v>173</v>
      </c>
      <c r="H116" s="284" t="s">
        <v>173</v>
      </c>
      <c r="I116" s="285" t="s">
        <v>595</v>
      </c>
      <c r="J116" s="285" t="s">
        <v>596</v>
      </c>
      <c r="K116" s="285" t="s">
        <v>185</v>
      </c>
      <c r="L116" s="91" t="s">
        <v>173</v>
      </c>
      <c r="M116" s="91" t="s">
        <v>595</v>
      </c>
      <c r="N116" s="91" t="s">
        <v>596</v>
      </c>
      <c r="O116" s="91" t="s">
        <v>185</v>
      </c>
      <c r="P116" s="91" t="s">
        <v>1068</v>
      </c>
      <c r="Q116" s="294" t="s">
        <v>1095</v>
      </c>
      <c r="R116" s="294" t="s">
        <v>1096</v>
      </c>
      <c r="S116" s="294" t="s">
        <v>1097</v>
      </c>
      <c r="AM116" s="69"/>
      <c r="AN116" s="69"/>
      <c r="AO116" s="69"/>
      <c r="AP116" s="69"/>
    </row>
    <row r="117" spans="1:42">
      <c r="A117">
        <f t="shared" ref="A117:A153" si="14">C117*B117^4.2561</f>
        <v>2.3779999999999999E-3</v>
      </c>
      <c r="B117" s="286">
        <f>(1-0.0000068756*P65)^4.2561</f>
        <v>1</v>
      </c>
      <c r="C117" s="190">
        <f>B65*0.002378</f>
        <v>2.3779999999999999E-3</v>
      </c>
      <c r="D117" s="69">
        <v>1</v>
      </c>
      <c r="E117" s="69">
        <v>2116</v>
      </c>
      <c r="F117" s="69">
        <v>661.37032465982361</v>
      </c>
      <c r="G117" s="69">
        <v>139.89387287008671</v>
      </c>
      <c r="H117" s="69">
        <v>72.557793105986278</v>
      </c>
      <c r="I117" s="69">
        <v>72.557793105986278</v>
      </c>
      <c r="J117" s="69">
        <f>0.592*SQRT((2*General!$C$7)/(C117*$C$107*$C$112))</f>
        <v>72.498545105481199</v>
      </c>
      <c r="K117" s="69">
        <f>J117/F117</f>
        <v>0.10961868472518915</v>
      </c>
      <c r="L117" s="69">
        <v>381.3152091308761</v>
      </c>
      <c r="M117" s="31">
        <f t="shared" ref="M117:M153" si="15">N117*SQRT(Q117)</f>
        <v>381.3152091308761</v>
      </c>
      <c r="N117" s="69">
        <f>SQRT((C$54+2*C$59*C$58*C$57+SQRT(C$61))/(C117*C$55*(C$56+C$58*C$57^2)))/1.68780986</f>
        <v>381.3152091308761</v>
      </c>
      <c r="O117" s="69">
        <f>N117/F117</f>
        <v>0.57655324847997358</v>
      </c>
      <c r="P117">
        <v>0</v>
      </c>
      <c r="Q117">
        <f t="shared" ref="Q117:Q153" si="16">C117/A117</f>
        <v>1</v>
      </c>
      <c r="R117">
        <v>22000</v>
      </c>
      <c r="S117">
        <v>0</v>
      </c>
      <c r="AM117" s="69"/>
      <c r="AN117" s="69"/>
      <c r="AO117" s="69"/>
      <c r="AP117" s="69"/>
    </row>
    <row r="118" spans="1:42">
      <c r="A118">
        <f t="shared" si="14"/>
        <v>2.0378963407597767E-3</v>
      </c>
      <c r="B118" s="286">
        <f t="shared" ref="B118:B153" si="17">(1-0.0000068756*P66)^4.2561</f>
        <v>0.971062636220133</v>
      </c>
      <c r="C118" s="190">
        <f t="shared" ref="C118:C153" si="18">B66*0.002378</f>
        <v>2.3091869489314763E-3</v>
      </c>
      <c r="D118" s="69">
        <v>0.96438599795853786</v>
      </c>
      <c r="E118" s="69">
        <v>2040.6407716802662</v>
      </c>
      <c r="F118" s="69">
        <v>659.09294316852504</v>
      </c>
      <c r="G118" s="69">
        <v>141.96296832411838</v>
      </c>
      <c r="H118" s="69">
        <v>72.561810018962206</v>
      </c>
      <c r="I118" s="69">
        <v>72.557793105986278</v>
      </c>
      <c r="J118" s="69">
        <f>0.592*SQRT((2*General!$C$7)/(C118*$C$107*$C$112))</f>
        <v>73.570832311661889</v>
      </c>
      <c r="K118" s="69">
        <f t="shared" ref="K118:K153" si="19">J118/F118</f>
        <v>0.11162436659991729</v>
      </c>
      <c r="L118" s="69">
        <v>381.84703471088426</v>
      </c>
      <c r="M118" s="31">
        <f t="shared" si="15"/>
        <v>411.90684426446467</v>
      </c>
      <c r="N118" s="69">
        <f t="shared" ref="N118:N153" si="20">SQRT((C$54+2*C$59*C$58*C$57+SQRT(C$61))/(C118*C$55*(C$56+C$58*C$57^2)))/1.68780986</f>
        <v>386.95503844990947</v>
      </c>
      <c r="O118" s="69">
        <f t="shared" ref="O118:O153" si="21">N118/F118</f>
        <v>0.58710238436124174</v>
      </c>
      <c r="P118">
        <v>1000</v>
      </c>
      <c r="Q118">
        <f t="shared" si="16"/>
        <v>1.1331228692773234</v>
      </c>
      <c r="R118">
        <v>22000</v>
      </c>
      <c r="S118">
        <v>20</v>
      </c>
      <c r="AM118" s="69"/>
      <c r="AN118" s="69"/>
      <c r="AO118" s="69"/>
      <c r="AP118" s="69"/>
    </row>
    <row r="119" spans="1:42">
      <c r="A119">
        <f t="shared" si="14"/>
        <v>1.7445629802622035E-3</v>
      </c>
      <c r="B119" s="286">
        <f t="shared" si="17"/>
        <v>0.94277029606144325</v>
      </c>
      <c r="C119" s="190">
        <f t="shared" si="18"/>
        <v>2.241907764034112E-3</v>
      </c>
      <c r="D119" s="69">
        <v>0.9298060731662432</v>
      </c>
      <c r="E119" s="69">
        <v>1967.4696508197705</v>
      </c>
      <c r="F119" s="69">
        <v>656.80766524794501</v>
      </c>
      <c r="G119" s="69">
        <v>144.07736200570653</v>
      </c>
      <c r="H119" s="69">
        <v>72.566004877517415</v>
      </c>
      <c r="I119" s="69">
        <v>72.557793105986264</v>
      </c>
      <c r="J119" s="69">
        <f>0.592*SQRT((2*General!$C$7)/(C119*$C$107*$C$112))</f>
        <v>74.666594853297411</v>
      </c>
      <c r="K119" s="69">
        <f t="shared" si="19"/>
        <v>0.11368106495089511</v>
      </c>
      <c r="L119" s="69">
        <v>382.40269922769824</v>
      </c>
      <c r="M119" s="31">
        <f t="shared" si="15"/>
        <v>445.19135954560846</v>
      </c>
      <c r="N119" s="69">
        <f t="shared" si="20"/>
        <v>392.71833924599594</v>
      </c>
      <c r="O119" s="69">
        <f t="shared" si="21"/>
        <v>0.59791984781076613</v>
      </c>
      <c r="P119">
        <v>2000</v>
      </c>
      <c r="Q119">
        <f t="shared" si="16"/>
        <v>1.2850827338415485</v>
      </c>
      <c r="R119">
        <v>22000</v>
      </c>
      <c r="S119">
        <v>40</v>
      </c>
      <c r="AM119" s="69"/>
      <c r="AN119" s="69"/>
      <c r="AO119" s="69"/>
      <c r="AP119" s="69"/>
    </row>
    <row r="120" spans="1:42">
      <c r="A120">
        <f t="shared" si="14"/>
        <v>1.4918289255164445E-3</v>
      </c>
      <c r="B120" s="286">
        <f t="shared" si="17"/>
        <v>0.9151129485014563</v>
      </c>
      <c r="C120" s="190">
        <f t="shared" si="18"/>
        <v>2.1761385915364628E-3</v>
      </c>
      <c r="D120" s="69">
        <v>0.89623709673530649</v>
      </c>
      <c r="E120" s="69">
        <v>1896.4376966919085</v>
      </c>
      <c r="F120" s="69">
        <v>654.51440818546143</v>
      </c>
      <c r="G120" s="69">
        <v>146.23837187226414</v>
      </c>
      <c r="H120" s="69">
        <v>72.570386894057876</v>
      </c>
      <c r="I120" s="69">
        <v>72.557793105986278</v>
      </c>
      <c r="J120" s="69">
        <f>0.592*SQRT((2*General!$C$7)/(C120*$C$107*$C$112))</f>
        <v>75.786515748113942</v>
      </c>
      <c r="K120" s="69">
        <f t="shared" si="19"/>
        <v>0.11579044678056848</v>
      </c>
      <c r="L120" s="69">
        <v>382.98345848692452</v>
      </c>
      <c r="M120" s="31">
        <f t="shared" si="15"/>
        <v>481.4271085954631</v>
      </c>
      <c r="N120" s="69">
        <f t="shared" si="20"/>
        <v>398.60870393670353</v>
      </c>
      <c r="O120" s="69">
        <f t="shared" si="21"/>
        <v>0.60901440663740869</v>
      </c>
      <c r="P120">
        <v>3000</v>
      </c>
      <c r="Q120">
        <f t="shared" si="16"/>
        <v>1.4587051868451488</v>
      </c>
      <c r="R120">
        <v>22000</v>
      </c>
      <c r="S120">
        <v>60</v>
      </c>
      <c r="AM120" s="69"/>
      <c r="AN120" s="69"/>
      <c r="AO120" s="69"/>
      <c r="AP120" s="69"/>
    </row>
    <row r="121" spans="1:42">
      <c r="A121">
        <f t="shared" si="14"/>
        <v>1.2743025416976507E-3</v>
      </c>
      <c r="B121" s="286">
        <f t="shared" si="17"/>
        <v>0.88808064997454295</v>
      </c>
      <c r="C121" s="190">
        <f t="shared" si="18"/>
        <v>2.1118557856394629E-3</v>
      </c>
      <c r="D121" s="69">
        <v>0.86365630070668309</v>
      </c>
      <c r="E121" s="69">
        <v>1827.4967322953414</v>
      </c>
      <c r="F121" s="69">
        <v>652.21308781430696</v>
      </c>
      <c r="G121" s="69">
        <v>148.44736385439444</v>
      </c>
      <c r="H121" s="69">
        <v>72.574965827909779</v>
      </c>
      <c r="I121" s="69">
        <v>72.557793105986264</v>
      </c>
      <c r="J121" s="69">
        <f>0.592*SQRT((2*General!$C$7)/(C121*$C$107*$C$112))</f>
        <v>76.931302875444686</v>
      </c>
      <c r="K121" s="69">
        <f t="shared" si="19"/>
        <v>0.11795424580217558</v>
      </c>
      <c r="L121" s="69">
        <v>383.59064461592516</v>
      </c>
      <c r="M121" s="31">
        <f t="shared" si="15"/>
        <v>520.89930543946502</v>
      </c>
      <c r="N121" s="69">
        <f t="shared" si="20"/>
        <v>404.62985570234713</v>
      </c>
      <c r="O121" s="69">
        <f t="shared" si="21"/>
        <v>0.62039517952382794</v>
      </c>
      <c r="P121">
        <v>4000</v>
      </c>
      <c r="Q121">
        <f t="shared" si="16"/>
        <v>1.6572640456527754</v>
      </c>
      <c r="R121">
        <v>22000</v>
      </c>
      <c r="S121">
        <v>80</v>
      </c>
      <c r="AM121" s="69"/>
      <c r="AN121" s="69"/>
      <c r="AO121" s="69"/>
      <c r="AP121" s="69"/>
    </row>
    <row r="122" spans="1:42">
      <c r="A122">
        <f t="shared" si="14"/>
        <v>1.0872775849145161E-3</v>
      </c>
      <c r="B122" s="286">
        <f t="shared" si="17"/>
        <v>0.86166354421536295</v>
      </c>
      <c r="C122" s="190">
        <f t="shared" si="18"/>
        <v>2.0490359081441331E-3</v>
      </c>
      <c r="D122" s="69">
        <v>0.83204127489232715</v>
      </c>
      <c r="E122" s="69">
        <v>1760.5993376721642</v>
      </c>
      <c r="F122" s="69">
        <v>649.90361847752547</v>
      </c>
      <c r="G122" s="69">
        <v>150.70575395752712</v>
      </c>
      <c r="H122" s="69">
        <v>72.579752022040211</v>
      </c>
      <c r="I122" s="69">
        <v>72.557793105986278</v>
      </c>
      <c r="J122" s="69">
        <f>0.592*SQRT((2*General!$C$7)/(C122*$C$107*$C$112))</f>
        <v>78.101690065381078</v>
      </c>
      <c r="K122" s="69">
        <f t="shared" si="19"/>
        <v>0.12017426560624996</v>
      </c>
      <c r="L122" s="69">
        <v>384.22567133298656</v>
      </c>
      <c r="M122" s="31">
        <f t="shared" si="15"/>
        <v>563.92303591965504</v>
      </c>
      <c r="N122" s="69">
        <f t="shared" si="20"/>
        <v>410.78565421451549</v>
      </c>
      <c r="O122" s="69">
        <f t="shared" si="21"/>
        <v>0.63207165268109833</v>
      </c>
      <c r="P122">
        <v>5000</v>
      </c>
      <c r="Q122">
        <f t="shared" si="16"/>
        <v>1.884556378769854</v>
      </c>
      <c r="R122">
        <v>22000</v>
      </c>
      <c r="S122">
        <v>100</v>
      </c>
      <c r="AM122" s="69"/>
      <c r="AN122" s="69"/>
      <c r="AO122" s="69"/>
      <c r="AP122" s="69"/>
    </row>
    <row r="123" spans="1:42">
      <c r="A123">
        <f t="shared" si="14"/>
        <v>9.2665001956899801E-4</v>
      </c>
      <c r="B123" s="286">
        <f t="shared" si="17"/>
        <v>0.83585186210149409</v>
      </c>
      <c r="C123" s="190">
        <f t="shared" si="18"/>
        <v>1.9876557280773528E-3</v>
      </c>
      <c r="D123" s="69">
        <v>0.80136996372310387</v>
      </c>
      <c r="E123" s="69">
        <v>1695.6988432380879</v>
      </c>
      <c r="F123" s="69">
        <v>647.58591299076988</v>
      </c>
      <c r="G123" s="69">
        <v>153.01501047141849</v>
      </c>
      <c r="H123" s="69">
        <v>72.584756442493685</v>
      </c>
      <c r="I123" s="69">
        <v>72.557793105986278</v>
      </c>
      <c r="J123" s="69">
        <f>0.592*SQRT((2*General!$C$7)/(C123*$C$107*$C$112))</f>
        <v>79.298438243823114</v>
      </c>
      <c r="K123" s="69">
        <f t="shared" si="19"/>
        <v>0.1224523830013476</v>
      </c>
      <c r="L123" s="69">
        <v>384.8900396236333</v>
      </c>
      <c r="M123" s="31">
        <f t="shared" si="15"/>
        <v>610.84663161978165</v>
      </c>
      <c r="N123" s="69">
        <f t="shared" si="20"/>
        <v>417.08010165860799</v>
      </c>
      <c r="O123" s="69">
        <f t="shared" si="21"/>
        <v>0.64405369741968532</v>
      </c>
      <c r="P123">
        <v>6000</v>
      </c>
      <c r="Q123">
        <f t="shared" si="16"/>
        <v>2.1449907582172698</v>
      </c>
      <c r="R123">
        <v>22000</v>
      </c>
      <c r="S123">
        <v>120</v>
      </c>
      <c r="AM123" s="69"/>
      <c r="AN123" s="69"/>
      <c r="AO123" s="69"/>
      <c r="AP123" s="69"/>
    </row>
    <row r="124" spans="1:42">
      <c r="A124">
        <f t="shared" si="14"/>
        <v>7.8884444595978833E-4</v>
      </c>
      <c r="B124" s="286">
        <f t="shared" si="17"/>
        <v>0.81063592149522889</v>
      </c>
      <c r="C124" s="190">
        <f t="shared" si="18"/>
        <v>1.9276922213156543E-3</v>
      </c>
      <c r="D124" s="69">
        <v>0.77162066310240074</v>
      </c>
      <c r="E124" s="69">
        <v>1632.7493231246799</v>
      </c>
      <c r="F124" s="69">
        <v>645.25988260389875</v>
      </c>
      <c r="G124" s="69">
        <v>155.37665629387465</v>
      </c>
      <c r="H124" s="69">
        <v>72.589990720838557</v>
      </c>
      <c r="I124" s="69">
        <v>72.557793105986264</v>
      </c>
      <c r="J124" s="69">
        <f>0.592*SQRT((2*General!$C$7)/(C124*$C$107*$C$112))</f>
        <v>80.522336636724901</v>
      </c>
      <c r="K124" s="69">
        <f t="shared" si="19"/>
        <v>0.12479055153992054</v>
      </c>
      <c r="L124" s="69">
        <v>385.5853438587576</v>
      </c>
      <c r="M124" s="31">
        <f t="shared" si="15"/>
        <v>662.05545298357697</v>
      </c>
      <c r="N124" s="69">
        <f t="shared" si="20"/>
        <v>423.51734906771514</v>
      </c>
      <c r="O124" s="69">
        <f t="shared" si="21"/>
        <v>0.6563515886942205</v>
      </c>
      <c r="P124">
        <v>7000</v>
      </c>
      <c r="Q124">
        <f t="shared" si="16"/>
        <v>2.4436911880265924</v>
      </c>
      <c r="R124">
        <v>22000</v>
      </c>
      <c r="S124">
        <v>140</v>
      </c>
      <c r="AM124" s="69"/>
      <c r="AN124" s="69"/>
      <c r="AO124" s="69"/>
      <c r="AP124" s="69"/>
    </row>
    <row r="125" spans="1:42">
      <c r="A125">
        <f t="shared" si="14"/>
        <v>6.7074908466065967E-4</v>
      </c>
      <c r="B125" s="286">
        <f t="shared" si="17"/>
        <v>0.78600612708453133</v>
      </c>
      <c r="C125" s="190">
        <f t="shared" si="18"/>
        <v>1.8691225702070155E-3</v>
      </c>
      <c r="D125" s="69">
        <v>0.74277201726547215</v>
      </c>
      <c r="E125" s="69">
        <v>1571.705588533739</v>
      </c>
      <c r="F125" s="69">
        <v>642.92543696132077</v>
      </c>
      <c r="G125" s="69">
        <v>157.79227137548037</v>
      </c>
      <c r="H125" s="69">
        <v>72.59546719981077</v>
      </c>
      <c r="I125" s="69">
        <v>72.557793105986264</v>
      </c>
      <c r="J125" s="69">
        <f>0.592*SQRT((2*General!$C$7)/(C125*$C$107*$C$112))</f>
        <v>81.774204037049941</v>
      </c>
      <c r="K125" s="69">
        <f t="shared" si="19"/>
        <v>0.12719080524102763</v>
      </c>
      <c r="L125" s="69">
        <v>386.31327839237048</v>
      </c>
      <c r="M125" s="31">
        <f t="shared" si="15"/>
        <v>717.97613471505838</v>
      </c>
      <c r="N125" s="69">
        <f t="shared" si="20"/>
        <v>430.10170298632875</v>
      </c>
      <c r="O125" s="69">
        <f t="shared" si="21"/>
        <v>0.66897602468356565</v>
      </c>
      <c r="P125">
        <v>8000</v>
      </c>
      <c r="Q125">
        <f t="shared" si="16"/>
        <v>2.7866196360933206</v>
      </c>
      <c r="R125">
        <v>22000</v>
      </c>
      <c r="S125">
        <v>160</v>
      </c>
      <c r="AM125" s="69"/>
      <c r="AN125" s="69"/>
      <c r="AO125" s="69"/>
      <c r="AP125" s="69"/>
    </row>
    <row r="126" spans="1:42">
      <c r="A126">
        <f t="shared" si="14"/>
        <v>5.6965837337178619E-4</v>
      </c>
      <c r="B126" s="286">
        <f t="shared" si="17"/>
        <v>0.76195297022314279</v>
      </c>
      <c r="C126" s="190">
        <f t="shared" si="18"/>
        <v>1.8119241631906334E-3</v>
      </c>
      <c r="D126" s="69">
        <v>0.71480301564454662</v>
      </c>
      <c r="E126" s="69">
        <v>1512.5231811038607</v>
      </c>
      <c r="F126" s="69">
        <v>640.58248406104065</v>
      </c>
      <c r="G126" s="69">
        <v>160.26349529257132</v>
      </c>
      <c r="H126" s="69">
        <v>72.601198982513992</v>
      </c>
      <c r="I126" s="69">
        <v>72.557793105986278</v>
      </c>
      <c r="J126" s="69">
        <f>0.592*SQRT((2*General!$C$7)/(C126*$C$107*$C$112))</f>
        <v>83.054890138187062</v>
      </c>
      <c r="K126" s="69">
        <f t="shared" si="19"/>
        <v>0.1296552625224027</v>
      </c>
      <c r="L126" s="69">
        <v>387.07564468031131</v>
      </c>
      <c r="M126" s="31">
        <f t="shared" si="15"/>
        <v>779.08135389335064</v>
      </c>
      <c r="N126" s="69">
        <f t="shared" si="20"/>
        <v>436.83763248361157</v>
      </c>
      <c r="O126" s="69">
        <f t="shared" si="21"/>
        <v>0.68193814747202119</v>
      </c>
      <c r="P126">
        <v>9000</v>
      </c>
      <c r="Q126">
        <f t="shared" si="16"/>
        <v>3.180720670295643</v>
      </c>
      <c r="R126">
        <v>22000</v>
      </c>
      <c r="S126">
        <v>180</v>
      </c>
      <c r="AM126" s="69"/>
      <c r="AN126" s="69"/>
      <c r="AO126" s="69"/>
      <c r="AP126" s="69"/>
    </row>
    <row r="127" spans="1:42">
      <c r="A127">
        <f t="shared" si="14"/>
        <v>4.83222330459793E-4</v>
      </c>
      <c r="B127" s="286">
        <f t="shared" si="17"/>
        <v>0.73846702876982673</v>
      </c>
      <c r="C127" s="190">
        <f t="shared" si="18"/>
        <v>1.756074594414648E-3</v>
      </c>
      <c r="D127" s="69">
        <v>0.68769298973972848</v>
      </c>
      <c r="E127" s="69">
        <v>1455.1583662892654</v>
      </c>
      <c r="F127" s="69">
        <v>638.2309302123499</v>
      </c>
      <c r="G127" s="69">
        <v>162.79202995617743</v>
      </c>
      <c r="H127" s="69">
        <v>72.607199985356459</v>
      </c>
      <c r="I127" s="69">
        <v>72.557793105986264</v>
      </c>
      <c r="J127" s="69">
        <f>0.592*SQRT((2*General!$C$7)/(C127*$C$107*$C$112))</f>
        <v>84.365276937832348</v>
      </c>
      <c r="K127" s="69">
        <f t="shared" si="19"/>
        <v>0.1321861303552973</v>
      </c>
      <c r="L127" s="69">
        <v>387.87435896504138</v>
      </c>
      <c r="M127" s="31">
        <f t="shared" si="15"/>
        <v>845.8951896580204</v>
      </c>
      <c r="N127" s="69">
        <f t="shared" si="20"/>
        <v>443.72977653729015</v>
      </c>
      <c r="O127" s="69">
        <f t="shared" si="21"/>
        <v>0.6952495649022431</v>
      </c>
      <c r="P127">
        <v>10000</v>
      </c>
      <c r="Q127">
        <f t="shared" si="16"/>
        <v>3.6340923912678411</v>
      </c>
      <c r="R127">
        <v>22000</v>
      </c>
      <c r="S127">
        <v>200</v>
      </c>
    </row>
    <row r="128" spans="1:42">
      <c r="A128">
        <f t="shared" si="14"/>
        <v>4.094019282439131E-4</v>
      </c>
      <c r="B128" s="286">
        <f t="shared" si="17"/>
        <v>0.71553896692674157</v>
      </c>
      <c r="C128" s="190">
        <f t="shared" si="18"/>
        <v>1.7015516633517914E-3</v>
      </c>
      <c r="D128" s="69">
        <v>0.66142160999572508</v>
      </c>
      <c r="E128" s="69">
        <v>1399.5681267509542</v>
      </c>
      <c r="F128" s="69">
        <v>635.87067999211092</v>
      </c>
      <c r="G128" s="69">
        <v>165.37964246519269</v>
      </c>
      <c r="H128" s="69">
        <v>72.613484995150898</v>
      </c>
      <c r="I128" s="69">
        <v>72.557793105986278</v>
      </c>
      <c r="J128" s="69">
        <f>0.592*SQRT((2*General!$C$7)/(C128*$C$107*$C$112))</f>
        <v>85.706280216614715</v>
      </c>
      <c r="K128" s="69">
        <f t="shared" si="19"/>
        <v>0.13478570865648035</v>
      </c>
      <c r="L128" s="69">
        <v>388.71146057588328</v>
      </c>
      <c r="M128" s="31">
        <f t="shared" si="15"/>
        <v>918.99915299259339</v>
      </c>
      <c r="N128" s="69">
        <f t="shared" si="20"/>
        <v>450.78295181067131</v>
      </c>
      <c r="O128" s="69">
        <f t="shared" si="21"/>
        <v>0.70892237367551536</v>
      </c>
      <c r="P128">
        <v>11000</v>
      </c>
      <c r="Q128">
        <f t="shared" si="16"/>
        <v>4.1561886888281645</v>
      </c>
      <c r="R128">
        <v>22000</v>
      </c>
      <c r="S128">
        <v>220</v>
      </c>
    </row>
    <row r="129" spans="1:19">
      <c r="A129">
        <f t="shared" si="14"/>
        <v>3.4642979914155126E-4</v>
      </c>
      <c r="B129" s="286">
        <f t="shared" si="17"/>
        <v>0.69315953507692796</v>
      </c>
      <c r="C129" s="190">
        <f t="shared" si="18"/>
        <v>1.6483333744129346E-3</v>
      </c>
      <c r="D129" s="69">
        <v>0.63596888268442886</v>
      </c>
      <c r="E129" s="69">
        <v>1345.7101557602514</v>
      </c>
      <c r="F129" s="69">
        <v>633.50163619957414</v>
      </c>
      <c r="G129" s="69">
        <v>168.02816811259282</v>
      </c>
      <c r="H129" s="69">
        <v>72.620069730701388</v>
      </c>
      <c r="I129" s="69">
        <v>72.557793105986278</v>
      </c>
      <c r="J129" s="69">
        <f>0.592*SQRT((2*General!$C$7)/(C129*$C$107*$C$112))</f>
        <v>87.078851096036843</v>
      </c>
      <c r="K129" s="69">
        <f t="shared" si="19"/>
        <v>0.13745639493282083</v>
      </c>
      <c r="L129" s="69">
        <v>389.58912089861781</v>
      </c>
      <c r="M129" s="31">
        <f t="shared" si="15"/>
        <v>999.03897624991828</v>
      </c>
      <c r="N129" s="69">
        <f t="shared" si="20"/>
        <v>458.00216084682927</v>
      </c>
      <c r="O129" s="69">
        <f t="shared" si="21"/>
        <v>0.72296918378051878</v>
      </c>
      <c r="P129">
        <v>12000</v>
      </c>
      <c r="Q129">
        <f t="shared" si="16"/>
        <v>4.7580588578046239</v>
      </c>
      <c r="R129">
        <v>22000</v>
      </c>
      <c r="S129">
        <v>240</v>
      </c>
    </row>
    <row r="130" spans="1:19">
      <c r="A130">
        <f t="shared" si="14"/>
        <v>2.9277566987088034E-4</v>
      </c>
      <c r="B130" s="286">
        <f t="shared" si="17"/>
        <v>0.67131956962090222</v>
      </c>
      <c r="C130" s="190">
        <f t="shared" si="18"/>
        <v>1.5963979365585055E-3</v>
      </c>
      <c r="D130" s="69">
        <v>0.61131514679339116</v>
      </c>
      <c r="E130" s="69">
        <v>1293.5428506148157</v>
      </c>
      <c r="F130" s="69">
        <v>631.12369980966935</v>
      </c>
      <c r="G130" s="69">
        <v>170.73951355413331</v>
      </c>
      <c r="H130" s="69">
        <v>72.626970909237883</v>
      </c>
      <c r="I130" s="69">
        <v>72.557793105986264</v>
      </c>
      <c r="J130" s="69">
        <f>0.592*SQRT((2*General!$C$7)/(C130*$C$107*$C$112))</f>
        <v>88.483977680620058</v>
      </c>
      <c r="K130" s="69">
        <f t="shared" si="19"/>
        <v>0.14020068919500969</v>
      </c>
      <c r="L130" s="69">
        <v>390.50965307344387</v>
      </c>
      <c r="M130" s="31">
        <f t="shared" si="15"/>
        <v>1086.7322648519873</v>
      </c>
      <c r="N130" s="69">
        <f t="shared" si="20"/>
        <v>465.39260070567269</v>
      </c>
      <c r="O130" s="69">
        <f t="shared" si="21"/>
        <v>0.73740314433766807</v>
      </c>
      <c r="P130">
        <v>13000</v>
      </c>
      <c r="Q130">
        <f t="shared" si="16"/>
        <v>5.4526318299008505</v>
      </c>
      <c r="R130">
        <v>22000</v>
      </c>
      <c r="S130">
        <v>260</v>
      </c>
    </row>
    <row r="131" spans="1:19">
      <c r="A131">
        <f t="shared" si="14"/>
        <v>2.4711598376452108E-4</v>
      </c>
      <c r="B131" s="286">
        <f t="shared" si="17"/>
        <v>0.65000999281234406</v>
      </c>
      <c r="C131" s="190">
        <f t="shared" si="18"/>
        <v>1.545723762907754E-3</v>
      </c>
      <c r="D131" s="69">
        <v>0.58744107092021636</v>
      </c>
      <c r="E131" s="69">
        <v>1243.0253060671778</v>
      </c>
      <c r="F131" s="69">
        <v>628.73676992470689</v>
      </c>
      <c r="G131" s="69">
        <v>173.51566014961782</v>
      </c>
      <c r="H131" s="69">
        <v>72.634206318148784</v>
      </c>
      <c r="I131" s="69">
        <v>72.557793105986264</v>
      </c>
      <c r="J131" s="69">
        <f>0.592*SQRT((2*General!$C$7)/(C131*$C$107*$C$112))</f>
        <v>89.922686789481958</v>
      </c>
      <c r="K131" s="69">
        <f t="shared" si="19"/>
        <v>0.14302119915819536</v>
      </c>
      <c r="L131" s="69">
        <v>391.47552248579541</v>
      </c>
      <c r="M131" s="31">
        <f t="shared" si="15"/>
        <v>1182.8771283257745</v>
      </c>
      <c r="N131" s="69">
        <f t="shared" si="20"/>
        <v>472.95967207139444</v>
      </c>
      <c r="O131" s="69">
        <f t="shared" si="21"/>
        <v>0.75223797095250655</v>
      </c>
      <c r="P131">
        <v>14000</v>
      </c>
      <c r="Q131">
        <f t="shared" si="16"/>
        <v>6.2550537579984598</v>
      </c>
      <c r="R131">
        <v>22000</v>
      </c>
      <c r="S131">
        <v>280</v>
      </c>
    </row>
    <row r="132" spans="1:19" s="148" customFormat="1">
      <c r="A132" s="148">
        <f t="shared" si="14"/>
        <v>2.0830722955604057E-4</v>
      </c>
      <c r="B132" s="298">
        <f t="shared" si="17"/>
        <v>0.62922181259286314</v>
      </c>
      <c r="C132" s="299">
        <f t="shared" si="18"/>
        <v>1.4962894703458285E-3</v>
      </c>
      <c r="D132" s="275">
        <v>0.56432765017291076</v>
      </c>
      <c r="E132" s="275">
        <v>1194.1173077658791</v>
      </c>
      <c r="F132" s="275">
        <v>626.34074372442183</v>
      </c>
      <c r="G132" s="275">
        <v>176.35866748753674</v>
      </c>
      <c r="H132" s="275">
        <v>72.641794892526036</v>
      </c>
      <c r="I132" s="275">
        <v>72.557793105986278</v>
      </c>
      <c r="J132" s="275">
        <f>0.592*SQRT((2*General!$C$7)/(C132*$C$107*$C$112))</f>
        <v>91.396045782943659</v>
      </c>
      <c r="K132" s="275">
        <f t="shared" si="19"/>
        <v>0.14592064574862817</v>
      </c>
      <c r="L132" s="275">
        <v>392.48935812057215</v>
      </c>
      <c r="M132" s="300">
        <f t="shared" si="15"/>
        <v>1288.3619248176578</v>
      </c>
      <c r="N132" s="275">
        <f t="shared" si="20"/>
        <v>480.70898885974242</v>
      </c>
      <c r="O132" s="275">
        <f t="shared" si="21"/>
        <v>0.76748797467859664</v>
      </c>
      <c r="P132" s="148">
        <v>15000</v>
      </c>
      <c r="Q132" s="148">
        <f t="shared" si="16"/>
        <v>7.1830894853473346</v>
      </c>
      <c r="R132" s="148">
        <v>22000</v>
      </c>
      <c r="S132" s="148">
        <v>300</v>
      </c>
    </row>
    <row r="133" spans="1:19">
      <c r="A133">
        <f t="shared" si="14"/>
        <v>1.7536254737959749E-4</v>
      </c>
      <c r="B133" s="286">
        <f t="shared" si="17"/>
        <v>0.60894612242583845</v>
      </c>
      <c r="C133" s="190">
        <f t="shared" si="18"/>
        <v>1.4480738791286438E-3</v>
      </c>
      <c r="D133" s="69">
        <v>0.54195620307622094</v>
      </c>
      <c r="E133" s="69">
        <v>1146.7793257092835</v>
      </c>
      <c r="F133" s="69">
        <v>623.93551641429247</v>
      </c>
      <c r="G133" s="69">
        <v>179.27067710463936</v>
      </c>
      <c r="H133" s="69">
        <v>72.649756798925324</v>
      </c>
      <c r="I133" s="69">
        <v>72.557793105986278</v>
      </c>
      <c r="J133" s="69">
        <f>0.592*SQRT((2*General!$C$7)/(C133*$C$107*$C$112))</f>
        <v>92.905164490159393</v>
      </c>
      <c r="K133" s="69">
        <f t="shared" si="19"/>
        <v>0.14890186893683813</v>
      </c>
      <c r="L133" s="69">
        <v>393.55396485698066</v>
      </c>
      <c r="M133" s="31">
        <f t="shared" si="15"/>
        <v>1404.1762728271676</v>
      </c>
      <c r="N133" s="69">
        <f t="shared" si="20"/>
        <v>488.6463883566293</v>
      </c>
      <c r="O133" s="69">
        <f t="shared" si="21"/>
        <v>0.7831680926978497</v>
      </c>
      <c r="P133">
        <v>16000</v>
      </c>
      <c r="Q133">
        <f t="shared" si="16"/>
        <v>8.2576006152219001</v>
      </c>
      <c r="R133">
        <v>22000</v>
      </c>
      <c r="S133">
        <v>320</v>
      </c>
    </row>
    <row r="134" spans="1:19">
      <c r="A134">
        <f t="shared" si="14"/>
        <v>1.4743122973751539E-4</v>
      </c>
      <c r="B134" s="286">
        <f t="shared" si="17"/>
        <v>0.58917410112931001</v>
      </c>
      <c r="C134" s="190">
        <f t="shared" si="18"/>
        <v>1.4010560124854991E-3</v>
      </c>
      <c r="D134" s="69">
        <v>0.52030836848399031</v>
      </c>
      <c r="E134" s="69">
        <v>1100.9725077121236</v>
      </c>
      <c r="F134" s="69">
        <v>621.52098117205833</v>
      </c>
      <c r="G134" s="69">
        <v>182.25391641283005</v>
      </c>
      <c r="H134" s="69">
        <v>72.658113526013892</v>
      </c>
      <c r="I134" s="69">
        <v>72.557793105986278</v>
      </c>
      <c r="J134" s="69">
        <f>0.592*SQRT((2*General!$C$7)/(C134*$C$107*$C$112))</f>
        <v>94.451197244189714</v>
      </c>
      <c r="K134" s="69">
        <f t="shared" si="19"/>
        <v>0.15196783391941901</v>
      </c>
      <c r="L134" s="69">
        <v>394.67233678841728</v>
      </c>
      <c r="M134" s="31">
        <f t="shared" si="15"/>
        <v>1531.4235065441192</v>
      </c>
      <c r="N134" s="69">
        <f t="shared" si="20"/>
        <v>496.77794192185655</v>
      </c>
      <c r="O134" s="69">
        <f t="shared" si="21"/>
        <v>0.79929392083439799</v>
      </c>
      <c r="P134">
        <v>17000</v>
      </c>
      <c r="Q134">
        <f t="shared" si="16"/>
        <v>9.5031155541462997</v>
      </c>
      <c r="R134">
        <v>22000</v>
      </c>
      <c r="S134">
        <v>340</v>
      </c>
    </row>
    <row r="135" spans="1:19">
      <c r="A135">
        <f t="shared" si="14"/>
        <v>1.2378077735580251E-4</v>
      </c>
      <c r="B135" s="286">
        <f t="shared" si="17"/>
        <v>0.56989701270791915</v>
      </c>
      <c r="C135" s="190">
        <f t="shared" si="18"/>
        <v>1.3552150962194316E-3</v>
      </c>
      <c r="D135" s="69">
        <v>0.4993661024975769</v>
      </c>
      <c r="E135" s="69">
        <v>1056.6586728848727</v>
      </c>
      <c r="F135" s="69">
        <v>619.09702909235978</v>
      </c>
      <c r="G135" s="69">
        <v>185.31070284666879</v>
      </c>
      <c r="H135" s="69">
        <v>72.666887982676897</v>
      </c>
      <c r="I135" s="69">
        <v>72.557793105986278</v>
      </c>
      <c r="J135" s="69">
        <f>0.592*SQRT((2*General!$C$7)/(C135*$C$107*$C$112))</f>
        <v>96.035345031400411</v>
      </c>
      <c r="K135" s="69">
        <f t="shared" si="19"/>
        <v>0.15512163767316903</v>
      </c>
      <c r="L135" s="69">
        <v>395.84767165976433</v>
      </c>
      <c r="M135" s="31">
        <f t="shared" si="15"/>
        <v>1671.3347773632195</v>
      </c>
      <c r="N135" s="69">
        <f t="shared" si="20"/>
        <v>505.10996629414689</v>
      </c>
      <c r="O135" s="69">
        <f t="shared" si="21"/>
        <v>0.81588174802691915</v>
      </c>
      <c r="P135">
        <v>18000</v>
      </c>
      <c r="Q135">
        <f t="shared" si="16"/>
        <v>10.948510141634708</v>
      </c>
      <c r="R135">
        <v>22000</v>
      </c>
      <c r="S135">
        <v>360</v>
      </c>
    </row>
    <row r="136" spans="1:19">
      <c r="A136">
        <f t="shared" si="14"/>
        <v>1.0378120763233163E-4</v>
      </c>
      <c r="B136" s="286">
        <f t="shared" si="17"/>
        <v>0.55110620618387751</v>
      </c>
      <c r="C136" s="190">
        <f t="shared" si="18"/>
        <v>1.3105305583052606E-3</v>
      </c>
      <c r="D136" s="69">
        <v>0.47911167539035798</v>
      </c>
      <c r="E136" s="69">
        <v>1013.8003051259975</v>
      </c>
      <c r="F136" s="69">
        <v>616.66354912942131</v>
      </c>
      <c r="G136" s="69">
        <v>188.44344824572002</v>
      </c>
      <c r="H136" s="69">
        <v>72.676104604267863</v>
      </c>
      <c r="I136" s="69">
        <v>72.557793105986278</v>
      </c>
      <c r="J136" s="69">
        <f>0.592*SQRT((2*General!$C$7)/(C136*$C$107*$C$112))</f>
        <v>97.658857762569269</v>
      </c>
      <c r="K136" s="69">
        <f t="shared" si="19"/>
        <v>0.15836651590715842</v>
      </c>
      <c r="L136" s="69">
        <v>397.08338652313205</v>
      </c>
      <c r="M136" s="31">
        <f t="shared" si="15"/>
        <v>1825.2850344766282</v>
      </c>
      <c r="N136" s="69">
        <f t="shared" si="20"/>
        <v>513.64903553631689</v>
      </c>
      <c r="O136" s="69">
        <f t="shared" si="21"/>
        <v>0.83294859289391143</v>
      </c>
      <c r="P136">
        <v>19000</v>
      </c>
      <c r="Q136">
        <f t="shared" si="16"/>
        <v>12.627821435149523</v>
      </c>
      <c r="R136">
        <v>22000</v>
      </c>
      <c r="S136">
        <v>380</v>
      </c>
    </row>
    <row r="137" spans="1:19">
      <c r="A137">
        <f t="shared" si="14"/>
        <v>8.6891347213187379E-5</v>
      </c>
      <c r="B137" s="286">
        <f t="shared" si="17"/>
        <v>0.53279311542695518</v>
      </c>
      <c r="C137" s="190">
        <f t="shared" si="18"/>
        <v>1.2669820284852995E-3</v>
      </c>
      <c r="D137" s="69">
        <v>0.45952766853836374</v>
      </c>
      <c r="E137" s="69">
        <v>972.36054662717765</v>
      </c>
      <c r="F137" s="69">
        <v>614.22042803768943</v>
      </c>
      <c r="G137" s="69">
        <v>191.6546634870349</v>
      </c>
      <c r="H137" s="69">
        <v>72.685789467754901</v>
      </c>
      <c r="I137" s="69">
        <v>72.557793105986278</v>
      </c>
      <c r="J137" s="69">
        <f>0.592*SQRT((2*General!$C$7)/(C137*$C$107*$C$112))</f>
        <v>99.3230366736219</v>
      </c>
      <c r="K137" s="69">
        <f t="shared" si="19"/>
        <v>0.16170585044027108</v>
      </c>
      <c r="L137" s="69">
        <v>398.38313472252685</v>
      </c>
      <c r="M137" s="31">
        <f t="shared" si="15"/>
        <v>1994.8111526002899</v>
      </c>
      <c r="N137" s="69">
        <f t="shared" si="20"/>
        <v>522.40199366224829</v>
      </c>
      <c r="O137" s="69">
        <f t="shared" si="21"/>
        <v>0.8505122425367998</v>
      </c>
      <c r="P137">
        <v>20000</v>
      </c>
      <c r="Q137">
        <f t="shared" si="16"/>
        <v>14.581222056285615</v>
      </c>
      <c r="R137">
        <v>22000</v>
      </c>
      <c r="S137">
        <v>400</v>
      </c>
    </row>
    <row r="138" spans="1:19">
      <c r="A138">
        <f t="shared" si="14"/>
        <v>7.2646870497339029E-5</v>
      </c>
      <c r="B138" s="286">
        <f t="shared" si="17"/>
        <v>0.5149492589834731</v>
      </c>
      <c r="C138" s="190">
        <f t="shared" si="18"/>
        <v>1.2245493378626989E-3</v>
      </c>
      <c r="D138" s="69">
        <v>0.44059697135707104</v>
      </c>
      <c r="E138" s="69">
        <v>932.30319139156234</v>
      </c>
      <c r="F138" s="69">
        <v>611.76755031033667</v>
      </c>
      <c r="G138" s="69">
        <v>194.94696338417822</v>
      </c>
      <c r="H138" s="69">
        <v>72.695970416588665</v>
      </c>
      <c r="I138" s="69">
        <v>72.557793105986278</v>
      </c>
      <c r="J138" s="69">
        <f>0.592*SQRT((2*General!$C$7)/(C138*$C$107*$C$112))</f>
        <v>101.0292368645014</v>
      </c>
      <c r="K138" s="69">
        <f t="shared" si="19"/>
        <v>0.16514317703391004</v>
      </c>
      <c r="L138" s="69">
        <v>399.75082432823223</v>
      </c>
      <c r="M138" s="31">
        <f t="shared" si="15"/>
        <v>2181.632515690223</v>
      </c>
      <c r="N138" s="69">
        <f t="shared" si="20"/>
        <v>531.37596799039204</v>
      </c>
      <c r="O138" s="69">
        <f t="shared" si="21"/>
        <v>0.86859129373703514</v>
      </c>
      <c r="P138">
        <v>21000</v>
      </c>
      <c r="Q138">
        <f t="shared" si="16"/>
        <v>16.856188428757612</v>
      </c>
      <c r="R138">
        <v>22000</v>
      </c>
      <c r="S138">
        <v>420</v>
      </c>
    </row>
    <row r="139" spans="1:19" s="148" customFormat="1">
      <c r="A139" s="148">
        <f t="shared" si="14"/>
        <v>6.0649872920714521E-5</v>
      </c>
      <c r="B139" s="298">
        <f t="shared" si="17"/>
        <v>0.49756623990428656</v>
      </c>
      <c r="C139" s="299">
        <f t="shared" si="18"/>
        <v>1.1832125184923934E-3</v>
      </c>
      <c r="D139" s="275">
        <v>0.42230277824439649</v>
      </c>
      <c r="E139" s="275">
        <v>893.59267876514298</v>
      </c>
      <c r="F139" s="275">
        <v>609.30479811553971</v>
      </c>
      <c r="G139" s="275">
        <v>198.3230718704302</v>
      </c>
      <c r="H139" s="275">
        <v>72.706677196238999</v>
      </c>
      <c r="I139" s="275">
        <v>72.557793105986264</v>
      </c>
      <c r="J139" s="275">
        <f>0.592*SQRT((2*General!$C$7)/(C139*$C$107*$C$112))</f>
        <v>102.7788699853089</v>
      </c>
      <c r="K139" s="275">
        <f t="shared" si="19"/>
        <v>0.16868219371188903</v>
      </c>
      <c r="L139" s="275">
        <v>401.19063815288558</v>
      </c>
      <c r="M139" s="300">
        <f t="shared" si="15"/>
        <v>2387.6744129117619</v>
      </c>
      <c r="N139" s="275">
        <f t="shared" si="20"/>
        <v>540.57838327186209</v>
      </c>
      <c r="O139" s="275">
        <f t="shared" si="21"/>
        <v>0.88720519671560938</v>
      </c>
      <c r="P139" s="148">
        <v>22000</v>
      </c>
      <c r="Q139" s="148">
        <f t="shared" si="16"/>
        <v>19.50890350651132</v>
      </c>
      <c r="R139" s="148">
        <v>22000</v>
      </c>
      <c r="S139" s="148">
        <v>440</v>
      </c>
    </row>
    <row r="140" spans="1:19">
      <c r="A140">
        <f t="shared" si="14"/>
        <v>5.0559792027825705E-5</v>
      </c>
      <c r="B140" s="286">
        <f t="shared" si="17"/>
        <v>0.48063574557174599</v>
      </c>
      <c r="C140" s="190">
        <f t="shared" si="18"/>
        <v>1.1429518029696119E-3</v>
      </c>
      <c r="D140" s="69">
        <v>0.4046285855299247</v>
      </c>
      <c r="E140" s="69">
        <v>856.19408698132065</v>
      </c>
      <c r="F140" s="69">
        <v>606.83205123042615</v>
      </c>
      <c r="G140" s="69">
        <v>201.78582748511363</v>
      </c>
      <c r="H140" s="69">
        <v>72.717941601304034</v>
      </c>
      <c r="I140" s="69">
        <v>72.557793105986264</v>
      </c>
      <c r="J140" s="69">
        <f>0.592*SQRT((2*General!$C$7)/(C140*$C$107*$C$112))</f>
        <v>104.57340707953544</v>
      </c>
      <c r="K140" s="69">
        <f t="shared" si="19"/>
        <v>0.17232676960206714</v>
      </c>
      <c r="L140" s="69">
        <v>402.70705549340204</v>
      </c>
      <c r="M140" s="31">
        <f t="shared" si="15"/>
        <v>2615.0946582732031</v>
      </c>
      <c r="N140" s="69">
        <f t="shared" si="20"/>
        <v>550.01697664477069</v>
      </c>
      <c r="O140" s="69">
        <f t="shared" si="21"/>
        <v>0.90637430163674459</v>
      </c>
      <c r="P140">
        <v>23000</v>
      </c>
      <c r="Q140">
        <f t="shared" si="16"/>
        <v>22.605943520111506</v>
      </c>
      <c r="R140">
        <v>22000</v>
      </c>
      <c r="S140">
        <v>460</v>
      </c>
    </row>
    <row r="141" spans="1:19">
      <c r="A141">
        <f t="shared" si="14"/>
        <v>4.2085510892564752E-5</v>
      </c>
      <c r="B141" s="286">
        <f t="shared" si="17"/>
        <v>0.4641495475256186</v>
      </c>
      <c r="C141" s="190">
        <f t="shared" si="18"/>
        <v>1.1037476240159209E-3</v>
      </c>
      <c r="D141" s="69">
        <v>0.38755818843040718</v>
      </c>
      <c r="E141" s="69">
        <v>820.07312671874161</v>
      </c>
      <c r="F141" s="69">
        <v>604.34918697259354</v>
      </c>
      <c r="G141" s="69">
        <v>205.33818918342828</v>
      </c>
      <c r="H141" s="69">
        <v>72.729797635465886</v>
      </c>
      <c r="I141" s="69">
        <v>72.557793105986264</v>
      </c>
      <c r="J141" s="69">
        <f>0.592*SQRT((2*General!$C$7)/(C141*$C$107*$C$112))</f>
        <v>106.41438159494841</v>
      </c>
      <c r="K141" s="69">
        <f t="shared" si="19"/>
        <v>0.17608095433703985</v>
      </c>
      <c r="L141" s="69">
        <v>404.30487575607691</v>
      </c>
      <c r="M141" s="31">
        <f t="shared" si="15"/>
        <v>2866.3139095667329</v>
      </c>
      <c r="N141" s="69">
        <f t="shared" si="20"/>
        <v>559.69981347036423</v>
      </c>
      <c r="O141" s="69">
        <f t="shared" si="21"/>
        <v>0.92611990805200817</v>
      </c>
      <c r="P141">
        <v>24000</v>
      </c>
      <c r="Q141">
        <f t="shared" si="16"/>
        <v>26.226309259582258</v>
      </c>
      <c r="R141">
        <v>22000</v>
      </c>
      <c r="S141">
        <v>480</v>
      </c>
    </row>
    <row r="142" spans="1:19">
      <c r="A142">
        <f t="shared" si="14"/>
        <v>3.4978497662739417E-5</v>
      </c>
      <c r="B142" s="286">
        <f t="shared" si="17"/>
        <v>0.44809950128795967</v>
      </c>
      <c r="C142" s="190">
        <f t="shared" si="18"/>
        <v>1.0655806140627681E-3</v>
      </c>
      <c r="D142" s="69">
        <v>0.37107567801157226</v>
      </c>
      <c r="E142" s="69">
        <v>785.19613467248689</v>
      </c>
      <c r="F142" s="69">
        <v>601.85608012908108</v>
      </c>
      <c r="G142" s="69">
        <v>208.98324249172563</v>
      </c>
      <c r="H142" s="69">
        <v>72.742281685334277</v>
      </c>
      <c r="I142" s="69">
        <v>72.557793105986278</v>
      </c>
      <c r="J142" s="69">
        <f>0.592*SQRT((2*General!$C$7)/(C142*$C$107*$C$112))</f>
        <v>108.30339257349847</v>
      </c>
      <c r="K142" s="69">
        <f t="shared" si="19"/>
        <v>0.1799489880542047</v>
      </c>
      <c r="L142" s="69">
        <v>405.98924413642322</v>
      </c>
      <c r="M142" s="31">
        <f t="shared" si="15"/>
        <v>3144.0502371613243</v>
      </c>
      <c r="N142" s="69">
        <f t="shared" si="20"/>
        <v>569.63530411073941</v>
      </c>
      <c r="O142" s="69">
        <f t="shared" si="21"/>
        <v>0.94646431749691518</v>
      </c>
      <c r="P142">
        <v>25000</v>
      </c>
      <c r="Q142">
        <f t="shared" si="16"/>
        <v>30.463875959940665</v>
      </c>
      <c r="R142">
        <v>22000</v>
      </c>
      <c r="S142">
        <v>500</v>
      </c>
    </row>
    <row r="143" spans="1:19">
      <c r="A143">
        <f t="shared" si="14"/>
        <v>2.9026852113636124E-5</v>
      </c>
      <c r="B143" s="286">
        <f t="shared" si="17"/>
        <v>0.43247754618691514</v>
      </c>
      <c r="C143" s="190">
        <f t="shared" si="18"/>
        <v>1.0284316048324842E-3</v>
      </c>
      <c r="D143" s="69">
        <v>0.35516543815628354</v>
      </c>
      <c r="E143" s="69">
        <v>751.53006713869593</v>
      </c>
      <c r="F143" s="69">
        <v>599.35260288268626</v>
      </c>
      <c r="G143" s="69">
        <v>212.72420603184148</v>
      </c>
      <c r="H143" s="69">
        <v>72.755432709701665</v>
      </c>
      <c r="I143" s="69">
        <v>72.557793105986278</v>
      </c>
      <c r="J143" s="69">
        <f>0.592*SQRT((2*General!$C$7)/(C143*$C$107*$C$112))</f>
        <v>110.24210803248725</v>
      </c>
      <c r="K143" s="69">
        <f t="shared" si="19"/>
        <v>0.18393531203878893</v>
      </c>
      <c r="L143" s="69">
        <v>407.76567954063574</v>
      </c>
      <c r="M143" s="31">
        <f t="shared" si="15"/>
        <v>3451.3585806460005</v>
      </c>
      <c r="N143" s="69">
        <f t="shared" si="20"/>
        <v>579.8322217125201</v>
      </c>
      <c r="O143" s="69">
        <f t="shared" si="21"/>
        <v>0.96743088946927125</v>
      </c>
      <c r="P143">
        <v>26000</v>
      </c>
      <c r="Q143">
        <f t="shared" si="16"/>
        <v>35.430352585472107</v>
      </c>
      <c r="R143">
        <v>22000</v>
      </c>
      <c r="S143">
        <v>520</v>
      </c>
    </row>
    <row r="144" spans="1:19">
      <c r="A144">
        <f t="shared" si="14"/>
        <v>2.405014532008743E-5</v>
      </c>
      <c r="B144" s="286">
        <f t="shared" si="17"/>
        <v>0.41727570517944246</v>
      </c>
      <c r="C144" s="190">
        <f t="shared" si="18"/>
        <v>9.9228162691671409E-4</v>
      </c>
      <c r="D144" s="69">
        <v>0.33981214253908448</v>
      </c>
      <c r="E144" s="69">
        <v>719.04249361270274</v>
      </c>
      <c r="F144" s="69">
        <v>596.83862473549664</v>
      </c>
      <c r="G144" s="69">
        <v>216.56443843993264</v>
      </c>
      <c r="H144" s="69">
        <v>72.769292445585435</v>
      </c>
      <c r="I144" s="69">
        <v>72.557793105986264</v>
      </c>
      <c r="J144" s="69">
        <f>0.592*SQRT((2*General!$C$7)/(C144*$C$107*$C$112))</f>
        <v>112.2322685501825</v>
      </c>
      <c r="K144" s="69">
        <f t="shared" si="19"/>
        <v>0.18804458005699767</v>
      </c>
      <c r="L144" s="69">
        <v>409.64010495200557</v>
      </c>
      <c r="M144" s="31">
        <f t="shared" si="15"/>
        <v>3791.6758335593231</v>
      </c>
      <c r="N144" s="69">
        <f t="shared" si="20"/>
        <v>590.29972106584989</v>
      </c>
      <c r="O144" s="69">
        <f t="shared" si="21"/>
        <v>0.9890441010372869</v>
      </c>
      <c r="P144">
        <v>27000</v>
      </c>
      <c r="Q144">
        <f t="shared" si="16"/>
        <v>41.258862003130169</v>
      </c>
      <c r="R144">
        <v>22000</v>
      </c>
      <c r="S144">
        <v>540</v>
      </c>
    </row>
    <row r="145" spans="1:19">
      <c r="A145">
        <f t="shared" si="14"/>
        <v>1.9894952089205655E-5</v>
      </c>
      <c r="B145" s="286">
        <f t="shared" si="17"/>
        <v>0.40248608467293318</v>
      </c>
      <c r="C145" s="190">
        <f t="shared" si="18"/>
        <v>9.5711190935223508E-4</v>
      </c>
      <c r="D145" s="69">
        <v>0.32500075160717107</v>
      </c>
      <c r="E145" s="69">
        <v>687.70159040077397</v>
      </c>
      <c r="F145" s="69">
        <v>594.3140124295129</v>
      </c>
      <c r="G145" s="69">
        <v>220.50744570725101</v>
      </c>
      <c r="H145" s="69">
        <v>72.783905632811255</v>
      </c>
      <c r="I145" s="69">
        <v>72.557793105986264</v>
      </c>
      <c r="J145" s="69">
        <f>0.592*SQRT((2*General!$C$7)/(C145*$C$107*$C$112))</f>
        <v>114.27569107009795</v>
      </c>
      <c r="K145" s="69">
        <f t="shared" si="19"/>
        <v>0.19228167043032882</v>
      </c>
      <c r="L145" s="69">
        <v>411.61888046314999</v>
      </c>
      <c r="M145" s="31">
        <f t="shared" si="15"/>
        <v>4168.8724161153505</v>
      </c>
      <c r="N145" s="69">
        <f t="shared" si="20"/>
        <v>601.04735861348104</v>
      </c>
      <c r="O145" s="69">
        <f t="shared" si="21"/>
        <v>1.0113296103459561</v>
      </c>
      <c r="P145">
        <v>28000</v>
      </c>
      <c r="Q145">
        <f t="shared" si="16"/>
        <v>48.108279178592866</v>
      </c>
      <c r="R145">
        <v>22000</v>
      </c>
      <c r="S145">
        <v>560</v>
      </c>
    </row>
    <row r="146" spans="1:19">
      <c r="A146">
        <f t="shared" si="14"/>
        <v>1.6430987813375904E-5</v>
      </c>
      <c r="B146" s="286">
        <f t="shared" si="17"/>
        <v>0.38810087434571827</v>
      </c>
      <c r="C146" s="190">
        <f t="shared" si="18"/>
        <v>9.2290387919411799E-4</v>
      </c>
      <c r="D146" s="69">
        <v>0.31071650956782709</v>
      </c>
      <c r="E146" s="69">
        <v>657.47613424552208</v>
      </c>
      <c r="F146" s="69">
        <v>591.77862986422156</v>
      </c>
      <c r="G146" s="69">
        <v>224.55688897245028</v>
      </c>
      <c r="H146" s="69">
        <v>72.799320258926329</v>
      </c>
      <c r="I146" s="69">
        <v>72.557793105986264</v>
      </c>
      <c r="J146" s="69">
        <f>0.592*SQRT((2*General!$C$7)/(C146*$C$107*$C$112))</f>
        <v>116.37427293927509</v>
      </c>
      <c r="K146" s="69">
        <f t="shared" si="19"/>
        <v>0.1966516989063565</v>
      </c>
      <c r="L146" s="69">
        <v>413.70883921356454</v>
      </c>
      <c r="M146" s="31">
        <f t="shared" si="15"/>
        <v>4587.3113361040987</v>
      </c>
      <c r="N146" s="69">
        <f t="shared" si="20"/>
        <v>612.08511369062455</v>
      </c>
      <c r="O146" s="69">
        <f t="shared" si="21"/>
        <v>1.0343143243125594</v>
      </c>
      <c r="P146">
        <v>29000</v>
      </c>
      <c r="Q146">
        <f t="shared" si="16"/>
        <v>56.168496360444841</v>
      </c>
      <c r="R146">
        <v>15000</v>
      </c>
      <c r="S146">
        <v>580</v>
      </c>
    </row>
    <row r="147" spans="1:19">
      <c r="A147">
        <f t="shared" si="14"/>
        <v>1.3547772064396121E-5</v>
      </c>
      <c r="B147" s="286">
        <f t="shared" si="17"/>
        <v>0.37411234696644796</v>
      </c>
      <c r="C147" s="190">
        <f t="shared" si="18"/>
        <v>8.8963916108621317E-4</v>
      </c>
      <c r="D147" s="69">
        <v>0.29694494138237271</v>
      </c>
      <c r="E147" s="69">
        <v>628.33549596510068</v>
      </c>
      <c r="F147" s="69">
        <v>589.23233801097786</v>
      </c>
      <c r="G147" s="69">
        <v>228.71659279736826</v>
      </c>
      <c r="H147" s="69">
        <v>72.815587826537026</v>
      </c>
      <c r="I147" s="69">
        <v>72.557793105986278</v>
      </c>
      <c r="J147" s="69">
        <f>0.592*SQRT((2*General!$C$7)/(C147*$C$107*$C$112))</f>
        <v>118.52999619712153</v>
      </c>
      <c r="K147" s="69">
        <f t="shared" si="19"/>
        <v>0.20116003238592317</v>
      </c>
      <c r="L147" s="69">
        <v>415.91732649161003</v>
      </c>
      <c r="M147" s="31">
        <f t="shared" si="15"/>
        <v>5051.9159027673386</v>
      </c>
      <c r="N147" s="69">
        <f t="shared" si="20"/>
        <v>623.42341108263486</v>
      </c>
      <c r="O147" s="69">
        <f t="shared" si="21"/>
        <v>1.0580264708265554</v>
      </c>
      <c r="P147">
        <v>30000</v>
      </c>
      <c r="Q147">
        <f t="shared" si="16"/>
        <v>65.666823803760821</v>
      </c>
      <c r="R147">
        <v>15000</v>
      </c>
      <c r="S147">
        <v>600</v>
      </c>
    </row>
    <row r="148" spans="1:19">
      <c r="A148">
        <f t="shared" si="14"/>
        <v>1.1151750698330247E-5</v>
      </c>
      <c r="B148" s="286">
        <f t="shared" si="17"/>
        <v>0.36051285821231782</v>
      </c>
      <c r="C148" s="190">
        <f t="shared" si="18"/>
        <v>8.5729957682889179E-4</v>
      </c>
      <c r="D148" s="69">
        <v>0.28367184976665483</v>
      </c>
      <c r="E148" s="69">
        <v>600.24963410624161</v>
      </c>
      <c r="F148" s="69">
        <v>586.67499482404355</v>
      </c>
      <c r="G148" s="69">
        <v>232.99055396079427</v>
      </c>
      <c r="H148" s="69">
        <v>72.83276364529307</v>
      </c>
      <c r="I148" s="69">
        <v>72.557793105986278</v>
      </c>
      <c r="J148" s="69">
        <f>0.592*SQRT((2*General!$C$7)/(C148*$C$107*$C$112))</f>
        <v>120.7449321326894</v>
      </c>
      <c r="K148" s="69">
        <f t="shared" si="19"/>
        <v>0.20581230357176447</v>
      </c>
      <c r="L148" s="69">
        <v>418.25224228058624</v>
      </c>
      <c r="M148" s="31">
        <f t="shared" si="15"/>
        <v>5568.2474519189664</v>
      </c>
      <c r="N148" s="69">
        <f t="shared" si="20"/>
        <v>635.07314499458744</v>
      </c>
      <c r="O148" s="69">
        <f t="shared" si="21"/>
        <v>1.082495675795863</v>
      </c>
      <c r="P148">
        <v>31000</v>
      </c>
      <c r="Q148">
        <f t="shared" si="16"/>
        <v>76.875783903352087</v>
      </c>
      <c r="R148">
        <v>15000</v>
      </c>
      <c r="S148">
        <v>620</v>
      </c>
    </row>
    <row r="149" spans="1:19">
      <c r="A149">
        <f t="shared" si="14"/>
        <v>9.16381660608488E-6</v>
      </c>
      <c r="B149" s="286">
        <f t="shared" si="17"/>
        <v>0.3472948464861339</v>
      </c>
      <c r="C149" s="190">
        <f t="shared" si="18"/>
        <v>8.2586714494402638E-4</v>
      </c>
      <c r="D149" s="69">
        <v>0.27088331219813189</v>
      </c>
      <c r="E149" s="69">
        <v>573.18908861124703</v>
      </c>
      <c r="F149" s="69">
        <v>584.10645514811722</v>
      </c>
      <c r="G149" s="69">
        <v>237.38295080751553</v>
      </c>
      <c r="H149" s="69">
        <v>72.850907151135303</v>
      </c>
      <c r="I149" s="69">
        <v>72.557793105986278</v>
      </c>
      <c r="J149" s="69">
        <f>0.592*SQRT((2*General!$C$7)/(C149*$C$107*$C$112))</f>
        <v>123.02124612972139</v>
      </c>
      <c r="K149" s="69">
        <f t="shared" si="19"/>
        <v>0.2106144266091457</v>
      </c>
      <c r="L149" s="69">
        <v>420.72208754977163</v>
      </c>
      <c r="M149" s="31">
        <f t="shared" si="15"/>
        <v>6142.5946682580689</v>
      </c>
      <c r="N149" s="69">
        <f t="shared" si="20"/>
        <v>647.04570453440874</v>
      </c>
      <c r="O149" s="69">
        <f t="shared" si="21"/>
        <v>1.1077530454107574</v>
      </c>
      <c r="P149">
        <v>32000</v>
      </c>
      <c r="Q149">
        <f t="shared" si="16"/>
        <v>90.122618167155494</v>
      </c>
      <c r="R149">
        <v>15000</v>
      </c>
      <c r="S149">
        <v>640</v>
      </c>
    </row>
    <row r="150" spans="1:19">
      <c r="A150">
        <f t="shared" si="14"/>
        <v>7.517176643401867E-6</v>
      </c>
      <c r="B150" s="286">
        <f t="shared" si="17"/>
        <v>0.33445083273219328</v>
      </c>
      <c r="C150" s="190">
        <f t="shared" si="18"/>
        <v>7.953240802371556E-4</v>
      </c>
      <c r="D150" s="69">
        <v>0.25856567792958884</v>
      </c>
      <c r="E150" s="69">
        <v>547.12497449901002</v>
      </c>
      <c r="F150" s="69">
        <v>581.52657062219237</v>
      </c>
      <c r="G150" s="69">
        <v>241.89815319298197</v>
      </c>
      <c r="H150" s="69">
        <v>72.870082255535948</v>
      </c>
      <c r="I150" s="69">
        <v>72.557793105986264</v>
      </c>
      <c r="J150" s="69">
        <f>0.592*SQRT((2*General!$C$7)/(C150*$C$107*$C$112))</f>
        <v>125.36120282037007</v>
      </c>
      <c r="K150" s="69">
        <f t="shared" si="19"/>
        <v>0.21557261379517437</v>
      </c>
      <c r="L150" s="69">
        <v>423.33601461293205</v>
      </c>
      <c r="M150" s="31">
        <f t="shared" si="15"/>
        <v>6782.0763591371333</v>
      </c>
      <c r="N150" s="69">
        <f t="shared" si="20"/>
        <v>659.35300081950948</v>
      </c>
      <c r="O150" s="69">
        <f t="shared" si="21"/>
        <v>1.1338312540285964</v>
      </c>
      <c r="P150">
        <v>33000</v>
      </c>
      <c r="Q150">
        <f t="shared" si="16"/>
        <v>105.80090344627514</v>
      </c>
      <c r="R150">
        <v>15000</v>
      </c>
      <c r="S150">
        <v>660</v>
      </c>
    </row>
    <row r="151" spans="1:19">
      <c r="A151">
        <f t="shared" si="14"/>
        <v>6.155518810697004E-6</v>
      </c>
      <c r="B151" s="286">
        <f t="shared" si="17"/>
        <v>0.32197342025096437</v>
      </c>
      <c r="C151" s="190">
        <f t="shared" si="18"/>
        <v>7.6565279335679326E-4</v>
      </c>
      <c r="D151" s="69">
        <v>0.24670556500952834</v>
      </c>
      <c r="E151" s="69">
        <v>522.02897556016194</v>
      </c>
      <c r="F151" s="69">
        <v>578.93518957955541</v>
      </c>
      <c r="G151" s="69">
        <v>246.54073306725019</v>
      </c>
      <c r="H151" s="69">
        <v>72.890357727945968</v>
      </c>
      <c r="I151" s="69">
        <v>72.557793105986292</v>
      </c>
      <c r="J151" s="69">
        <f>0.592*SQRT((2*General!$C$7)/(C151*$C$107*$C$112))</f>
        <v>127.76717157021662</v>
      </c>
      <c r="K151" s="69">
        <f t="shared" si="19"/>
        <v>0.22069339344012923</v>
      </c>
      <c r="L151" s="69">
        <v>426.10388189854888</v>
      </c>
      <c r="M151" s="31">
        <f t="shared" si="15"/>
        <v>7494.759850698174</v>
      </c>
      <c r="N151" s="69">
        <f t="shared" si="20"/>
        <v>672.00749582593028</v>
      </c>
      <c r="O151" s="69">
        <f t="shared" si="21"/>
        <v>1.160764638117727</v>
      </c>
      <c r="P151">
        <v>34000</v>
      </c>
      <c r="Q151">
        <f t="shared" si="16"/>
        <v>124.38477030177357</v>
      </c>
      <c r="R151">
        <v>15000</v>
      </c>
      <c r="S151">
        <v>680</v>
      </c>
    </row>
    <row r="152" spans="1:19">
      <c r="A152">
        <f t="shared" si="14"/>
        <v>5.0314395221669432E-6</v>
      </c>
      <c r="B152" s="286">
        <f t="shared" si="17"/>
        <v>0.30985529451254856</v>
      </c>
      <c r="C152" s="190">
        <f t="shared" si="18"/>
        <v>7.368358903508405E-4</v>
      </c>
      <c r="D152" s="69">
        <v>0.23528985730928179</v>
      </c>
      <c r="E152" s="69">
        <v>497.87333806644028</v>
      </c>
      <c r="F152" s="69">
        <v>576.33215694374007</v>
      </c>
      <c r="G152" s="69">
        <v>251.31547574549134</v>
      </c>
      <c r="H152" s="69">
        <v>72.911807614937743</v>
      </c>
      <c r="I152" s="69">
        <v>72.557793105986264</v>
      </c>
      <c r="J152" s="69">
        <f>0.592*SQRT((2*General!$C$7)/(C152*$C$107*$C$112))</f>
        <v>130.24163231909441</v>
      </c>
      <c r="K152" s="69">
        <f t="shared" si="19"/>
        <v>0.22598362897145827</v>
      </c>
      <c r="L152" s="69">
        <v>429.03631349722451</v>
      </c>
      <c r="M152" s="31">
        <f t="shared" si="15"/>
        <v>8289.7975515239414</v>
      </c>
      <c r="N152" s="69">
        <f t="shared" si="20"/>
        <v>685.0222331088878</v>
      </c>
      <c r="O152" s="69">
        <f t="shared" si="21"/>
        <v>1.1885892967373635</v>
      </c>
      <c r="P152">
        <v>35000</v>
      </c>
      <c r="Q152">
        <f t="shared" si="16"/>
        <v>146.44633749537738</v>
      </c>
      <c r="R152">
        <v>15000</v>
      </c>
      <c r="S152">
        <v>700</v>
      </c>
    </row>
    <row r="153" spans="1:19">
      <c r="A153">
        <f t="shared" si="14"/>
        <v>4.1050958894350095E-6</v>
      </c>
      <c r="B153" s="286">
        <f t="shared" si="17"/>
        <v>0.29808922296890156</v>
      </c>
      <c r="C153" s="190">
        <f t="shared" si="18"/>
        <v>7.0885617222004791E-4</v>
      </c>
      <c r="D153" s="69">
        <v>0.22430570155688229</v>
      </c>
      <c r="E153" s="69">
        <v>474.63086449436292</v>
      </c>
      <c r="F153" s="69">
        <v>573.71731412023109</v>
      </c>
      <c r="G153" s="69">
        <v>256.22739191631547</v>
      </c>
      <c r="H153" s="69">
        <v>72.934511699935783</v>
      </c>
      <c r="I153" s="69">
        <v>72.557793105986278</v>
      </c>
      <c r="J153" s="69">
        <f>0.592*SQRT((2*General!$C$7)/(C153*$C$107*$C$112))</f>
        <v>132.78718180427836</v>
      </c>
      <c r="K153" s="69">
        <f t="shared" si="19"/>
        <v>0.23145053937913893</v>
      </c>
      <c r="L153" s="69">
        <v>432.14476387185505</v>
      </c>
      <c r="M153" s="31">
        <f t="shared" si="15"/>
        <v>9177.584671892022</v>
      </c>
      <c r="N153" s="69">
        <f t="shared" si="20"/>
        <v>698.4108705344205</v>
      </c>
      <c r="O153" s="69">
        <f t="shared" si="21"/>
        <v>1.2173431990725279</v>
      </c>
      <c r="P153">
        <v>36000</v>
      </c>
      <c r="Q153">
        <f t="shared" si="16"/>
        <v>172.67712894219599</v>
      </c>
      <c r="R153">
        <v>15000</v>
      </c>
      <c r="S153">
        <v>720</v>
      </c>
    </row>
  </sheetData>
  <mergeCells count="18">
    <mergeCell ref="P7:T7"/>
    <mergeCell ref="U7:Y7"/>
    <mergeCell ref="Z7:AD7"/>
    <mergeCell ref="AC63:AG63"/>
    <mergeCell ref="AH63:AL63"/>
    <mergeCell ref="AE7:AI7"/>
    <mergeCell ref="AJ7:AM7"/>
    <mergeCell ref="S63:W63"/>
    <mergeCell ref="X63:AB63"/>
    <mergeCell ref="A105:E105"/>
    <mergeCell ref="H115:K115"/>
    <mergeCell ref="L115:O115"/>
    <mergeCell ref="C7:F7"/>
    <mergeCell ref="K7:O7"/>
    <mergeCell ref="G7:J7"/>
    <mergeCell ref="A53:E53"/>
    <mergeCell ref="L63:O63"/>
    <mergeCell ref="H63:K6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7F972-4E75-4A60-8BF5-EE5A2EA284CA}">
  <sheetPr codeName="Sheet5"/>
  <dimension ref="A1:AC488"/>
  <sheetViews>
    <sheetView zoomScale="60" zoomScaleNormal="60" workbookViewId="0">
      <selection activeCell="W188" sqref="W188"/>
    </sheetView>
  </sheetViews>
  <sheetFormatPr defaultColWidth="8.42578125" defaultRowHeight="15"/>
  <cols>
    <col min="1" max="1" width="35.42578125" customWidth="1"/>
    <col min="2" max="2" width="13.42578125" style="9" customWidth="1"/>
    <col min="3" max="3" width="11.42578125" bestFit="1" customWidth="1"/>
    <col min="4" max="4" width="12.42578125" customWidth="1"/>
    <col min="5" max="5" width="10.42578125" customWidth="1"/>
    <col min="6" max="6" width="9" bestFit="1" customWidth="1"/>
    <col min="8" max="8" width="9.42578125" customWidth="1"/>
    <col min="9" max="9" width="9" bestFit="1" customWidth="1"/>
    <col min="11" max="11" width="11.42578125" bestFit="1" customWidth="1"/>
    <col min="12" max="12" width="12.7109375" bestFit="1" customWidth="1"/>
    <col min="13" max="17" width="11.42578125" bestFit="1" customWidth="1"/>
    <col min="18" max="19" width="11.42578125" customWidth="1"/>
    <col min="20" max="20" width="12.42578125" customWidth="1"/>
    <col min="21" max="22" width="10.42578125" bestFit="1" customWidth="1"/>
    <col min="23" max="23" width="14.28515625" bestFit="1" customWidth="1"/>
    <col min="25" max="25" width="10.42578125" bestFit="1" customWidth="1"/>
    <col min="26" max="26" width="31.42578125" bestFit="1" customWidth="1"/>
    <col min="27" max="27" width="43.42578125" bestFit="1" customWidth="1"/>
  </cols>
  <sheetData>
    <row r="1" spans="1:29">
      <c r="A1" s="309" t="s">
        <v>855</v>
      </c>
      <c r="B1" s="309"/>
      <c r="C1" s="309"/>
      <c r="D1" s="309"/>
      <c r="E1" s="309"/>
      <c r="F1" s="309"/>
      <c r="G1" s="309"/>
      <c r="H1" s="309"/>
      <c r="I1" s="309"/>
      <c r="J1" s="309"/>
      <c r="K1" s="309"/>
      <c r="S1" s="9"/>
      <c r="T1" s="9"/>
      <c r="U1" s="9"/>
      <c r="V1" s="176"/>
      <c r="W1" s="176"/>
    </row>
    <row r="2" spans="1:29">
      <c r="A2" s="8"/>
      <c r="B2" s="17"/>
      <c r="C2" s="8"/>
      <c r="D2" s="8"/>
      <c r="E2" s="8"/>
      <c r="F2" s="8"/>
      <c r="G2" s="8"/>
      <c r="H2" s="8"/>
      <c r="I2" s="8"/>
      <c r="J2" s="8"/>
      <c r="K2" s="8"/>
      <c r="R2" s="6" t="s">
        <v>856</v>
      </c>
      <c r="S2" s="172">
        <v>10000</v>
      </c>
      <c r="T2" s="172"/>
      <c r="U2" s="116">
        <v>15000</v>
      </c>
      <c r="V2" s="116">
        <v>20000</v>
      </c>
      <c r="W2" s="116">
        <v>30000</v>
      </c>
      <c r="X2" s="169"/>
    </row>
    <row r="3" spans="1:29">
      <c r="A3" s="309" t="s">
        <v>857</v>
      </c>
      <c r="B3" s="309"/>
      <c r="C3" s="309"/>
      <c r="D3" s="309"/>
      <c r="E3" s="309"/>
      <c r="F3" s="309"/>
      <c r="G3" s="309"/>
      <c r="H3" s="309"/>
      <c r="I3" s="309"/>
      <c r="J3" s="309"/>
      <c r="K3" s="309"/>
      <c r="R3" s="170" t="s">
        <v>858</v>
      </c>
      <c r="S3" s="171">
        <f>0.002378*(1-0.000006875*S2)^4.2561</f>
        <v>1.756122750048278E-3</v>
      </c>
      <c r="T3" s="171"/>
      <c r="U3" s="171">
        <f>0.002378*(1-0.000006875*U2)^4.2561</f>
        <v>1.4963533775013247E-3</v>
      </c>
      <c r="V3" s="171">
        <f>0.002378*(1-0.000006875*V2)^4.2561</f>
        <v>1.267057055955016E-3</v>
      </c>
      <c r="W3" s="171">
        <f>0.002378*(1-0.000006875*W2)^4.2561</f>
        <v>8.8972503086916048E-4</v>
      </c>
      <c r="Z3" t="s">
        <v>859</v>
      </c>
    </row>
    <row r="4" spans="1:29">
      <c r="A4" s="7" t="s">
        <v>860</v>
      </c>
      <c r="B4" s="17" t="s">
        <v>861</v>
      </c>
      <c r="C4" s="7" t="s">
        <v>191</v>
      </c>
      <c r="D4" s="7" t="s">
        <v>862</v>
      </c>
      <c r="E4" s="7" t="s">
        <v>193</v>
      </c>
      <c r="G4" s="7" t="s">
        <v>863</v>
      </c>
      <c r="N4" t="s">
        <v>864</v>
      </c>
      <c r="O4" t="s">
        <v>865</v>
      </c>
      <c r="R4" s="39" t="s">
        <v>822</v>
      </c>
      <c r="S4" s="338" t="s">
        <v>866</v>
      </c>
      <c r="T4" s="338"/>
      <c r="U4" s="338"/>
      <c r="V4" s="338"/>
      <c r="W4" s="338"/>
      <c r="Y4" t="s">
        <v>856</v>
      </c>
      <c r="Z4" t="s">
        <v>867</v>
      </c>
      <c r="AA4" t="s">
        <v>868</v>
      </c>
      <c r="AB4" t="s">
        <v>869</v>
      </c>
      <c r="AC4" t="s">
        <v>870</v>
      </c>
    </row>
    <row r="5" spans="1:29">
      <c r="A5" t="s">
        <v>871</v>
      </c>
      <c r="B5" s="9" t="s">
        <v>872</v>
      </c>
      <c r="C5" s="5">
        <v>15000</v>
      </c>
      <c r="D5" s="170" t="s">
        <v>66</v>
      </c>
      <c r="E5" t="s">
        <v>873</v>
      </c>
      <c r="G5" s="5" t="s">
        <v>874</v>
      </c>
      <c r="M5">
        <v>0</v>
      </c>
      <c r="N5" s="98">
        <f t="shared" ref="N5:N15" si="0">C$8</f>
        <v>531.92740930825562</v>
      </c>
      <c r="O5">
        <f t="shared" ref="O5:O15" si="1">R5/1.68780986</f>
        <v>0</v>
      </c>
      <c r="R5" s="39">
        <v>0</v>
      </c>
      <c r="S5" s="173">
        <f t="shared" ref="S5:S15" si="2">0.5*S$3*$R5^2*$C$95*$C$19</f>
        <v>0</v>
      </c>
      <c r="T5" s="173"/>
      <c r="U5" s="173">
        <f t="shared" ref="U5:W15" si="3">0.5*U$3*$R5^2*$C$95*$C$19</f>
        <v>0</v>
      </c>
      <c r="V5" s="173">
        <f t="shared" si="3"/>
        <v>0</v>
      </c>
      <c r="W5" s="173">
        <f t="shared" si="3"/>
        <v>0</v>
      </c>
      <c r="Y5" s="169">
        <v>15000</v>
      </c>
      <c r="Z5" s="98">
        <f>'Performance Cruise'!C34</f>
        <v>1007.1247175448717</v>
      </c>
      <c r="AA5" s="179">
        <f>U10+$Z$5</f>
        <v>2714.2337903556372</v>
      </c>
      <c r="AB5" s="179">
        <f>AA5/Thrust!C$36</f>
        <v>0.63290842081296295</v>
      </c>
      <c r="AC5" s="179">
        <f>ABS(AA5-Thrust!C32)/Thrust!C33</f>
        <v>0.67830055545920054</v>
      </c>
    </row>
    <row r="6" spans="1:29">
      <c r="A6" t="s">
        <v>180</v>
      </c>
      <c r="B6" s="9" t="s">
        <v>875</v>
      </c>
      <c r="C6" s="5">
        <v>250</v>
      </c>
      <c r="D6" s="170" t="s">
        <v>173</v>
      </c>
      <c r="E6" t="s">
        <v>873</v>
      </c>
      <c r="G6" s="6" t="s">
        <v>4</v>
      </c>
      <c r="M6">
        <v>700</v>
      </c>
      <c r="N6" s="98">
        <f t="shared" si="0"/>
        <v>531.92740930825562</v>
      </c>
      <c r="O6">
        <f t="shared" si="1"/>
        <v>59.248380027830862</v>
      </c>
      <c r="R6" s="39">
        <v>100</v>
      </c>
      <c r="S6" s="173">
        <f t="shared" si="2"/>
        <v>80.138639031451717</v>
      </c>
      <c r="T6" s="173"/>
      <c r="U6" s="173">
        <f t="shared" si="3"/>
        <v>68.284362912430609</v>
      </c>
      <c r="V6" s="173">
        <f t="shared" si="3"/>
        <v>57.820689377574261</v>
      </c>
      <c r="W6" s="173">
        <f t="shared" si="3"/>
        <v>40.601577016248285</v>
      </c>
      <c r="Y6" s="169">
        <v>15000</v>
      </c>
      <c r="Z6" s="179"/>
      <c r="AA6" s="179"/>
    </row>
    <row r="7" spans="1:29">
      <c r="A7" t="s">
        <v>180</v>
      </c>
      <c r="B7" s="9" t="s">
        <v>876</v>
      </c>
      <c r="C7" s="65">
        <f>C6/SQRT(C11)</f>
        <v>315.15837293915064</v>
      </c>
      <c r="D7" s="170" t="s">
        <v>596</v>
      </c>
      <c r="G7" s="148" t="s">
        <v>877</v>
      </c>
      <c r="M7">
        <v>1400</v>
      </c>
      <c r="N7" s="98">
        <f t="shared" si="0"/>
        <v>531.92740930825562</v>
      </c>
      <c r="O7">
        <f t="shared" si="1"/>
        <v>118.49676005566172</v>
      </c>
      <c r="R7" s="39">
        <v>200</v>
      </c>
      <c r="S7" s="173">
        <f t="shared" si="2"/>
        <v>320.55455612580687</v>
      </c>
      <c r="T7" s="173"/>
      <c r="U7" s="173">
        <f t="shared" si="3"/>
        <v>273.13745164972244</v>
      </c>
      <c r="V7" s="173">
        <f t="shared" si="3"/>
        <v>231.28275751029705</v>
      </c>
      <c r="W7" s="173">
        <f t="shared" si="3"/>
        <v>162.40630806499314</v>
      </c>
      <c r="Y7" s="169">
        <v>15000</v>
      </c>
      <c r="Z7" s="179"/>
      <c r="AA7" s="179"/>
    </row>
    <row r="8" spans="1:29">
      <c r="A8" t="s">
        <v>180</v>
      </c>
      <c r="B8" s="9" t="s">
        <v>441</v>
      </c>
      <c r="C8" s="65">
        <f>C7*1.68780986</f>
        <v>531.92740930825562</v>
      </c>
      <c r="D8" s="170" t="s">
        <v>183</v>
      </c>
      <c r="E8" t="s">
        <v>878</v>
      </c>
      <c r="G8" s="170" t="s">
        <v>192</v>
      </c>
      <c r="M8">
        <v>2100</v>
      </c>
      <c r="N8" s="98">
        <f t="shared" si="0"/>
        <v>531.92740930825562</v>
      </c>
      <c r="O8">
        <f t="shared" si="1"/>
        <v>177.74514008349257</v>
      </c>
      <c r="R8" s="39">
        <v>300</v>
      </c>
      <c r="S8" s="173">
        <f t="shared" si="2"/>
        <v>721.24775128306544</v>
      </c>
      <c r="T8" s="173"/>
      <c r="U8" s="173">
        <f t="shared" si="3"/>
        <v>614.55926621187541</v>
      </c>
      <c r="V8" s="173">
        <f t="shared" si="3"/>
        <v>520.38620439816827</v>
      </c>
      <c r="W8" s="173">
        <f t="shared" si="3"/>
        <v>365.41419314623454</v>
      </c>
      <c r="Y8" s="169">
        <v>15000</v>
      </c>
      <c r="Z8" s="179"/>
      <c r="AA8" s="179"/>
    </row>
    <row r="9" spans="1:29">
      <c r="A9" t="s">
        <v>879</v>
      </c>
      <c r="B9" s="9" t="s">
        <v>880</v>
      </c>
      <c r="C9" s="47">
        <f>C8/SQRT(1716.46*1.4*C13)</f>
        <v>0.50310656472580884</v>
      </c>
      <c r="D9" s="170"/>
      <c r="G9" s="9"/>
      <c r="M9">
        <v>2800</v>
      </c>
      <c r="N9" s="98">
        <f t="shared" si="0"/>
        <v>531.92740930825562</v>
      </c>
      <c r="O9">
        <f t="shared" si="1"/>
        <v>236.99352011132345</v>
      </c>
      <c r="R9" s="39">
        <v>400</v>
      </c>
      <c r="S9" s="173">
        <f t="shared" si="2"/>
        <v>1282.2182245032275</v>
      </c>
      <c r="T9" s="173"/>
      <c r="U9" s="173">
        <f t="shared" si="3"/>
        <v>1092.5498065988897</v>
      </c>
      <c r="V9" s="173">
        <f t="shared" si="3"/>
        <v>925.13103004118818</v>
      </c>
      <c r="W9" s="173">
        <f t="shared" si="3"/>
        <v>649.62523225997256</v>
      </c>
      <c r="Y9" s="169">
        <v>15000</v>
      </c>
      <c r="Z9" s="179"/>
      <c r="AA9" s="179"/>
    </row>
    <row r="10" spans="1:29">
      <c r="B10" s="9" t="s">
        <v>881</v>
      </c>
      <c r="C10" s="64">
        <f>1-0.000006875*C5</f>
        <v>0.89687499999999998</v>
      </c>
      <c r="D10" s="170"/>
      <c r="G10" s="9"/>
      <c r="M10">
        <v>3500</v>
      </c>
      <c r="N10" s="98">
        <f t="shared" si="0"/>
        <v>531.92740930825562</v>
      </c>
      <c r="O10">
        <f t="shared" si="1"/>
        <v>296.24190013915432</v>
      </c>
      <c r="R10" s="39">
        <v>500</v>
      </c>
      <c r="S10" s="173">
        <f t="shared" si="2"/>
        <v>2003.4659757862933</v>
      </c>
      <c r="T10" s="173"/>
      <c r="U10" s="173">
        <f t="shared" si="3"/>
        <v>1707.1090728107654</v>
      </c>
      <c r="V10" s="173">
        <f t="shared" si="3"/>
        <v>1445.5172344393566</v>
      </c>
      <c r="W10" s="173">
        <f t="shared" si="3"/>
        <v>1015.0394254062072</v>
      </c>
      <c r="Y10" s="169">
        <v>15000</v>
      </c>
      <c r="Z10" s="179"/>
      <c r="AA10" s="179"/>
    </row>
    <row r="11" spans="1:29">
      <c r="A11" t="s">
        <v>882</v>
      </c>
      <c r="B11" s="9" t="s">
        <v>883</v>
      </c>
      <c r="C11" s="64">
        <f>C10^4.2561</f>
        <v>0.62924868692234004</v>
      </c>
      <c r="D11" s="170"/>
      <c r="F11" s="319">
        <f>$C$8*C26/(1.5723*10^-4)</f>
        <v>33831165.128045261</v>
      </c>
      <c r="G11" s="319"/>
      <c r="M11">
        <v>4200</v>
      </c>
      <c r="N11" s="98">
        <f t="shared" si="0"/>
        <v>531.92740930825562</v>
      </c>
      <c r="O11">
        <f t="shared" si="1"/>
        <v>355.49028016698514</v>
      </c>
      <c r="R11" s="39">
        <v>600</v>
      </c>
      <c r="S11" s="173">
        <f t="shared" si="2"/>
        <v>2884.9910051322618</v>
      </c>
      <c r="T11" s="173"/>
      <c r="U11" s="173">
        <f t="shared" si="3"/>
        <v>2458.2370648475016</v>
      </c>
      <c r="V11" s="173">
        <f t="shared" si="3"/>
        <v>2081.5448175926731</v>
      </c>
      <c r="W11" s="173">
        <f t="shared" si="3"/>
        <v>1461.6567725849382</v>
      </c>
      <c r="Z11" s="179"/>
      <c r="AA11" s="179"/>
    </row>
    <row r="12" spans="1:29">
      <c r="A12" t="s">
        <v>884</v>
      </c>
      <c r="B12" s="9" t="s">
        <v>885</v>
      </c>
      <c r="C12" s="67">
        <f>0.002378*C10^4.2561</f>
        <v>1.4963533775013247E-3</v>
      </c>
      <c r="D12" s="170" t="s">
        <v>319</v>
      </c>
      <c r="M12">
        <v>4900</v>
      </c>
      <c r="N12" s="98">
        <f t="shared" si="0"/>
        <v>531.92740930825562</v>
      </c>
      <c r="O12">
        <f t="shared" si="1"/>
        <v>414.73866019481602</v>
      </c>
      <c r="R12" s="39">
        <v>700</v>
      </c>
      <c r="S12" s="173">
        <f t="shared" si="2"/>
        <v>3926.7933125411346</v>
      </c>
      <c r="T12" s="173"/>
      <c r="U12" s="173">
        <f t="shared" si="3"/>
        <v>3345.9337827090999</v>
      </c>
      <c r="V12" s="173">
        <f t="shared" si="3"/>
        <v>2833.2137795011386</v>
      </c>
      <c r="W12" s="173">
        <f t="shared" si="3"/>
        <v>1989.4772737961662</v>
      </c>
      <c r="Z12" s="179"/>
      <c r="AA12" s="179"/>
    </row>
    <row r="13" spans="1:29">
      <c r="A13" t="s">
        <v>886</v>
      </c>
      <c r="B13" s="9" t="s">
        <v>887</v>
      </c>
      <c r="C13" s="65">
        <f>518.67*C10</f>
        <v>465.18215624999993</v>
      </c>
      <c r="D13" s="170" t="s">
        <v>888</v>
      </c>
      <c r="M13">
        <v>5600</v>
      </c>
      <c r="N13" s="98">
        <f t="shared" si="0"/>
        <v>531.92740930825562</v>
      </c>
      <c r="O13">
        <f t="shared" si="1"/>
        <v>473.9870402226469</v>
      </c>
      <c r="R13" s="39">
        <v>800</v>
      </c>
      <c r="S13" s="173">
        <f t="shared" si="2"/>
        <v>5128.8728980129099</v>
      </c>
      <c r="T13" s="173"/>
      <c r="U13" s="173">
        <f t="shared" si="3"/>
        <v>4370.199226395559</v>
      </c>
      <c r="V13" s="173">
        <f t="shared" si="3"/>
        <v>3700.5241201647527</v>
      </c>
      <c r="W13" s="173">
        <f t="shared" si="3"/>
        <v>2598.5009290398903</v>
      </c>
      <c r="Z13" s="179"/>
      <c r="AA13" s="179"/>
    </row>
    <row r="14" spans="1:29">
      <c r="A14" t="s">
        <v>889</v>
      </c>
      <c r="B14" s="9" t="s">
        <v>890</v>
      </c>
      <c r="C14" s="6">
        <f>3.17*10^(-11)*734.7*C13^1.5/(216+C13)</f>
        <v>3.4303671930069452E-7</v>
      </c>
      <c r="D14" s="170" t="s">
        <v>891</v>
      </c>
      <c r="M14">
        <v>6300</v>
      </c>
      <c r="N14" s="98">
        <f t="shared" si="0"/>
        <v>531.92740930825562</v>
      </c>
      <c r="O14">
        <f t="shared" si="1"/>
        <v>533.23542025047777</v>
      </c>
      <c r="R14" s="39">
        <v>900</v>
      </c>
      <c r="S14" s="173">
        <f t="shared" si="2"/>
        <v>6491.2297615475909</v>
      </c>
      <c r="T14" s="173"/>
      <c r="U14" s="173">
        <f t="shared" si="3"/>
        <v>5531.0333959068794</v>
      </c>
      <c r="V14" s="173">
        <f t="shared" si="3"/>
        <v>4683.4758395835152</v>
      </c>
      <c r="W14" s="173">
        <f t="shared" si="3"/>
        <v>3288.7277383161108</v>
      </c>
      <c r="Z14" s="179"/>
      <c r="AA14" s="179"/>
    </row>
    <row r="15" spans="1:29">
      <c r="A15" t="s">
        <v>892</v>
      </c>
      <c r="B15" s="9" t="s">
        <v>893</v>
      </c>
      <c r="C15" s="66">
        <f>C14/C12</f>
        <v>2.2924846794779988E-4</v>
      </c>
      <c r="D15" s="170" t="s">
        <v>894</v>
      </c>
      <c r="M15">
        <v>7000</v>
      </c>
      <c r="N15" s="98">
        <f t="shared" si="0"/>
        <v>531.92740930825562</v>
      </c>
      <c r="O15">
        <f t="shared" si="1"/>
        <v>592.48380027830865</v>
      </c>
      <c r="R15" s="39">
        <v>1000</v>
      </c>
      <c r="S15" s="173">
        <f t="shared" si="2"/>
        <v>8013.863903145173</v>
      </c>
      <c r="T15" s="173"/>
      <c r="U15" s="173">
        <f t="shared" si="3"/>
        <v>6828.4362912430615</v>
      </c>
      <c r="V15" s="173">
        <f t="shared" si="3"/>
        <v>5782.0689377574263</v>
      </c>
      <c r="W15" s="173">
        <f t="shared" si="3"/>
        <v>4060.1577016248289</v>
      </c>
      <c r="Z15" s="179"/>
      <c r="AA15" s="179"/>
    </row>
    <row r="17" spans="1:11">
      <c r="A17" s="309" t="s">
        <v>895</v>
      </c>
      <c r="B17" s="309"/>
      <c r="C17" s="309"/>
      <c r="D17" s="309"/>
      <c r="E17" s="309"/>
      <c r="F17" s="309"/>
      <c r="G17" s="309"/>
      <c r="H17" s="309"/>
      <c r="I17" s="309"/>
      <c r="J17" s="309"/>
      <c r="K17" s="309"/>
    </row>
    <row r="18" spans="1:11">
      <c r="A18" s="7" t="s">
        <v>860</v>
      </c>
      <c r="B18" s="17" t="s">
        <v>896</v>
      </c>
      <c r="C18" s="7" t="s">
        <v>897</v>
      </c>
      <c r="D18" s="7" t="s">
        <v>898</v>
      </c>
      <c r="E18" s="7" t="s">
        <v>899</v>
      </c>
      <c r="F18" s="7" t="s">
        <v>900</v>
      </c>
      <c r="G18" s="7" t="s">
        <v>192</v>
      </c>
      <c r="H18" s="7" t="s">
        <v>193</v>
      </c>
      <c r="J18" s="7"/>
      <c r="K18" s="7"/>
    </row>
    <row r="19" spans="1:11">
      <c r="A19" t="s">
        <v>901</v>
      </c>
      <c r="B19" s="9" t="s">
        <v>902</v>
      </c>
      <c r="C19" s="65">
        <f>General!C23</f>
        <v>476.1</v>
      </c>
      <c r="D19" s="65">
        <f>D24^2/D20</f>
        <v>216.37467504308356</v>
      </c>
      <c r="E19" s="65">
        <v>0</v>
      </c>
      <c r="F19" s="65">
        <f>PI()*(F24/2)^2</f>
        <v>48.192862955464733</v>
      </c>
      <c r="G19" s="170"/>
    </row>
    <row r="20" spans="1:11">
      <c r="A20" t="s">
        <v>308</v>
      </c>
      <c r="B20" s="9" t="s">
        <v>903</v>
      </c>
      <c r="C20" s="65">
        <f>General!C24</f>
        <v>10</v>
      </c>
      <c r="D20" s="6">
        <f>General!C48</f>
        <v>4.1594516540385147</v>
      </c>
      <c r="E20" s="6"/>
      <c r="G20" s="170"/>
    </row>
    <row r="21" spans="1:11">
      <c r="A21" t="s">
        <v>904</v>
      </c>
      <c r="B21" s="9" t="s">
        <v>905</v>
      </c>
      <c r="C21" s="64">
        <f>General!C25</f>
        <v>0.38</v>
      </c>
      <c r="D21" s="64">
        <f>General!C49</f>
        <v>0.72881355932203384</v>
      </c>
      <c r="E21" s="64"/>
      <c r="G21" s="170"/>
    </row>
    <row r="22" spans="1:11">
      <c r="A22" t="s">
        <v>906</v>
      </c>
      <c r="C22" s="339" t="s">
        <v>907</v>
      </c>
      <c r="D22" s="339"/>
      <c r="E22" s="339"/>
      <c r="F22" s="339"/>
      <c r="G22" s="170"/>
      <c r="H22" s="340" t="s">
        <v>908</v>
      </c>
    </row>
    <row r="23" spans="1:11">
      <c r="A23" t="s">
        <v>909</v>
      </c>
      <c r="B23" s="9" t="s">
        <v>910</v>
      </c>
      <c r="C23" s="339">
        <f>2.08*10^(-5)</f>
        <v>2.0800000000000001E-5</v>
      </c>
      <c r="D23" s="339"/>
      <c r="E23" s="339"/>
      <c r="F23" s="339"/>
      <c r="G23" s="170"/>
      <c r="H23" s="340"/>
    </row>
    <row r="24" spans="1:11">
      <c r="A24" t="s">
        <v>911</v>
      </c>
      <c r="B24" s="9" t="s">
        <v>912</v>
      </c>
      <c r="C24" s="6">
        <f>General!C39</f>
        <v>69</v>
      </c>
      <c r="D24" s="6">
        <v>30</v>
      </c>
      <c r="E24" s="6">
        <v>0</v>
      </c>
      <c r="F24" s="47">
        <f>General!C78</f>
        <v>7.8333300000000001</v>
      </c>
      <c r="G24" s="170" t="s">
        <v>66</v>
      </c>
    </row>
    <row r="25" spans="1:11">
      <c r="A25" t="s">
        <v>913</v>
      </c>
      <c r="B25" s="9" t="s">
        <v>914</v>
      </c>
      <c r="C25" s="47">
        <f>General!C35</f>
        <v>6.9</v>
      </c>
      <c r="D25" s="6">
        <f>General!C53</f>
        <v>5.0999999999999996</v>
      </c>
      <c r="E25" s="6"/>
      <c r="F25" s="6">
        <f>General!C$79</f>
        <v>68</v>
      </c>
      <c r="G25" s="170" t="s">
        <v>66</v>
      </c>
    </row>
    <row r="26" spans="1:11">
      <c r="A26" t="s">
        <v>915</v>
      </c>
      <c r="B26" s="9" t="s">
        <v>916</v>
      </c>
      <c r="C26" s="6">
        <f>General!C36</f>
        <v>10</v>
      </c>
      <c r="D26" s="6">
        <f>General!C54</f>
        <v>5.9</v>
      </c>
      <c r="E26" s="6"/>
      <c r="F26" s="6">
        <f>General!C$79</f>
        <v>68</v>
      </c>
      <c r="G26" s="170" t="s">
        <v>66</v>
      </c>
    </row>
    <row r="27" spans="1:11">
      <c r="A27" t="s">
        <v>917</v>
      </c>
      <c r="B27" s="9" t="s">
        <v>918</v>
      </c>
      <c r="C27" s="6">
        <f>General!C37</f>
        <v>3.8</v>
      </c>
      <c r="D27" s="6">
        <f>General!C55</f>
        <v>4.3</v>
      </c>
      <c r="E27" s="6"/>
      <c r="F27" s="6">
        <f>General!C$79</f>
        <v>68</v>
      </c>
      <c r="G27" s="170" t="s">
        <v>66</v>
      </c>
    </row>
    <row r="28" spans="1:11">
      <c r="A28" t="s">
        <v>919</v>
      </c>
      <c r="B28" s="9" t="s">
        <v>920</v>
      </c>
      <c r="C28" s="5">
        <v>1.07</v>
      </c>
      <c r="D28" s="5">
        <v>1.03</v>
      </c>
      <c r="E28" s="5">
        <v>1.03</v>
      </c>
      <c r="G28" s="170"/>
      <c r="H28" t="s">
        <v>921</v>
      </c>
    </row>
    <row r="29" spans="1:11">
      <c r="A29" t="s">
        <v>922</v>
      </c>
      <c r="B29" s="9" t="s">
        <v>923</v>
      </c>
      <c r="C29" s="65">
        <f>2*C19*C28</f>
        <v>1018.8540000000002</v>
      </c>
      <c r="D29" s="65">
        <f>2*D19*D28</f>
        <v>445.73183058875213</v>
      </c>
      <c r="E29" s="65">
        <f>2*E19*E28</f>
        <v>0</v>
      </c>
      <c r="F29" s="65">
        <f>General!C74</f>
        <v>549.5101284139937</v>
      </c>
      <c r="G29" s="170" t="s">
        <v>196</v>
      </c>
    </row>
    <row r="30" spans="1:11">
      <c r="A30" t="s">
        <v>924</v>
      </c>
      <c r="B30" s="9" t="s">
        <v>925</v>
      </c>
      <c r="C30" s="47">
        <f>F29/C19</f>
        <v>1.1541905658769034</v>
      </c>
      <c r="G30" s="170"/>
      <c r="H30" t="s">
        <v>926</v>
      </c>
    </row>
    <row r="31" spans="1:11">
      <c r="A31" t="s">
        <v>927</v>
      </c>
      <c r="B31" s="9" t="s">
        <v>928</v>
      </c>
      <c r="C31" s="65">
        <f>SUM(C19:F19)</f>
        <v>740.66753799854837</v>
      </c>
      <c r="G31" s="170" t="s">
        <v>196</v>
      </c>
    </row>
    <row r="32" spans="1:11">
      <c r="A32" t="s">
        <v>929</v>
      </c>
      <c r="B32" s="9" t="s">
        <v>930</v>
      </c>
      <c r="C32" s="65">
        <f>SUM(C29:F29)</f>
        <v>2014.095959002746</v>
      </c>
      <c r="G32" s="170" t="s">
        <v>196</v>
      </c>
    </row>
    <row r="34" spans="1:26">
      <c r="A34" s="309" t="s">
        <v>931</v>
      </c>
      <c r="B34" s="309"/>
      <c r="C34" s="309"/>
      <c r="D34" s="309"/>
      <c r="E34" s="309"/>
      <c r="F34" s="309"/>
      <c r="G34" s="309"/>
      <c r="H34" s="309"/>
      <c r="I34" s="309"/>
      <c r="J34" s="309"/>
      <c r="K34" s="309"/>
    </row>
    <row r="35" spans="1:26">
      <c r="A35" s="7" t="s">
        <v>860</v>
      </c>
      <c r="B35" s="17" t="s">
        <v>861</v>
      </c>
      <c r="C35" s="7" t="s">
        <v>897</v>
      </c>
      <c r="D35" s="7" t="s">
        <v>898</v>
      </c>
      <c r="E35" s="7" t="s">
        <v>899</v>
      </c>
      <c r="F35" s="7" t="s">
        <v>900</v>
      </c>
      <c r="G35" s="7" t="s">
        <v>192</v>
      </c>
      <c r="H35" s="7" t="s">
        <v>193</v>
      </c>
    </row>
    <row r="36" spans="1:26" ht="15.75" customHeight="1">
      <c r="A36" t="s">
        <v>932</v>
      </c>
      <c r="B36" s="9" t="s">
        <v>933</v>
      </c>
      <c r="C36" s="66">
        <f>$C$8*C26/$C$15</f>
        <v>23203095.49154222</v>
      </c>
      <c r="D36" s="66">
        <f>$C$8*D26/$C$15</f>
        <v>13689826.340009909</v>
      </c>
      <c r="E36" s="66">
        <f>$C$8*E26/$C$15</f>
        <v>0</v>
      </c>
      <c r="F36" s="66">
        <f>$C$8*F26/$C$15</f>
        <v>157781049.34248707</v>
      </c>
      <c r="G36" s="170"/>
      <c r="H36" t="s">
        <v>934</v>
      </c>
      <c r="R36" s="336" t="s">
        <v>935</v>
      </c>
      <c r="S36" s="336"/>
      <c r="T36" s="336"/>
      <c r="U36" s="336"/>
      <c r="V36" s="336"/>
      <c r="W36" s="336"/>
      <c r="X36" s="336"/>
      <c r="Y36" s="336"/>
      <c r="Z36" s="336"/>
    </row>
    <row r="37" spans="1:26">
      <c r="A37" t="s">
        <v>936</v>
      </c>
      <c r="B37" s="9" t="s">
        <v>937</v>
      </c>
      <c r="C37" s="66">
        <f>38.21*(C26/$C$23)^1.053</f>
        <v>36749915.596079409</v>
      </c>
      <c r="D37" s="66">
        <f>38.21*(D26/$C$23)^1.053</f>
        <v>21084510.081792824</v>
      </c>
      <c r="E37" s="66">
        <f>38.21*(E26/$C$23)^1.053</f>
        <v>0</v>
      </c>
      <c r="F37" s="66">
        <f>38.21*(F26/$C$23)^1.053</f>
        <v>276622964.38148206</v>
      </c>
      <c r="G37" s="170"/>
      <c r="H37" t="s">
        <v>938</v>
      </c>
      <c r="R37" s="336"/>
      <c r="S37" s="336"/>
      <c r="T37" s="336"/>
      <c r="U37" s="336"/>
      <c r="V37" s="336"/>
      <c r="W37" s="336"/>
      <c r="X37" s="336"/>
      <c r="Y37" s="336"/>
      <c r="Z37" s="336"/>
    </row>
    <row r="38" spans="1:26">
      <c r="A38" t="s">
        <v>939</v>
      </c>
      <c r="B38" s="9" t="s">
        <v>940</v>
      </c>
      <c r="C38" s="66">
        <f>MIN(C36:C37)</f>
        <v>23203095.49154222</v>
      </c>
      <c r="D38" s="66">
        <f>MIN(D36:D37)</f>
        <v>13689826.340009909</v>
      </c>
      <c r="E38" s="66">
        <f>MIN(E36:E37)</f>
        <v>0</v>
      </c>
      <c r="F38" s="66">
        <f>MIN(F36:F37)</f>
        <v>157781049.34248707</v>
      </c>
      <c r="G38" s="170"/>
      <c r="H38" t="s">
        <v>941</v>
      </c>
      <c r="R38" s="336"/>
      <c r="S38" s="336"/>
      <c r="T38" s="336"/>
      <c r="U38" s="336"/>
      <c r="V38" s="336"/>
      <c r="W38" s="336"/>
      <c r="X38" s="336"/>
      <c r="Y38" s="336"/>
      <c r="Z38" s="336"/>
    </row>
    <row r="39" spans="1:26">
      <c r="A39" t="s">
        <v>942</v>
      </c>
      <c r="B39" s="9" t="s">
        <v>943</v>
      </c>
      <c r="C39" s="5">
        <v>0.3</v>
      </c>
      <c r="D39" s="5">
        <v>0.5</v>
      </c>
      <c r="E39" s="5">
        <v>0.5</v>
      </c>
      <c r="F39" s="5">
        <v>0.5</v>
      </c>
      <c r="G39" s="170"/>
      <c r="H39" t="s">
        <v>944</v>
      </c>
      <c r="R39" s="336"/>
      <c r="S39" s="336"/>
      <c r="T39" s="336"/>
      <c r="U39" s="336"/>
      <c r="V39" s="336"/>
      <c r="W39" s="336"/>
      <c r="X39" s="336"/>
      <c r="Y39" s="336"/>
      <c r="Z39" s="336"/>
    </row>
    <row r="40" spans="1:26">
      <c r="A40" t="s">
        <v>945</v>
      </c>
      <c r="B40" s="9" t="s">
        <v>943</v>
      </c>
      <c r="C40" s="5">
        <v>0.4</v>
      </c>
      <c r="D40" s="5">
        <v>0.4</v>
      </c>
      <c r="E40" s="5">
        <v>0.4</v>
      </c>
      <c r="F40" s="5">
        <v>0.4</v>
      </c>
      <c r="G40" s="170"/>
      <c r="H40" t="s">
        <v>944</v>
      </c>
      <c r="R40" s="336"/>
      <c r="S40" s="336"/>
      <c r="T40" s="336"/>
      <c r="U40" s="336"/>
      <c r="V40" s="336"/>
      <c r="W40" s="336"/>
      <c r="X40" s="336"/>
      <c r="Y40" s="336"/>
      <c r="Z40" s="336"/>
    </row>
    <row r="41" spans="1:26">
      <c r="A41" t="s">
        <v>946</v>
      </c>
      <c r="B41" s="9" t="s">
        <v>947</v>
      </c>
      <c r="C41" s="66">
        <f>36.9*C39^0.625*(1/C$38)^0.375</f>
        <v>3.0070969323234189E-2</v>
      </c>
      <c r="D41" s="66">
        <f>36.9*D39^0.625*(1/D$38)^0.375</f>
        <v>5.0435158702394241E-2</v>
      </c>
      <c r="E41" s="66"/>
      <c r="F41" s="66">
        <f>36.9*F39^0.625*(1/F$38)^0.375</f>
        <v>2.0165642043639687E-2</v>
      </c>
      <c r="G41" s="170"/>
      <c r="H41" t="s">
        <v>948</v>
      </c>
    </row>
    <row r="42" spans="1:26">
      <c r="A42" t="s">
        <v>949</v>
      </c>
      <c r="B42" s="9" t="s">
        <v>947</v>
      </c>
      <c r="C42" s="66">
        <f>36.9*C40^0.625*(1/C$38)^0.375</f>
        <v>3.5994333645136434E-2</v>
      </c>
      <c r="D42" s="66">
        <f>36.9*D40^0.625*(1/D$38)^0.375</f>
        <v>4.3869696877956194E-2</v>
      </c>
      <c r="E42" s="66"/>
      <c r="F42" s="66">
        <f>36.9*F40^0.625*(1/F$38)^0.375</f>
        <v>1.7540553585327485E-2</v>
      </c>
      <c r="G42" s="170"/>
      <c r="H42" t="s">
        <v>948</v>
      </c>
    </row>
    <row r="43" spans="1:26">
      <c r="A43" t="s">
        <v>950</v>
      </c>
      <c r="B43" s="9" t="s">
        <v>951</v>
      </c>
      <c r="C43" s="66">
        <f>(0.074/C$38^0.2)*(1-(C39-C41))^0.8</f>
        <v>1.9355954734048518E-3</v>
      </c>
      <c r="D43" s="66">
        <f>(0.074/D$38^0.2)*(1-(D39-D41))^0.8</f>
        <v>1.7159991368150538E-3</v>
      </c>
      <c r="E43" s="66"/>
      <c r="F43" s="66">
        <f>(0.074/F$38^0.2)*(1-(F39-F41))^0.8</f>
        <v>1.0058519957744122E-3</v>
      </c>
      <c r="G43" s="170"/>
      <c r="H43" t="s">
        <v>952</v>
      </c>
    </row>
    <row r="44" spans="1:26">
      <c r="A44" t="s">
        <v>953</v>
      </c>
      <c r="B44" s="9" t="s">
        <v>954</v>
      </c>
      <c r="C44" s="66">
        <f>(0.074/C$38^0.2)*(1-(C40-C42))^0.8</f>
        <v>1.7333454761212306E-3</v>
      </c>
      <c r="D44" s="66">
        <f>(0.074/D$38^0.2)*(1-(D40-D42))^0.8</f>
        <v>1.9453176207384602E-3</v>
      </c>
      <c r="E44" s="66"/>
      <c r="F44" s="66">
        <f>(0.074/F$38^0.2)*(1-(F40-F42))^0.8</f>
        <v>1.1538600523030053E-3</v>
      </c>
      <c r="G44" s="170"/>
      <c r="H44" t="s">
        <v>952</v>
      </c>
    </row>
    <row r="45" spans="1:26">
      <c r="A45" t="s">
        <v>955</v>
      </c>
      <c r="B45" s="9" t="s">
        <v>956</v>
      </c>
      <c r="C45" s="66">
        <f>AVERAGE(C43:C44)</f>
        <v>1.8344704747630413E-3</v>
      </c>
      <c r="D45" s="66">
        <f>AVERAGE(D43:D44)</f>
        <v>1.8306583787767571E-3</v>
      </c>
      <c r="E45" s="66"/>
      <c r="F45" s="66">
        <f>AVERAGE(F43:F44)</f>
        <v>1.0798560240387087E-3</v>
      </c>
      <c r="G45" s="170"/>
      <c r="H45" t="s">
        <v>957</v>
      </c>
      <c r="S45" t="s">
        <v>958</v>
      </c>
      <c r="U45" t="s">
        <v>959</v>
      </c>
      <c r="V45" t="s">
        <v>960</v>
      </c>
      <c r="W45" t="s">
        <v>961</v>
      </c>
    </row>
    <row r="47" spans="1:26">
      <c r="A47" s="309" t="s">
        <v>962</v>
      </c>
      <c r="B47" s="309"/>
      <c r="C47" s="309"/>
      <c r="D47" s="309"/>
      <c r="E47" s="309"/>
      <c r="F47" s="309"/>
      <c r="G47" s="309"/>
      <c r="H47" s="309"/>
      <c r="I47" s="309"/>
      <c r="J47" s="309"/>
      <c r="K47" s="309"/>
    </row>
    <row r="48" spans="1:26">
      <c r="A48" s="7" t="s">
        <v>860</v>
      </c>
      <c r="B48" s="17" t="s">
        <v>861</v>
      </c>
      <c r="C48" s="8" t="s">
        <v>963</v>
      </c>
      <c r="D48" s="8" t="s">
        <v>898</v>
      </c>
      <c r="E48" s="8" t="s">
        <v>899</v>
      </c>
      <c r="F48" s="8" t="s">
        <v>900</v>
      </c>
      <c r="G48" s="7" t="s">
        <v>192</v>
      </c>
      <c r="H48" s="7" t="s">
        <v>193</v>
      </c>
    </row>
    <row r="49" spans="1:8">
      <c r="A49" t="s">
        <v>964</v>
      </c>
      <c r="B49" s="9" t="s">
        <v>965</v>
      </c>
      <c r="C49" s="66">
        <f>$C$8*C27/$C$15</f>
        <v>8817176.2867860422</v>
      </c>
      <c r="D49" s="66">
        <f>$C$8*D27/$C$15</f>
        <v>9977331.0613631532</v>
      </c>
      <c r="E49" s="66">
        <f>$C$8*E27/$C$15</f>
        <v>0</v>
      </c>
      <c r="F49" s="66">
        <f>$C$8*F27/$C$15</f>
        <v>157781049.34248707</v>
      </c>
      <c r="G49" s="170"/>
      <c r="H49" t="s">
        <v>966</v>
      </c>
    </row>
    <row r="50" spans="1:8">
      <c r="A50" t="s">
        <v>936</v>
      </c>
      <c r="B50" s="9" t="s">
        <v>967</v>
      </c>
      <c r="C50" s="66">
        <f>38.21*(C27/$C$23)^1.053</f>
        <v>13266869.988846721</v>
      </c>
      <c r="D50" s="66">
        <f>38.21*(D27/$C$23)^1.053</f>
        <v>15111188.72999982</v>
      </c>
      <c r="E50" s="66">
        <f>38.21*(E27/$C$23)^1.053</f>
        <v>0</v>
      </c>
      <c r="F50" s="66">
        <f>38.21*(F27/$C$23)^1.053</f>
        <v>276622964.38148206</v>
      </c>
      <c r="G50" s="170"/>
    </row>
    <row r="51" spans="1:8">
      <c r="A51" t="s">
        <v>968</v>
      </c>
      <c r="B51" s="9" t="s">
        <v>969</v>
      </c>
      <c r="C51" s="66">
        <f>MIN(C49:C50)</f>
        <v>8817176.2867860422</v>
      </c>
      <c r="D51" s="66">
        <f>MIN(D49:D50)</f>
        <v>9977331.0613631532</v>
      </c>
      <c r="E51" s="66">
        <f>MIN(E49:E50)</f>
        <v>0</v>
      </c>
      <c r="F51" s="66">
        <f>MIN(F49:F50)</f>
        <v>157781049.34248707</v>
      </c>
      <c r="G51" s="170"/>
    </row>
    <row r="52" spans="1:8">
      <c r="A52" t="s">
        <v>942</v>
      </c>
      <c r="B52" s="9" t="s">
        <v>970</v>
      </c>
      <c r="C52" s="5">
        <f>C39</f>
        <v>0.3</v>
      </c>
      <c r="D52" s="5">
        <v>0.4</v>
      </c>
      <c r="E52" s="5">
        <v>0.4</v>
      </c>
      <c r="F52" s="5">
        <v>0.4</v>
      </c>
      <c r="G52" s="170"/>
    </row>
    <row r="53" spans="1:8">
      <c r="A53" t="s">
        <v>945</v>
      </c>
      <c r="B53" s="9" t="s">
        <v>970</v>
      </c>
      <c r="C53" s="5">
        <f t="shared" ref="C53:F53" si="4">C40</f>
        <v>0.4</v>
      </c>
      <c r="D53" s="5">
        <f t="shared" si="4"/>
        <v>0.4</v>
      </c>
      <c r="E53" s="5">
        <f t="shared" si="4"/>
        <v>0.4</v>
      </c>
      <c r="F53" s="5">
        <f t="shared" si="4"/>
        <v>0.4</v>
      </c>
      <c r="G53" s="170"/>
    </row>
    <row r="54" spans="1:8">
      <c r="A54" t="s">
        <v>946</v>
      </c>
      <c r="B54" s="9" t="s">
        <v>971</v>
      </c>
      <c r="C54" s="66">
        <f>36.9*C52^0.625*(1/C$51)^0.375</f>
        <v>4.3224360720715956E-2</v>
      </c>
      <c r="D54" s="66">
        <f>36.9*D52^0.625*(1/D$51)^0.375</f>
        <v>4.9395054294294076E-2</v>
      </c>
      <c r="E54" s="66"/>
      <c r="F54" s="66">
        <f>36.9*F52^0.625*(1/F$51)^0.375</f>
        <v>1.7540553585327485E-2</v>
      </c>
      <c r="G54" s="170"/>
    </row>
    <row r="55" spans="1:8">
      <c r="A55" t="s">
        <v>972</v>
      </c>
      <c r="B55" s="9" t="s">
        <v>971</v>
      </c>
      <c r="C55" s="66">
        <f>36.9*C53^0.625*(1/C$51)^0.375</f>
        <v>5.173867342470647E-2</v>
      </c>
      <c r="D55" s="66">
        <f>36.9*D53^0.625*(1/D$51)^0.375</f>
        <v>4.9395054294294076E-2</v>
      </c>
      <c r="E55" s="66"/>
      <c r="F55" s="66">
        <f>36.9*F53^0.625*(1/F$51)^0.375</f>
        <v>1.7540553585327485E-2</v>
      </c>
      <c r="G55" s="170"/>
    </row>
    <row r="56" spans="1:8">
      <c r="A56" t="s">
        <v>973</v>
      </c>
      <c r="B56" s="9" t="s">
        <v>974</v>
      </c>
      <c r="C56" s="66">
        <f>(0.074/C$51^0.2)*(1-(C52-C54))^0.8</f>
        <v>2.3826582985467448E-3</v>
      </c>
      <c r="D56" s="66">
        <f>(0.074/D$51^0.2)*(1-(D52-D54))^0.8</f>
        <v>2.0865847287978695E-3</v>
      </c>
      <c r="E56" s="66"/>
      <c r="F56" s="66">
        <f>(0.074/F$51^0.2)*(1-(F52-F54))^0.8</f>
        <v>1.1538600523030053E-3</v>
      </c>
      <c r="G56" s="170"/>
    </row>
    <row r="57" spans="1:8">
      <c r="A57" t="s">
        <v>975</v>
      </c>
      <c r="B57" s="9" t="s">
        <v>976</v>
      </c>
      <c r="C57" s="66">
        <f>(0.074/C$51^0.2)*(1-(C53-C55))^0.8</f>
        <v>2.1449867251347632E-3</v>
      </c>
      <c r="D57" s="66">
        <f>(0.074/D$51^0.2)*(1-(D53-D55))^0.8</f>
        <v>2.0865847287978695E-3</v>
      </c>
      <c r="E57" s="66"/>
      <c r="F57" s="66">
        <f>(0.074/F$51^0.2)*(1-(F53-F55))^0.8</f>
        <v>1.1538600523030053E-3</v>
      </c>
      <c r="G57" s="170"/>
    </row>
    <row r="58" spans="1:8">
      <c r="A58" t="s">
        <v>955</v>
      </c>
      <c r="B58" s="9" t="s">
        <v>977</v>
      </c>
      <c r="C58" s="66">
        <f>AVERAGE(C56:C57)</f>
        <v>2.2638225118407542E-3</v>
      </c>
      <c r="D58" s="66">
        <f>AVERAGE(D56:D57)</f>
        <v>2.0865847287978695E-3</v>
      </c>
      <c r="E58" s="66"/>
      <c r="F58" s="66">
        <f>AVERAGE(F56:F57)</f>
        <v>1.1538600523030053E-3</v>
      </c>
      <c r="G58" s="170"/>
    </row>
    <row r="59" spans="1:8">
      <c r="G59" s="170"/>
    </row>
    <row r="60" spans="1:8">
      <c r="G60" s="170"/>
    </row>
    <row r="61" spans="1:8">
      <c r="A61" s="309" t="s">
        <v>978</v>
      </c>
      <c r="B61" s="309"/>
      <c r="C61" s="12" t="s">
        <v>979</v>
      </c>
      <c r="D61" s="12" t="s">
        <v>898</v>
      </c>
      <c r="E61" s="12" t="s">
        <v>899</v>
      </c>
      <c r="F61" s="12" t="s">
        <v>980</v>
      </c>
      <c r="G61" s="170"/>
    </row>
    <row r="62" spans="1:8">
      <c r="A62" t="s">
        <v>981</v>
      </c>
      <c r="B62" s="9" t="s">
        <v>923</v>
      </c>
      <c r="C62" s="65">
        <f>C29</f>
        <v>1018.8540000000002</v>
      </c>
      <c r="D62" s="65">
        <f>D29</f>
        <v>445.73183058875213</v>
      </c>
      <c r="E62" s="65">
        <f>E29</f>
        <v>0</v>
      </c>
      <c r="F62" s="65">
        <f>F29</f>
        <v>549.5101284139937</v>
      </c>
      <c r="G62" s="170"/>
    </row>
    <row r="63" spans="1:8">
      <c r="A63" t="s">
        <v>982</v>
      </c>
      <c r="B63" s="9" t="s">
        <v>983</v>
      </c>
      <c r="C63" s="66">
        <f>AVERAGE(C45,C58)</f>
        <v>2.0491464933018975E-3</v>
      </c>
      <c r="D63" s="66">
        <f>AVERAGE(D45,D58)</f>
        <v>1.9586215537873135E-3</v>
      </c>
      <c r="E63" s="66"/>
      <c r="F63" s="66">
        <f>AVERAGE(F45,F58)</f>
        <v>1.116858038170857E-3</v>
      </c>
      <c r="G63" s="171"/>
    </row>
    <row r="64" spans="1:8">
      <c r="A64" t="s">
        <v>984</v>
      </c>
      <c r="B64" s="9" t="s">
        <v>985</v>
      </c>
      <c r="C64" s="66">
        <f>C63*C62/C19</f>
        <v>4.3851734956660612E-3</v>
      </c>
      <c r="D64" s="66">
        <f>D63*D62/D19</f>
        <v>4.0347604008018657E-3</v>
      </c>
      <c r="E64" s="66"/>
      <c r="F64" s="66">
        <f>F63*F62/F19</f>
        <v>1.2734765405877937E-2</v>
      </c>
      <c r="G64" s="170"/>
    </row>
    <row r="65" spans="1:8">
      <c r="A65" t="s">
        <v>986</v>
      </c>
      <c r="B65" s="9" t="s">
        <v>987</v>
      </c>
      <c r="C65" s="116">
        <f>0.5*$C$12*$C$8^2*C63*C62</f>
        <v>441.97110106098756</v>
      </c>
      <c r="D65" s="116">
        <f>0.5*$C$12*$C$8^2*D63*D62</f>
        <v>184.81324379103765</v>
      </c>
      <c r="E65" s="116"/>
      <c r="F65" s="116">
        <f>0.5*$C$12*$C$8^2*F63*F62</f>
        <v>129.92196700809174</v>
      </c>
      <c r="G65" s="170" t="s">
        <v>14</v>
      </c>
      <c r="H65" t="s">
        <v>988</v>
      </c>
    </row>
    <row r="66" spans="1:8">
      <c r="A66" t="s">
        <v>989</v>
      </c>
      <c r="B66" s="9" t="s">
        <v>987</v>
      </c>
      <c r="C66" s="116">
        <f>0.5*$C$12*$C$8^2*C64*C19</f>
        <v>441.97110106098751</v>
      </c>
      <c r="D66" s="116">
        <f>0.5*$C$12*$C$8^2*D64*D19</f>
        <v>184.81324379103765</v>
      </c>
      <c r="E66" s="116"/>
      <c r="F66" s="116">
        <f>0.5*$C$12*$C$8^2*F64*F19</f>
        <v>129.92196700809174</v>
      </c>
      <c r="G66" s="170" t="s">
        <v>14</v>
      </c>
      <c r="H66" t="s">
        <v>990</v>
      </c>
    </row>
    <row r="67" spans="1:8">
      <c r="G67" s="170"/>
    </row>
    <row r="68" spans="1:8">
      <c r="A68" t="s">
        <v>991</v>
      </c>
      <c r="B68" s="9" t="s">
        <v>992</v>
      </c>
      <c r="C68" s="66">
        <f>SUM(C64:F64)</f>
        <v>2.1154699302345863E-2</v>
      </c>
      <c r="G68" s="170"/>
    </row>
    <row r="69" spans="1:8">
      <c r="A69" t="s">
        <v>993</v>
      </c>
      <c r="B69" s="9" t="s">
        <v>994</v>
      </c>
      <c r="C69" s="65">
        <f>SUM(C66:F66)</f>
        <v>756.7063118601169</v>
      </c>
      <c r="G69" s="170" t="s">
        <v>324</v>
      </c>
    </row>
    <row r="70" spans="1:8">
      <c r="G70" s="170"/>
    </row>
    <row r="71" spans="1:8">
      <c r="G71" s="170"/>
    </row>
    <row r="72" spans="1:8">
      <c r="A72" s="309" t="s">
        <v>995</v>
      </c>
      <c r="B72" s="309"/>
      <c r="C72" s="12" t="s">
        <v>979</v>
      </c>
      <c r="D72" s="12" t="s">
        <v>898</v>
      </c>
      <c r="E72" s="12" t="s">
        <v>899</v>
      </c>
      <c r="F72" s="12" t="s">
        <v>980</v>
      </c>
      <c r="G72" s="170"/>
    </row>
    <row r="73" spans="1:8">
      <c r="A73" t="s">
        <v>996</v>
      </c>
      <c r="B73" s="9" t="s">
        <v>997</v>
      </c>
      <c r="C73" s="5">
        <v>0.309</v>
      </c>
      <c r="D73" s="5">
        <v>0.309</v>
      </c>
      <c r="E73" s="5">
        <v>0.309</v>
      </c>
      <c r="F73" s="5">
        <f>15/52</f>
        <v>0.28846153846153844</v>
      </c>
      <c r="G73" s="170"/>
    </row>
    <row r="74" spans="1:8">
      <c r="A74" t="s">
        <v>998</v>
      </c>
      <c r="B74" s="9" t="s">
        <v>999</v>
      </c>
      <c r="C74" s="5">
        <v>0.15</v>
      </c>
      <c r="D74" s="5">
        <v>0.09</v>
      </c>
      <c r="E74" s="5">
        <v>0.09</v>
      </c>
      <c r="F74" s="5">
        <f>F24/52</f>
        <v>0.15064096153846154</v>
      </c>
      <c r="G74" s="170"/>
    </row>
    <row r="75" spans="1:8">
      <c r="A75" t="s">
        <v>1000</v>
      </c>
      <c r="B75" s="10" t="s">
        <v>1001</v>
      </c>
      <c r="C75" s="63">
        <f>General!C33</f>
        <v>0.17413833337751999</v>
      </c>
      <c r="D75" s="63">
        <f>General!C52</f>
        <v>0.52336267330928932</v>
      </c>
      <c r="E75" s="63">
        <f>General!C52</f>
        <v>0.52336267330928932</v>
      </c>
      <c r="F75" s="5">
        <f>PI()</f>
        <v>3.1415926535897931</v>
      </c>
      <c r="G75" s="170" t="s">
        <v>56</v>
      </c>
    </row>
    <row r="76" spans="1:8">
      <c r="B76" s="10" t="s">
        <v>1001</v>
      </c>
      <c r="C76" s="63">
        <f>C75*180/PI()</f>
        <v>9.9773915539740088</v>
      </c>
      <c r="D76" s="63">
        <f>DEGREES(D75)</f>
        <v>29.986472335306374</v>
      </c>
      <c r="E76" s="63">
        <f>DEGREES(E75)</f>
        <v>29.986472335306374</v>
      </c>
      <c r="F76" s="5">
        <v>180</v>
      </c>
      <c r="G76" s="175" t="s">
        <v>59</v>
      </c>
    </row>
    <row r="77" spans="1:8">
      <c r="A77" t="s">
        <v>1002</v>
      </c>
      <c r="B77" s="9" t="s">
        <v>1003</v>
      </c>
      <c r="C77" s="16"/>
      <c r="D77" s="16"/>
      <c r="E77" s="16"/>
      <c r="F77" s="47">
        <f>General!C79</f>
        <v>68</v>
      </c>
      <c r="G77" s="170" t="s">
        <v>66</v>
      </c>
    </row>
    <row r="78" spans="1:8">
      <c r="A78" t="s">
        <v>1004</v>
      </c>
      <c r="B78" s="9" t="s">
        <v>1005</v>
      </c>
      <c r="C78" s="16"/>
      <c r="D78" s="16"/>
      <c r="E78" s="16"/>
      <c r="F78" s="6">
        <f>General!C78</f>
        <v>7.8333300000000001</v>
      </c>
      <c r="G78" s="170" t="s">
        <v>462</v>
      </c>
    </row>
    <row r="79" spans="1:8">
      <c r="A79" t="s">
        <v>1006</v>
      </c>
      <c r="B79" s="9" t="s">
        <v>1007</v>
      </c>
      <c r="C79" s="16"/>
      <c r="D79" s="16"/>
      <c r="E79" s="16"/>
      <c r="F79" s="6">
        <f>F77/F78</f>
        <v>8.6808547578105344</v>
      </c>
      <c r="G79" s="170"/>
    </row>
    <row r="80" spans="1:8">
      <c r="A80" t="s">
        <v>1008</v>
      </c>
      <c r="B80" s="9" t="s">
        <v>1009</v>
      </c>
      <c r="C80" s="47">
        <f>(1+(0.6/C73)*C74+100*(C74^4))*1.34*$C9^0.18*COS(RADIANS(C75))^0.28</f>
        <v>1.5889821678001697</v>
      </c>
      <c r="D80" s="47">
        <f>(1+(0.6/D73)*D74+100*(D74^4))*1.34*$C9^0.18*COS(RADIANS(D75))^0.28</f>
        <v>1.3988316410363433</v>
      </c>
      <c r="E80" s="47">
        <f>(1+(0.6/E73)*E74+100*(E74^4))*1.34*$C9^0.18*COS(RADIANS(E75))^0.28</f>
        <v>1.3988316410363433</v>
      </c>
      <c r="F80" s="47">
        <f>1+60/F79^3+F79/400</f>
        <v>1.1134220808110844</v>
      </c>
      <c r="G80" s="170"/>
    </row>
    <row r="81" spans="1:21">
      <c r="A81" t="s">
        <v>1010</v>
      </c>
      <c r="B81" s="9" t="s">
        <v>1011</v>
      </c>
      <c r="C81" s="63">
        <v>1.1000000000000001</v>
      </c>
      <c r="D81" s="63">
        <v>1.03</v>
      </c>
      <c r="E81" s="63">
        <v>1.03</v>
      </c>
      <c r="F81" s="63">
        <v>1</v>
      </c>
      <c r="G81" s="170"/>
    </row>
    <row r="82" spans="1:21">
      <c r="A82" t="s">
        <v>1012</v>
      </c>
      <c r="B82" s="9" t="s">
        <v>923</v>
      </c>
      <c r="C82" s="65">
        <f>C29</f>
        <v>1018.8540000000002</v>
      </c>
      <c r="D82" s="65">
        <f>D29</f>
        <v>445.73183058875213</v>
      </c>
      <c r="E82" s="65">
        <f>E29</f>
        <v>0</v>
      </c>
      <c r="F82" s="65">
        <f>F29</f>
        <v>549.5101284139937</v>
      </c>
      <c r="G82" s="170"/>
    </row>
    <row r="83" spans="1:21">
      <c r="A83" t="s">
        <v>1013</v>
      </c>
      <c r="B83" s="9" t="s">
        <v>1014</v>
      </c>
      <c r="C83" s="65">
        <f>C63*C82*C81*C80</f>
        <v>3.6491916342360886</v>
      </c>
      <c r="D83" s="65">
        <f>D63*D82*D81*D80</f>
        <v>1.2578441968761509</v>
      </c>
      <c r="E83" s="65">
        <f>E63*E82*E81*E80</f>
        <v>0</v>
      </c>
      <c r="F83" s="65">
        <f>F63*F82*F81*F80</f>
        <v>0.68333474828774121</v>
      </c>
      <c r="G83" s="170"/>
    </row>
    <row r="84" spans="1:21">
      <c r="A84" t="s">
        <v>1015</v>
      </c>
      <c r="B84" s="9" t="s">
        <v>1016</v>
      </c>
      <c r="C84" s="66">
        <f>(1/C31)*SUM(C83:F83)</f>
        <v>7.5477461784087766E-3</v>
      </c>
      <c r="D84" s="98"/>
      <c r="E84" s="98"/>
      <c r="F84" s="98"/>
      <c r="G84" s="170"/>
    </row>
    <row r="86" spans="1:21">
      <c r="A86" s="7" t="s">
        <v>860</v>
      </c>
      <c r="B86" s="17" t="s">
        <v>861</v>
      </c>
      <c r="C86" s="7" t="s">
        <v>191</v>
      </c>
      <c r="D86" s="7" t="s">
        <v>862</v>
      </c>
      <c r="E86" s="7" t="s">
        <v>193</v>
      </c>
    </row>
    <row r="87" spans="1:21">
      <c r="A87" s="7" t="s">
        <v>1020</v>
      </c>
      <c r="B87" s="17" t="s">
        <v>434</v>
      </c>
      <c r="C87" s="145">
        <f>Lift!C48^2/(PI()*Lift!C23*General!C24)</f>
        <v>2.1221123471253283E-3</v>
      </c>
      <c r="D87" s="170"/>
      <c r="E87" t="s">
        <v>1021</v>
      </c>
      <c r="F87" t="s">
        <v>1022</v>
      </c>
    </row>
    <row r="88" spans="1:21">
      <c r="A88" s="22" t="s">
        <v>1023</v>
      </c>
      <c r="B88" s="114" t="s">
        <v>1024</v>
      </c>
      <c r="C88" s="152">
        <v>2E-3</v>
      </c>
      <c r="D88" s="170"/>
      <c r="E88" t="s">
        <v>1025</v>
      </c>
    </row>
    <row r="89" spans="1:21">
      <c r="A89" t="s">
        <v>1026</v>
      </c>
      <c r="B89" s="9" t="s">
        <v>1027</v>
      </c>
      <c r="C89" s="5">
        <f>0.002+0.002</f>
        <v>4.0000000000000001E-3</v>
      </c>
      <c r="D89" s="170"/>
      <c r="E89" t="s">
        <v>1028</v>
      </c>
    </row>
    <row r="90" spans="1:21">
      <c r="A90" t="s">
        <v>1029</v>
      </c>
      <c r="B90" s="9" t="s">
        <v>1030</v>
      </c>
      <c r="C90" s="5">
        <f>0.002</f>
        <v>2E-3</v>
      </c>
      <c r="D90" s="170"/>
      <c r="E90" t="s">
        <v>1028</v>
      </c>
    </row>
    <row r="91" spans="1:21">
      <c r="A91" t="s">
        <v>1035</v>
      </c>
      <c r="B91" s="9" t="s">
        <v>1036</v>
      </c>
      <c r="C91" s="118">
        <v>0.25</v>
      </c>
      <c r="D91" s="170"/>
      <c r="E91" t="s">
        <v>1028</v>
      </c>
      <c r="M91" s="31"/>
    </row>
    <row r="92" spans="1:21">
      <c r="A92" s="7" t="s">
        <v>1037</v>
      </c>
      <c r="B92" s="17" t="s">
        <v>1038</v>
      </c>
      <c r="C92" s="303">
        <f>SUM(C89:C90)*(1+C91)+C84</f>
        <v>1.5047746178408776E-2</v>
      </c>
      <c r="D92" s="170"/>
      <c r="E92" s="117" t="s">
        <v>1039</v>
      </c>
      <c r="M92" s="31"/>
      <c r="O92" s="117"/>
      <c r="P92" s="117"/>
      <c r="Q92" s="117"/>
      <c r="R92" s="117"/>
      <c r="S92" s="117"/>
      <c r="T92" s="117"/>
      <c r="U92" s="117"/>
    </row>
    <row r="93" spans="1:21">
      <c r="A93" s="7"/>
      <c r="B93" s="17"/>
      <c r="C93" s="153"/>
      <c r="D93" s="170"/>
      <c r="E93" s="117"/>
      <c r="M93" s="31"/>
      <c r="O93" s="117"/>
      <c r="P93" s="117"/>
      <c r="Q93" s="117"/>
      <c r="R93" s="117"/>
      <c r="S93" s="117"/>
      <c r="T93" s="117"/>
      <c r="U93" s="117"/>
    </row>
    <row r="94" spans="1:21">
      <c r="A94" s="309" t="s">
        <v>1040</v>
      </c>
      <c r="B94" s="309"/>
      <c r="C94" s="309"/>
      <c r="D94" s="309"/>
      <c r="E94" s="309"/>
      <c r="F94" s="309"/>
      <c r="M94" s="31"/>
      <c r="O94" s="117"/>
      <c r="P94" s="117"/>
      <c r="Q94" s="117"/>
      <c r="R94" s="117"/>
      <c r="S94" s="117"/>
      <c r="T94" s="117"/>
      <c r="U94" s="117"/>
    </row>
    <row r="95" spans="1:21">
      <c r="A95" s="7" t="s">
        <v>1041</v>
      </c>
      <c r="B95" s="17" t="s">
        <v>437</v>
      </c>
      <c r="C95" s="303">
        <f>C92+C87+C88</f>
        <v>1.9169858525534107E-2</v>
      </c>
      <c r="D95" s="170"/>
      <c r="E95" t="s">
        <v>1042</v>
      </c>
      <c r="M95" s="31"/>
      <c r="O95" s="117"/>
      <c r="P95" s="117"/>
      <c r="Q95" s="117"/>
      <c r="R95" s="117"/>
      <c r="S95" s="117"/>
      <c r="T95" s="117"/>
      <c r="U95" s="117"/>
    </row>
    <row r="96" spans="1:21">
      <c r="A96" s="7" t="s">
        <v>1043</v>
      </c>
      <c r="B96" s="17" t="s">
        <v>1044</v>
      </c>
      <c r="C96" s="168">
        <f>C95*10^4</f>
        <v>191.69858525534107</v>
      </c>
      <c r="D96" s="170"/>
      <c r="E96" t="s">
        <v>1045</v>
      </c>
      <c r="M96" s="31"/>
      <c r="O96" s="117"/>
      <c r="P96" s="117"/>
      <c r="Q96" s="117"/>
      <c r="R96" s="117"/>
      <c r="S96" s="117"/>
      <c r="T96" s="117"/>
      <c r="U96" s="117"/>
    </row>
    <row r="97" spans="1:24">
      <c r="A97" t="s">
        <v>317</v>
      </c>
      <c r="B97" s="9" t="s">
        <v>439</v>
      </c>
      <c r="C97" s="67">
        <f>Drag!C12</f>
        <v>1.4963533775013247E-3</v>
      </c>
      <c r="D97" s="170" t="s">
        <v>201</v>
      </c>
      <c r="M97" s="31"/>
      <c r="O97" s="117"/>
      <c r="P97" s="117"/>
      <c r="Q97" s="117"/>
      <c r="R97" s="117"/>
      <c r="S97" s="117"/>
      <c r="T97" s="117"/>
      <c r="U97" s="117"/>
      <c r="V97" s="117"/>
      <c r="W97" s="117"/>
      <c r="X97" s="117"/>
    </row>
    <row r="98" spans="1:24">
      <c r="A98" t="s">
        <v>440</v>
      </c>
      <c r="B98" s="9" t="s">
        <v>441</v>
      </c>
      <c r="C98" s="65">
        <f>C8</f>
        <v>531.92740930825562</v>
      </c>
      <c r="D98" s="170" t="s">
        <v>183</v>
      </c>
      <c r="E98" s="69"/>
      <c r="M98" s="31"/>
    </row>
    <row r="99" spans="1:24">
      <c r="A99" s="7" t="s">
        <v>442</v>
      </c>
      <c r="B99" s="17" t="s">
        <v>412</v>
      </c>
      <c r="C99" s="130">
        <f>0.5*C97*C98^2*C95*C19</f>
        <v>1932.0839843821918</v>
      </c>
      <c r="D99" s="174" t="s">
        <v>14</v>
      </c>
      <c r="E99" s="69"/>
      <c r="M99" s="31"/>
    </row>
    <row r="100" spans="1:24">
      <c r="A100" s="7" t="s">
        <v>1046</v>
      </c>
      <c r="B100" s="17" t="s">
        <v>414</v>
      </c>
      <c r="C100" s="79">
        <f>Lift!C42/C99</f>
        <v>11.715972594990468</v>
      </c>
      <c r="D100" s="174"/>
      <c r="E100" s="7"/>
      <c r="F100" s="7"/>
      <c r="M100" s="31"/>
    </row>
    <row r="101" spans="1:24">
      <c r="M101" s="31"/>
    </row>
    <row r="102" spans="1:24">
      <c r="A102" s="309" t="s">
        <v>1047</v>
      </c>
      <c r="B102" s="309"/>
      <c r="C102" s="309"/>
      <c r="D102" s="309"/>
      <c r="E102" s="309"/>
      <c r="F102" s="309"/>
      <c r="M102" s="31"/>
    </row>
    <row r="103" spans="1:24">
      <c r="A103" t="s">
        <v>1048</v>
      </c>
      <c r="B103" s="9" t="s">
        <v>1049</v>
      </c>
      <c r="C103" s="64">
        <f>Lift!C151^2/(PI()*Lift!C23*General!C24)</f>
        <v>4.1544547470107086E-2</v>
      </c>
      <c r="D103" s="170"/>
      <c r="M103" s="31"/>
    </row>
    <row r="104" spans="1:24">
      <c r="A104" t="s">
        <v>1098</v>
      </c>
      <c r="C104" s="63">
        <v>1</v>
      </c>
      <c r="D104" s="170"/>
      <c r="E104" t="s">
        <v>1099</v>
      </c>
      <c r="M104" s="31"/>
    </row>
    <row r="105" spans="1:24">
      <c r="A105" t="s">
        <v>1100</v>
      </c>
      <c r="C105" s="63">
        <v>0.1</v>
      </c>
      <c r="D105" s="170"/>
      <c r="E105" t="s">
        <v>1101</v>
      </c>
      <c r="M105" s="31"/>
    </row>
    <row r="106" spans="1:24">
      <c r="A106" t="s">
        <v>1102</v>
      </c>
      <c r="B106" s="9" t="s">
        <v>1103</v>
      </c>
      <c r="C106" s="201">
        <f>AVERAGE(0.05,0.1)</f>
        <v>7.5000000000000011E-2</v>
      </c>
      <c r="D106" s="170"/>
      <c r="E106" t="s">
        <v>1104</v>
      </c>
      <c r="M106" s="31"/>
    </row>
    <row r="107" spans="1:24">
      <c r="A107" t="s">
        <v>1050</v>
      </c>
      <c r="B107" s="9" t="s">
        <v>1105</v>
      </c>
      <c r="C107" s="75">
        <f>C103+C92+C88+C106</f>
        <v>0.13359229364851588</v>
      </c>
      <c r="D107" s="174"/>
      <c r="M107" s="31"/>
    </row>
    <row r="108" spans="1:24">
      <c r="A108" t="s">
        <v>1051</v>
      </c>
      <c r="B108" s="9" t="s">
        <v>1052</v>
      </c>
      <c r="C108" s="75">
        <f>'Performance T_O'!C27</f>
        <v>165.36929623971309</v>
      </c>
      <c r="D108" s="170" t="s">
        <v>183</v>
      </c>
      <c r="M108" s="31"/>
    </row>
    <row r="109" spans="1:24">
      <c r="A109" t="s">
        <v>1053</v>
      </c>
      <c r="B109" s="9" t="s">
        <v>885</v>
      </c>
      <c r="C109" s="100">
        <f>0.002378</f>
        <v>2.3779999999999999E-3</v>
      </c>
      <c r="D109" s="170" t="s">
        <v>319</v>
      </c>
    </row>
    <row r="110" spans="1:24">
      <c r="A110" s="7" t="s">
        <v>1106</v>
      </c>
      <c r="B110" s="17" t="s">
        <v>412</v>
      </c>
      <c r="C110" s="213">
        <f>0.5*C109*C108^2*C107*C19</f>
        <v>2068.0984007759125</v>
      </c>
      <c r="D110" s="174" t="s">
        <v>14</v>
      </c>
      <c r="E110" s="7"/>
      <c r="F110" s="7"/>
      <c r="K110" s="309" t="s">
        <v>1107</v>
      </c>
      <c r="L110" s="309"/>
      <c r="M110" s="309"/>
      <c r="N110" s="309"/>
      <c r="O110" s="309"/>
      <c r="P110" s="309"/>
      <c r="Q110" s="309"/>
      <c r="R110" s="309"/>
      <c r="S110" s="309"/>
      <c r="T110" s="309"/>
    </row>
    <row r="111" spans="1:24">
      <c r="A111" s="112"/>
      <c r="P111" s="241" t="s">
        <v>827</v>
      </c>
      <c r="R111" s="241" t="s">
        <v>827</v>
      </c>
      <c r="T111" s="241" t="s">
        <v>827</v>
      </c>
    </row>
    <row r="112" spans="1:24">
      <c r="C112" s="69"/>
      <c r="K112" s="240" t="s">
        <v>1055</v>
      </c>
      <c r="L112" s="240" t="s">
        <v>1056</v>
      </c>
      <c r="M112" s="240" t="s">
        <v>568</v>
      </c>
      <c r="N112" s="240" t="s">
        <v>829</v>
      </c>
      <c r="O112" s="240" t="s">
        <v>569</v>
      </c>
      <c r="P112" s="242" t="s">
        <v>569</v>
      </c>
      <c r="Q112" s="240" t="s">
        <v>312</v>
      </c>
      <c r="R112" s="242" t="s">
        <v>312</v>
      </c>
      <c r="S112" s="240" t="s">
        <v>568</v>
      </c>
      <c r="T112" s="242" t="s">
        <v>568</v>
      </c>
    </row>
    <row r="113" spans="3:22">
      <c r="K113">
        <v>0.22500000000000001</v>
      </c>
      <c r="M113" s="117">
        <f t="shared" ref="M113:M139" si="5">$C$92+C$88+$L$116*(Q113-$K$116)^2</f>
        <v>0.21764171904330265</v>
      </c>
      <c r="N113">
        <v>17</v>
      </c>
      <c r="O113" s="117">
        <f t="shared" ref="O113:O139" si="6">Q113/S113</f>
        <v>9.2244310178526607</v>
      </c>
      <c r="P113" s="117">
        <v>12.98686</v>
      </c>
      <c r="Q113" s="99">
        <f>'Performance Analysis'!J$66+'Performance Analysis'!J$67*RADIANS(Drag!N113)</f>
        <v>2.4085945854788138</v>
      </c>
      <c r="R113">
        <v>1.307272</v>
      </c>
      <c r="S113" s="117">
        <f>C$92+C$88+Q113^2/(PI()*C$20*'Performance Analysis'!J$70)</f>
        <v>0.26111036884739003</v>
      </c>
      <c r="T113" s="117">
        <f t="shared" ref="T113:T139" si="7">R113/P113</f>
        <v>0.1006611297881089</v>
      </c>
    </row>
    <row r="114" spans="3:22">
      <c r="C114" s="304"/>
      <c r="D114" s="305"/>
      <c r="K114">
        <v>0.22500000000000001</v>
      </c>
      <c r="M114" s="117">
        <f t="shared" si="5"/>
        <v>0.19641618352590801</v>
      </c>
      <c r="N114">
        <v>16</v>
      </c>
      <c r="O114" s="117">
        <f t="shared" si="6"/>
        <v>9.6358831576462212</v>
      </c>
      <c r="P114" s="117">
        <v>13.57788</v>
      </c>
      <c r="Q114" s="99">
        <f>'Performance Analysis'!J$66+'Performance Analysis'!J$67*RADIANS(Drag!N114)</f>
        <v>2.289838461212546</v>
      </c>
      <c r="R114">
        <v>1.2422040000000001</v>
      </c>
      <c r="S114" s="117">
        <f>C$92+C$88+Q114^2/(PI()*C$20*'Performance Analysis'!J$70)</f>
        <v>0.23763659477289573</v>
      </c>
      <c r="T114" s="117">
        <f t="shared" si="7"/>
        <v>9.1487330864612151E-2</v>
      </c>
    </row>
    <row r="115" spans="3:22">
      <c r="C115" s="304"/>
      <c r="D115" s="305"/>
      <c r="K115">
        <v>0.22500000000000001</v>
      </c>
      <c r="M115" s="117">
        <f t="shared" si="5"/>
        <v>0.17637727955281163</v>
      </c>
      <c r="N115">
        <v>15</v>
      </c>
      <c r="O115" s="117">
        <f t="shared" si="6"/>
        <v>10.081671043673976</v>
      </c>
      <c r="P115" s="117">
        <v>14.23099</v>
      </c>
      <c r="Q115" s="99">
        <f>'Performance Analysis'!J$66+'Performance Analysis'!J$67*RADIANS(Drag!N115)</f>
        <v>2.1710823369462777</v>
      </c>
      <c r="R115">
        <v>1.176296</v>
      </c>
      <c r="S115" s="117">
        <f>C$92+C$88+Q115^2/(PI()*C$20*'Performance Analysis'!J$70)</f>
        <v>0.21534945224269975</v>
      </c>
      <c r="T115" s="117">
        <f t="shared" si="7"/>
        <v>8.2657355531835799E-2</v>
      </c>
    </row>
    <row r="116" spans="3:22">
      <c r="C116" s="304"/>
      <c r="D116" s="305"/>
      <c r="K116">
        <v>0.22500000000000001</v>
      </c>
      <c r="L116">
        <f>1/(PI()*C20*Lift!C23)</f>
        <v>4.2070130810614975E-2</v>
      </c>
      <c r="M116" s="117">
        <f t="shared" si="5"/>
        <v>0.15752500712401368</v>
      </c>
      <c r="N116">
        <v>14</v>
      </c>
      <c r="O116" s="117">
        <f t="shared" si="6"/>
        <v>10.56544349431887</v>
      </c>
      <c r="P116" s="117">
        <v>14.9468</v>
      </c>
      <c r="Q116" s="99">
        <f>'Performance Analysis'!J$66+'Performance Analysis'!J$67*RADIANS(Drag!N116)</f>
        <v>2.0523262126800099</v>
      </c>
      <c r="R116">
        <v>1.109586</v>
      </c>
      <c r="S116" s="117">
        <f>C$92+C$88+Q116^2/(PI()*C$20*'Performance Analysis'!J$70)</f>
        <v>0.19424894125680225</v>
      </c>
      <c r="T116" s="117">
        <f t="shared" si="7"/>
        <v>7.4235689244520564E-2</v>
      </c>
    </row>
    <row r="117" spans="3:22">
      <c r="C117" s="304"/>
      <c r="D117" s="305"/>
      <c r="K117">
        <v>0.22500000000000001</v>
      </c>
      <c r="M117" s="117">
        <f t="shared" si="5"/>
        <v>0.13985936623951417</v>
      </c>
      <c r="N117">
        <v>13</v>
      </c>
      <c r="O117" s="117">
        <f t="shared" si="6"/>
        <v>11.091114250232378</v>
      </c>
      <c r="P117" s="117">
        <v>15.741110000000001</v>
      </c>
      <c r="Q117" s="99">
        <f>'Performance Analysis'!J$66+'Performance Analysis'!J$67*RADIANS(Drag!N117)</f>
        <v>1.9335700884137421</v>
      </c>
      <c r="R117">
        <v>1.0421130000000001</v>
      </c>
      <c r="S117" s="117">
        <f>C$92+C$88+Q117^2/(PI()*C$20*'Performance Analysis'!J$70)</f>
        <v>0.17433506181520314</v>
      </c>
      <c r="T117" s="117">
        <f t="shared" si="7"/>
        <v>6.6203272831458521E-2</v>
      </c>
    </row>
    <row r="118" spans="3:22">
      <c r="C118" s="304"/>
      <c r="D118" s="305"/>
      <c r="K118">
        <v>0.22500000000000001</v>
      </c>
      <c r="M118" s="117">
        <f t="shared" si="5"/>
        <v>0.12338035689931294</v>
      </c>
      <c r="N118">
        <v>12</v>
      </c>
      <c r="O118" s="117">
        <f t="shared" si="6"/>
        <v>11.662743139010733</v>
      </c>
      <c r="P118" s="117">
        <v>16.624829999999999</v>
      </c>
      <c r="Q118" s="99">
        <f>'Performance Analysis'!J$66+'Performance Analysis'!J$67*RADIANS(Drag!N118)</f>
        <v>1.8148139641474739</v>
      </c>
      <c r="R118">
        <v>0.97392080000000003</v>
      </c>
      <c r="S118" s="117">
        <f>C$92+C$88+Q118^2/(PI()*C$20*'Performance Analysis'!J$70)</f>
        <v>0.15560781391790229</v>
      </c>
      <c r="T118" s="117">
        <f t="shared" si="7"/>
        <v>5.8582301292704954E-2</v>
      </c>
    </row>
    <row r="119" spans="3:22">
      <c r="C119" s="304"/>
      <c r="D119" s="305"/>
      <c r="K119">
        <v>0.22500000000000001</v>
      </c>
      <c r="M119" s="117">
        <f t="shared" si="5"/>
        <v>0.10808797910341014</v>
      </c>
      <c r="N119">
        <v>11</v>
      </c>
      <c r="O119" s="117">
        <f t="shared" si="6"/>
        <v>12.284292502453065</v>
      </c>
      <c r="P119" s="117">
        <v>17.606490000000001</v>
      </c>
      <c r="Q119" s="99">
        <f>'Performance Analysis'!J$66+'Performance Analysis'!J$67*RADIANS(Drag!N119)</f>
        <v>1.6960578398812061</v>
      </c>
      <c r="R119">
        <v>0.90505060000000004</v>
      </c>
      <c r="S119" s="117">
        <f>C$92+C$88+Q119^2/(PI()*C$20*'Performance Analysis'!J$70)</f>
        <v>0.13806719756489991</v>
      </c>
      <c r="T119" s="117">
        <f t="shared" si="7"/>
        <v>5.140437418247476E-2</v>
      </c>
      <c r="V119">
        <v>1.64</v>
      </c>
    </row>
    <row r="120" spans="3:22">
      <c r="K120">
        <v>0.22500000000000001</v>
      </c>
      <c r="M120" s="117">
        <f t="shared" si="5"/>
        <v>9.3982232851805667E-2</v>
      </c>
      <c r="N120">
        <v>10</v>
      </c>
      <c r="O120" s="117">
        <f t="shared" si="6"/>
        <v>12.959165894128819</v>
      </c>
      <c r="P120" s="117">
        <v>18.700340000000001</v>
      </c>
      <c r="Q120" s="99">
        <f>'Performance Analysis'!J$66+'Performance Analysis'!J$67*RADIANS(Drag!N120)</f>
        <v>1.5773017156149378</v>
      </c>
      <c r="R120">
        <v>0.83554669999999998</v>
      </c>
      <c r="S120" s="117">
        <f>C$92+C$88+Q120^2/(PI()*C$20*'Performance Analysis'!J$70)</f>
        <v>0.12171321275619583</v>
      </c>
      <c r="T120" s="117">
        <f t="shared" si="7"/>
        <v>4.4680829332514806E-2</v>
      </c>
      <c r="V120">
        <v>1.64</v>
      </c>
    </row>
    <row r="121" spans="3:22">
      <c r="K121">
        <v>0.22500000000000001</v>
      </c>
      <c r="M121" s="117">
        <f t="shared" si="5"/>
        <v>8.106311814449961E-2</v>
      </c>
      <c r="N121">
        <v>9</v>
      </c>
      <c r="O121" s="117">
        <f t="shared" si="6"/>
        <v>13.689369050151189</v>
      </c>
      <c r="P121" s="117">
        <v>19.902740000000001</v>
      </c>
      <c r="Q121" s="99">
        <f>'Performance Analysis'!J$66+'Performance Analysis'!J$67*RADIANS(Drag!N121)</f>
        <v>1.45854559134867</v>
      </c>
      <c r="R121">
        <v>0.76545450000000004</v>
      </c>
      <c r="S121" s="117">
        <f>C$92+C$88+Q121^2/(PI()*C$20*'Performance Analysis'!J$70)</f>
        <v>0.1065458594917902</v>
      </c>
      <c r="T121" s="117">
        <f t="shared" si="7"/>
        <v>3.8459754787531768E-2</v>
      </c>
      <c r="V121">
        <v>1.64</v>
      </c>
    </row>
    <row r="122" spans="3:22">
      <c r="K122">
        <v>0.22500000000000001</v>
      </c>
      <c r="M122" s="117">
        <f t="shared" si="5"/>
        <v>6.9330634981491931E-2</v>
      </c>
      <c r="N122">
        <v>8</v>
      </c>
      <c r="O122" s="117">
        <f t="shared" si="6"/>
        <v>14.474017965457662</v>
      </c>
      <c r="P122" s="117">
        <v>21.209759999999999</v>
      </c>
      <c r="Q122" s="99">
        <f>'Performance Analysis'!J$66+'Performance Analysis'!J$67*RADIANS(Drag!N122)</f>
        <v>1.3397894670824022</v>
      </c>
      <c r="R122">
        <v>0.69482010000000005</v>
      </c>
      <c r="S122" s="117">
        <f>C$92+C$88+Q122^2/(PI()*C$20*'Performance Analysis'!J$70)</f>
        <v>9.2565137771682918E-2</v>
      </c>
      <c r="T122" s="117">
        <f t="shared" si="7"/>
        <v>3.2759451309208591E-2</v>
      </c>
      <c r="V122">
        <v>1.64</v>
      </c>
    </row>
    <row r="123" spans="3:22">
      <c r="K123">
        <v>0.22500000000000001</v>
      </c>
      <c r="M123" s="117">
        <f t="shared" si="5"/>
        <v>5.8784783362782637E-2</v>
      </c>
      <c r="N123">
        <v>7</v>
      </c>
      <c r="O123" s="117">
        <f t="shared" si="6"/>
        <v>15.306723173575191</v>
      </c>
      <c r="P123" s="117">
        <v>22.602879999999999</v>
      </c>
      <c r="Q123" s="99">
        <f>'Performance Analysis'!J$66+'Performance Analysis'!J$67*RADIANS(Drag!N123)</f>
        <v>1.2210333428161344</v>
      </c>
      <c r="R123">
        <v>0.623691</v>
      </c>
      <c r="S123" s="117">
        <f>C$92+C$88+Q123^2/(PI()*C$20*'Performance Analysis'!J$70)</f>
        <v>7.9771047595874015E-2</v>
      </c>
      <c r="T123" s="117">
        <f t="shared" si="7"/>
        <v>2.7593430571679362E-2</v>
      </c>
      <c r="V123">
        <v>1.64</v>
      </c>
    </row>
    <row r="124" spans="3:22">
      <c r="K124">
        <v>0.22500000000000001</v>
      </c>
      <c r="M124" s="117">
        <f t="shared" si="5"/>
        <v>4.9425563288371673E-2</v>
      </c>
      <c r="N124">
        <v>6</v>
      </c>
      <c r="O124" s="117">
        <f t="shared" si="6"/>
        <v>16.171056062293712</v>
      </c>
      <c r="P124" s="117">
        <v>24.025580000000001</v>
      </c>
      <c r="Q124" s="99">
        <f>'Performance Analysis'!J$66+'Performance Analysis'!J$67*RADIANS(Drag!N124)</f>
        <v>1.1022772185498662</v>
      </c>
      <c r="R124">
        <v>0.55211540000000003</v>
      </c>
      <c r="S124" s="117">
        <f>C$92+C$88+Q124^2/(PI()*C$20*'Performance Analysis'!J$70)</f>
        <v>6.8163588964363447E-2</v>
      </c>
      <c r="T124" s="117">
        <f t="shared" si="7"/>
        <v>2.2980315147438687E-2</v>
      </c>
      <c r="V124">
        <v>1.64</v>
      </c>
    </row>
    <row r="125" spans="3:22">
      <c r="K125">
        <v>0.22500000000000001</v>
      </c>
      <c r="M125" s="117">
        <f t="shared" si="5"/>
        <v>4.1252974758259099E-2</v>
      </c>
      <c r="N125">
        <v>5</v>
      </c>
      <c r="O125" s="117">
        <f t="shared" si="6"/>
        <v>17.03280311350635</v>
      </c>
      <c r="P125" s="117">
        <v>25.39181</v>
      </c>
      <c r="Q125" s="99">
        <f>'Performance Analysis'!J$66+'Performance Analysis'!J$67*RADIANS(Drag!N125)</f>
        <v>0.98352109428359824</v>
      </c>
      <c r="R125">
        <v>0.48014240000000002</v>
      </c>
      <c r="S125" s="117">
        <f>C$92+C$88+Q125^2/(PI()*C$20*'Performance Analysis'!J$70)</f>
        <v>5.7742761877151293E-2</v>
      </c>
      <c r="T125" s="117">
        <f t="shared" si="7"/>
        <v>1.890934124034482E-2</v>
      </c>
      <c r="V125">
        <v>1.64</v>
      </c>
    </row>
    <row r="126" spans="3:22">
      <c r="K126">
        <v>0.22500000000000001</v>
      </c>
      <c r="M126" s="117">
        <f t="shared" si="5"/>
        <v>3.426701777244491E-2</v>
      </c>
      <c r="N126">
        <v>4</v>
      </c>
      <c r="O126" s="117">
        <f t="shared" si="6"/>
        <v>17.827056855460523</v>
      </c>
      <c r="P126" s="117">
        <v>26.447040000000001</v>
      </c>
      <c r="Q126" s="99">
        <f>'Performance Analysis'!J$66+'Performance Analysis'!J$67*RADIANS(Drag!N126)</f>
        <v>0.86476497001733033</v>
      </c>
      <c r="R126">
        <v>0.40782170000000001</v>
      </c>
      <c r="S126" s="117">
        <f>C$92+C$88+Q126^2/(PI()*C$20*'Performance Analysis'!J$70)</f>
        <v>4.8508566334237509E-2</v>
      </c>
      <c r="T126" s="117">
        <f t="shared" si="7"/>
        <v>1.5420315468196062E-2</v>
      </c>
      <c r="V126">
        <v>1.64</v>
      </c>
    </row>
    <row r="127" spans="3:22">
      <c r="K127">
        <v>0.22500000000000001</v>
      </c>
      <c r="M127" s="117">
        <f t="shared" si="5"/>
        <v>2.8467692330929086E-2</v>
      </c>
      <c r="N127">
        <v>3</v>
      </c>
      <c r="O127" s="117">
        <f t="shared" si="6"/>
        <v>18.437725283297596</v>
      </c>
      <c r="P127" s="117">
        <v>26.7913</v>
      </c>
      <c r="Q127" s="99">
        <f>'Performance Analysis'!J$66+'Performance Analysis'!J$67*RADIANS(Drag!N127)</f>
        <v>0.74600884575106241</v>
      </c>
      <c r="R127">
        <v>0.335204</v>
      </c>
      <c r="S127" s="117">
        <f>C$92+C$88+Q127^2/(PI()*C$20*'Performance Analysis'!J$70)</f>
        <v>4.0461002335622089E-2</v>
      </c>
      <c r="T127" s="117">
        <f t="shared" si="7"/>
        <v>1.2511673565672439E-2</v>
      </c>
      <c r="V127">
        <v>1.64</v>
      </c>
    </row>
    <row r="128" spans="3:22">
      <c r="K128">
        <v>0.22500000000000001</v>
      </c>
      <c r="M128" s="117">
        <f t="shared" si="5"/>
        <v>2.3854998433711638E-2</v>
      </c>
      <c r="N128">
        <v>2</v>
      </c>
      <c r="O128" s="117">
        <f t="shared" si="6"/>
        <v>18.668196932346127</v>
      </c>
      <c r="P128" s="117">
        <v>25.79767</v>
      </c>
      <c r="Q128" s="99">
        <f>'Performance Analysis'!J$66+'Performance Analysis'!J$67*RADIANS(Drag!N128)</f>
        <v>0.6272527214847945</v>
      </c>
      <c r="R128">
        <v>0.26234020000000002</v>
      </c>
      <c r="S128" s="117">
        <f>C$92+C$88+Q128^2/(PI()*C$20*'Performance Analysis'!J$70)</f>
        <v>3.3600069881305053E-2</v>
      </c>
      <c r="T128" s="117">
        <f t="shared" si="7"/>
        <v>1.0169143182310651E-2</v>
      </c>
      <c r="V128">
        <v>1.64</v>
      </c>
    </row>
    <row r="129" spans="10:22">
      <c r="K129">
        <v>0.22500000000000001</v>
      </c>
      <c r="M129" s="117">
        <f t="shared" si="5"/>
        <v>2.0428936080792562E-2</v>
      </c>
      <c r="N129">
        <v>1</v>
      </c>
      <c r="O129" s="117">
        <f t="shared" si="6"/>
        <v>18.208866432339569</v>
      </c>
      <c r="P129" s="117">
        <v>22.470849999999999</v>
      </c>
      <c r="Q129" s="99">
        <f>'Performance Analysis'!J$66+'Performance Analysis'!J$67*RADIANS(Drag!N129)</f>
        <v>0.50849659721852647</v>
      </c>
      <c r="R129">
        <v>0.1892819</v>
      </c>
      <c r="S129" s="117">
        <f>C$92+C$88+Q129^2/(PI()*C$20*'Performance Analysis'!J$70)</f>
        <v>2.7925768971286381E-2</v>
      </c>
      <c r="T129" s="117">
        <f t="shared" si="7"/>
        <v>8.4234419258728543E-3</v>
      </c>
      <c r="V129">
        <v>1.64</v>
      </c>
    </row>
    <row r="130" spans="10:22">
      <c r="K130">
        <v>0.22500000000000001</v>
      </c>
      <c r="M130" s="117">
        <f t="shared" si="5"/>
        <v>1.8189505272171863E-2</v>
      </c>
      <c r="N130">
        <v>0</v>
      </c>
      <c r="O130" s="117">
        <f t="shared" si="6"/>
        <v>16.628501436170311</v>
      </c>
      <c r="P130" s="117">
        <v>15.987769999999999</v>
      </c>
      <c r="Q130" s="99">
        <f>'Performance Analysis'!J$66+'Performance Analysis'!J$67*RADIANS(Drag!N130)</f>
        <v>0.38974047295225855</v>
      </c>
      <c r="R130">
        <v>0.116081</v>
      </c>
      <c r="S130" s="117">
        <f>C$92+C$88+Q130^2/(PI()*C$20*'Performance Analysis'!J$70)</f>
        <v>2.3438099605566091E-2</v>
      </c>
      <c r="T130" s="117">
        <f t="shared" si="7"/>
        <v>7.260612330550165E-3</v>
      </c>
      <c r="V130">
        <v>1.64</v>
      </c>
    </row>
    <row r="131" spans="10:22">
      <c r="K131">
        <v>0.22500000000000001</v>
      </c>
      <c r="M131" s="117">
        <f t="shared" si="5"/>
        <v>1.7136706007849539E-2</v>
      </c>
      <c r="N131">
        <v>-1</v>
      </c>
      <c r="O131" s="117">
        <f t="shared" si="6"/>
        <v>13.456995444060384</v>
      </c>
      <c r="P131" s="117">
        <v>6.402685</v>
      </c>
      <c r="Q131" s="99">
        <f>'Performance Analysis'!J$66+'Performance Analysis'!J$67*RADIANS(Drag!N131)</f>
        <v>0.27098434868599058</v>
      </c>
      <c r="R131">
        <v>4.27897E-2</v>
      </c>
      <c r="S131" s="117">
        <f>C$92+C$88+Q131^2/(PI()*C$20*'Performance Analysis'!J$70)</f>
        <v>2.0137061784144171E-2</v>
      </c>
      <c r="T131" s="117">
        <f t="shared" si="7"/>
        <v>6.6830868612152558E-3</v>
      </c>
      <c r="V131">
        <v>1.64</v>
      </c>
    </row>
    <row r="132" spans="10:22">
      <c r="K132">
        <v>0.22500000000000001</v>
      </c>
      <c r="M132" s="117">
        <f t="shared" si="5"/>
        <v>1.7270538287825588E-2</v>
      </c>
      <c r="N132">
        <v>-2</v>
      </c>
      <c r="O132" s="117">
        <f t="shared" si="6"/>
        <v>8.4464924916543502</v>
      </c>
      <c r="P132" s="117">
        <v>-4.5769859999999998</v>
      </c>
      <c r="Q132" s="99">
        <f>'Performance Analysis'!J$66+'Performance Analysis'!J$67*RADIANS(Drag!N132)</f>
        <v>0.15222822441972264</v>
      </c>
      <c r="R132">
        <v>-3.0539719999999999E-2</v>
      </c>
      <c r="S132" s="117">
        <f>C$92+C$88+Q132^2/(PI()*C$20*'Performance Analysis'!J$70)</f>
        <v>1.8022655507020625E-2</v>
      </c>
      <c r="T132" s="117">
        <f t="shared" si="7"/>
        <v>6.6724521333471421E-3</v>
      </c>
      <c r="V132">
        <v>1.64</v>
      </c>
    </row>
    <row r="133" spans="10:22">
      <c r="K133">
        <v>0.22500000000000001</v>
      </c>
      <c r="M133" s="117">
        <f t="shared" si="5"/>
        <v>1.8591002112100012E-2</v>
      </c>
      <c r="N133">
        <v>-3</v>
      </c>
      <c r="O133" s="117">
        <f t="shared" si="6"/>
        <v>1.958018929502011</v>
      </c>
      <c r="P133" s="117">
        <v>-14.31645</v>
      </c>
      <c r="Q133" s="99">
        <f>'Performance Analysis'!J$66+'Performance Analysis'!J$67*RADIANS(Drag!N133)</f>
        <v>3.3472100153454698E-2</v>
      </c>
      <c r="R133">
        <v>-0.1038548</v>
      </c>
      <c r="S133" s="117">
        <f>C$92+C$88+Q133^2/(PI()*C$20*'Performance Analysis'!J$70)</f>
        <v>1.7094880774195458E-2</v>
      </c>
      <c r="T133" s="117">
        <f t="shared" si="7"/>
        <v>7.2542285273234633E-3</v>
      </c>
      <c r="V133">
        <v>1.64</v>
      </c>
    </row>
    <row r="134" spans="10:22">
      <c r="K134">
        <v>0.22500000000000001</v>
      </c>
      <c r="M134" s="117">
        <f t="shared" si="5"/>
        <v>2.109809748067281E-2</v>
      </c>
      <c r="N134">
        <v>-4</v>
      </c>
      <c r="O134" s="117">
        <f t="shared" si="6"/>
        <v>-4.9144470285896142</v>
      </c>
      <c r="P134" s="117">
        <v>-21.001239999999999</v>
      </c>
      <c r="Q134" s="99">
        <f>'Performance Analysis'!J$66+'Performance Analysis'!J$67*RADIANS(Drag!N134)</f>
        <v>-8.5284024112813273E-2</v>
      </c>
      <c r="R134">
        <v>-0.17710310000000001</v>
      </c>
      <c r="S134" s="117">
        <f>C$92+C$88+Q134^2/(PI()*C$20*'Performance Analysis'!J$70)</f>
        <v>1.7353737585668664E-2</v>
      </c>
      <c r="T134" s="117">
        <f t="shared" si="7"/>
        <v>8.4329830048130508E-3</v>
      </c>
      <c r="V134">
        <v>1.64</v>
      </c>
    </row>
    <row r="135" spans="10:22">
      <c r="K135">
        <v>0.22500000000000001</v>
      </c>
      <c r="M135" s="117">
        <f t="shared" si="5"/>
        <v>2.4791824393543979E-2</v>
      </c>
      <c r="N135">
        <v>-5</v>
      </c>
      <c r="O135" s="117">
        <f t="shared" si="6"/>
        <v>-10.853646262599749</v>
      </c>
      <c r="P135" s="117">
        <v>-24.56475</v>
      </c>
      <c r="Q135" s="99">
        <f>'Performance Analysis'!J$66+'Performance Analysis'!J$67*RADIANS(Drag!N135)</f>
        <v>-0.20404014837908113</v>
      </c>
      <c r="R135">
        <v>-0.25023230000000002</v>
      </c>
      <c r="S135" s="117">
        <f>C$92+C$88+Q135^2/(PI()*C$20*'Performance Analysis'!J$70)</f>
        <v>1.8799225941440241E-2</v>
      </c>
      <c r="T135" s="117">
        <f t="shared" si="7"/>
        <v>1.0186641427248396E-2</v>
      </c>
      <c r="V135">
        <v>1.64</v>
      </c>
    </row>
    <row r="136" spans="10:22">
      <c r="K136">
        <v>0.22500000000000001</v>
      </c>
      <c r="M136" s="117">
        <f t="shared" si="5"/>
        <v>2.9672182850713526E-2</v>
      </c>
      <c r="N136">
        <v>-6</v>
      </c>
      <c r="O136" s="117">
        <f t="shared" si="6"/>
        <v>-15.061875956484624</v>
      </c>
      <c r="P136" s="117">
        <v>-25.849989999999998</v>
      </c>
      <c r="Q136" s="99">
        <f>'Performance Analysis'!J$66+'Performance Analysis'!J$67*RADIANS(Drag!N136)</f>
        <v>-0.32279627264534916</v>
      </c>
      <c r="R136">
        <v>-0.32319039999999999</v>
      </c>
      <c r="S136" s="117">
        <f>C$92+C$88+Q136^2/(PI()*C$20*'Performance Analysis'!J$70)</f>
        <v>2.1431345841510196E-2</v>
      </c>
      <c r="T136" s="117">
        <f t="shared" si="7"/>
        <v>1.250253481722817E-2</v>
      </c>
      <c r="V136">
        <v>1.64</v>
      </c>
    </row>
    <row r="137" spans="10:22">
      <c r="K137">
        <v>0.22500000000000001</v>
      </c>
      <c r="M137" s="117">
        <f t="shared" si="5"/>
        <v>3.573917285218145E-2</v>
      </c>
      <c r="N137">
        <v>-7</v>
      </c>
      <c r="O137" s="117">
        <f t="shared" si="6"/>
        <v>-17.487156263693354</v>
      </c>
      <c r="P137">
        <v>-25.68282</v>
      </c>
      <c r="Q137" s="99">
        <f>'Performance Analysis'!J$66+'Performance Analysis'!J$67*RADIANS(Drag!N137)</f>
        <v>-0.44155239691161718</v>
      </c>
      <c r="R137">
        <v>-0.39592549999999999</v>
      </c>
      <c r="S137" s="117">
        <f>C$92+C$88+Q137^2/(PI()*C$20*'Performance Analysis'!J$70)</f>
        <v>2.5250097285878525E-2</v>
      </c>
      <c r="T137" s="117">
        <f t="shared" si="7"/>
        <v>1.541596678246392E-2</v>
      </c>
      <c r="V137">
        <v>1.64</v>
      </c>
    </row>
    <row r="138" spans="10:22">
      <c r="K138">
        <v>0.22500000000000001</v>
      </c>
      <c r="M138" s="117">
        <f t="shared" si="5"/>
        <v>4.2992794397947745E-2</v>
      </c>
      <c r="N138">
        <v>-8</v>
      </c>
      <c r="O138" s="117">
        <f t="shared" si="6"/>
        <v>-18.519240682795843</v>
      </c>
      <c r="P138">
        <v>-24.779620000000001</v>
      </c>
      <c r="Q138" s="99">
        <f>'Performance Analysis'!J$66+'Performance Analysis'!J$67*RADIANS(Drag!N138)</f>
        <v>-0.5603085211778851</v>
      </c>
      <c r="R138">
        <v>-0.46838629999999998</v>
      </c>
      <c r="S138" s="117">
        <f>C$92+C$88+Q138^2/(PI()*C$20*'Performance Analysis'!J$70)</f>
        <v>3.0255480274545228E-2</v>
      </c>
      <c r="T138" s="117">
        <f t="shared" si="7"/>
        <v>1.8902077594410243E-2</v>
      </c>
      <c r="V138">
        <v>1.64</v>
      </c>
    </row>
    <row r="139" spans="10:22">
      <c r="K139">
        <v>0.22500000000000001</v>
      </c>
      <c r="M139" s="117">
        <f t="shared" si="5"/>
        <v>5.1433047488012411E-2</v>
      </c>
      <c r="N139">
        <v>-9</v>
      </c>
      <c r="O139" s="117">
        <f t="shared" si="6"/>
        <v>-18.631311946966136</v>
      </c>
      <c r="P139">
        <v>-23.568519999999999</v>
      </c>
      <c r="Q139" s="99">
        <f>'Performance Analysis'!J$66+'Performance Analysis'!J$67*RADIANS(Drag!N139)</f>
        <v>-0.67906464544415301</v>
      </c>
      <c r="R139">
        <v>-0.54052199999999995</v>
      </c>
      <c r="S139" s="117">
        <f>C$92+C$88+Q139^2/(PI()*C$20*'Performance Analysis'!J$70)</f>
        <v>3.6447494807510306E-2</v>
      </c>
      <c r="T139" s="117">
        <f t="shared" si="7"/>
        <v>2.2934066288422011E-2</v>
      </c>
      <c r="V139">
        <v>1.64</v>
      </c>
    </row>
    <row r="140" spans="10:22">
      <c r="M140" s="117"/>
      <c r="O140" s="117"/>
      <c r="Q140" s="99"/>
      <c r="R140" s="99"/>
      <c r="S140" s="117"/>
      <c r="T140" s="117"/>
      <c r="V140">
        <v>1.64</v>
      </c>
    </row>
    <row r="141" spans="10:22">
      <c r="V141">
        <v>1.64</v>
      </c>
    </row>
    <row r="142" spans="10:22">
      <c r="K142" s="346" t="s">
        <v>1108</v>
      </c>
      <c r="L142" s="346"/>
      <c r="M142" s="346"/>
      <c r="N142" s="7"/>
      <c r="O142" s="7"/>
      <c r="P142" s="7"/>
      <c r="V142">
        <v>1.64</v>
      </c>
    </row>
    <row r="143" spans="10:22" ht="15.95" thickBot="1">
      <c r="J143" s="271" t="s">
        <v>821</v>
      </c>
      <c r="K143" s="240" t="s">
        <v>1109</v>
      </c>
      <c r="L143" s="240" t="s">
        <v>1110</v>
      </c>
      <c r="M143" s="240" t="s">
        <v>1111</v>
      </c>
      <c r="N143" t="s">
        <v>1112</v>
      </c>
    </row>
    <row r="144" spans="10:22">
      <c r="J144">
        <f t="shared" ref="J144:J175" si="8">0.063*K144^2</f>
        <v>0</v>
      </c>
      <c r="K144">
        <v>0</v>
      </c>
      <c r="L144">
        <v>0</v>
      </c>
      <c r="M144" s="43">
        <f t="shared" ref="M144:M175" si="9">0.5*C$109*K144^2*C$107*C$19</f>
        <v>0</v>
      </c>
      <c r="N144">
        <f t="shared" ref="N144:N207" si="10">0.5*C$97*K144^2*C$107*C$19</f>
        <v>0</v>
      </c>
    </row>
    <row r="145" spans="10:14">
      <c r="J145" s="307">
        <f t="shared" si="8"/>
        <v>0.252</v>
      </c>
      <c r="K145">
        <v>2</v>
      </c>
      <c r="L145" s="69">
        <f t="shared" ref="L145:L176" si="11">SQRT(1)*K145/1.68780986</f>
        <v>1.1849676005566172</v>
      </c>
      <c r="M145" s="69">
        <f t="shared" si="9"/>
        <v>0.30249725202481381</v>
      </c>
      <c r="N145">
        <f t="shared" si="10"/>
        <v>0.19034599863423027</v>
      </c>
    </row>
    <row r="146" spans="10:14">
      <c r="J146">
        <f t="shared" si="8"/>
        <v>1.008</v>
      </c>
      <c r="K146">
        <v>4</v>
      </c>
      <c r="L146" s="69">
        <f t="shared" si="11"/>
        <v>2.3699352011132344</v>
      </c>
      <c r="M146" s="69">
        <f t="shared" si="9"/>
        <v>1.2099890080992552</v>
      </c>
      <c r="N146">
        <f t="shared" si="10"/>
        <v>0.76138399453692107</v>
      </c>
    </row>
    <row r="147" spans="10:14">
      <c r="J147" s="307">
        <f t="shared" si="8"/>
        <v>2.2679999999999998</v>
      </c>
      <c r="K147">
        <v>6</v>
      </c>
      <c r="L147" s="69">
        <f t="shared" si="11"/>
        <v>3.5549028016698516</v>
      </c>
      <c r="M147" s="69">
        <f t="shared" si="9"/>
        <v>2.7224752682233242</v>
      </c>
      <c r="N147">
        <f t="shared" si="10"/>
        <v>1.7131139877080723</v>
      </c>
    </row>
    <row r="148" spans="10:14">
      <c r="J148">
        <f t="shared" si="8"/>
        <v>4.032</v>
      </c>
      <c r="K148">
        <v>8</v>
      </c>
      <c r="L148" s="69">
        <f t="shared" si="11"/>
        <v>4.7398704022264688</v>
      </c>
      <c r="M148" s="69">
        <f t="shared" si="9"/>
        <v>4.839956032397021</v>
      </c>
      <c r="N148">
        <f t="shared" si="10"/>
        <v>3.0455359781476843</v>
      </c>
    </row>
    <row r="149" spans="10:14">
      <c r="J149" s="307">
        <f t="shared" si="8"/>
        <v>6.3</v>
      </c>
      <c r="K149">
        <v>10</v>
      </c>
      <c r="L149" s="69">
        <f t="shared" si="11"/>
        <v>5.924838002783086</v>
      </c>
      <c r="M149" s="69">
        <f t="shared" si="9"/>
        <v>7.5624313006203456</v>
      </c>
      <c r="N149">
        <f t="shared" si="10"/>
        <v>4.7586499658557564</v>
      </c>
    </row>
    <row r="150" spans="10:14">
      <c r="J150">
        <f t="shared" si="8"/>
        <v>9.0719999999999992</v>
      </c>
      <c r="K150">
        <v>12</v>
      </c>
      <c r="L150" s="69">
        <f t="shared" si="11"/>
        <v>7.1098056033397032</v>
      </c>
      <c r="M150" s="69">
        <f t="shared" si="9"/>
        <v>10.889901072893297</v>
      </c>
      <c r="N150">
        <f t="shared" si="10"/>
        <v>6.8524559508322893</v>
      </c>
    </row>
    <row r="151" spans="10:14">
      <c r="J151" s="307">
        <f t="shared" si="8"/>
        <v>12.348000000000001</v>
      </c>
      <c r="K151">
        <v>14</v>
      </c>
      <c r="L151" s="69">
        <f t="shared" si="11"/>
        <v>8.2947732038963196</v>
      </c>
      <c r="M151" s="69">
        <f t="shared" si="9"/>
        <v>14.822365349215877</v>
      </c>
      <c r="N151">
        <f t="shared" si="10"/>
        <v>9.3269539330772826</v>
      </c>
    </row>
    <row r="152" spans="10:14">
      <c r="J152">
        <f t="shared" si="8"/>
        <v>16.128</v>
      </c>
      <c r="K152">
        <v>16</v>
      </c>
      <c r="L152" s="69">
        <f t="shared" si="11"/>
        <v>9.4797408044529377</v>
      </c>
      <c r="M152" s="69">
        <f t="shared" si="9"/>
        <v>19.359824129588084</v>
      </c>
      <c r="N152">
        <f t="shared" si="10"/>
        <v>12.182143912590737</v>
      </c>
    </row>
    <row r="153" spans="10:14">
      <c r="J153" s="307">
        <f t="shared" si="8"/>
        <v>20.411999999999999</v>
      </c>
      <c r="K153">
        <v>18</v>
      </c>
      <c r="L153" s="69">
        <f t="shared" si="11"/>
        <v>10.664708405009554</v>
      </c>
      <c r="M153" s="69">
        <f t="shared" si="9"/>
        <v>24.502277414009917</v>
      </c>
      <c r="N153">
        <f t="shared" si="10"/>
        <v>15.418025889372652</v>
      </c>
    </row>
    <row r="154" spans="10:14">
      <c r="J154">
        <f t="shared" si="8"/>
        <v>25.2</v>
      </c>
      <c r="K154">
        <v>20</v>
      </c>
      <c r="L154" s="69">
        <f t="shared" si="11"/>
        <v>11.849676005566172</v>
      </c>
      <c r="M154" s="69">
        <f t="shared" si="9"/>
        <v>30.249725202481383</v>
      </c>
      <c r="N154">
        <f t="shared" si="10"/>
        <v>19.034599863423026</v>
      </c>
    </row>
    <row r="155" spans="10:14">
      <c r="J155" s="307">
        <f t="shared" si="8"/>
        <v>30.492000000000001</v>
      </c>
      <c r="K155">
        <v>22</v>
      </c>
      <c r="L155" s="69">
        <f t="shared" si="11"/>
        <v>13.034643606122788</v>
      </c>
      <c r="M155" s="69">
        <f t="shared" si="9"/>
        <v>36.602167495002476</v>
      </c>
      <c r="N155">
        <f t="shared" si="10"/>
        <v>23.031865834741861</v>
      </c>
    </row>
    <row r="156" spans="10:14">
      <c r="J156">
        <f t="shared" si="8"/>
        <v>36.287999999999997</v>
      </c>
      <c r="K156">
        <v>24</v>
      </c>
      <c r="L156" s="69">
        <f t="shared" si="11"/>
        <v>14.219611206679406</v>
      </c>
      <c r="M156" s="69">
        <f t="shared" si="9"/>
        <v>43.559604291573187</v>
      </c>
      <c r="N156">
        <f t="shared" si="10"/>
        <v>27.409823803329157</v>
      </c>
    </row>
    <row r="157" spans="10:14">
      <c r="J157" s="307">
        <f t="shared" si="8"/>
        <v>42.588000000000001</v>
      </c>
      <c r="K157">
        <v>26</v>
      </c>
      <c r="L157" s="69">
        <f t="shared" si="11"/>
        <v>15.404578807236023</v>
      </c>
      <c r="M157" s="69">
        <f t="shared" si="9"/>
        <v>51.122035592193527</v>
      </c>
      <c r="N157">
        <f t="shared" si="10"/>
        <v>32.168473769184914</v>
      </c>
    </row>
    <row r="158" spans="10:14">
      <c r="J158">
        <f t="shared" si="8"/>
        <v>49.392000000000003</v>
      </c>
      <c r="K158">
        <v>28</v>
      </c>
      <c r="L158" s="69">
        <f t="shared" si="11"/>
        <v>16.589546407792639</v>
      </c>
      <c r="M158" s="69">
        <f t="shared" si="9"/>
        <v>59.289461396863508</v>
      </c>
      <c r="N158">
        <f t="shared" si="10"/>
        <v>37.30781573230913</v>
      </c>
    </row>
    <row r="159" spans="10:14">
      <c r="J159" s="307">
        <f t="shared" si="8"/>
        <v>56.7</v>
      </c>
      <c r="K159">
        <v>30</v>
      </c>
      <c r="L159" s="69">
        <f t="shared" si="11"/>
        <v>17.774514008349257</v>
      </c>
      <c r="M159" s="69">
        <f t="shared" si="9"/>
        <v>68.061881705583119</v>
      </c>
      <c r="N159">
        <f t="shared" si="10"/>
        <v>42.827849692701811</v>
      </c>
    </row>
    <row r="160" spans="10:14">
      <c r="J160">
        <f t="shared" si="8"/>
        <v>64.512</v>
      </c>
      <c r="K160">
        <v>32</v>
      </c>
      <c r="L160" s="69">
        <f t="shared" si="11"/>
        <v>18.959481608905875</v>
      </c>
      <c r="M160" s="69">
        <f t="shared" si="9"/>
        <v>77.439296518352336</v>
      </c>
      <c r="N160">
        <f t="shared" si="10"/>
        <v>48.728575650362949</v>
      </c>
    </row>
    <row r="161" spans="1:14">
      <c r="J161" s="307">
        <f t="shared" si="8"/>
        <v>72.828000000000003</v>
      </c>
      <c r="K161">
        <v>34</v>
      </c>
      <c r="L161" s="69">
        <f t="shared" si="11"/>
        <v>20.144449209462493</v>
      </c>
      <c r="M161" s="69">
        <f t="shared" si="9"/>
        <v>87.421705835171196</v>
      </c>
      <c r="N161">
        <f t="shared" si="10"/>
        <v>55.009993605292543</v>
      </c>
    </row>
    <row r="162" spans="1:14">
      <c r="A162" s="309" t="s">
        <v>827</v>
      </c>
      <c r="B162" s="309"/>
      <c r="C162" s="309"/>
      <c r="D162" s="309"/>
      <c r="E162" s="309"/>
      <c r="F162" s="309"/>
      <c r="J162">
        <f t="shared" si="8"/>
        <v>81.647999999999996</v>
      </c>
      <c r="K162">
        <v>36</v>
      </c>
      <c r="L162" s="69">
        <f t="shared" si="11"/>
        <v>21.329416810019108</v>
      </c>
      <c r="M162" s="69">
        <f t="shared" si="9"/>
        <v>98.009109656039669</v>
      </c>
      <c r="N162">
        <f t="shared" si="10"/>
        <v>61.672103557490608</v>
      </c>
    </row>
    <row r="163" spans="1:14">
      <c r="B163" s="140" t="s">
        <v>568</v>
      </c>
      <c r="C163" s="140" t="s">
        <v>1113</v>
      </c>
      <c r="J163" s="307">
        <f t="shared" si="8"/>
        <v>90.971999999999994</v>
      </c>
      <c r="K163">
        <v>38</v>
      </c>
      <c r="L163" s="69">
        <f t="shared" si="11"/>
        <v>22.514384410575726</v>
      </c>
      <c r="M163" s="69">
        <f t="shared" si="9"/>
        <v>109.20150798095779</v>
      </c>
      <c r="N163">
        <f t="shared" si="10"/>
        <v>68.714905506957123</v>
      </c>
    </row>
    <row r="164" spans="1:14">
      <c r="B164" s="140">
        <v>1.6992E-2</v>
      </c>
      <c r="C164" s="140">
        <v>-0.43753999999999998</v>
      </c>
      <c r="J164">
        <f t="shared" si="8"/>
        <v>100.8</v>
      </c>
      <c r="K164">
        <v>40</v>
      </c>
      <c r="L164" s="69">
        <f t="shared" si="11"/>
        <v>23.699352011132344</v>
      </c>
      <c r="M164" s="69">
        <f t="shared" si="9"/>
        <v>120.99890080992553</v>
      </c>
      <c r="N164">
        <f t="shared" si="10"/>
        <v>76.138399453692102</v>
      </c>
    </row>
    <row r="165" spans="1:14">
      <c r="B165" s="140">
        <v>1.3865000000000001E-2</v>
      </c>
      <c r="C165" s="140">
        <v>-0.36757000000000001</v>
      </c>
      <c r="J165" s="307">
        <f t="shared" si="8"/>
        <v>111.13200000000001</v>
      </c>
      <c r="K165">
        <v>42</v>
      </c>
      <c r="L165" s="69">
        <f t="shared" si="11"/>
        <v>24.884319611688962</v>
      </c>
      <c r="M165" s="69">
        <f t="shared" si="9"/>
        <v>133.40128814294286</v>
      </c>
      <c r="N165">
        <f t="shared" si="10"/>
        <v>83.942585397695538</v>
      </c>
    </row>
    <row r="166" spans="1:14">
      <c r="B166" s="140">
        <v>1.1256E-2</v>
      </c>
      <c r="C166" s="140">
        <v>-0.29731999999999997</v>
      </c>
      <c r="J166">
        <f t="shared" si="8"/>
        <v>121.968</v>
      </c>
      <c r="K166">
        <v>44</v>
      </c>
      <c r="L166" s="69">
        <f t="shared" si="11"/>
        <v>26.069287212245577</v>
      </c>
      <c r="M166" s="69">
        <f t="shared" si="9"/>
        <v>146.4086699800099</v>
      </c>
      <c r="N166">
        <f t="shared" si="10"/>
        <v>92.127463338967445</v>
      </c>
    </row>
    <row r="167" spans="1:14">
      <c r="B167" s="140">
        <v>9.1850000000000005E-3</v>
      </c>
      <c r="C167" s="140">
        <v>-0.22683</v>
      </c>
      <c r="J167" s="307">
        <f t="shared" si="8"/>
        <v>133.30799999999999</v>
      </c>
      <c r="K167">
        <v>46</v>
      </c>
      <c r="L167" s="69">
        <f t="shared" si="11"/>
        <v>27.254254812802195</v>
      </c>
      <c r="M167" s="69">
        <f t="shared" si="9"/>
        <v>160.02104632112653</v>
      </c>
      <c r="N167">
        <f t="shared" si="10"/>
        <v>100.69303327750782</v>
      </c>
    </row>
    <row r="168" spans="1:14">
      <c r="B168" s="140">
        <v>7.6579999999999999E-3</v>
      </c>
      <c r="C168" s="140">
        <v>-0.15617</v>
      </c>
      <c r="J168">
        <f t="shared" si="8"/>
        <v>145.15199999999999</v>
      </c>
      <c r="K168">
        <v>48</v>
      </c>
      <c r="L168" s="69">
        <f t="shared" si="11"/>
        <v>28.439222413358813</v>
      </c>
      <c r="M168" s="69">
        <f t="shared" si="9"/>
        <v>174.23841716629275</v>
      </c>
      <c r="N168">
        <f t="shared" si="10"/>
        <v>109.63929521331663</v>
      </c>
    </row>
    <row r="169" spans="1:14">
      <c r="B169" s="140">
        <v>6.672E-3</v>
      </c>
      <c r="C169" s="140">
        <v>-8.5370000000000001E-2</v>
      </c>
      <c r="J169" s="307">
        <f t="shared" si="8"/>
        <v>157.5</v>
      </c>
      <c r="K169">
        <v>50</v>
      </c>
      <c r="L169" s="69">
        <f t="shared" si="11"/>
        <v>29.624190013915431</v>
      </c>
      <c r="M169" s="69">
        <f t="shared" si="9"/>
        <v>189.06078251550861</v>
      </c>
      <c r="N169">
        <f t="shared" si="10"/>
        <v>118.96624914639392</v>
      </c>
    </row>
    <row r="170" spans="1:14">
      <c r="B170" s="140">
        <v>6.2259999999999998E-3</v>
      </c>
      <c r="C170" s="140">
        <v>-1.4489999999999999E-2</v>
      </c>
      <c r="J170">
        <f t="shared" si="8"/>
        <v>170.352</v>
      </c>
      <c r="K170">
        <v>52</v>
      </c>
      <c r="L170" s="69">
        <f t="shared" si="11"/>
        <v>30.809157614472046</v>
      </c>
      <c r="M170" s="69">
        <f t="shared" si="9"/>
        <v>204.48814236877411</v>
      </c>
      <c r="N170">
        <f t="shared" si="10"/>
        <v>128.67389507673965</v>
      </c>
    </row>
    <row r="171" spans="1:14">
      <c r="B171" s="140">
        <v>6.3530000000000001E-3</v>
      </c>
      <c r="C171" s="140">
        <v>5.6425000000000003E-2</v>
      </c>
      <c r="J171" s="307">
        <f t="shared" si="8"/>
        <v>183.708</v>
      </c>
      <c r="K171">
        <v>54</v>
      </c>
      <c r="L171" s="69">
        <f t="shared" si="11"/>
        <v>31.994125215028664</v>
      </c>
      <c r="M171" s="69">
        <f t="shared" si="9"/>
        <v>220.52049672608925</v>
      </c>
      <c r="N171">
        <f t="shared" si="10"/>
        <v>138.76223300435387</v>
      </c>
    </row>
    <row r="172" spans="1:14">
      <c r="B172" s="140">
        <v>6.9950000000000003E-3</v>
      </c>
      <c r="C172" s="140">
        <v>0.12732499999999999</v>
      </c>
      <c r="J172">
        <f t="shared" si="8"/>
        <v>197.56800000000001</v>
      </c>
      <c r="K172">
        <v>56</v>
      </c>
      <c r="L172" s="69">
        <f t="shared" si="11"/>
        <v>33.179092815585278</v>
      </c>
      <c r="M172" s="69">
        <f t="shared" si="9"/>
        <v>237.15784558745403</v>
      </c>
      <c r="N172">
        <f t="shared" si="10"/>
        <v>149.23126292923652</v>
      </c>
    </row>
    <row r="173" spans="1:14">
      <c r="B173" s="140">
        <v>8.2229999999999994E-3</v>
      </c>
      <c r="C173" s="140">
        <v>0.198158</v>
      </c>
      <c r="J173" s="307">
        <f t="shared" si="8"/>
        <v>211.93199999999999</v>
      </c>
      <c r="K173">
        <v>58</v>
      </c>
      <c r="L173" s="69">
        <f t="shared" si="11"/>
        <v>34.364060416141896</v>
      </c>
      <c r="M173" s="69">
        <f t="shared" si="9"/>
        <v>254.40018895286843</v>
      </c>
      <c r="N173">
        <f t="shared" si="10"/>
        <v>160.08098485138765</v>
      </c>
    </row>
    <row r="174" spans="1:14">
      <c r="B174" s="140">
        <v>9.9880000000000004E-3</v>
      </c>
      <c r="C174" s="140">
        <v>0.268876</v>
      </c>
      <c r="J174">
        <f t="shared" si="8"/>
        <v>226.8</v>
      </c>
      <c r="K174">
        <v>60</v>
      </c>
      <c r="L174" s="69">
        <f t="shared" si="11"/>
        <v>35.549028016698514</v>
      </c>
      <c r="M174" s="69">
        <f t="shared" si="9"/>
        <v>272.24752682233247</v>
      </c>
      <c r="N174">
        <f t="shared" si="10"/>
        <v>171.31139877080724</v>
      </c>
    </row>
    <row r="175" spans="1:14">
      <c r="B175" s="140">
        <v>1.2317E-2</v>
      </c>
      <c r="C175" s="140">
        <v>0.33942899999999998</v>
      </c>
      <c r="J175" s="307">
        <f t="shared" si="8"/>
        <v>242.172</v>
      </c>
      <c r="K175">
        <v>62</v>
      </c>
      <c r="L175" s="69">
        <f t="shared" si="11"/>
        <v>36.733995617255133</v>
      </c>
      <c r="M175" s="69">
        <f t="shared" si="9"/>
        <v>290.69985919584605</v>
      </c>
      <c r="N175">
        <f t="shared" si="10"/>
        <v>182.92250468749526</v>
      </c>
    </row>
    <row r="176" spans="1:14">
      <c r="B176" s="140">
        <v>1.5180000000000001E-2</v>
      </c>
      <c r="C176" s="140">
        <v>0.40976699999999999</v>
      </c>
      <c r="J176">
        <f t="shared" ref="J176:J207" si="12">0.063*K176^2</f>
        <v>258.048</v>
      </c>
      <c r="K176">
        <v>64</v>
      </c>
      <c r="L176" s="69">
        <f t="shared" si="11"/>
        <v>37.918963217811751</v>
      </c>
      <c r="M176" s="69">
        <f t="shared" ref="M176:M207" si="13">0.5*C$109*K176^2*C$107*C$19</f>
        <v>309.75718607340934</v>
      </c>
      <c r="N176">
        <f t="shared" si="10"/>
        <v>194.91430260145179</v>
      </c>
    </row>
    <row r="177" spans="2:23">
      <c r="B177" s="140">
        <v>1.8608E-2</v>
      </c>
      <c r="C177" s="140">
        <v>0.47984300000000002</v>
      </c>
      <c r="J177" s="307">
        <f t="shared" si="12"/>
        <v>274.428</v>
      </c>
      <c r="K177">
        <v>66</v>
      </c>
      <c r="L177" s="69">
        <f t="shared" ref="L177:L208" si="14">SQRT(1)*K177/1.68780986</f>
        <v>39.103930818368369</v>
      </c>
      <c r="M177" s="69">
        <f t="shared" si="13"/>
        <v>329.41950745502226</v>
      </c>
      <c r="N177">
        <f t="shared" si="10"/>
        <v>207.28679251267678</v>
      </c>
    </row>
    <row r="178" spans="2:23">
      <c r="B178" s="140">
        <v>2.2581E-2</v>
      </c>
      <c r="C178" s="140">
        <v>0.54960699999999996</v>
      </c>
      <c r="J178">
        <f t="shared" si="12"/>
        <v>291.31200000000001</v>
      </c>
      <c r="K178">
        <v>68</v>
      </c>
      <c r="L178" s="69">
        <f t="shared" si="14"/>
        <v>40.288898418924987</v>
      </c>
      <c r="M178" s="69">
        <f t="shared" si="13"/>
        <v>349.68682334068478</v>
      </c>
      <c r="N178">
        <f t="shared" si="10"/>
        <v>220.03997442117017</v>
      </c>
    </row>
    <row r="179" spans="2:23">
      <c r="B179" s="140">
        <v>2.7078000000000001E-2</v>
      </c>
      <c r="C179" s="140">
        <v>0.61901099999999998</v>
      </c>
      <c r="J179" s="307">
        <f t="shared" si="12"/>
        <v>308.7</v>
      </c>
      <c r="K179">
        <v>70</v>
      </c>
      <c r="L179" s="69">
        <f t="shared" si="14"/>
        <v>41.473866019481605</v>
      </c>
      <c r="M179" s="69">
        <f t="shared" si="13"/>
        <v>370.55913373039687</v>
      </c>
      <c r="N179">
        <f t="shared" si="10"/>
        <v>233.17384832693207</v>
      </c>
    </row>
    <row r="180" spans="2:23">
      <c r="B180" s="140">
        <v>3.2113000000000003E-2</v>
      </c>
      <c r="C180" s="140">
        <v>0.68800799999999995</v>
      </c>
      <c r="J180">
        <f t="shared" si="12"/>
        <v>326.59199999999998</v>
      </c>
      <c r="K180">
        <v>72</v>
      </c>
      <c r="L180" s="69">
        <f t="shared" si="14"/>
        <v>42.658833620038216</v>
      </c>
      <c r="M180" s="69">
        <f t="shared" si="13"/>
        <v>392.03643862415868</v>
      </c>
      <c r="N180">
        <f t="shared" si="10"/>
        <v>246.68841422996243</v>
      </c>
    </row>
    <row r="181" spans="2:23">
      <c r="B181" s="140">
        <v>3.7651999999999998E-2</v>
      </c>
      <c r="C181" s="140">
        <v>0.75655300000000003</v>
      </c>
      <c r="J181" s="307">
        <f t="shared" si="12"/>
        <v>344.988</v>
      </c>
      <c r="K181">
        <v>74</v>
      </c>
      <c r="L181" s="69">
        <f t="shared" si="14"/>
        <v>43.843801220594834</v>
      </c>
      <c r="M181" s="69">
        <f t="shared" si="13"/>
        <v>414.1187380219701</v>
      </c>
      <c r="N181">
        <f t="shared" si="10"/>
        <v>260.58367213026122</v>
      </c>
    </row>
    <row r="182" spans="2:23">
      <c r="B182" s="140">
        <v>4.3677000000000001E-2</v>
      </c>
      <c r="C182" s="140">
        <v>0.82459800000000005</v>
      </c>
      <c r="J182">
        <f t="shared" si="12"/>
        <v>363.88799999999998</v>
      </c>
      <c r="K182">
        <v>76</v>
      </c>
      <c r="L182" s="69">
        <f t="shared" si="14"/>
        <v>45.028768821151452</v>
      </c>
      <c r="M182" s="69">
        <f t="shared" si="13"/>
        <v>436.80603192383114</v>
      </c>
      <c r="N182">
        <f t="shared" si="10"/>
        <v>274.85962202782849</v>
      </c>
    </row>
    <row r="183" spans="2:23">
      <c r="B183" s="140">
        <v>5.0174999999999997E-2</v>
      </c>
      <c r="C183" s="140">
        <v>0.89209899999999998</v>
      </c>
      <c r="J183" s="307">
        <f t="shared" si="12"/>
        <v>383.29200000000003</v>
      </c>
      <c r="K183">
        <v>78</v>
      </c>
      <c r="L183" s="69">
        <f t="shared" si="14"/>
        <v>46.21373642170807</v>
      </c>
      <c r="M183" s="69">
        <f t="shared" si="13"/>
        <v>460.0983203297418</v>
      </c>
      <c r="N183">
        <f t="shared" si="10"/>
        <v>289.51626392266422</v>
      </c>
    </row>
    <row r="184" spans="2:23">
      <c r="B184" s="140">
        <v>5.7113999999999998E-2</v>
      </c>
      <c r="C184" s="140">
        <v>0.959013</v>
      </c>
      <c r="J184">
        <f t="shared" si="12"/>
        <v>403.2</v>
      </c>
      <c r="K184">
        <v>80</v>
      </c>
      <c r="L184" s="69">
        <f t="shared" si="14"/>
        <v>47.398704022264688</v>
      </c>
      <c r="M184" s="69">
        <f t="shared" si="13"/>
        <v>483.99560323970212</v>
      </c>
      <c r="N184">
        <f t="shared" si="10"/>
        <v>304.55359781476841</v>
      </c>
    </row>
    <row r="185" spans="2:23">
      <c r="B185" s="140">
        <v>6.4480999999999997E-2</v>
      </c>
      <c r="C185" s="140">
        <v>1.025296</v>
      </c>
      <c r="J185" s="307">
        <f t="shared" si="12"/>
        <v>423.61200000000002</v>
      </c>
      <c r="K185">
        <v>82</v>
      </c>
      <c r="L185" s="69">
        <f t="shared" si="14"/>
        <v>48.583671622821306</v>
      </c>
      <c r="M185" s="69">
        <f t="shared" si="13"/>
        <v>508.497880653712</v>
      </c>
      <c r="N185">
        <f t="shared" si="10"/>
        <v>319.97162370414111</v>
      </c>
      <c r="T185" s="346" t="s">
        <v>1108</v>
      </c>
      <c r="U185" s="346"/>
      <c r="V185" s="346"/>
      <c r="W185" s="7"/>
    </row>
    <row r="186" spans="2:23" ht="15.95" thickBot="1">
      <c r="B186" s="140">
        <v>7.2223999999999997E-2</v>
      </c>
      <c r="C186" s="140">
        <v>1.090908</v>
      </c>
      <c r="J186">
        <f t="shared" si="12"/>
        <v>444.52800000000002</v>
      </c>
      <c r="K186">
        <v>84</v>
      </c>
      <c r="L186" s="69">
        <f t="shared" si="14"/>
        <v>49.768639223377924</v>
      </c>
      <c r="M186" s="69">
        <f t="shared" si="13"/>
        <v>533.60515257177144</v>
      </c>
      <c r="N186">
        <f t="shared" si="10"/>
        <v>335.77034159078215</v>
      </c>
      <c r="T186" s="240" t="s">
        <v>1109</v>
      </c>
      <c r="U186" s="240" t="s">
        <v>1110</v>
      </c>
      <c r="V186" s="240" t="s">
        <v>1111</v>
      </c>
      <c r="W186" t="s">
        <v>1112</v>
      </c>
    </row>
    <row r="187" spans="2:23">
      <c r="B187" s="140">
        <v>8.0388000000000001E-2</v>
      </c>
      <c r="C187" s="140">
        <v>1.1558060000000001</v>
      </c>
      <c r="J187" s="307">
        <f t="shared" si="12"/>
        <v>465.94799999999998</v>
      </c>
      <c r="K187">
        <v>86</v>
      </c>
      <c r="L187" s="69">
        <f t="shared" si="14"/>
        <v>50.953606823934543</v>
      </c>
      <c r="M187" s="69">
        <f t="shared" si="13"/>
        <v>559.31741899388078</v>
      </c>
      <c r="N187">
        <f t="shared" si="10"/>
        <v>351.94975147469177</v>
      </c>
      <c r="T187">
        <f>U187/SQRT($C$11)*1.668</f>
        <v>0</v>
      </c>
      <c r="U187">
        <v>0</v>
      </c>
      <c r="V187" s="43">
        <f t="shared" ref="V187:V218" si="15">0.5*L$109*T187^2*L$107*L$19</f>
        <v>0</v>
      </c>
      <c r="W187" s="99">
        <f t="shared" ref="W187:W250" si="16">0.5*$C$97*T187^2*$C$95*$C$19</f>
        <v>0</v>
      </c>
    </row>
    <row r="188" spans="2:23">
      <c r="B188" s="140">
        <v>8.8918999999999998E-2</v>
      </c>
      <c r="C188" s="140">
        <v>1.2199519999999999</v>
      </c>
      <c r="J188">
        <f t="shared" si="12"/>
        <v>487.87200000000001</v>
      </c>
      <c r="K188">
        <v>88</v>
      </c>
      <c r="L188" s="69">
        <f t="shared" si="14"/>
        <v>52.138574424491154</v>
      </c>
      <c r="M188" s="69">
        <f t="shared" si="13"/>
        <v>585.63467992003962</v>
      </c>
      <c r="N188">
        <f t="shared" si="10"/>
        <v>368.50985335586978</v>
      </c>
      <c r="T188">
        <f t="shared" ref="T188:T251" si="17">U188/SQRT($C$11)*1.668</f>
        <v>2.1027366642500129</v>
      </c>
      <c r="U188" s="69">
        <v>1</v>
      </c>
      <c r="V188" s="69">
        <f t="shared" si="15"/>
        <v>0</v>
      </c>
      <c r="W188" s="99">
        <f t="shared" si="16"/>
        <v>3.0191941162226271E-2</v>
      </c>
    </row>
    <row r="189" spans="2:23">
      <c r="B189" s="140">
        <v>9.7791000000000003E-2</v>
      </c>
      <c r="C189" s="140">
        <v>1.283309</v>
      </c>
      <c r="J189" s="307">
        <f t="shared" si="12"/>
        <v>510.3</v>
      </c>
      <c r="K189">
        <v>90</v>
      </c>
      <c r="L189" s="69">
        <f t="shared" si="14"/>
        <v>53.323542025047772</v>
      </c>
      <c r="M189" s="69">
        <f t="shared" si="13"/>
        <v>612.55693535024795</v>
      </c>
      <c r="N189">
        <f t="shared" si="10"/>
        <v>385.45064723431625</v>
      </c>
      <c r="T189">
        <f t="shared" si="17"/>
        <v>4.2054733285000259</v>
      </c>
      <c r="U189">
        <v>2</v>
      </c>
      <c r="V189" s="69">
        <f t="shared" si="15"/>
        <v>0</v>
      </c>
      <c r="W189" s="99">
        <f t="shared" si="16"/>
        <v>0.12076776464890508</v>
      </c>
    </row>
    <row r="190" spans="2:23">
      <c r="B190" s="140">
        <v>0.107002</v>
      </c>
      <c r="C190" s="140">
        <v>1.345839</v>
      </c>
      <c r="J190">
        <f t="shared" si="12"/>
        <v>533.23199999999997</v>
      </c>
      <c r="K190">
        <v>92</v>
      </c>
      <c r="L190" s="69">
        <f t="shared" si="14"/>
        <v>54.50850962560439</v>
      </c>
      <c r="M190" s="69">
        <f t="shared" si="13"/>
        <v>640.08418528450613</v>
      </c>
      <c r="N190">
        <f t="shared" si="10"/>
        <v>402.77213311003129</v>
      </c>
      <c r="T190">
        <f t="shared" si="17"/>
        <v>6.3082099927500392</v>
      </c>
      <c r="U190" s="69">
        <v>3</v>
      </c>
      <c r="V190" s="69">
        <f t="shared" si="15"/>
        <v>0</v>
      </c>
      <c r="W190" s="99">
        <f t="shared" si="16"/>
        <v>0.27172747046003648</v>
      </c>
    </row>
    <row r="191" spans="2:23">
      <c r="J191" s="307">
        <f t="shared" si="12"/>
        <v>556.66800000000001</v>
      </c>
      <c r="K191">
        <v>94</v>
      </c>
      <c r="L191" s="69">
        <f t="shared" si="14"/>
        <v>55.693477226161008</v>
      </c>
      <c r="M191" s="69">
        <f t="shared" si="13"/>
        <v>668.21642972281359</v>
      </c>
      <c r="N191">
        <f t="shared" si="10"/>
        <v>420.47431098301468</v>
      </c>
      <c r="T191">
        <f t="shared" si="17"/>
        <v>8.4109466570000517</v>
      </c>
      <c r="U191">
        <v>4</v>
      </c>
      <c r="V191" s="69">
        <f t="shared" si="15"/>
        <v>0</v>
      </c>
      <c r="W191" s="99">
        <f t="shared" si="16"/>
        <v>0.48307105859562033</v>
      </c>
    </row>
    <row r="192" spans="2:23">
      <c r="J192">
        <f t="shared" si="12"/>
        <v>580.60799999999995</v>
      </c>
      <c r="K192">
        <v>96</v>
      </c>
      <c r="L192" s="69">
        <f t="shared" si="14"/>
        <v>56.878444826717626</v>
      </c>
      <c r="M192" s="69">
        <f t="shared" si="13"/>
        <v>696.95366866517099</v>
      </c>
      <c r="N192">
        <f t="shared" si="10"/>
        <v>438.55718085326652</v>
      </c>
      <c r="T192">
        <f t="shared" si="17"/>
        <v>10.513683321250065</v>
      </c>
      <c r="U192" s="69">
        <v>5</v>
      </c>
      <c r="V192" s="69">
        <f t="shared" si="15"/>
        <v>0</v>
      </c>
      <c r="W192" s="99">
        <f t="shared" si="16"/>
        <v>0.75479852905565681</v>
      </c>
    </row>
    <row r="193" spans="10:23">
      <c r="J193" s="307">
        <f t="shared" si="12"/>
        <v>605.05200000000002</v>
      </c>
      <c r="K193">
        <v>98</v>
      </c>
      <c r="L193" s="69">
        <f t="shared" si="14"/>
        <v>58.063412427274244</v>
      </c>
      <c r="M193" s="69">
        <f t="shared" si="13"/>
        <v>726.2959021115779</v>
      </c>
      <c r="N193">
        <f t="shared" si="10"/>
        <v>457.02074272078687</v>
      </c>
      <c r="T193">
        <f t="shared" si="17"/>
        <v>12.616419985500078</v>
      </c>
      <c r="U193">
        <v>6</v>
      </c>
      <c r="V193" s="69">
        <f t="shared" si="15"/>
        <v>0</v>
      </c>
      <c r="W193" s="99">
        <f t="shared" si="16"/>
        <v>1.0869098818401459</v>
      </c>
    </row>
    <row r="194" spans="10:23">
      <c r="J194">
        <f t="shared" si="12"/>
        <v>630</v>
      </c>
      <c r="K194">
        <v>100</v>
      </c>
      <c r="L194" s="69">
        <f t="shared" si="14"/>
        <v>59.248380027830862</v>
      </c>
      <c r="M194" s="69">
        <f t="shared" si="13"/>
        <v>756.24313006203442</v>
      </c>
      <c r="N194">
        <f t="shared" si="10"/>
        <v>475.86499658557568</v>
      </c>
      <c r="T194">
        <f t="shared" si="17"/>
        <v>14.71915664975009</v>
      </c>
      <c r="U194" s="69">
        <v>7</v>
      </c>
      <c r="V194" s="69">
        <f t="shared" si="15"/>
        <v>0</v>
      </c>
      <c r="W194" s="99">
        <f t="shared" si="16"/>
        <v>1.4794051169490869</v>
      </c>
    </row>
    <row r="195" spans="10:23">
      <c r="J195" s="307">
        <f t="shared" si="12"/>
        <v>655.452</v>
      </c>
      <c r="K195">
        <v>102</v>
      </c>
      <c r="L195" s="69">
        <f t="shared" si="14"/>
        <v>60.43334762838748</v>
      </c>
      <c r="M195" s="69">
        <f t="shared" si="13"/>
        <v>786.79535251654067</v>
      </c>
      <c r="N195">
        <f t="shared" si="10"/>
        <v>495.08994244763295</v>
      </c>
      <c r="T195">
        <f t="shared" si="17"/>
        <v>16.821893314000103</v>
      </c>
      <c r="U195">
        <v>8</v>
      </c>
      <c r="V195" s="69">
        <f t="shared" si="15"/>
        <v>0</v>
      </c>
      <c r="W195" s="99">
        <f t="shared" si="16"/>
        <v>1.9322842343824813</v>
      </c>
    </row>
    <row r="196" spans="10:23">
      <c r="J196">
        <f t="shared" si="12"/>
        <v>681.40800000000002</v>
      </c>
      <c r="K196">
        <v>104</v>
      </c>
      <c r="L196" s="69">
        <f t="shared" si="14"/>
        <v>61.618315228944091</v>
      </c>
      <c r="M196" s="69">
        <f t="shared" si="13"/>
        <v>817.95256947509642</v>
      </c>
      <c r="N196">
        <f t="shared" si="10"/>
        <v>514.69558030695862</v>
      </c>
      <c r="T196">
        <f t="shared" si="17"/>
        <v>18.924629978250117</v>
      </c>
      <c r="U196" s="69">
        <v>9</v>
      </c>
      <c r="V196" s="69">
        <f t="shared" si="15"/>
        <v>0</v>
      </c>
      <c r="W196" s="99">
        <f t="shared" si="16"/>
        <v>2.4455472341403279</v>
      </c>
    </row>
    <row r="197" spans="10:23">
      <c r="J197" s="307">
        <f t="shared" si="12"/>
        <v>707.86800000000005</v>
      </c>
      <c r="K197">
        <v>106</v>
      </c>
      <c r="L197" s="69">
        <f t="shared" si="14"/>
        <v>62.803282829500709</v>
      </c>
      <c r="M197" s="69">
        <f t="shared" si="13"/>
        <v>849.7147809377019</v>
      </c>
      <c r="N197">
        <f t="shared" si="10"/>
        <v>534.68191016355286</v>
      </c>
      <c r="T197">
        <f t="shared" si="17"/>
        <v>21.02736664250013</v>
      </c>
      <c r="U197">
        <v>10</v>
      </c>
      <c r="V197" s="69">
        <f t="shared" si="15"/>
        <v>0</v>
      </c>
      <c r="W197" s="99">
        <f t="shared" si="16"/>
        <v>3.0191941162226272</v>
      </c>
    </row>
    <row r="198" spans="10:23">
      <c r="J198">
        <f t="shared" si="12"/>
        <v>734.83199999999999</v>
      </c>
      <c r="K198">
        <v>108</v>
      </c>
      <c r="L198" s="69">
        <f t="shared" si="14"/>
        <v>63.988250430057327</v>
      </c>
      <c r="M198" s="69">
        <f t="shared" si="13"/>
        <v>882.081986904357</v>
      </c>
      <c r="N198">
        <f t="shared" si="10"/>
        <v>555.0489320174155</v>
      </c>
      <c r="T198">
        <f t="shared" si="17"/>
        <v>23.130103306750144</v>
      </c>
      <c r="U198" s="69">
        <v>11</v>
      </c>
      <c r="V198" s="69">
        <f t="shared" si="15"/>
        <v>0</v>
      </c>
      <c r="W198" s="99">
        <f t="shared" si="16"/>
        <v>3.653224880629379</v>
      </c>
    </row>
    <row r="199" spans="10:23">
      <c r="J199" s="307">
        <f t="shared" si="12"/>
        <v>762.3</v>
      </c>
      <c r="K199">
        <v>110</v>
      </c>
      <c r="L199" s="69">
        <f t="shared" si="14"/>
        <v>65.173218030613953</v>
      </c>
      <c r="M199" s="69">
        <f t="shared" si="13"/>
        <v>915.0541873750617</v>
      </c>
      <c r="N199">
        <f t="shared" si="10"/>
        <v>575.79664586854653</v>
      </c>
      <c r="T199">
        <f t="shared" si="17"/>
        <v>25.232839971000157</v>
      </c>
      <c r="U199">
        <v>12</v>
      </c>
      <c r="V199" s="69">
        <f t="shared" si="15"/>
        <v>0</v>
      </c>
      <c r="W199" s="99">
        <f t="shared" si="16"/>
        <v>4.3476395273605837</v>
      </c>
    </row>
    <row r="200" spans="10:23">
      <c r="J200">
        <f t="shared" si="12"/>
        <v>790.27200000000005</v>
      </c>
      <c r="K200">
        <v>112</v>
      </c>
      <c r="L200" s="69">
        <f t="shared" si="14"/>
        <v>66.358185631170556</v>
      </c>
      <c r="M200" s="69">
        <f t="shared" si="13"/>
        <v>948.63138234981614</v>
      </c>
      <c r="N200">
        <f t="shared" si="10"/>
        <v>596.92505171694609</v>
      </c>
      <c r="T200">
        <f t="shared" si="17"/>
        <v>27.33557663525017</v>
      </c>
      <c r="U200" s="69">
        <v>13</v>
      </c>
      <c r="V200" s="69">
        <f t="shared" si="15"/>
        <v>0</v>
      </c>
      <c r="W200" s="99">
        <f t="shared" si="16"/>
        <v>5.1024380564162408</v>
      </c>
    </row>
    <row r="201" spans="10:23">
      <c r="J201" s="307">
        <f t="shared" si="12"/>
        <v>818.74800000000005</v>
      </c>
      <c r="K201">
        <v>114</v>
      </c>
      <c r="L201" s="69">
        <f t="shared" si="14"/>
        <v>67.543153231727175</v>
      </c>
      <c r="M201" s="69">
        <f t="shared" si="13"/>
        <v>982.81357182862007</v>
      </c>
      <c r="N201">
        <f t="shared" si="10"/>
        <v>618.43414956261415</v>
      </c>
      <c r="T201">
        <f t="shared" si="17"/>
        <v>29.43831329950018</v>
      </c>
      <c r="U201">
        <v>14</v>
      </c>
      <c r="V201" s="69">
        <f t="shared" si="15"/>
        <v>0</v>
      </c>
      <c r="W201" s="99">
        <f t="shared" si="16"/>
        <v>5.9176204677963478</v>
      </c>
    </row>
    <row r="202" spans="10:23">
      <c r="J202">
        <f t="shared" si="12"/>
        <v>847.72799999999995</v>
      </c>
      <c r="K202">
        <v>116</v>
      </c>
      <c r="L202" s="69">
        <f t="shared" si="14"/>
        <v>68.728120832283793</v>
      </c>
      <c r="M202" s="69">
        <f t="shared" si="13"/>
        <v>1017.6007558114737</v>
      </c>
      <c r="N202">
        <f t="shared" si="10"/>
        <v>640.32393940555062</v>
      </c>
      <c r="T202">
        <f t="shared" si="17"/>
        <v>31.541049963750197</v>
      </c>
      <c r="U202" s="69">
        <v>15</v>
      </c>
      <c r="V202" s="69">
        <f t="shared" si="15"/>
        <v>0</v>
      </c>
      <c r="W202" s="99">
        <f t="shared" si="16"/>
        <v>6.7931867615009116</v>
      </c>
    </row>
    <row r="203" spans="10:23">
      <c r="J203" s="307">
        <f t="shared" si="12"/>
        <v>877.21199999999999</v>
      </c>
      <c r="K203">
        <v>118</v>
      </c>
      <c r="L203" s="69">
        <f t="shared" si="14"/>
        <v>69.913088432840411</v>
      </c>
      <c r="M203" s="69">
        <f t="shared" si="13"/>
        <v>1052.9929342983769</v>
      </c>
      <c r="N203">
        <f t="shared" si="10"/>
        <v>662.5944212457556</v>
      </c>
      <c r="T203">
        <f t="shared" si="17"/>
        <v>33.643786628000207</v>
      </c>
      <c r="U203">
        <v>16</v>
      </c>
      <c r="V203" s="69">
        <f t="shared" si="15"/>
        <v>0</v>
      </c>
      <c r="W203" s="99">
        <f t="shared" si="16"/>
        <v>7.7291369375299253</v>
      </c>
    </row>
    <row r="204" spans="10:23">
      <c r="J204">
        <f t="shared" si="12"/>
        <v>907.2</v>
      </c>
      <c r="K204">
        <v>120</v>
      </c>
      <c r="L204" s="69">
        <f t="shared" si="14"/>
        <v>71.098056033397029</v>
      </c>
      <c r="M204" s="69">
        <f t="shared" si="13"/>
        <v>1088.9901072893299</v>
      </c>
      <c r="N204">
        <f t="shared" si="10"/>
        <v>685.24559508322898</v>
      </c>
      <c r="T204">
        <f t="shared" si="17"/>
        <v>35.746523292250217</v>
      </c>
      <c r="U204" s="69">
        <v>17</v>
      </c>
      <c r="V204" s="69">
        <f t="shared" si="15"/>
        <v>0</v>
      </c>
      <c r="W204" s="99">
        <f t="shared" si="16"/>
        <v>8.7254709958833896</v>
      </c>
    </row>
    <row r="205" spans="10:23">
      <c r="J205" s="307">
        <f t="shared" si="12"/>
        <v>937.69200000000001</v>
      </c>
      <c r="K205">
        <v>122</v>
      </c>
      <c r="L205" s="69">
        <f t="shared" si="14"/>
        <v>72.283023633953647</v>
      </c>
      <c r="M205" s="69">
        <f t="shared" si="13"/>
        <v>1125.5922747843322</v>
      </c>
      <c r="N205">
        <f t="shared" si="10"/>
        <v>708.27746091797087</v>
      </c>
      <c r="T205">
        <f t="shared" si="17"/>
        <v>37.849259956500234</v>
      </c>
      <c r="U205">
        <v>18</v>
      </c>
      <c r="V205" s="69">
        <f t="shared" si="15"/>
        <v>0</v>
      </c>
      <c r="W205" s="99">
        <f t="shared" si="16"/>
        <v>9.7821889365613117</v>
      </c>
    </row>
    <row r="206" spans="10:23">
      <c r="J206">
        <f t="shared" si="12"/>
        <v>968.68799999999999</v>
      </c>
      <c r="K206">
        <v>124</v>
      </c>
      <c r="L206" s="69">
        <f t="shared" si="14"/>
        <v>73.467991234510265</v>
      </c>
      <c r="M206" s="69">
        <f t="shared" si="13"/>
        <v>1162.7994367833842</v>
      </c>
      <c r="N206">
        <f t="shared" si="10"/>
        <v>731.69001874998105</v>
      </c>
      <c r="T206">
        <f t="shared" si="17"/>
        <v>39.951996620750251</v>
      </c>
      <c r="U206" s="69">
        <v>19</v>
      </c>
      <c r="V206" s="69">
        <f t="shared" si="15"/>
        <v>0</v>
      </c>
      <c r="W206" s="99">
        <f t="shared" si="16"/>
        <v>10.899290759563685</v>
      </c>
    </row>
    <row r="207" spans="10:23">
      <c r="J207" s="307">
        <f t="shared" si="12"/>
        <v>1000.188</v>
      </c>
      <c r="K207">
        <v>126</v>
      </c>
      <c r="L207" s="69">
        <f t="shared" si="14"/>
        <v>74.652958835066883</v>
      </c>
      <c r="M207" s="69">
        <f t="shared" si="13"/>
        <v>1200.6115932864859</v>
      </c>
      <c r="N207">
        <f t="shared" si="10"/>
        <v>755.48326857925997</v>
      </c>
      <c r="T207">
        <f t="shared" si="17"/>
        <v>42.05473328500026</v>
      </c>
      <c r="U207">
        <v>20</v>
      </c>
      <c r="V207" s="69">
        <f t="shared" si="15"/>
        <v>0</v>
      </c>
      <c r="W207" s="99">
        <f t="shared" si="16"/>
        <v>12.076776464890509</v>
      </c>
    </row>
    <row r="208" spans="10:23">
      <c r="J208">
        <f t="shared" ref="J208:J239" si="18">0.063*K208^2</f>
        <v>1032.192</v>
      </c>
      <c r="K208">
        <v>128</v>
      </c>
      <c r="L208" s="69">
        <f t="shared" si="14"/>
        <v>75.837926435623501</v>
      </c>
      <c r="M208" s="69">
        <f t="shared" ref="M208:M239" si="19">0.5*C$109*K208^2*C$107*C$19</f>
        <v>1239.0287442936374</v>
      </c>
      <c r="N208">
        <f t="shared" ref="N208:N271" si="20">0.5*C$97*K208^2*C$107*C$19</f>
        <v>779.65721040580718</v>
      </c>
      <c r="T208">
        <f t="shared" si="17"/>
        <v>44.15746994925027</v>
      </c>
      <c r="U208" s="69">
        <v>21</v>
      </c>
      <c r="V208" s="69">
        <f t="shared" si="15"/>
        <v>0</v>
      </c>
      <c r="W208" s="99">
        <f t="shared" si="16"/>
        <v>13.314646052541782</v>
      </c>
    </row>
    <row r="209" spans="7:23">
      <c r="J209" s="307">
        <f t="shared" si="18"/>
        <v>1064.7</v>
      </c>
      <c r="K209">
        <v>130</v>
      </c>
      <c r="L209" s="69">
        <f t="shared" ref="L209:L240" si="21">SQRT(1)*K209/1.68780986</f>
        <v>77.022894036180119</v>
      </c>
      <c r="M209" s="69">
        <f t="shared" si="19"/>
        <v>1278.0508898048383</v>
      </c>
      <c r="N209">
        <f t="shared" si="20"/>
        <v>804.2118442296229</v>
      </c>
      <c r="T209">
        <f t="shared" si="17"/>
        <v>46.260206613500287</v>
      </c>
      <c r="U209">
        <v>22</v>
      </c>
      <c r="V209" s="69">
        <f t="shared" si="15"/>
        <v>0</v>
      </c>
      <c r="W209" s="99">
        <f t="shared" si="16"/>
        <v>14.612899522517516</v>
      </c>
    </row>
    <row r="210" spans="7:23">
      <c r="J210">
        <f t="shared" si="18"/>
        <v>1097.712</v>
      </c>
      <c r="K210">
        <v>132</v>
      </c>
      <c r="L210" s="69">
        <f t="shared" si="21"/>
        <v>78.207861636736737</v>
      </c>
      <c r="M210" s="69">
        <f t="shared" si="19"/>
        <v>1317.678029820089</v>
      </c>
      <c r="N210">
        <f t="shared" si="20"/>
        <v>829.14717005070713</v>
      </c>
      <c r="T210">
        <f t="shared" si="17"/>
        <v>48.362943277750304</v>
      </c>
      <c r="U210" s="69">
        <v>23</v>
      </c>
      <c r="V210" s="69">
        <f t="shared" si="15"/>
        <v>0</v>
      </c>
      <c r="W210" s="99">
        <f t="shared" si="16"/>
        <v>15.9715368748177</v>
      </c>
    </row>
    <row r="211" spans="7:23">
      <c r="J211" s="307">
        <f t="shared" si="18"/>
        <v>1131.2280000000001</v>
      </c>
      <c r="K211">
        <v>134</v>
      </c>
      <c r="L211" s="69">
        <f t="shared" si="21"/>
        <v>79.392829237293356</v>
      </c>
      <c r="M211" s="69">
        <f t="shared" si="19"/>
        <v>1357.9101643393892</v>
      </c>
      <c r="N211">
        <f t="shared" si="20"/>
        <v>854.46318786905965</v>
      </c>
      <c r="T211">
        <f t="shared" si="17"/>
        <v>50.465679942000314</v>
      </c>
      <c r="U211">
        <v>24</v>
      </c>
      <c r="V211" s="69">
        <f t="shared" si="15"/>
        <v>0</v>
      </c>
      <c r="W211" s="99">
        <f t="shared" si="16"/>
        <v>17.390558109442335</v>
      </c>
    </row>
    <row r="212" spans="7:23">
      <c r="J212">
        <f t="shared" si="18"/>
        <v>1165.248</v>
      </c>
      <c r="K212">
        <v>136</v>
      </c>
      <c r="L212" s="69">
        <f t="shared" si="21"/>
        <v>80.577796837849974</v>
      </c>
      <c r="M212" s="69">
        <f t="shared" si="19"/>
        <v>1398.7472933627391</v>
      </c>
      <c r="N212">
        <f t="shared" si="20"/>
        <v>880.15989768468069</v>
      </c>
      <c r="T212">
        <f t="shared" si="17"/>
        <v>52.568416606250331</v>
      </c>
      <c r="U212" s="69">
        <v>25</v>
      </c>
      <c r="V212" s="69">
        <f t="shared" si="15"/>
        <v>0</v>
      </c>
      <c r="W212" s="99">
        <f t="shared" si="16"/>
        <v>18.869963226391423</v>
      </c>
    </row>
    <row r="213" spans="7:23">
      <c r="J213" s="307">
        <f t="shared" si="18"/>
        <v>1199.7719999999999</v>
      </c>
      <c r="K213">
        <v>138</v>
      </c>
      <c r="L213" s="69">
        <f t="shared" si="21"/>
        <v>81.762764438406592</v>
      </c>
      <c r="M213" s="69">
        <f t="shared" si="19"/>
        <v>1440.1894168901385</v>
      </c>
      <c r="N213">
        <f t="shared" si="20"/>
        <v>906.23729949757023</v>
      </c>
      <c r="T213">
        <f t="shared" si="17"/>
        <v>54.671153270500341</v>
      </c>
      <c r="U213">
        <v>26</v>
      </c>
      <c r="V213" s="69">
        <f t="shared" si="15"/>
        <v>0</v>
      </c>
      <c r="W213" s="99">
        <f t="shared" si="16"/>
        <v>20.409752225664963</v>
      </c>
    </row>
    <row r="214" spans="7:23">
      <c r="J214">
        <f t="shared" si="18"/>
        <v>1234.8</v>
      </c>
      <c r="K214">
        <v>140</v>
      </c>
      <c r="L214" s="69">
        <f t="shared" si="21"/>
        <v>82.94773203896321</v>
      </c>
      <c r="M214" s="69">
        <f t="shared" si="19"/>
        <v>1482.2365349215875</v>
      </c>
      <c r="N214">
        <f t="shared" si="20"/>
        <v>932.6953933077283</v>
      </c>
      <c r="T214">
        <f t="shared" si="17"/>
        <v>56.773889934750351</v>
      </c>
      <c r="U214" s="69">
        <v>27</v>
      </c>
      <c r="V214" s="69">
        <f t="shared" si="15"/>
        <v>0</v>
      </c>
      <c r="W214" s="99">
        <f t="shared" si="16"/>
        <v>22.009925107262948</v>
      </c>
    </row>
    <row r="215" spans="7:23">
      <c r="J215" s="307">
        <f t="shared" si="18"/>
        <v>1270.3320000000001</v>
      </c>
      <c r="K215">
        <v>142</v>
      </c>
      <c r="L215" s="69">
        <f t="shared" si="21"/>
        <v>84.132699639519828</v>
      </c>
      <c r="M215" s="69">
        <f t="shared" si="19"/>
        <v>1524.8886474570863</v>
      </c>
      <c r="N215">
        <f t="shared" si="20"/>
        <v>959.53417911515476</v>
      </c>
      <c r="T215">
        <f t="shared" si="17"/>
        <v>58.87662659900036</v>
      </c>
      <c r="U215">
        <v>28</v>
      </c>
      <c r="V215" s="69">
        <f t="shared" si="15"/>
        <v>0</v>
      </c>
      <c r="W215" s="99">
        <f t="shared" si="16"/>
        <v>23.670481871185391</v>
      </c>
    </row>
    <row r="216" spans="7:23">
      <c r="J216">
        <f t="shared" si="18"/>
        <v>1306.3679999999999</v>
      </c>
      <c r="K216">
        <v>144</v>
      </c>
      <c r="L216" s="69">
        <f t="shared" si="21"/>
        <v>85.317667240076432</v>
      </c>
      <c r="M216" s="69">
        <f t="shared" si="19"/>
        <v>1568.1457544966347</v>
      </c>
      <c r="N216">
        <f t="shared" si="20"/>
        <v>986.75365691984973</v>
      </c>
      <c r="T216">
        <f t="shared" si="17"/>
        <v>60.979363263250384</v>
      </c>
      <c r="U216" s="69">
        <v>29</v>
      </c>
      <c r="V216" s="69">
        <f t="shared" si="15"/>
        <v>0</v>
      </c>
      <c r="W216" s="99">
        <f t="shared" si="16"/>
        <v>25.3914225174323</v>
      </c>
    </row>
    <row r="217" spans="7:23">
      <c r="J217" s="307">
        <f t="shared" si="18"/>
        <v>1342.9079999999999</v>
      </c>
      <c r="K217">
        <v>146</v>
      </c>
      <c r="L217" s="69">
        <f t="shared" si="21"/>
        <v>86.50263484063305</v>
      </c>
      <c r="M217" s="69">
        <f t="shared" si="19"/>
        <v>1612.0078560402328</v>
      </c>
      <c r="N217">
        <f t="shared" si="20"/>
        <v>1014.3538267218131</v>
      </c>
      <c r="T217">
        <f t="shared" si="17"/>
        <v>63.082099927500394</v>
      </c>
      <c r="U217">
        <v>30</v>
      </c>
      <c r="V217" s="69">
        <f t="shared" si="15"/>
        <v>0</v>
      </c>
      <c r="W217" s="99">
        <f t="shared" si="16"/>
        <v>27.172747046003646</v>
      </c>
    </row>
    <row r="218" spans="7:23">
      <c r="J218">
        <f t="shared" si="18"/>
        <v>1379.952</v>
      </c>
      <c r="K218">
        <v>148</v>
      </c>
      <c r="L218" s="69">
        <f t="shared" si="21"/>
        <v>87.687602441189668</v>
      </c>
      <c r="M218" s="69">
        <f t="shared" si="19"/>
        <v>1656.4749520878804</v>
      </c>
      <c r="N218">
        <f t="shared" si="20"/>
        <v>1042.3346885210449</v>
      </c>
      <c r="T218">
        <f t="shared" si="17"/>
        <v>65.184836591750397</v>
      </c>
      <c r="U218" s="69">
        <v>31</v>
      </c>
      <c r="V218" s="69">
        <f t="shared" si="15"/>
        <v>0</v>
      </c>
      <c r="W218" s="99">
        <f t="shared" si="16"/>
        <v>29.014455456899441</v>
      </c>
    </row>
    <row r="219" spans="7:23">
      <c r="J219" s="307">
        <f t="shared" si="18"/>
        <v>1417.5</v>
      </c>
      <c r="K219">
        <v>150</v>
      </c>
      <c r="L219" s="69">
        <f t="shared" si="21"/>
        <v>88.872570041746286</v>
      </c>
      <c r="M219" s="69">
        <f t="shared" si="19"/>
        <v>1701.5470426395775</v>
      </c>
      <c r="N219">
        <f t="shared" si="20"/>
        <v>1070.6962423175453</v>
      </c>
      <c r="T219">
        <f t="shared" si="17"/>
        <v>67.287573256000414</v>
      </c>
      <c r="U219">
        <v>32</v>
      </c>
      <c r="V219" s="69">
        <f t="shared" ref="V219:V250" si="22">0.5*L$109*T219^2*L$107*L$19</f>
        <v>0</v>
      </c>
      <c r="W219" s="99">
        <f t="shared" si="16"/>
        <v>30.916547750119701</v>
      </c>
    </row>
    <row r="220" spans="7:23">
      <c r="J220">
        <f t="shared" si="18"/>
        <v>1455.5519999999999</v>
      </c>
      <c r="K220">
        <v>152</v>
      </c>
      <c r="L220" s="69">
        <f t="shared" si="21"/>
        <v>90.057537642302904</v>
      </c>
      <c r="M220" s="69">
        <f t="shared" si="19"/>
        <v>1747.2241276953246</v>
      </c>
      <c r="N220">
        <f t="shared" si="20"/>
        <v>1099.438488111314</v>
      </c>
      <c r="T220">
        <f t="shared" si="17"/>
        <v>69.390309920250431</v>
      </c>
      <c r="U220" s="69">
        <v>33</v>
      </c>
      <c r="V220" s="69">
        <f t="shared" si="22"/>
        <v>0</v>
      </c>
      <c r="W220" s="99">
        <f t="shared" si="16"/>
        <v>32.879023925664413</v>
      </c>
    </row>
    <row r="221" spans="7:23">
      <c r="G221" s="9"/>
      <c r="H221" s="9"/>
      <c r="I221" s="9"/>
      <c r="J221" s="307">
        <f t="shared" si="18"/>
        <v>1494.1079999999999</v>
      </c>
      <c r="K221">
        <v>154</v>
      </c>
      <c r="L221" s="69">
        <f t="shared" si="21"/>
        <v>91.242505242859522</v>
      </c>
      <c r="M221" s="69">
        <f t="shared" si="19"/>
        <v>1793.5062072551209</v>
      </c>
      <c r="N221">
        <f t="shared" si="20"/>
        <v>1128.5614259023514</v>
      </c>
      <c r="T221">
        <f t="shared" si="17"/>
        <v>71.493046584500433</v>
      </c>
      <c r="U221">
        <v>34</v>
      </c>
      <c r="V221" s="69">
        <f t="shared" si="22"/>
        <v>0</v>
      </c>
      <c r="W221" s="99">
        <f t="shared" si="16"/>
        <v>34.901883983533558</v>
      </c>
    </row>
    <row r="222" spans="7:23">
      <c r="J222">
        <f t="shared" si="18"/>
        <v>1533.1680000000001</v>
      </c>
      <c r="K222">
        <v>156</v>
      </c>
      <c r="L222" s="69">
        <f t="shared" si="21"/>
        <v>92.42747284341614</v>
      </c>
      <c r="M222" s="69">
        <f t="shared" si="19"/>
        <v>1840.3932813189672</v>
      </c>
      <c r="N222">
        <f t="shared" si="20"/>
        <v>1158.0650556906569</v>
      </c>
      <c r="T222">
        <f t="shared" si="17"/>
        <v>73.595783248750465</v>
      </c>
      <c r="U222" s="69">
        <v>35</v>
      </c>
      <c r="V222" s="69">
        <f t="shared" si="22"/>
        <v>0</v>
      </c>
      <c r="W222" s="99">
        <f t="shared" si="16"/>
        <v>36.985127923727191</v>
      </c>
    </row>
    <row r="223" spans="7:23">
      <c r="J223" s="307">
        <f t="shared" si="18"/>
        <v>1572.732</v>
      </c>
      <c r="K223">
        <v>158</v>
      </c>
      <c r="L223" s="69">
        <f t="shared" si="21"/>
        <v>93.612440443972758</v>
      </c>
      <c r="M223" s="69">
        <f t="shared" si="19"/>
        <v>1887.885349886863</v>
      </c>
      <c r="N223">
        <f t="shared" si="20"/>
        <v>1187.9493774762311</v>
      </c>
      <c r="T223">
        <f t="shared" si="17"/>
        <v>75.698519913000467</v>
      </c>
      <c r="U223">
        <v>36</v>
      </c>
      <c r="V223" s="69">
        <f t="shared" si="22"/>
        <v>0</v>
      </c>
      <c r="W223" s="99">
        <f t="shared" si="16"/>
        <v>39.128755746245247</v>
      </c>
    </row>
    <row r="224" spans="7:23">
      <c r="J224">
        <f t="shared" si="18"/>
        <v>1612.8</v>
      </c>
      <c r="K224">
        <v>160</v>
      </c>
      <c r="L224" s="69">
        <f t="shared" si="21"/>
        <v>94.797408044529377</v>
      </c>
      <c r="M224" s="69">
        <f t="shared" si="19"/>
        <v>1935.9824129588085</v>
      </c>
      <c r="N224">
        <f t="shared" si="20"/>
        <v>1218.2143912590736</v>
      </c>
      <c r="T224">
        <f t="shared" si="17"/>
        <v>77.801256577250484</v>
      </c>
      <c r="U224" s="69">
        <v>37</v>
      </c>
      <c r="V224" s="69">
        <f t="shared" si="22"/>
        <v>0</v>
      </c>
      <c r="W224" s="99">
        <f t="shared" si="16"/>
        <v>41.332767451087769</v>
      </c>
    </row>
    <row r="225" spans="10:23">
      <c r="J225" s="307">
        <f t="shared" si="18"/>
        <v>1653.3720000000001</v>
      </c>
      <c r="K225">
        <v>162</v>
      </c>
      <c r="L225" s="69">
        <f t="shared" si="21"/>
        <v>95.982375645085995</v>
      </c>
      <c r="M225" s="69">
        <f t="shared" si="19"/>
        <v>1984.6844705348035</v>
      </c>
      <c r="N225">
        <f t="shared" si="20"/>
        <v>1248.8600970391847</v>
      </c>
      <c r="T225">
        <f t="shared" si="17"/>
        <v>79.903993241500501</v>
      </c>
      <c r="U225">
        <v>38</v>
      </c>
      <c r="V225" s="69">
        <f t="shared" si="22"/>
        <v>0</v>
      </c>
      <c r="W225" s="99">
        <f t="shared" si="16"/>
        <v>43.597163038254742</v>
      </c>
    </row>
    <row r="226" spans="10:23">
      <c r="J226">
        <f t="shared" si="18"/>
        <v>1694.4480000000001</v>
      </c>
      <c r="K226">
        <v>164</v>
      </c>
      <c r="L226" s="69">
        <f t="shared" si="21"/>
        <v>97.167343245642613</v>
      </c>
      <c r="M226" s="69">
        <f t="shared" si="19"/>
        <v>2033.991522614848</v>
      </c>
      <c r="N226">
        <f t="shared" si="20"/>
        <v>1279.8864948165644</v>
      </c>
      <c r="T226">
        <f t="shared" si="17"/>
        <v>82.006729905750504</v>
      </c>
      <c r="U226" s="69">
        <v>39</v>
      </c>
      <c r="V226" s="69">
        <f t="shared" si="22"/>
        <v>0</v>
      </c>
      <c r="W226" s="99">
        <f t="shared" si="16"/>
        <v>45.921942507746159</v>
      </c>
    </row>
    <row r="227" spans="10:23">
      <c r="J227" s="307">
        <f>0.065*K227^2</f>
        <v>1791.14</v>
      </c>
      <c r="K227">
        <v>166</v>
      </c>
      <c r="L227" s="69">
        <f t="shared" si="21"/>
        <v>98.352310846199231</v>
      </c>
      <c r="M227" s="69">
        <f t="shared" si="19"/>
        <v>2083.903569198942</v>
      </c>
      <c r="N227">
        <f t="shared" si="20"/>
        <v>1311.2935845912125</v>
      </c>
      <c r="T227">
        <f t="shared" si="17"/>
        <v>84.109466570000521</v>
      </c>
      <c r="U227">
        <v>40</v>
      </c>
      <c r="V227" s="69">
        <f t="shared" si="22"/>
        <v>0</v>
      </c>
      <c r="W227" s="99">
        <f t="shared" si="16"/>
        <v>48.307105859562036</v>
      </c>
    </row>
    <row r="228" spans="10:23">
      <c r="J228">
        <f t="shared" ref="J228:J260" si="23">(0.065+0.005*(K228-K$227))*K228^2</f>
        <v>2116.7999999999997</v>
      </c>
      <c r="K228">
        <v>168</v>
      </c>
      <c r="L228" s="69">
        <f t="shared" si="21"/>
        <v>99.537278446755849</v>
      </c>
      <c r="M228" s="69">
        <f t="shared" si="19"/>
        <v>2134.4206102870858</v>
      </c>
      <c r="N228">
        <f t="shared" si="20"/>
        <v>1343.0813663631286</v>
      </c>
      <c r="T228">
        <f t="shared" si="17"/>
        <v>86.212203234250538</v>
      </c>
      <c r="U228" s="69">
        <v>41</v>
      </c>
      <c r="V228" s="69">
        <f t="shared" si="22"/>
        <v>0</v>
      </c>
      <c r="W228" s="99">
        <f t="shared" si="16"/>
        <v>50.752653093702364</v>
      </c>
    </row>
    <row r="229" spans="10:23">
      <c r="J229" s="307">
        <f t="shared" si="23"/>
        <v>2456.5</v>
      </c>
      <c r="K229">
        <v>170</v>
      </c>
      <c r="L229" s="69">
        <f t="shared" si="21"/>
        <v>100.72224604731247</v>
      </c>
      <c r="M229" s="69">
        <f t="shared" si="19"/>
        <v>2185.5426458792799</v>
      </c>
      <c r="N229">
        <f t="shared" si="20"/>
        <v>1375.2498401323137</v>
      </c>
      <c r="T229">
        <f t="shared" si="17"/>
        <v>88.31493989850054</v>
      </c>
      <c r="U229">
        <v>42</v>
      </c>
      <c r="V229" s="69">
        <f t="shared" si="22"/>
        <v>0</v>
      </c>
      <c r="W229" s="99">
        <f t="shared" si="16"/>
        <v>53.258584210167129</v>
      </c>
    </row>
    <row r="230" spans="10:23">
      <c r="J230">
        <f t="shared" si="23"/>
        <v>2810.48</v>
      </c>
      <c r="K230">
        <v>172</v>
      </c>
      <c r="L230" s="69">
        <f t="shared" si="21"/>
        <v>101.90721364786909</v>
      </c>
      <c r="M230" s="69">
        <f t="shared" si="19"/>
        <v>2237.2696759755231</v>
      </c>
      <c r="N230">
        <f t="shared" si="20"/>
        <v>1407.7990058987671</v>
      </c>
      <c r="T230">
        <f t="shared" si="17"/>
        <v>90.417676562750572</v>
      </c>
      <c r="U230" s="69">
        <v>43</v>
      </c>
      <c r="V230" s="69">
        <f t="shared" si="22"/>
        <v>0</v>
      </c>
      <c r="W230" s="99">
        <f t="shared" si="16"/>
        <v>55.824899208956388</v>
      </c>
    </row>
    <row r="231" spans="10:23">
      <c r="J231" s="307">
        <f t="shared" si="23"/>
        <v>3178.9800000000005</v>
      </c>
      <c r="K231">
        <v>174</v>
      </c>
      <c r="L231" s="69">
        <f t="shared" si="21"/>
        <v>103.0921812484257</v>
      </c>
      <c r="M231" s="69">
        <f t="shared" si="19"/>
        <v>2289.6017005758158</v>
      </c>
      <c r="N231">
        <f t="shared" si="20"/>
        <v>1440.7288636624887</v>
      </c>
      <c r="T231">
        <f t="shared" si="17"/>
        <v>92.520413227000574</v>
      </c>
      <c r="U231">
        <v>44</v>
      </c>
      <c r="V231" s="69">
        <f t="shared" si="22"/>
        <v>0</v>
      </c>
      <c r="W231" s="99">
        <f t="shared" si="16"/>
        <v>58.451598090070064</v>
      </c>
    </row>
    <row r="232" spans="10:23">
      <c r="J232">
        <f t="shared" si="23"/>
        <v>3562.2400000000002</v>
      </c>
      <c r="K232">
        <v>176</v>
      </c>
      <c r="L232" s="69">
        <f t="shared" si="21"/>
        <v>104.27714884898231</v>
      </c>
      <c r="M232" s="69">
        <f t="shared" si="19"/>
        <v>2342.5387196801585</v>
      </c>
      <c r="N232">
        <f t="shared" si="20"/>
        <v>1474.0394134234791</v>
      </c>
      <c r="T232">
        <f t="shared" si="17"/>
        <v>94.623149891250591</v>
      </c>
      <c r="U232" s="69">
        <v>45</v>
      </c>
      <c r="V232" s="69">
        <f t="shared" si="22"/>
        <v>0</v>
      </c>
      <c r="W232" s="99">
        <f t="shared" si="16"/>
        <v>61.138680853508212</v>
      </c>
    </row>
    <row r="233" spans="10:23">
      <c r="J233" s="307">
        <f t="shared" si="23"/>
        <v>3960.5</v>
      </c>
      <c r="K233">
        <v>178</v>
      </c>
      <c r="L233" s="69">
        <f t="shared" si="21"/>
        <v>105.46211644953893</v>
      </c>
      <c r="M233" s="69">
        <f t="shared" si="19"/>
        <v>2396.0807332885502</v>
      </c>
      <c r="N233">
        <f t="shared" si="20"/>
        <v>1507.730655181738</v>
      </c>
      <c r="T233">
        <f t="shared" si="17"/>
        <v>96.725886555500608</v>
      </c>
      <c r="U233">
        <v>46</v>
      </c>
      <c r="V233" s="69">
        <f t="shared" si="22"/>
        <v>0</v>
      </c>
      <c r="W233" s="99">
        <f t="shared" si="16"/>
        <v>63.886147499270798</v>
      </c>
    </row>
    <row r="234" spans="10:23">
      <c r="J234">
        <f t="shared" si="23"/>
        <v>4374</v>
      </c>
      <c r="K234">
        <v>180</v>
      </c>
      <c r="L234" s="69">
        <f t="shared" si="21"/>
        <v>106.64708405009554</v>
      </c>
      <c r="M234" s="69">
        <f t="shared" si="19"/>
        <v>2450.2277414009918</v>
      </c>
      <c r="N234">
        <f t="shared" si="20"/>
        <v>1541.802588937265</v>
      </c>
      <c r="T234">
        <f t="shared" si="17"/>
        <v>98.828623219750611</v>
      </c>
      <c r="U234" s="69">
        <v>47</v>
      </c>
      <c r="V234" s="69">
        <f t="shared" si="22"/>
        <v>0</v>
      </c>
      <c r="W234" s="99">
        <f t="shared" si="16"/>
        <v>66.693998027357836</v>
      </c>
    </row>
    <row r="235" spans="10:23">
      <c r="J235" s="307">
        <f t="shared" si="23"/>
        <v>4802.9800000000005</v>
      </c>
      <c r="K235">
        <v>182</v>
      </c>
      <c r="L235" s="69">
        <f t="shared" si="21"/>
        <v>107.83205165065216</v>
      </c>
      <c r="M235" s="69">
        <f t="shared" si="19"/>
        <v>2504.9797440174834</v>
      </c>
      <c r="N235">
        <f t="shared" si="20"/>
        <v>1576.2552146900609</v>
      </c>
      <c r="T235">
        <f t="shared" si="17"/>
        <v>100.93135988400063</v>
      </c>
      <c r="U235">
        <v>48</v>
      </c>
      <c r="V235" s="69">
        <f t="shared" si="22"/>
        <v>0</v>
      </c>
      <c r="W235" s="99">
        <f t="shared" si="16"/>
        <v>69.562232437769339</v>
      </c>
    </row>
    <row r="236" spans="10:23">
      <c r="J236">
        <f t="shared" si="23"/>
        <v>5247.68</v>
      </c>
      <c r="K236">
        <v>184</v>
      </c>
      <c r="L236" s="69">
        <f t="shared" si="21"/>
        <v>109.01701925120878</v>
      </c>
      <c r="M236" s="69">
        <f t="shared" si="19"/>
        <v>2560.3367411380245</v>
      </c>
      <c r="N236">
        <f t="shared" si="20"/>
        <v>1611.0885324401252</v>
      </c>
      <c r="T236">
        <f t="shared" si="17"/>
        <v>103.03409654825064</v>
      </c>
      <c r="U236" s="69">
        <v>49</v>
      </c>
      <c r="V236" s="69">
        <f t="shared" si="22"/>
        <v>0</v>
      </c>
      <c r="W236" s="99">
        <f t="shared" si="16"/>
        <v>72.490850730505301</v>
      </c>
    </row>
    <row r="237" spans="10:23">
      <c r="J237" s="307">
        <f t="shared" si="23"/>
        <v>5708.34</v>
      </c>
      <c r="K237">
        <v>186</v>
      </c>
      <c r="L237" s="69">
        <f t="shared" si="21"/>
        <v>110.2019868517654</v>
      </c>
      <c r="M237" s="69">
        <f t="shared" si="19"/>
        <v>2616.2987327626147</v>
      </c>
      <c r="N237">
        <f t="shared" si="20"/>
        <v>1646.3025421874574</v>
      </c>
      <c r="T237">
        <f t="shared" si="17"/>
        <v>105.13683321250066</v>
      </c>
      <c r="U237">
        <v>50</v>
      </c>
      <c r="V237" s="69">
        <f t="shared" si="22"/>
        <v>0</v>
      </c>
      <c r="W237" s="99">
        <f t="shared" si="16"/>
        <v>75.479852905565693</v>
      </c>
    </row>
    <row r="238" spans="10:23">
      <c r="J238">
        <f t="shared" si="23"/>
        <v>6185.2</v>
      </c>
      <c r="K238">
        <v>188</v>
      </c>
      <c r="L238" s="69">
        <f t="shared" si="21"/>
        <v>111.38695445232202</v>
      </c>
      <c r="M238" s="69">
        <f t="shared" si="19"/>
        <v>2672.8657188912543</v>
      </c>
      <c r="N238">
        <f t="shared" si="20"/>
        <v>1681.8972439320587</v>
      </c>
      <c r="T238">
        <f t="shared" si="17"/>
        <v>107.23956987675066</v>
      </c>
      <c r="U238" s="69">
        <v>51</v>
      </c>
      <c r="V238" s="69">
        <f t="shared" si="22"/>
        <v>0</v>
      </c>
      <c r="W238" s="99">
        <f t="shared" si="16"/>
        <v>78.529238962950529</v>
      </c>
    </row>
    <row r="239" spans="10:23">
      <c r="J239" s="307">
        <f t="shared" si="23"/>
        <v>6678.5</v>
      </c>
      <c r="K239">
        <v>190</v>
      </c>
      <c r="L239" s="69">
        <f t="shared" si="21"/>
        <v>112.57192205287863</v>
      </c>
      <c r="M239" s="69">
        <f t="shared" si="19"/>
        <v>2730.0376995239449</v>
      </c>
      <c r="N239">
        <f t="shared" si="20"/>
        <v>1717.872637673928</v>
      </c>
      <c r="T239">
        <f t="shared" si="17"/>
        <v>109.34230654100068</v>
      </c>
      <c r="U239">
        <v>52</v>
      </c>
      <c r="V239" s="69">
        <f t="shared" si="22"/>
        <v>0</v>
      </c>
      <c r="W239" s="99">
        <f t="shared" si="16"/>
        <v>81.639008902659853</v>
      </c>
    </row>
    <row r="240" spans="10:23">
      <c r="J240">
        <f t="shared" si="23"/>
        <v>7188.4800000000005</v>
      </c>
      <c r="K240">
        <v>192</v>
      </c>
      <c r="L240" s="69">
        <f t="shared" si="21"/>
        <v>113.75688965343525</v>
      </c>
      <c r="M240" s="69">
        <f t="shared" ref="M240:M260" si="24">0.5*C$109*K240^2*C$107*C$19</f>
        <v>2787.814674660684</v>
      </c>
      <c r="N240">
        <f t="shared" si="20"/>
        <v>1754.2287234130661</v>
      </c>
      <c r="T240">
        <f t="shared" si="17"/>
        <v>111.44504320525068</v>
      </c>
      <c r="U240" s="69">
        <v>53</v>
      </c>
      <c r="V240" s="69">
        <f t="shared" si="22"/>
        <v>0</v>
      </c>
      <c r="W240" s="99">
        <f t="shared" si="16"/>
        <v>84.809162724693593</v>
      </c>
    </row>
    <row r="241" spans="10:23">
      <c r="J241" s="307">
        <f t="shared" si="23"/>
        <v>7715.380000000001</v>
      </c>
      <c r="K241">
        <v>194</v>
      </c>
      <c r="L241" s="69">
        <f t="shared" ref="L241:L260" si="25">SQRT(1)*K241/1.68780986</f>
        <v>114.94185725399187</v>
      </c>
      <c r="M241" s="69">
        <f t="shared" si="24"/>
        <v>2846.196644301473</v>
      </c>
      <c r="N241">
        <f t="shared" si="20"/>
        <v>1790.9655011494726</v>
      </c>
      <c r="T241">
        <f t="shared" si="17"/>
        <v>113.5477798695007</v>
      </c>
      <c r="U241">
        <v>54</v>
      </c>
      <c r="V241" s="69">
        <f t="shared" si="22"/>
        <v>0</v>
      </c>
      <c r="W241" s="99">
        <f t="shared" si="16"/>
        <v>88.039700429051791</v>
      </c>
    </row>
    <row r="242" spans="10:23">
      <c r="J242">
        <f t="shared" si="23"/>
        <v>8259.44</v>
      </c>
      <c r="K242">
        <v>196</v>
      </c>
      <c r="L242" s="69">
        <f t="shared" si="25"/>
        <v>116.12682485454849</v>
      </c>
      <c r="M242" s="69">
        <f t="shared" si="24"/>
        <v>2905.1836084463116</v>
      </c>
      <c r="N242">
        <f t="shared" si="20"/>
        <v>1828.0829708831475</v>
      </c>
      <c r="T242">
        <f t="shared" si="17"/>
        <v>115.65051653375072</v>
      </c>
      <c r="U242" s="69">
        <v>55</v>
      </c>
      <c r="V242" s="69">
        <f t="shared" si="22"/>
        <v>0</v>
      </c>
      <c r="W242" s="99">
        <f t="shared" si="16"/>
        <v>91.330622015734463</v>
      </c>
    </row>
    <row r="243" spans="10:23">
      <c r="J243" s="307">
        <f t="shared" si="23"/>
        <v>8820.9</v>
      </c>
      <c r="K243">
        <v>198</v>
      </c>
      <c r="L243" s="69">
        <f t="shared" si="25"/>
        <v>117.31179245510511</v>
      </c>
      <c r="M243" s="69">
        <f t="shared" si="24"/>
        <v>2964.7755670951997</v>
      </c>
      <c r="N243">
        <f t="shared" si="20"/>
        <v>1865.5811326140908</v>
      </c>
      <c r="T243">
        <f t="shared" si="17"/>
        <v>117.75325319800072</v>
      </c>
      <c r="U243">
        <v>56</v>
      </c>
      <c r="V243" s="69">
        <f t="shared" si="22"/>
        <v>0</v>
      </c>
      <c r="W243" s="99">
        <f t="shared" si="16"/>
        <v>94.681927484741564</v>
      </c>
    </row>
    <row r="244" spans="10:23">
      <c r="J244">
        <f t="shared" si="23"/>
        <v>9400</v>
      </c>
      <c r="K244">
        <v>200</v>
      </c>
      <c r="L244" s="69">
        <f t="shared" si="25"/>
        <v>118.49676005566172</v>
      </c>
      <c r="M244" s="69">
        <f t="shared" si="24"/>
        <v>3024.9725202481377</v>
      </c>
      <c r="N244">
        <f t="shared" si="20"/>
        <v>1903.4599863423027</v>
      </c>
      <c r="T244">
        <f t="shared" si="17"/>
        <v>119.85598986225074</v>
      </c>
      <c r="U244" s="69">
        <v>57</v>
      </c>
      <c r="V244" s="69">
        <f t="shared" si="22"/>
        <v>0</v>
      </c>
      <c r="W244" s="99">
        <f t="shared" si="16"/>
        <v>98.093616836073153</v>
      </c>
    </row>
    <row r="245" spans="10:23">
      <c r="J245" s="307">
        <f t="shared" si="23"/>
        <v>9996.98</v>
      </c>
      <c r="K245">
        <v>202</v>
      </c>
      <c r="L245" s="69">
        <f t="shared" si="25"/>
        <v>119.68172765621834</v>
      </c>
      <c r="M245" s="69">
        <f t="shared" si="24"/>
        <v>3085.7744679051257</v>
      </c>
      <c r="N245">
        <f t="shared" si="20"/>
        <v>1941.7195320677831</v>
      </c>
      <c r="T245">
        <f t="shared" si="17"/>
        <v>121.95872652650077</v>
      </c>
      <c r="U245">
        <v>58</v>
      </c>
      <c r="V245" s="69">
        <f t="shared" si="22"/>
        <v>0</v>
      </c>
      <c r="W245" s="99">
        <f t="shared" si="16"/>
        <v>101.5656900697292</v>
      </c>
    </row>
    <row r="246" spans="10:23">
      <c r="J246">
        <f t="shared" si="23"/>
        <v>10612.08</v>
      </c>
      <c r="K246">
        <v>204</v>
      </c>
      <c r="L246" s="69">
        <f t="shared" si="25"/>
        <v>120.86669525677496</v>
      </c>
      <c r="M246" s="69">
        <f t="shared" si="24"/>
        <v>3147.1814100661627</v>
      </c>
      <c r="N246">
        <f t="shared" si="20"/>
        <v>1980.3597697905318</v>
      </c>
      <c r="T246">
        <f t="shared" si="17"/>
        <v>124.06146319075076</v>
      </c>
      <c r="U246" s="69">
        <v>59</v>
      </c>
      <c r="V246" s="69">
        <f t="shared" si="22"/>
        <v>0</v>
      </c>
      <c r="W246" s="99">
        <f t="shared" si="16"/>
        <v>105.09814718570964</v>
      </c>
    </row>
    <row r="247" spans="10:23">
      <c r="J247" s="307">
        <f t="shared" si="23"/>
        <v>11245.54</v>
      </c>
      <c r="K247">
        <v>206</v>
      </c>
      <c r="L247" s="69">
        <f t="shared" si="25"/>
        <v>122.05166285733158</v>
      </c>
      <c r="M247" s="69">
        <f t="shared" si="24"/>
        <v>3209.1933467312497</v>
      </c>
      <c r="N247">
        <f t="shared" si="20"/>
        <v>2019.3806995105488</v>
      </c>
      <c r="T247">
        <f t="shared" si="17"/>
        <v>126.16419985500079</v>
      </c>
      <c r="U247">
        <v>60</v>
      </c>
      <c r="V247" s="69">
        <f t="shared" si="22"/>
        <v>0</v>
      </c>
      <c r="W247" s="99">
        <f t="shared" si="16"/>
        <v>108.69098818401459</v>
      </c>
    </row>
    <row r="248" spans="10:23">
      <c r="J248">
        <f t="shared" si="23"/>
        <v>11897.6</v>
      </c>
      <c r="K248">
        <v>208</v>
      </c>
      <c r="L248" s="69">
        <f t="shared" si="25"/>
        <v>123.23663045788818</v>
      </c>
      <c r="M248" s="69">
        <f t="shared" si="24"/>
        <v>3271.8102779003857</v>
      </c>
      <c r="N248">
        <f t="shared" si="20"/>
        <v>2058.7823212278345</v>
      </c>
      <c r="T248">
        <f t="shared" si="17"/>
        <v>128.26693651925081</v>
      </c>
      <c r="U248" s="69">
        <v>61</v>
      </c>
      <c r="V248" s="69">
        <f t="shared" si="22"/>
        <v>0</v>
      </c>
      <c r="W248" s="99">
        <f t="shared" si="16"/>
        <v>112.34421306464399</v>
      </c>
    </row>
    <row r="249" spans="10:23">
      <c r="J249" s="307">
        <f t="shared" si="23"/>
        <v>12568.500000000002</v>
      </c>
      <c r="K249">
        <v>210</v>
      </c>
      <c r="L249" s="69">
        <f t="shared" si="25"/>
        <v>124.4215980584448</v>
      </c>
      <c r="M249" s="69">
        <f t="shared" si="24"/>
        <v>3335.0322035735726</v>
      </c>
      <c r="N249">
        <f t="shared" si="20"/>
        <v>2098.5646349423887</v>
      </c>
      <c r="T249">
        <f t="shared" si="17"/>
        <v>130.36967318350079</v>
      </c>
      <c r="U249">
        <v>62</v>
      </c>
      <c r="V249" s="69">
        <f t="shared" si="22"/>
        <v>0</v>
      </c>
      <c r="W249" s="99">
        <f t="shared" si="16"/>
        <v>116.05782182759776</v>
      </c>
    </row>
    <row r="250" spans="10:23">
      <c r="J250">
        <f t="shared" si="23"/>
        <v>13258.480000000001</v>
      </c>
      <c r="K250">
        <v>212</v>
      </c>
      <c r="L250" s="69">
        <f t="shared" si="25"/>
        <v>125.60656565900142</v>
      </c>
      <c r="M250" s="69">
        <f t="shared" si="24"/>
        <v>3398.8591237508076</v>
      </c>
      <c r="N250">
        <f t="shared" si="20"/>
        <v>2138.7276406542114</v>
      </c>
      <c r="T250">
        <f t="shared" si="17"/>
        <v>132.47240984775081</v>
      </c>
      <c r="U250" s="69">
        <v>63</v>
      </c>
      <c r="V250" s="69">
        <f t="shared" si="22"/>
        <v>0</v>
      </c>
      <c r="W250" s="99">
        <f t="shared" si="16"/>
        <v>119.83181447287606</v>
      </c>
    </row>
    <row r="251" spans="10:23">
      <c r="J251" s="307">
        <f t="shared" si="23"/>
        <v>13967.779999999999</v>
      </c>
      <c r="K251">
        <v>214</v>
      </c>
      <c r="L251" s="69">
        <f t="shared" si="25"/>
        <v>126.79153325955804</v>
      </c>
      <c r="M251" s="69">
        <f t="shared" si="24"/>
        <v>3463.291038432093</v>
      </c>
      <c r="N251">
        <f t="shared" si="20"/>
        <v>2179.2713383633022</v>
      </c>
      <c r="T251">
        <f t="shared" si="17"/>
        <v>134.57514651200083</v>
      </c>
      <c r="U251">
        <v>64</v>
      </c>
      <c r="V251" s="69">
        <f t="shared" ref="V251:V282" si="26">0.5*L$109*T251^2*L$107*L$19</f>
        <v>0</v>
      </c>
      <c r="W251" s="99">
        <f t="shared" ref="W251:W314" si="27">0.5*$C$97*T251^2*$C$95*$C$19</f>
        <v>123.6661910004788</v>
      </c>
    </row>
    <row r="252" spans="10:23">
      <c r="J252">
        <f t="shared" si="23"/>
        <v>14696.64</v>
      </c>
      <c r="K252">
        <v>216</v>
      </c>
      <c r="L252" s="69">
        <f t="shared" si="25"/>
        <v>127.97650086011465</v>
      </c>
      <c r="M252" s="69">
        <f t="shared" si="24"/>
        <v>3528.327947617428</v>
      </c>
      <c r="N252">
        <f t="shared" si="20"/>
        <v>2220.195728069662</v>
      </c>
      <c r="T252">
        <f t="shared" ref="T252:T315" si="28">U252/SQRT($C$11)*1.668</f>
        <v>136.67788317625084</v>
      </c>
      <c r="U252" s="69">
        <v>65</v>
      </c>
      <c r="V252" s="69">
        <f t="shared" si="26"/>
        <v>0</v>
      </c>
      <c r="W252" s="99">
        <f t="shared" si="27"/>
        <v>127.56095141040599</v>
      </c>
    </row>
    <row r="253" spans="10:23">
      <c r="J253" s="307">
        <f t="shared" si="23"/>
        <v>15445.300000000001</v>
      </c>
      <c r="K253">
        <v>218</v>
      </c>
      <c r="L253" s="69">
        <f t="shared" si="25"/>
        <v>129.16146846067127</v>
      </c>
      <c r="M253" s="69">
        <f t="shared" si="24"/>
        <v>3593.9698513068124</v>
      </c>
      <c r="N253">
        <f t="shared" si="20"/>
        <v>2261.5008097732898</v>
      </c>
      <c r="T253">
        <f t="shared" si="28"/>
        <v>138.78061984050086</v>
      </c>
      <c r="U253">
        <v>66</v>
      </c>
      <c r="V253" s="69">
        <f t="shared" si="26"/>
        <v>0</v>
      </c>
      <c r="W253" s="99">
        <f t="shared" si="27"/>
        <v>131.51609570265765</v>
      </c>
    </row>
    <row r="254" spans="10:23">
      <c r="J254">
        <f t="shared" si="23"/>
        <v>16214.000000000002</v>
      </c>
      <c r="K254">
        <v>220</v>
      </c>
      <c r="L254" s="69">
        <f t="shared" si="25"/>
        <v>130.34643606122791</v>
      </c>
      <c r="M254" s="69">
        <f t="shared" si="24"/>
        <v>3660.2167495002468</v>
      </c>
      <c r="N254">
        <f t="shared" si="20"/>
        <v>2303.1865834741861</v>
      </c>
      <c r="T254">
        <f t="shared" si="28"/>
        <v>140.88335650475088</v>
      </c>
      <c r="U254" s="69">
        <v>67</v>
      </c>
      <c r="V254" s="69">
        <f t="shared" si="26"/>
        <v>0</v>
      </c>
      <c r="W254" s="99">
        <f t="shared" si="27"/>
        <v>135.53162387723373</v>
      </c>
    </row>
    <row r="255" spans="10:23">
      <c r="J255" s="307">
        <f t="shared" si="23"/>
        <v>17002.980000000003</v>
      </c>
      <c r="K255">
        <v>222</v>
      </c>
      <c r="L255" s="69">
        <f t="shared" si="25"/>
        <v>131.53140366178451</v>
      </c>
      <c r="M255" s="69">
        <f t="shared" si="24"/>
        <v>3727.0686421977307</v>
      </c>
      <c r="N255">
        <f t="shared" si="20"/>
        <v>2345.253049172351</v>
      </c>
      <c r="T255">
        <f t="shared" si="28"/>
        <v>142.98609316900087</v>
      </c>
      <c r="U255">
        <v>68</v>
      </c>
      <c r="V255" s="69">
        <f t="shared" si="26"/>
        <v>0</v>
      </c>
      <c r="W255" s="99">
        <f t="shared" si="27"/>
        <v>139.60753593413423</v>
      </c>
    </row>
    <row r="256" spans="10:23">
      <c r="J256">
        <f t="shared" si="23"/>
        <v>17812.48</v>
      </c>
      <c r="K256">
        <v>224</v>
      </c>
      <c r="L256" s="69">
        <f t="shared" si="25"/>
        <v>132.71637126234111</v>
      </c>
      <c r="M256" s="69">
        <f t="shared" si="24"/>
        <v>3794.5255293992645</v>
      </c>
      <c r="N256">
        <f t="shared" si="20"/>
        <v>2387.7002068677843</v>
      </c>
      <c r="T256">
        <f t="shared" si="28"/>
        <v>145.08882983325091</v>
      </c>
      <c r="U256" s="69">
        <v>69</v>
      </c>
      <c r="V256" s="69">
        <f t="shared" si="26"/>
        <v>0</v>
      </c>
      <c r="W256" s="99">
        <f t="shared" si="27"/>
        <v>143.74383187335931</v>
      </c>
    </row>
    <row r="257" spans="10:23">
      <c r="J257" s="307">
        <f t="shared" si="23"/>
        <v>18642.739999999998</v>
      </c>
      <c r="K257">
        <v>226</v>
      </c>
      <c r="L257" s="69">
        <f t="shared" si="25"/>
        <v>133.90133886289775</v>
      </c>
      <c r="M257" s="69">
        <f t="shared" si="24"/>
        <v>3862.5874111048474</v>
      </c>
      <c r="N257">
        <f t="shared" si="20"/>
        <v>2430.5280565604862</v>
      </c>
      <c r="T257">
        <f t="shared" si="28"/>
        <v>147.19156649750093</v>
      </c>
      <c r="U257">
        <v>70</v>
      </c>
      <c r="V257" s="69">
        <f t="shared" si="26"/>
        <v>0</v>
      </c>
      <c r="W257" s="99">
        <f t="shared" si="27"/>
        <v>147.94051169490876</v>
      </c>
    </row>
    <row r="258" spans="10:23">
      <c r="J258">
        <f t="shared" si="23"/>
        <v>19494</v>
      </c>
      <c r="K258">
        <v>228</v>
      </c>
      <c r="L258" s="69">
        <f t="shared" si="25"/>
        <v>135.08630646345435</v>
      </c>
      <c r="M258" s="69">
        <f t="shared" si="24"/>
        <v>3931.2542873144803</v>
      </c>
      <c r="N258">
        <f t="shared" si="20"/>
        <v>2473.7365982504566</v>
      </c>
      <c r="T258">
        <f t="shared" si="28"/>
        <v>149.29430316175092</v>
      </c>
      <c r="U258" s="69">
        <v>71</v>
      </c>
      <c r="V258" s="69">
        <f t="shared" si="26"/>
        <v>0</v>
      </c>
      <c r="W258" s="99">
        <f t="shared" si="27"/>
        <v>152.19757539878262</v>
      </c>
    </row>
    <row r="259" spans="10:23">
      <c r="J259" s="307">
        <f t="shared" si="23"/>
        <v>20366.5</v>
      </c>
      <c r="K259">
        <v>230</v>
      </c>
      <c r="L259" s="69">
        <f t="shared" si="25"/>
        <v>136.27127406401098</v>
      </c>
      <c r="M259" s="69">
        <f t="shared" si="24"/>
        <v>4000.5261580281626</v>
      </c>
      <c r="N259">
        <f t="shared" si="20"/>
        <v>2517.3258319376951</v>
      </c>
      <c r="T259">
        <f t="shared" si="28"/>
        <v>151.39703982600093</v>
      </c>
      <c r="U259">
        <v>72</v>
      </c>
      <c r="V259" s="69">
        <f t="shared" si="26"/>
        <v>0</v>
      </c>
      <c r="W259" s="99">
        <f t="shared" si="27"/>
        <v>156.51502298498099</v>
      </c>
    </row>
    <row r="260" spans="10:23">
      <c r="J260">
        <f t="shared" si="23"/>
        <v>21260.48</v>
      </c>
      <c r="K260">
        <v>232</v>
      </c>
      <c r="L260" s="69">
        <f t="shared" si="25"/>
        <v>137.45624166456759</v>
      </c>
      <c r="M260" s="69">
        <f t="shared" si="24"/>
        <v>4070.4030232458949</v>
      </c>
      <c r="N260">
        <f t="shared" si="20"/>
        <v>2561.2957576222025</v>
      </c>
      <c r="T260">
        <f t="shared" si="28"/>
        <v>153.49977649025095</v>
      </c>
      <c r="U260" s="69">
        <v>73</v>
      </c>
      <c r="V260" s="69">
        <f t="shared" si="26"/>
        <v>0</v>
      </c>
      <c r="W260" s="99">
        <f t="shared" si="27"/>
        <v>160.89285445350379</v>
      </c>
    </row>
    <row r="261" spans="10:23">
      <c r="J261" s="307"/>
      <c r="K261">
        <v>234</v>
      </c>
      <c r="L261" s="69">
        <f t="shared" ref="L261:L292" si="29">SQRT($C$11)*K261/1.68780986</f>
        <v>109.97741228653032</v>
      </c>
      <c r="M261" s="69" t="e">
        <f>0.5*C$109*K261^2*(#REF!+C156)*C$19</f>
        <v>#REF!</v>
      </c>
      <c r="N261">
        <f t="shared" si="20"/>
        <v>2605.6463753039779</v>
      </c>
      <c r="T261">
        <f t="shared" si="28"/>
        <v>155.60251315450097</v>
      </c>
      <c r="U261">
        <v>74</v>
      </c>
      <c r="V261" s="69">
        <f t="shared" si="26"/>
        <v>0</v>
      </c>
      <c r="W261" s="99">
        <f t="shared" si="27"/>
        <v>165.33106980435107</v>
      </c>
    </row>
    <row r="262" spans="10:23">
      <c r="K262">
        <v>236</v>
      </c>
      <c r="L262" s="69">
        <f t="shared" si="29"/>
        <v>110.91739016932118</v>
      </c>
      <c r="M262" s="69" t="e">
        <f>0.5*C$109*K262^2*(#REF!+C157)*C$19</f>
        <v>#REF!</v>
      </c>
      <c r="N262">
        <f t="shared" si="20"/>
        <v>2650.3776849830224</v>
      </c>
      <c r="T262">
        <f t="shared" si="28"/>
        <v>157.70524981875099</v>
      </c>
      <c r="U262" s="69">
        <v>75</v>
      </c>
      <c r="V262" s="69">
        <f t="shared" si="26"/>
        <v>0</v>
      </c>
      <c r="W262" s="99">
        <f t="shared" si="27"/>
        <v>169.82966903752279</v>
      </c>
    </row>
    <row r="263" spans="10:23">
      <c r="J263" s="307"/>
      <c r="K263">
        <v>238</v>
      </c>
      <c r="L263" s="69">
        <f t="shared" si="29"/>
        <v>111.85736805211205</v>
      </c>
      <c r="M263" s="69" t="e">
        <f>0.5*C$109*K263^2*(#REF!+C158)*C$19</f>
        <v>#REF!</v>
      </c>
      <c r="N263">
        <f t="shared" si="20"/>
        <v>2695.4896866593349</v>
      </c>
      <c r="T263">
        <f t="shared" si="28"/>
        <v>159.807986483001</v>
      </c>
      <c r="U263">
        <v>76</v>
      </c>
      <c r="V263" s="69">
        <f t="shared" si="26"/>
        <v>0</v>
      </c>
      <c r="W263" s="99">
        <f t="shared" si="27"/>
        <v>174.38865215301897</v>
      </c>
    </row>
    <row r="264" spans="10:23">
      <c r="K264">
        <v>240</v>
      </c>
      <c r="L264" s="69">
        <f t="shared" si="29"/>
        <v>112.79734593490289</v>
      </c>
      <c r="M264" s="69" t="e">
        <f>0.5*C$109*K264^2*(#REF!+C159)*C$19</f>
        <v>#REF!</v>
      </c>
      <c r="N264">
        <f t="shared" si="20"/>
        <v>2740.9823803329159</v>
      </c>
      <c r="T264">
        <f t="shared" si="28"/>
        <v>161.91072314725099</v>
      </c>
      <c r="U264" s="69">
        <v>77</v>
      </c>
      <c r="V264" s="69">
        <f t="shared" si="26"/>
        <v>0</v>
      </c>
      <c r="W264" s="99">
        <f t="shared" si="27"/>
        <v>179.00801915083952</v>
      </c>
    </row>
    <row r="265" spans="10:23">
      <c r="J265" s="307"/>
      <c r="K265">
        <v>242</v>
      </c>
      <c r="L265" s="69">
        <f t="shared" si="29"/>
        <v>113.73732381769375</v>
      </c>
      <c r="M265" s="69" t="e">
        <f>0.5*C$109*K265^2*(#REF!+C160)*C$19</f>
        <v>#REF!</v>
      </c>
      <c r="N265">
        <f t="shared" si="20"/>
        <v>2786.855766003765</v>
      </c>
      <c r="T265">
        <f t="shared" si="28"/>
        <v>164.01345981150101</v>
      </c>
      <c r="U265">
        <v>78</v>
      </c>
      <c r="V265" s="69">
        <f t="shared" si="26"/>
        <v>0</v>
      </c>
      <c r="W265" s="99">
        <f t="shared" si="27"/>
        <v>183.68777003098464</v>
      </c>
    </row>
    <row r="266" spans="10:23">
      <c r="K266">
        <v>244</v>
      </c>
      <c r="L266" s="69">
        <f t="shared" si="29"/>
        <v>114.67730170048462</v>
      </c>
      <c r="M266" s="69" t="e">
        <f>0.5*C$109*K266^2*(#REF!+C161)*C$19</f>
        <v>#REF!</v>
      </c>
      <c r="N266">
        <f t="shared" si="20"/>
        <v>2833.1098436718835</v>
      </c>
      <c r="T266">
        <f t="shared" si="28"/>
        <v>166.11619647575102</v>
      </c>
      <c r="U266" s="69">
        <v>79</v>
      </c>
      <c r="V266" s="69">
        <f t="shared" si="26"/>
        <v>0</v>
      </c>
      <c r="W266" s="99">
        <f t="shared" si="27"/>
        <v>188.42790479345416</v>
      </c>
    </row>
    <row r="267" spans="10:23">
      <c r="J267" s="307"/>
      <c r="K267">
        <v>246</v>
      </c>
      <c r="L267" s="69">
        <f t="shared" si="29"/>
        <v>115.61727958327546</v>
      </c>
      <c r="M267" s="69" t="e">
        <f>0.5*C$109*K267^2*(#REF!+C162)*C$19</f>
        <v>#REF!</v>
      </c>
      <c r="N267">
        <f t="shared" si="20"/>
        <v>2879.74461333727</v>
      </c>
      <c r="T267">
        <f t="shared" si="28"/>
        <v>168.21893314000104</v>
      </c>
      <c r="U267">
        <v>80</v>
      </c>
      <c r="V267" s="69">
        <f t="shared" si="26"/>
        <v>0</v>
      </c>
      <c r="W267" s="99">
        <f t="shared" si="27"/>
        <v>193.22842343824814</v>
      </c>
    </row>
    <row r="268" spans="10:23">
      <c r="K268">
        <v>248</v>
      </c>
      <c r="L268" s="69">
        <f t="shared" si="29"/>
        <v>116.55725746606632</v>
      </c>
      <c r="M268" s="69" t="e">
        <f>0.5*C$109*K268^2*(#REF!+C163)*C$19</f>
        <v>#REF!</v>
      </c>
      <c r="N268">
        <f t="shared" si="20"/>
        <v>2926.7600749999242</v>
      </c>
      <c r="T268">
        <f t="shared" si="28"/>
        <v>170.32166980425106</v>
      </c>
      <c r="U268" s="69">
        <v>81</v>
      </c>
      <c r="V268" s="69">
        <f t="shared" si="26"/>
        <v>0</v>
      </c>
      <c r="W268" s="99">
        <f t="shared" si="27"/>
        <v>198.08932596536658</v>
      </c>
    </row>
    <row r="269" spans="10:23">
      <c r="J269" s="307"/>
      <c r="K269">
        <v>250</v>
      </c>
      <c r="L269" s="69">
        <f t="shared" si="29"/>
        <v>117.49723534885719</v>
      </c>
      <c r="M269" s="69" t="e">
        <f>0.5*C$109*K269^2*(#REF!+C164)*C$19</f>
        <v>#REF!</v>
      </c>
      <c r="N269">
        <f t="shared" si="20"/>
        <v>2974.1562286598482</v>
      </c>
      <c r="T269">
        <f t="shared" si="28"/>
        <v>172.42440646850108</v>
      </c>
      <c r="U269">
        <v>82</v>
      </c>
      <c r="V269" s="69">
        <f t="shared" si="26"/>
        <v>0</v>
      </c>
      <c r="W269" s="99">
        <f t="shared" si="27"/>
        <v>203.01061237480945</v>
      </c>
    </row>
    <row r="270" spans="10:23">
      <c r="K270">
        <v>252</v>
      </c>
      <c r="L270" s="69">
        <f t="shared" si="29"/>
        <v>118.43721323164803</v>
      </c>
      <c r="M270" s="69" t="e">
        <f>0.5*C$109*K270^2*(#REF!+C165)*C$19</f>
        <v>#REF!</v>
      </c>
      <c r="N270">
        <f t="shared" si="20"/>
        <v>3021.9330743170399</v>
      </c>
      <c r="T270">
        <f t="shared" si="28"/>
        <v>174.52714313275106</v>
      </c>
      <c r="U270" s="69">
        <v>83</v>
      </c>
      <c r="V270" s="69">
        <f t="shared" si="26"/>
        <v>0</v>
      </c>
      <c r="W270" s="99">
        <f t="shared" si="27"/>
        <v>207.99228266657673</v>
      </c>
    </row>
    <row r="271" spans="10:23">
      <c r="J271" s="307"/>
      <c r="K271">
        <v>254</v>
      </c>
      <c r="L271" s="69">
        <f t="shared" si="29"/>
        <v>119.3771911144389</v>
      </c>
      <c r="M271" s="69" t="e">
        <f>0.5*C$109*K271^2*(#REF!+C166)*C$19</f>
        <v>#REF!</v>
      </c>
      <c r="N271">
        <f t="shared" si="20"/>
        <v>3070.0906119715</v>
      </c>
      <c r="T271">
        <f t="shared" si="28"/>
        <v>176.62987979700108</v>
      </c>
      <c r="U271">
        <v>84</v>
      </c>
      <c r="V271" s="69">
        <f t="shared" si="26"/>
        <v>0</v>
      </c>
      <c r="W271" s="99">
        <f t="shared" si="27"/>
        <v>213.03433684066852</v>
      </c>
    </row>
    <row r="272" spans="10:23">
      <c r="K272">
        <v>256</v>
      </c>
      <c r="L272" s="69">
        <f t="shared" si="29"/>
        <v>120.31716899722976</v>
      </c>
      <c r="M272" s="69" t="e">
        <f>0.5*C$109*K272^2*(#REF!+C167)*C$19</f>
        <v>#REF!</v>
      </c>
      <c r="N272">
        <f t="shared" ref="N272:N335" si="30">0.5*C$97*K272^2*C$107*C$19</f>
        <v>3118.6288416232287</v>
      </c>
      <c r="T272">
        <f t="shared" si="28"/>
        <v>178.73261646125113</v>
      </c>
      <c r="U272" s="69">
        <v>85</v>
      </c>
      <c r="V272" s="69">
        <f t="shared" si="26"/>
        <v>0</v>
      </c>
      <c r="W272" s="99">
        <f t="shared" si="27"/>
        <v>218.13677489708482</v>
      </c>
    </row>
    <row r="273" spans="10:23">
      <c r="J273" s="307"/>
      <c r="K273">
        <v>258</v>
      </c>
      <c r="L273" s="69">
        <f t="shared" si="29"/>
        <v>121.25714688002061</v>
      </c>
      <c r="M273" s="69" t="e">
        <f>0.5*C$109*K273^2*(#REF!+C168)*C$19</f>
        <v>#REF!</v>
      </c>
      <c r="N273">
        <f t="shared" si="30"/>
        <v>3167.5477632722259</v>
      </c>
      <c r="T273">
        <f t="shared" si="28"/>
        <v>180.83535312550114</v>
      </c>
      <c r="U273">
        <v>86</v>
      </c>
      <c r="V273" s="69">
        <f t="shared" si="26"/>
        <v>0</v>
      </c>
      <c r="W273" s="99">
        <f t="shared" si="27"/>
        <v>223.29959683582555</v>
      </c>
    </row>
    <row r="274" spans="10:23">
      <c r="K274">
        <v>260</v>
      </c>
      <c r="L274" s="69">
        <f t="shared" si="29"/>
        <v>122.19712476281147</v>
      </c>
      <c r="M274" s="69" t="e">
        <f>0.5*C$109*K274^2*(#REF!+C169)*C$19</f>
        <v>#REF!</v>
      </c>
      <c r="N274">
        <f t="shared" si="30"/>
        <v>3216.8473769184916</v>
      </c>
      <c r="T274">
        <f t="shared" si="28"/>
        <v>182.93808978975113</v>
      </c>
      <c r="U274" s="69">
        <v>87</v>
      </c>
      <c r="V274" s="69">
        <f t="shared" si="26"/>
        <v>0</v>
      </c>
      <c r="W274" s="99">
        <f t="shared" si="27"/>
        <v>228.52280265689066</v>
      </c>
    </row>
    <row r="275" spans="10:23">
      <c r="J275" s="307"/>
      <c r="K275">
        <v>262</v>
      </c>
      <c r="L275" s="69">
        <f t="shared" si="29"/>
        <v>123.13710264560233</v>
      </c>
      <c r="M275" s="69" t="e">
        <f>0.5*C$109*K275^2*(#REF!+C170)*C$19</f>
        <v>#REF!</v>
      </c>
      <c r="N275">
        <f t="shared" si="30"/>
        <v>3266.5276825620253</v>
      </c>
      <c r="T275">
        <f t="shared" si="28"/>
        <v>185.04082645400115</v>
      </c>
      <c r="U275">
        <v>88</v>
      </c>
      <c r="V275" s="69">
        <f t="shared" si="26"/>
        <v>0</v>
      </c>
      <c r="W275" s="99">
        <f t="shared" si="27"/>
        <v>233.80639236028026</v>
      </c>
    </row>
    <row r="276" spans="10:23">
      <c r="K276">
        <v>264</v>
      </c>
      <c r="L276" s="69">
        <f t="shared" si="29"/>
        <v>124.0770805283932</v>
      </c>
      <c r="M276" s="69" t="e">
        <f>0.5*C$109*K276^2*(#REF!+C171)*C$19</f>
        <v>#REF!</v>
      </c>
      <c r="N276">
        <f t="shared" si="30"/>
        <v>3316.5886802028285</v>
      </c>
      <c r="T276">
        <f t="shared" si="28"/>
        <v>187.14356311825117</v>
      </c>
      <c r="U276" s="69">
        <v>89</v>
      </c>
      <c r="V276" s="69">
        <f t="shared" si="26"/>
        <v>0</v>
      </c>
      <c r="W276" s="99">
        <f t="shared" si="27"/>
        <v>239.15036594599431</v>
      </c>
    </row>
    <row r="277" spans="10:23">
      <c r="J277" s="307"/>
      <c r="K277">
        <v>266</v>
      </c>
      <c r="L277" s="69">
        <f t="shared" si="29"/>
        <v>125.01705841118405</v>
      </c>
      <c r="M277" s="69" t="e">
        <f>0.5*C$109*K277^2*(#REF!+C172)*C$19</f>
        <v>#REF!</v>
      </c>
      <c r="N277">
        <f t="shared" si="30"/>
        <v>3367.0303698408989</v>
      </c>
      <c r="T277">
        <f t="shared" si="28"/>
        <v>189.24629978250118</v>
      </c>
      <c r="U277">
        <v>90</v>
      </c>
      <c r="V277" s="69">
        <f t="shared" si="26"/>
        <v>0</v>
      </c>
      <c r="W277" s="99">
        <f t="shared" si="27"/>
        <v>244.55472341403285</v>
      </c>
    </row>
    <row r="278" spans="10:23">
      <c r="K278">
        <v>268</v>
      </c>
      <c r="L278" s="69">
        <f t="shared" si="29"/>
        <v>125.95703629397489</v>
      </c>
      <c r="M278" s="69" t="e">
        <f>0.5*C$109*K278^2*(#REF!+C173)*C$19</f>
        <v>#REF!</v>
      </c>
      <c r="N278">
        <f t="shared" si="30"/>
        <v>3417.8527514762386</v>
      </c>
      <c r="T278">
        <f t="shared" si="28"/>
        <v>191.3490364467512</v>
      </c>
      <c r="U278" s="69">
        <v>91</v>
      </c>
      <c r="V278" s="69">
        <f t="shared" si="26"/>
        <v>0</v>
      </c>
      <c r="W278" s="99">
        <f t="shared" si="27"/>
        <v>250.01946476439579</v>
      </c>
    </row>
    <row r="279" spans="10:23">
      <c r="J279" s="307"/>
      <c r="K279">
        <v>270</v>
      </c>
      <c r="L279" s="69">
        <f t="shared" si="29"/>
        <v>126.89701417676577</v>
      </c>
      <c r="M279" s="69" t="e">
        <f>0.5*C$109*K279^2*(#REF!+C174)*C$19</f>
        <v>#REF!</v>
      </c>
      <c r="N279">
        <f t="shared" si="30"/>
        <v>3469.0558251088464</v>
      </c>
      <c r="T279">
        <f t="shared" si="28"/>
        <v>193.45177311100122</v>
      </c>
      <c r="U279">
        <v>92</v>
      </c>
      <c r="V279" s="69">
        <f t="shared" si="26"/>
        <v>0</v>
      </c>
      <c r="W279" s="99">
        <f t="shared" si="27"/>
        <v>255.54458999708319</v>
      </c>
    </row>
    <row r="280" spans="10:23">
      <c r="K280">
        <v>272</v>
      </c>
      <c r="L280" s="69">
        <f t="shared" si="29"/>
        <v>127.83699205955662</v>
      </c>
      <c r="M280" s="69" t="e">
        <f>0.5*C$109*K280^2*(#REF!+C175)*C$19</f>
        <v>#REF!</v>
      </c>
      <c r="N280">
        <f t="shared" si="30"/>
        <v>3520.6395907387227</v>
      </c>
      <c r="T280">
        <f t="shared" si="28"/>
        <v>195.5545097752512</v>
      </c>
      <c r="U280" s="69">
        <v>93</v>
      </c>
      <c r="V280" s="69">
        <f t="shared" si="26"/>
        <v>0</v>
      </c>
      <c r="W280" s="99">
        <f t="shared" si="27"/>
        <v>261.13009911209497</v>
      </c>
    </row>
    <row r="281" spans="10:23">
      <c r="J281" s="307"/>
      <c r="K281">
        <v>274</v>
      </c>
      <c r="L281" s="69">
        <f t="shared" si="29"/>
        <v>128.77696994234748</v>
      </c>
      <c r="M281" s="69" t="e">
        <f>0.5*C$109*K281^2*(#REF!+C176)*C$19</f>
        <v>#REF!</v>
      </c>
      <c r="N281">
        <f t="shared" si="30"/>
        <v>3572.604048365868</v>
      </c>
      <c r="T281">
        <f t="shared" si="28"/>
        <v>197.65724643950122</v>
      </c>
      <c r="U281">
        <v>94</v>
      </c>
      <c r="V281" s="69">
        <f t="shared" si="26"/>
        <v>0</v>
      </c>
      <c r="W281" s="99">
        <f t="shared" si="27"/>
        <v>266.77599210943134</v>
      </c>
    </row>
    <row r="282" spans="10:23">
      <c r="K282">
        <v>276</v>
      </c>
      <c r="L282" s="69">
        <f t="shared" si="29"/>
        <v>129.71694782513833</v>
      </c>
      <c r="M282" s="69" t="e">
        <f>0.5*C$109*K282^2*(#REF!+C177)*C$19</f>
        <v>#REF!</v>
      </c>
      <c r="N282">
        <f t="shared" si="30"/>
        <v>3624.9491979902809</v>
      </c>
      <c r="T282">
        <f t="shared" si="28"/>
        <v>199.75998310375127</v>
      </c>
      <c r="U282" s="69">
        <v>95</v>
      </c>
      <c r="V282" s="69">
        <f t="shared" si="26"/>
        <v>0</v>
      </c>
      <c r="W282" s="99">
        <f t="shared" si="27"/>
        <v>272.48226898909218</v>
      </c>
    </row>
    <row r="283" spans="10:23">
      <c r="J283" s="307"/>
      <c r="K283">
        <v>278</v>
      </c>
      <c r="L283" s="69">
        <f t="shared" si="29"/>
        <v>130.65692570792919</v>
      </c>
      <c r="M283" s="69" t="e">
        <f>0.5*C$109*K283^2*(#REF!+C178)*C$19</f>
        <v>#REF!</v>
      </c>
      <c r="N283">
        <f t="shared" si="30"/>
        <v>3677.6750396119628</v>
      </c>
      <c r="T283">
        <f t="shared" si="28"/>
        <v>201.86271976800126</v>
      </c>
      <c r="U283">
        <v>96</v>
      </c>
      <c r="V283" s="69">
        <f t="shared" ref="V283:V303" si="31">0.5*L$109*T283^2*L$107*L$19</f>
        <v>0</v>
      </c>
      <c r="W283" s="99">
        <f t="shared" si="27"/>
        <v>278.24892975107736</v>
      </c>
    </row>
    <row r="284" spans="10:23">
      <c r="K284">
        <v>280</v>
      </c>
      <c r="L284" s="69">
        <f t="shared" si="29"/>
        <v>131.59690359072005</v>
      </c>
      <c r="M284" s="69" t="e">
        <f>0.5*C$109*K284^2*(#REF!+C179)*C$19</f>
        <v>#REF!</v>
      </c>
      <c r="N284">
        <f t="shared" si="30"/>
        <v>3730.7815732309132</v>
      </c>
      <c r="T284">
        <f t="shared" si="28"/>
        <v>203.96545643225127</v>
      </c>
      <c r="U284" s="69">
        <v>97</v>
      </c>
      <c r="V284" s="69">
        <f t="shared" si="31"/>
        <v>0</v>
      </c>
      <c r="W284" s="99">
        <f t="shared" si="27"/>
        <v>284.07597439538699</v>
      </c>
    </row>
    <row r="285" spans="10:23">
      <c r="J285" s="307"/>
      <c r="K285">
        <v>282</v>
      </c>
      <c r="L285" s="69">
        <f t="shared" si="29"/>
        <v>132.5368814735109</v>
      </c>
      <c r="M285" s="69" t="e">
        <f>0.5*C$109*K285^2*(#REF!+C180)*C$19</f>
        <v>#REF!</v>
      </c>
      <c r="N285">
        <f t="shared" si="30"/>
        <v>3784.2687988471325</v>
      </c>
      <c r="T285">
        <f t="shared" si="28"/>
        <v>206.06819309650129</v>
      </c>
      <c r="U285">
        <v>98</v>
      </c>
      <c r="V285" s="69">
        <f t="shared" si="31"/>
        <v>0</v>
      </c>
      <c r="W285" s="99">
        <f t="shared" si="27"/>
        <v>289.9634029220212</v>
      </c>
    </row>
    <row r="286" spans="10:23">
      <c r="K286">
        <v>284</v>
      </c>
      <c r="L286" s="69">
        <f t="shared" si="29"/>
        <v>133.47685935630176</v>
      </c>
      <c r="M286" s="69" t="e">
        <f>0.5*C$109*K286^2*(#REF!+C181)*C$19</f>
        <v>#REF!</v>
      </c>
      <c r="N286">
        <f t="shared" si="30"/>
        <v>3838.136716460619</v>
      </c>
      <c r="T286">
        <f t="shared" si="28"/>
        <v>208.17092976075128</v>
      </c>
      <c r="U286" s="69">
        <v>99</v>
      </c>
      <c r="V286" s="69">
        <f t="shared" si="31"/>
        <v>0</v>
      </c>
      <c r="W286" s="99">
        <f t="shared" si="27"/>
        <v>295.91121533097964</v>
      </c>
    </row>
    <row r="287" spans="10:23">
      <c r="J287" s="307"/>
      <c r="K287">
        <v>286</v>
      </c>
      <c r="L287" s="69">
        <f t="shared" si="29"/>
        <v>134.41683723909262</v>
      </c>
      <c r="M287" s="69" t="e">
        <f>0.5*C$109*K287^2*(#REF!+C182)*C$19</f>
        <v>#REF!</v>
      </c>
      <c r="N287">
        <f t="shared" si="30"/>
        <v>3892.3853260713745</v>
      </c>
      <c r="T287">
        <f t="shared" si="28"/>
        <v>210.27366642500132</v>
      </c>
      <c r="U287">
        <v>100</v>
      </c>
      <c r="V287" s="69">
        <f t="shared" si="31"/>
        <v>0</v>
      </c>
      <c r="W287" s="99">
        <f t="shared" si="27"/>
        <v>301.91941162226277</v>
      </c>
    </row>
    <row r="288" spans="10:23">
      <c r="K288">
        <v>288</v>
      </c>
      <c r="L288" s="69">
        <f t="shared" si="29"/>
        <v>135.35681512188347</v>
      </c>
      <c r="M288" s="69" t="e">
        <f>0.5*C$109*K288^2*(#REF!+C183)*C$19</f>
        <v>#REF!</v>
      </c>
      <c r="N288">
        <f t="shared" si="30"/>
        <v>3947.0146276793989</v>
      </c>
      <c r="T288">
        <f t="shared" si="28"/>
        <v>212.37640308925134</v>
      </c>
      <c r="U288" s="69">
        <v>101</v>
      </c>
      <c r="V288" s="69">
        <f t="shared" si="31"/>
        <v>0</v>
      </c>
      <c r="W288" s="99">
        <f t="shared" si="27"/>
        <v>307.98799179587024</v>
      </c>
    </row>
    <row r="289" spans="10:23">
      <c r="J289" s="307"/>
      <c r="K289">
        <v>290</v>
      </c>
      <c r="L289" s="69">
        <f t="shared" si="29"/>
        <v>136.29679300467433</v>
      </c>
      <c r="M289" s="69" t="e">
        <f>0.5*C$109*K289^2*(#REF!+C184)*C$19</f>
        <v>#REF!</v>
      </c>
      <c r="N289">
        <f t="shared" si="30"/>
        <v>4002.0246212846914</v>
      </c>
      <c r="T289">
        <f t="shared" si="28"/>
        <v>214.47913975350133</v>
      </c>
      <c r="U289">
        <v>102</v>
      </c>
      <c r="V289" s="69">
        <f t="shared" si="31"/>
        <v>0</v>
      </c>
      <c r="W289" s="99">
        <f t="shared" si="27"/>
        <v>314.11695585180212</v>
      </c>
    </row>
    <row r="290" spans="10:23">
      <c r="K290">
        <v>292</v>
      </c>
      <c r="L290" s="69">
        <f t="shared" si="29"/>
        <v>137.23677088746518</v>
      </c>
      <c r="M290" s="69" t="e">
        <f>0.5*C$109*K290^2*(#REF!+C185)*C$19</f>
        <v>#REF!</v>
      </c>
      <c r="N290">
        <f t="shared" si="30"/>
        <v>4057.4153068872524</v>
      </c>
      <c r="T290">
        <f t="shared" si="28"/>
        <v>216.58187641775135</v>
      </c>
      <c r="U290" s="69">
        <v>103</v>
      </c>
      <c r="V290" s="69">
        <f t="shared" si="31"/>
        <v>0</v>
      </c>
      <c r="W290" s="99">
        <f t="shared" si="27"/>
        <v>320.30630379005856</v>
      </c>
    </row>
    <row r="291" spans="10:23">
      <c r="J291" s="307"/>
      <c r="K291">
        <v>294</v>
      </c>
      <c r="L291" s="69">
        <f t="shared" si="29"/>
        <v>138.17674877025604</v>
      </c>
      <c r="M291" s="69" t="e">
        <f>0.5*C$109*K291^2*(#REF!+C186)*C$19</f>
        <v>#REF!</v>
      </c>
      <c r="N291">
        <f t="shared" si="30"/>
        <v>4113.1866844870819</v>
      </c>
      <c r="T291">
        <f t="shared" si="28"/>
        <v>218.68461308200136</v>
      </c>
      <c r="U291">
        <v>104</v>
      </c>
      <c r="V291" s="69">
        <f t="shared" si="31"/>
        <v>0</v>
      </c>
      <c r="W291" s="99">
        <f t="shared" si="27"/>
        <v>326.55603561063941</v>
      </c>
    </row>
    <row r="292" spans="10:23">
      <c r="K292">
        <v>296</v>
      </c>
      <c r="L292" s="69">
        <f t="shared" si="29"/>
        <v>139.11672665304692</v>
      </c>
      <c r="M292" s="69" t="e">
        <f>0.5*C$109*K292^2*(#REF!+C187)*C$19</f>
        <v>#REF!</v>
      </c>
      <c r="N292">
        <f t="shared" si="30"/>
        <v>4169.3387540841795</v>
      </c>
      <c r="T292">
        <f t="shared" si="28"/>
        <v>220.78734974625138</v>
      </c>
      <c r="U292" s="69">
        <v>105</v>
      </c>
      <c r="V292" s="69">
        <f t="shared" si="31"/>
        <v>0</v>
      </c>
      <c r="W292" s="99">
        <f t="shared" si="27"/>
        <v>332.86615131354466</v>
      </c>
    </row>
    <row r="293" spans="10:23">
      <c r="J293" s="307"/>
      <c r="K293">
        <v>298</v>
      </c>
      <c r="L293" s="69">
        <f t="shared" ref="L293:L324" si="32">SQRT($C$11)*K293/1.68780986</f>
        <v>140.05670453583775</v>
      </c>
      <c r="M293" s="69" t="e">
        <f>0.5*C$109*K293^2*(#REF!+C188)*C$19</f>
        <v>#REF!</v>
      </c>
      <c r="N293">
        <f t="shared" si="30"/>
        <v>4225.8715156785465</v>
      </c>
      <c r="T293">
        <f t="shared" si="28"/>
        <v>222.89008641050137</v>
      </c>
      <c r="U293">
        <v>106</v>
      </c>
      <c r="V293" s="69">
        <f t="shared" si="31"/>
        <v>0</v>
      </c>
      <c r="W293" s="99">
        <f t="shared" si="27"/>
        <v>339.23665089877437</v>
      </c>
    </row>
    <row r="294" spans="10:23">
      <c r="K294">
        <v>300</v>
      </c>
      <c r="L294" s="69">
        <f t="shared" si="32"/>
        <v>140.99668241862861</v>
      </c>
      <c r="M294" s="69" t="e">
        <f>0.5*C$109*K294^2*(#REF!+C189)*C$19</f>
        <v>#REF!</v>
      </c>
      <c r="N294">
        <f t="shared" si="30"/>
        <v>4282.7849692701811</v>
      </c>
      <c r="T294">
        <f t="shared" si="28"/>
        <v>224.99282307475139</v>
      </c>
      <c r="U294" s="69">
        <v>107</v>
      </c>
      <c r="V294" s="69">
        <f t="shared" si="31"/>
        <v>0</v>
      </c>
      <c r="W294" s="99">
        <f t="shared" si="27"/>
        <v>345.66753436632854</v>
      </c>
    </row>
    <row r="295" spans="10:23">
      <c r="J295" s="307"/>
      <c r="K295">
        <v>302</v>
      </c>
      <c r="L295" s="69">
        <f t="shared" si="32"/>
        <v>141.93666030141949</v>
      </c>
      <c r="M295" s="69" t="e">
        <f>0.5*C$109*K295^2*(#REF!+C190)*C$19</f>
        <v>#REF!</v>
      </c>
      <c r="N295">
        <f t="shared" si="30"/>
        <v>4340.0791148590843</v>
      </c>
      <c r="T295">
        <f t="shared" si="28"/>
        <v>227.0955597390014</v>
      </c>
      <c r="U295">
        <v>108</v>
      </c>
      <c r="V295" s="69">
        <f t="shared" si="31"/>
        <v>0</v>
      </c>
      <c r="W295" s="99">
        <f t="shared" si="27"/>
        <v>352.15880171620717</v>
      </c>
    </row>
    <row r="296" spans="10:23">
      <c r="K296">
        <v>304</v>
      </c>
      <c r="L296" s="69">
        <f t="shared" si="32"/>
        <v>142.87663818421032</v>
      </c>
      <c r="M296" s="69" t="e">
        <f>0.5*C$109*K296^2*(#REF!+C191)*C$19</f>
        <v>#REF!</v>
      </c>
      <c r="N296">
        <f t="shared" si="30"/>
        <v>4397.7539524452559</v>
      </c>
      <c r="T296">
        <f t="shared" si="28"/>
        <v>229.19829640325142</v>
      </c>
      <c r="U296" s="69">
        <v>109</v>
      </c>
      <c r="V296" s="69">
        <f t="shared" si="31"/>
        <v>0</v>
      </c>
      <c r="W296" s="99">
        <f t="shared" si="27"/>
        <v>358.71045294841036</v>
      </c>
    </row>
    <row r="297" spans="10:23">
      <c r="J297" s="307"/>
      <c r="K297">
        <v>306</v>
      </c>
      <c r="L297" s="69">
        <f t="shared" si="32"/>
        <v>143.81661606700118</v>
      </c>
      <c r="M297" s="69" t="e">
        <f>0.5*C$109*K297^2*(#REF!+C192)*C$19</f>
        <v>#REF!</v>
      </c>
      <c r="N297">
        <f t="shared" si="30"/>
        <v>4455.809482028696</v>
      </c>
      <c r="T297">
        <f t="shared" si="28"/>
        <v>231.30103306750144</v>
      </c>
      <c r="U297">
        <v>110</v>
      </c>
      <c r="V297" s="69">
        <f t="shared" si="31"/>
        <v>0</v>
      </c>
      <c r="W297" s="99">
        <f t="shared" si="27"/>
        <v>365.32248806293785</v>
      </c>
    </row>
    <row r="298" spans="10:23">
      <c r="K298">
        <v>308</v>
      </c>
      <c r="L298" s="69">
        <f t="shared" si="32"/>
        <v>144.75659394979206</v>
      </c>
      <c r="M298" s="69" t="e">
        <f>0.5*C$109*K298^2*(#REF!+C193)*C$19</f>
        <v>#REF!</v>
      </c>
      <c r="N298">
        <f t="shared" si="30"/>
        <v>4514.2457036094056</v>
      </c>
      <c r="T298">
        <f t="shared" si="28"/>
        <v>233.40376973175148</v>
      </c>
      <c r="U298" s="69">
        <v>111</v>
      </c>
      <c r="V298" s="69">
        <f t="shared" si="31"/>
        <v>0</v>
      </c>
      <c r="W298" s="99">
        <f t="shared" si="27"/>
        <v>371.99490705978997</v>
      </c>
    </row>
    <row r="299" spans="10:23">
      <c r="J299" s="307"/>
      <c r="K299">
        <v>310</v>
      </c>
      <c r="L299" s="69">
        <f t="shared" si="32"/>
        <v>145.69657183258292</v>
      </c>
      <c r="M299" s="69" t="e">
        <f>0.5*C$109*K299^2*(#REF!+C194)*C$19</f>
        <v>#REF!</v>
      </c>
      <c r="N299">
        <f t="shared" si="30"/>
        <v>4573.0626171873819</v>
      </c>
      <c r="T299">
        <f t="shared" si="28"/>
        <v>235.50650639600144</v>
      </c>
      <c r="U299">
        <v>112</v>
      </c>
      <c r="V299" s="69">
        <f t="shared" si="31"/>
        <v>0</v>
      </c>
      <c r="W299" s="99">
        <f t="shared" si="27"/>
        <v>378.72770993896626</v>
      </c>
    </row>
    <row r="300" spans="10:23">
      <c r="K300">
        <v>312</v>
      </c>
      <c r="L300" s="69">
        <f t="shared" si="32"/>
        <v>146.63654971537375</v>
      </c>
      <c r="M300" s="69" t="e">
        <f>0.5*C$109*K300^2*(#REF!+C195)*C$19</f>
        <v>#REF!</v>
      </c>
      <c r="N300">
        <f t="shared" si="30"/>
        <v>4632.2602227626276</v>
      </c>
      <c r="T300">
        <f t="shared" si="28"/>
        <v>237.60924306025146</v>
      </c>
      <c r="U300" s="69">
        <v>113</v>
      </c>
      <c r="V300" s="69">
        <f t="shared" si="31"/>
        <v>0</v>
      </c>
      <c r="W300" s="99">
        <f t="shared" si="27"/>
        <v>385.52089670046723</v>
      </c>
    </row>
    <row r="301" spans="10:23">
      <c r="J301" s="307"/>
      <c r="K301">
        <v>314</v>
      </c>
      <c r="L301" s="69">
        <f t="shared" si="32"/>
        <v>147.57652759816463</v>
      </c>
      <c r="M301" s="69" t="e">
        <f>0.5*C$109*K301^2*(#REF!+C196)*C$19</f>
        <v>#REF!</v>
      </c>
      <c r="N301">
        <f t="shared" si="30"/>
        <v>4691.8385203351427</v>
      </c>
      <c r="T301">
        <f t="shared" si="28"/>
        <v>239.71197972450148</v>
      </c>
      <c r="U301">
        <v>114</v>
      </c>
      <c r="V301" s="69">
        <f t="shared" si="31"/>
        <v>0</v>
      </c>
      <c r="W301" s="99">
        <f t="shared" si="27"/>
        <v>392.37446734429261</v>
      </c>
    </row>
    <row r="302" spans="10:23">
      <c r="K302">
        <v>316</v>
      </c>
      <c r="L302" s="69">
        <f t="shared" si="32"/>
        <v>148.51650548095549</v>
      </c>
      <c r="M302" s="69" t="e">
        <f>0.5*C$109*K302^2*(#REF!+C197)*C$19</f>
        <v>#REF!</v>
      </c>
      <c r="N302">
        <f t="shared" si="30"/>
        <v>4751.7975099049245</v>
      </c>
      <c r="T302">
        <f t="shared" si="28"/>
        <v>241.81471638875149</v>
      </c>
      <c r="U302" s="69">
        <v>115</v>
      </c>
      <c r="V302" s="69">
        <f t="shared" si="31"/>
        <v>0</v>
      </c>
      <c r="W302" s="99">
        <f t="shared" si="27"/>
        <v>399.28842187044239</v>
      </c>
    </row>
    <row r="303" spans="10:23">
      <c r="J303" s="307"/>
      <c r="K303">
        <v>318</v>
      </c>
      <c r="L303" s="69">
        <f t="shared" si="32"/>
        <v>149.45648336374634</v>
      </c>
      <c r="M303" s="69" t="e">
        <f>0.5*C$109*K303^2*(#REF!+C198)*C$19</f>
        <v>#REF!</v>
      </c>
      <c r="N303">
        <f t="shared" si="30"/>
        <v>4812.1371914719757</v>
      </c>
      <c r="T303">
        <f t="shared" si="28"/>
        <v>243.91745305300154</v>
      </c>
      <c r="U303">
        <v>116</v>
      </c>
      <c r="V303" s="69">
        <f t="shared" si="31"/>
        <v>0</v>
      </c>
      <c r="W303" s="99">
        <f t="shared" si="27"/>
        <v>406.2627602789168</v>
      </c>
    </row>
    <row r="304" spans="10:23">
      <c r="K304">
        <v>320</v>
      </c>
      <c r="L304" s="69">
        <f t="shared" si="32"/>
        <v>150.3964612465372</v>
      </c>
      <c r="M304" s="69" t="e">
        <f>0.5*C$109*K304^2*(#REF!+C199)*C$19</f>
        <v>#REF!</v>
      </c>
      <c r="N304">
        <f t="shared" si="30"/>
        <v>4872.8575650362945</v>
      </c>
      <c r="T304">
        <f t="shared" si="28"/>
        <v>246.02018971725155</v>
      </c>
      <c r="U304" s="69">
        <v>117</v>
      </c>
      <c r="V304" s="69" t="e">
        <f>0.5*L$109*T304^2*(#REF!+L199)*L$19</f>
        <v>#REF!</v>
      </c>
      <c r="W304" s="99">
        <f t="shared" si="27"/>
        <v>413.29748256971556</v>
      </c>
    </row>
    <row r="305" spans="10:23">
      <c r="J305" s="307"/>
      <c r="K305">
        <v>322</v>
      </c>
      <c r="L305" s="69">
        <f t="shared" si="32"/>
        <v>151.33643912932806</v>
      </c>
      <c r="M305" s="69" t="e">
        <f>0.5*C$109*K305^2*(#REF!+C200)*C$19</f>
        <v>#REF!</v>
      </c>
      <c r="N305">
        <f t="shared" si="30"/>
        <v>4933.9586305978828</v>
      </c>
      <c r="T305">
        <f t="shared" si="28"/>
        <v>248.12292638150151</v>
      </c>
      <c r="U305">
        <v>118</v>
      </c>
      <c r="V305" s="69" t="e">
        <f>0.5*L$109*T305^2*(#REF!+L200)*L$19</f>
        <v>#REF!</v>
      </c>
      <c r="W305" s="99">
        <f t="shared" si="27"/>
        <v>420.39258874283854</v>
      </c>
    </row>
    <row r="306" spans="10:23">
      <c r="K306">
        <v>324</v>
      </c>
      <c r="L306" s="69">
        <f t="shared" si="32"/>
        <v>152.27641701211888</v>
      </c>
      <c r="M306" s="69" t="e">
        <f>0.5*C$109*K306^2*(#REF!+C201)*C$19</f>
        <v>#REF!</v>
      </c>
      <c r="N306">
        <f t="shared" si="30"/>
        <v>4995.4403881567387</v>
      </c>
      <c r="T306">
        <f t="shared" si="28"/>
        <v>250.22566304575153</v>
      </c>
      <c r="U306" s="69">
        <v>119</v>
      </c>
      <c r="V306" s="69" t="e">
        <f>0.5*L$109*T306^2*(#REF!+L201)*L$19</f>
        <v>#REF!</v>
      </c>
      <c r="W306" s="99">
        <f t="shared" si="27"/>
        <v>427.5480787982861</v>
      </c>
    </row>
    <row r="307" spans="10:23">
      <c r="J307" s="307"/>
      <c r="K307">
        <v>326</v>
      </c>
      <c r="L307" s="69">
        <f t="shared" si="32"/>
        <v>153.21639489490977</v>
      </c>
      <c r="M307" s="69" t="e">
        <f>0.5*C$109*K307^2*(#REF!+C202)*C$19</f>
        <v>#REF!</v>
      </c>
      <c r="N307">
        <f t="shared" si="30"/>
        <v>5057.3028377128639</v>
      </c>
      <c r="T307">
        <f t="shared" si="28"/>
        <v>252.32839971000158</v>
      </c>
      <c r="U307">
        <v>120</v>
      </c>
      <c r="V307" s="69" t="e">
        <f>0.5*L$109*T307^2*(#REF!+L202)*L$19</f>
        <v>#REF!</v>
      </c>
      <c r="W307" s="99">
        <f t="shared" si="27"/>
        <v>434.76395273605834</v>
      </c>
    </row>
    <row r="308" spans="10:23">
      <c r="K308">
        <v>328</v>
      </c>
      <c r="L308" s="69">
        <f t="shared" si="32"/>
        <v>154.15637277770062</v>
      </c>
      <c r="M308" s="69" t="e">
        <f>0.5*C$109*K308^2*(#REF!+C203)*C$19</f>
        <v>#REF!</v>
      </c>
      <c r="N308">
        <f t="shared" si="30"/>
        <v>5119.5459792662577</v>
      </c>
      <c r="T308">
        <f t="shared" si="28"/>
        <v>254.43113637425159</v>
      </c>
      <c r="U308" s="69">
        <v>121</v>
      </c>
      <c r="V308" s="69" t="e">
        <f>0.5*L$109*T308^2*(#REF!+L203)*L$19</f>
        <v>#REF!</v>
      </c>
      <c r="W308" s="99">
        <f t="shared" si="27"/>
        <v>442.04021055615488</v>
      </c>
    </row>
    <row r="309" spans="10:23">
      <c r="J309" s="307"/>
      <c r="K309">
        <v>330</v>
      </c>
      <c r="L309" s="69">
        <f t="shared" si="32"/>
        <v>155.09635066049148</v>
      </c>
      <c r="M309" s="69" t="e">
        <f>0.5*C$109*K309^2*(#REF!+C204)*C$19</f>
        <v>#REF!</v>
      </c>
      <c r="N309">
        <f t="shared" si="30"/>
        <v>5182.1698128169191</v>
      </c>
      <c r="T309">
        <f t="shared" si="28"/>
        <v>256.53387303850161</v>
      </c>
      <c r="U309">
        <v>122</v>
      </c>
      <c r="V309" s="69" t="e">
        <f>0.5*L$109*T309^2*(#REF!+L204)*L$19</f>
        <v>#REF!</v>
      </c>
      <c r="W309" s="99">
        <f t="shared" si="27"/>
        <v>449.37685225857598</v>
      </c>
    </row>
    <row r="310" spans="10:23">
      <c r="K310">
        <v>332</v>
      </c>
      <c r="L310" s="69">
        <f t="shared" si="32"/>
        <v>156.03632854328234</v>
      </c>
      <c r="M310" s="69" t="e">
        <f>0.5*C$109*K310^2*(#REF!+C205)*C$19</f>
        <v>#REF!</v>
      </c>
      <c r="N310">
        <f t="shared" si="30"/>
        <v>5245.17433836485</v>
      </c>
      <c r="T310">
        <f t="shared" si="28"/>
        <v>258.63660970275163</v>
      </c>
      <c r="U310" s="69">
        <v>123</v>
      </c>
      <c r="V310" s="69" t="e">
        <f>0.5*L$109*T310^2*(#REF!+L205)*L$19</f>
        <v>#REF!</v>
      </c>
      <c r="W310" s="99">
        <f t="shared" si="27"/>
        <v>456.77387784332137</v>
      </c>
    </row>
    <row r="311" spans="10:23">
      <c r="J311" s="307"/>
      <c r="K311">
        <v>334</v>
      </c>
      <c r="L311" s="69">
        <f t="shared" si="32"/>
        <v>156.97630642607319</v>
      </c>
      <c r="M311" s="69" t="e">
        <f>0.5*C$109*K311^2*(#REF!+C206)*C$19</f>
        <v>#REF!</v>
      </c>
      <c r="N311">
        <f t="shared" si="30"/>
        <v>5308.5595559100475</v>
      </c>
      <c r="T311">
        <f t="shared" si="28"/>
        <v>260.73934636700159</v>
      </c>
      <c r="U311">
        <v>124</v>
      </c>
      <c r="V311" s="69" t="e">
        <f>0.5*L$109*T311^2*(#REF!+L206)*L$19</f>
        <v>#REF!</v>
      </c>
      <c r="W311" s="99">
        <f t="shared" si="27"/>
        <v>464.23128731039105</v>
      </c>
    </row>
    <row r="312" spans="10:23">
      <c r="K312">
        <v>336</v>
      </c>
      <c r="L312" s="69">
        <f t="shared" si="32"/>
        <v>157.91628430886408</v>
      </c>
      <c r="M312" s="69" t="e">
        <f>0.5*C$109*K312^2*(#REF!+C207)*C$19</f>
        <v>#REF!</v>
      </c>
      <c r="N312">
        <f t="shared" si="30"/>
        <v>5372.3254654525144</v>
      </c>
      <c r="T312">
        <f t="shared" si="28"/>
        <v>262.8420830312516</v>
      </c>
      <c r="U312" s="69">
        <v>125</v>
      </c>
      <c r="V312" s="69" t="e">
        <f>0.5*L$109*T312^2*(#REF!+L207)*L$19</f>
        <v>#REF!</v>
      </c>
      <c r="W312" s="99">
        <f t="shared" si="27"/>
        <v>471.74908065978536</v>
      </c>
    </row>
    <row r="313" spans="10:23">
      <c r="J313" s="307"/>
      <c r="K313">
        <v>338</v>
      </c>
      <c r="L313" s="69">
        <f t="shared" si="32"/>
        <v>158.85626219165493</v>
      </c>
      <c r="M313" s="69" t="e">
        <f>0.5*C$109*K313^2*(#REF!+C208)*C$19</f>
        <v>#REF!</v>
      </c>
      <c r="N313">
        <f t="shared" si="30"/>
        <v>5436.4720669922508</v>
      </c>
      <c r="T313">
        <f t="shared" si="28"/>
        <v>264.94481969550162</v>
      </c>
      <c r="U313">
        <v>126</v>
      </c>
      <c r="V313" s="69" t="e">
        <f>0.5*L$109*T313^2*(#REF!+L208)*L$19</f>
        <v>#REF!</v>
      </c>
      <c r="W313" s="99">
        <f t="shared" si="27"/>
        <v>479.32725789150425</v>
      </c>
    </row>
    <row r="314" spans="10:23">
      <c r="K314">
        <v>340</v>
      </c>
      <c r="L314" s="69">
        <f t="shared" si="32"/>
        <v>159.79624007444576</v>
      </c>
      <c r="M314" s="69" t="e">
        <f>0.5*C$109*K314^2*(#REF!+C209)*C$19</f>
        <v>#REF!</v>
      </c>
      <c r="N314">
        <f t="shared" si="30"/>
        <v>5500.9993605292548</v>
      </c>
      <c r="T314">
        <f t="shared" si="28"/>
        <v>267.04755635975164</v>
      </c>
      <c r="U314" s="69">
        <v>127</v>
      </c>
      <c r="V314" s="69" t="e">
        <f>0.5*L$109*T314^2*(#REF!+L209)*L$19</f>
        <v>#REF!</v>
      </c>
      <c r="W314" s="99">
        <f t="shared" si="27"/>
        <v>486.96581900554742</v>
      </c>
    </row>
    <row r="315" spans="10:23">
      <c r="J315" s="307"/>
      <c r="K315">
        <v>342</v>
      </c>
      <c r="L315" s="69">
        <f t="shared" si="32"/>
        <v>160.73621795723662</v>
      </c>
      <c r="M315" s="69" t="e">
        <f>0.5*C$109*K315^2*(#REF!+C210)*C$19</f>
        <v>#REF!</v>
      </c>
      <c r="N315">
        <f t="shared" si="30"/>
        <v>5565.9073460635273</v>
      </c>
      <c r="T315">
        <f t="shared" si="28"/>
        <v>269.15029302400166</v>
      </c>
      <c r="U315">
        <v>128</v>
      </c>
      <c r="V315" s="69" t="e">
        <f>0.5*L$109*T315^2*(#REF!+L210)*L$19</f>
        <v>#REF!</v>
      </c>
      <c r="W315" s="99">
        <f t="shared" ref="W315:W378" si="33">0.5*$C$97*T315^2*$C$95*$C$19</f>
        <v>494.66476400191522</v>
      </c>
    </row>
    <row r="316" spans="10:23">
      <c r="K316">
        <v>344</v>
      </c>
      <c r="L316" s="69">
        <f t="shared" si="32"/>
        <v>161.67619584002748</v>
      </c>
      <c r="M316" s="69" t="e">
        <f>0.5*C$109*K316^2*(#REF!+C211)*C$19</f>
        <v>#REF!</v>
      </c>
      <c r="N316">
        <f t="shared" si="30"/>
        <v>5631.1960235950683</v>
      </c>
      <c r="T316">
        <f t="shared" ref="T316:T379" si="34">U316/SQRT($C$11)*1.668</f>
        <v>271.25302968825173</v>
      </c>
      <c r="U316" s="69">
        <v>129</v>
      </c>
      <c r="V316" s="69" t="e">
        <f>0.5*L$109*T316^2*(#REF!+L211)*L$19</f>
        <v>#REF!</v>
      </c>
      <c r="W316" s="99">
        <f t="shared" si="33"/>
        <v>502.42409288060753</v>
      </c>
    </row>
    <row r="317" spans="10:23">
      <c r="J317" s="307"/>
      <c r="K317">
        <v>346</v>
      </c>
      <c r="L317" s="69">
        <f t="shared" si="32"/>
        <v>162.61617372281833</v>
      </c>
      <c r="M317" s="69" t="e">
        <f>0.5*C$109*K317^2*(#REF!+C212)*C$19</f>
        <v>#REF!</v>
      </c>
      <c r="N317">
        <f t="shared" si="30"/>
        <v>5696.8653931238769</v>
      </c>
      <c r="T317">
        <f t="shared" si="34"/>
        <v>273.35576635250169</v>
      </c>
      <c r="U317">
        <v>130</v>
      </c>
      <c r="V317" s="69" t="e">
        <f>0.5*L$109*T317^2*(#REF!+L212)*L$19</f>
        <v>#REF!</v>
      </c>
      <c r="W317" s="99">
        <f t="shared" si="33"/>
        <v>510.24380564162396</v>
      </c>
    </row>
    <row r="318" spans="10:23">
      <c r="K318">
        <v>348</v>
      </c>
      <c r="L318" s="69">
        <f t="shared" si="32"/>
        <v>163.55615160560922</v>
      </c>
      <c r="M318" s="69" t="e">
        <f>0.5*C$109*K318^2*(#REF!+C213)*C$19</f>
        <v>#REF!</v>
      </c>
      <c r="N318">
        <f t="shared" si="30"/>
        <v>5762.9154546499549</v>
      </c>
      <c r="T318">
        <f t="shared" si="34"/>
        <v>275.45850301675171</v>
      </c>
      <c r="U318" s="69">
        <v>131</v>
      </c>
      <c r="V318" s="69" t="e">
        <f>0.5*L$109*T318^2*(#REF!+L213)*L$19</f>
        <v>#REF!</v>
      </c>
      <c r="W318" s="99">
        <f t="shared" si="33"/>
        <v>518.12390228496508</v>
      </c>
    </row>
    <row r="319" spans="10:23">
      <c r="J319" s="307"/>
      <c r="K319">
        <v>350</v>
      </c>
      <c r="L319" s="69">
        <f t="shared" si="32"/>
        <v>164.49612948840007</v>
      </c>
      <c r="M319" s="69" t="e">
        <f>0.5*C$109*K319^2*(#REF!+C214)*C$19</f>
        <v>#REF!</v>
      </c>
      <c r="N319">
        <f t="shared" si="30"/>
        <v>5829.3462081733023</v>
      </c>
      <c r="T319">
        <f t="shared" si="34"/>
        <v>277.56123968100172</v>
      </c>
      <c r="U319">
        <v>132</v>
      </c>
      <c r="V319" s="69" t="e">
        <f>0.5*L$109*T319^2*(#REF!+L214)*L$19</f>
        <v>#REF!</v>
      </c>
      <c r="W319" s="99">
        <f t="shared" si="33"/>
        <v>526.0643828106306</v>
      </c>
    </row>
    <row r="320" spans="10:23">
      <c r="K320">
        <v>352</v>
      </c>
      <c r="L320" s="69">
        <f t="shared" si="32"/>
        <v>165.43610737119093</v>
      </c>
      <c r="M320" s="69" t="e">
        <f>0.5*C$109*K320^2*(#REF!+C215)*C$19</f>
        <v>#REF!</v>
      </c>
      <c r="N320">
        <f t="shared" si="30"/>
        <v>5896.1576536939165</v>
      </c>
      <c r="T320">
        <f t="shared" si="34"/>
        <v>279.66397634525174</v>
      </c>
      <c r="U320" s="69">
        <v>133</v>
      </c>
      <c r="V320" s="69" t="e">
        <f>0.5*L$109*T320^2*(#REF!+L215)*L$19</f>
        <v>#REF!</v>
      </c>
      <c r="W320" s="99">
        <f t="shared" si="33"/>
        <v>534.06524721862058</v>
      </c>
    </row>
    <row r="321" spans="10:23">
      <c r="J321" s="307"/>
      <c r="K321">
        <v>354</v>
      </c>
      <c r="L321" s="69">
        <f t="shared" si="32"/>
        <v>166.37608525398176</v>
      </c>
      <c r="M321" s="69" t="e">
        <f>0.5*C$109*K321^2*(#REF!+C216)*C$19</f>
        <v>#REF!</v>
      </c>
      <c r="N321">
        <f t="shared" si="30"/>
        <v>5963.3497912118</v>
      </c>
      <c r="T321">
        <f t="shared" si="34"/>
        <v>281.76671300950176</v>
      </c>
      <c r="U321">
        <v>134</v>
      </c>
      <c r="V321" s="69" t="e">
        <f>0.5*L$109*T321^2*(#REF!+L216)*L$19</f>
        <v>#REF!</v>
      </c>
      <c r="W321" s="99">
        <f t="shared" si="33"/>
        <v>542.12649550893491</v>
      </c>
    </row>
    <row r="322" spans="10:23">
      <c r="K322">
        <v>356</v>
      </c>
      <c r="L322" s="69">
        <f t="shared" si="32"/>
        <v>167.31606313677261</v>
      </c>
      <c r="M322" s="69" t="e">
        <f>0.5*C$109*K322^2*(#REF!+C217)*C$19</f>
        <v>#REF!</v>
      </c>
      <c r="N322">
        <f t="shared" si="30"/>
        <v>6030.9226207269521</v>
      </c>
      <c r="T322">
        <f t="shared" si="34"/>
        <v>283.86944967375177</v>
      </c>
      <c r="U322" s="69">
        <v>135</v>
      </c>
      <c r="V322" s="69" t="e">
        <f>0.5*L$109*T322^2*(#REF!+L217)*L$19</f>
        <v>#REF!</v>
      </c>
      <c r="W322" s="99">
        <f t="shared" si="33"/>
        <v>550.24812768157392</v>
      </c>
    </row>
    <row r="323" spans="10:23">
      <c r="J323" s="307"/>
      <c r="K323">
        <v>358</v>
      </c>
      <c r="L323" s="69">
        <f t="shared" si="32"/>
        <v>168.2560410195635</v>
      </c>
      <c r="M323" s="69" t="e">
        <f>0.5*C$109*K323^2*(#REF!+C218)*C$19</f>
        <v>#REF!</v>
      </c>
      <c r="N323">
        <f t="shared" si="30"/>
        <v>6098.8761422393709</v>
      </c>
      <c r="T323">
        <f t="shared" si="34"/>
        <v>285.97218633800173</v>
      </c>
      <c r="U323">
        <v>136</v>
      </c>
      <c r="V323" s="69" t="e">
        <f>0.5*L$109*T323^2*(#REF!+L218)*L$19</f>
        <v>#REF!</v>
      </c>
      <c r="W323" s="99">
        <f t="shared" si="33"/>
        <v>558.43014373653693</v>
      </c>
    </row>
    <row r="324" spans="10:23">
      <c r="K324">
        <v>360</v>
      </c>
      <c r="L324" s="69">
        <f t="shared" si="32"/>
        <v>169.19601890235435</v>
      </c>
      <c r="M324" s="69" t="e">
        <f>0.5*C$109*K324^2*(#REF!+C219)*C$19</f>
        <v>#REF!</v>
      </c>
      <c r="N324">
        <f t="shared" si="30"/>
        <v>6167.21035574906</v>
      </c>
      <c r="T324">
        <f t="shared" si="34"/>
        <v>288.07492300225175</v>
      </c>
      <c r="U324" s="69">
        <v>137</v>
      </c>
      <c r="V324" s="69" t="e">
        <f>0.5*L$109*T324^2*(#REF!+L219)*L$19</f>
        <v>#REF!</v>
      </c>
      <c r="W324" s="99">
        <f t="shared" si="33"/>
        <v>566.67254367382475</v>
      </c>
    </row>
    <row r="325" spans="10:23">
      <c r="J325" s="307"/>
      <c r="K325">
        <v>362</v>
      </c>
      <c r="L325" s="69">
        <f t="shared" ref="L325:L356" si="35">SQRT($C$11)*K325/1.68780986</f>
        <v>170.13599678514521</v>
      </c>
      <c r="M325" s="69" t="e">
        <f>0.5*C$109*K325^2*(#REF!+C220)*C$19</f>
        <v>#REF!</v>
      </c>
      <c r="N325">
        <f t="shared" si="30"/>
        <v>6235.9252612560176</v>
      </c>
      <c r="T325">
        <f t="shared" si="34"/>
        <v>290.17765966650182</v>
      </c>
      <c r="U325">
        <v>138</v>
      </c>
      <c r="V325" s="69" t="e">
        <f>0.5*L$109*T325^2*(#REF!+L220)*L$19</f>
        <v>#REF!</v>
      </c>
      <c r="W325" s="99">
        <f t="shared" si="33"/>
        <v>574.97532749343725</v>
      </c>
    </row>
    <row r="326" spans="10:23">
      <c r="K326">
        <v>364</v>
      </c>
      <c r="L326" s="69">
        <f t="shared" si="35"/>
        <v>171.07597466793607</v>
      </c>
      <c r="M326" s="69" t="e">
        <f>0.5*C$109*K326^2*(#REF!+C221)*C$19</f>
        <v>#REF!</v>
      </c>
      <c r="N326">
        <f t="shared" si="30"/>
        <v>6305.0208587602438</v>
      </c>
      <c r="T326">
        <f t="shared" si="34"/>
        <v>292.28039633075184</v>
      </c>
      <c r="U326" s="69">
        <v>139</v>
      </c>
      <c r="V326" s="69" t="e">
        <f>0.5*L$109*T326^2*(#REF!+L221)*L$19</f>
        <v>#REF!</v>
      </c>
      <c r="W326" s="99">
        <f t="shared" si="33"/>
        <v>583.33849519537387</v>
      </c>
    </row>
    <row r="327" spans="10:23">
      <c r="J327" s="307"/>
      <c r="K327">
        <v>366</v>
      </c>
      <c r="L327" s="69">
        <f t="shared" si="35"/>
        <v>172.01595255072689</v>
      </c>
      <c r="M327" s="69" t="e">
        <f>0.5*C$109*K327^2*(#REF!+C222)*C$19</f>
        <v>#REF!</v>
      </c>
      <c r="N327">
        <f t="shared" si="30"/>
        <v>6374.4971482617375</v>
      </c>
      <c r="T327">
        <f t="shared" si="34"/>
        <v>294.38313299500186</v>
      </c>
      <c r="U327">
        <v>140</v>
      </c>
      <c r="V327" s="69" t="e">
        <f>0.5*L$109*T327^2*(#REF!+L222)*L$19</f>
        <v>#REF!</v>
      </c>
      <c r="W327" s="99">
        <f t="shared" si="33"/>
        <v>591.76204677963506</v>
      </c>
    </row>
    <row r="328" spans="10:23">
      <c r="K328">
        <v>368</v>
      </c>
      <c r="L328" s="69">
        <f t="shared" si="35"/>
        <v>172.95593043351775</v>
      </c>
      <c r="M328" s="69" t="e">
        <f>0.5*C$109*K328^2*(#REF!+C223)*C$19</f>
        <v>#REF!</v>
      </c>
      <c r="N328">
        <f t="shared" si="30"/>
        <v>6444.3541297605007</v>
      </c>
      <c r="T328">
        <f t="shared" si="34"/>
        <v>296.48586965925188</v>
      </c>
      <c r="U328" s="69">
        <v>141</v>
      </c>
      <c r="V328" s="69" t="e">
        <f>0.5*L$109*T328^2*(#REF!+L223)*L$19</f>
        <v>#REF!</v>
      </c>
      <c r="W328" s="99">
        <f t="shared" si="33"/>
        <v>600.24598224622059</v>
      </c>
    </row>
    <row r="329" spans="10:23">
      <c r="J329" s="307"/>
      <c r="K329">
        <v>370</v>
      </c>
      <c r="L329" s="69">
        <f t="shared" si="35"/>
        <v>173.89590831630863</v>
      </c>
      <c r="M329" s="69" t="e">
        <f>0.5*C$109*K329^2*(#REF!+C224)*C$19</f>
        <v>#REF!</v>
      </c>
      <c r="N329">
        <f t="shared" si="30"/>
        <v>6514.5918032565305</v>
      </c>
      <c r="T329">
        <f t="shared" si="34"/>
        <v>298.58860632350184</v>
      </c>
      <c r="U329">
        <v>142</v>
      </c>
      <c r="V329" s="69" t="e">
        <f>0.5*L$109*T329^2*(#REF!+L224)*L$19</f>
        <v>#REF!</v>
      </c>
      <c r="W329" s="99">
        <f t="shared" si="33"/>
        <v>608.79030159513047</v>
      </c>
    </row>
    <row r="330" spans="10:23">
      <c r="K330">
        <v>372</v>
      </c>
      <c r="L330" s="69">
        <f t="shared" si="35"/>
        <v>174.83588619909949</v>
      </c>
      <c r="M330" s="69" t="e">
        <f>0.5*C$109*K330^2*(#REF!+C225)*C$19</f>
        <v>#REF!</v>
      </c>
      <c r="N330">
        <f t="shared" si="30"/>
        <v>6585.2101687498298</v>
      </c>
      <c r="T330">
        <f t="shared" si="34"/>
        <v>300.69134298775185</v>
      </c>
      <c r="U330" s="69">
        <v>143</v>
      </c>
      <c r="V330" s="69" t="e">
        <f>0.5*L$109*T330^2*(#REF!+L225)*L$19</f>
        <v>#REF!</v>
      </c>
      <c r="W330" s="99">
        <f t="shared" si="33"/>
        <v>617.39500482636493</v>
      </c>
    </row>
    <row r="331" spans="10:23">
      <c r="J331" s="307"/>
      <c r="K331">
        <v>374</v>
      </c>
      <c r="L331" s="69">
        <f t="shared" si="35"/>
        <v>175.77586408189035</v>
      </c>
      <c r="M331" s="69" t="e">
        <f>0.5*C$109*K331^2*(#REF!+C226)*C$19</f>
        <v>#REF!</v>
      </c>
      <c r="N331">
        <f t="shared" si="30"/>
        <v>6656.2092262403976</v>
      </c>
      <c r="T331">
        <f t="shared" si="34"/>
        <v>302.79407965200187</v>
      </c>
      <c r="U331">
        <v>144</v>
      </c>
      <c r="V331" s="69" t="e">
        <f>0.5*L$109*T331^2*(#REF!+L226)*L$19</f>
        <v>#REF!</v>
      </c>
      <c r="W331" s="99">
        <f t="shared" si="33"/>
        <v>626.06009193992395</v>
      </c>
    </row>
    <row r="332" spans="10:23">
      <c r="K332">
        <v>376</v>
      </c>
      <c r="L332" s="69">
        <f t="shared" si="35"/>
        <v>176.7158419646812</v>
      </c>
      <c r="M332" s="69" t="e">
        <f>0.5*C$109*K332^2*(#REF!+C227)*C$19</f>
        <v>#REF!</v>
      </c>
      <c r="N332">
        <f t="shared" si="30"/>
        <v>6727.5889757282348</v>
      </c>
      <c r="T332">
        <f t="shared" si="34"/>
        <v>304.89681631625189</v>
      </c>
      <c r="U332" s="69">
        <v>145</v>
      </c>
      <c r="V332" s="69" t="e">
        <f>0.5*L$109*T332^2*(#REF!+L227)*L$19</f>
        <v>#REF!</v>
      </c>
      <c r="W332" s="99">
        <f t="shared" si="33"/>
        <v>634.78556293580743</v>
      </c>
    </row>
    <row r="333" spans="10:23">
      <c r="J333" s="307"/>
      <c r="K333">
        <v>378</v>
      </c>
      <c r="L333" s="69">
        <f t="shared" si="35"/>
        <v>177.65581984747206</v>
      </c>
      <c r="M333" s="69" t="e">
        <f>0.5*C$109*K333^2*(#REF!+C228)*C$19</f>
        <v>#REF!</v>
      </c>
      <c r="N333">
        <f t="shared" si="30"/>
        <v>6799.3494172133387</v>
      </c>
      <c r="T333">
        <f t="shared" si="34"/>
        <v>306.9995529805019</v>
      </c>
      <c r="U333">
        <v>146</v>
      </c>
      <c r="V333" s="69" t="e">
        <f>0.5*L$109*T333^2*(#REF!+L228)*L$19</f>
        <v>#REF!</v>
      </c>
      <c r="W333" s="99">
        <f t="shared" si="33"/>
        <v>643.57141781401515</v>
      </c>
    </row>
    <row r="334" spans="10:23">
      <c r="K334">
        <v>380</v>
      </c>
      <c r="L334" s="69">
        <f t="shared" si="35"/>
        <v>178.59579773026294</v>
      </c>
      <c r="M334" s="69" t="e">
        <f>0.5*C$109*K334^2*(#REF!+C229)*C$19</f>
        <v>#REF!</v>
      </c>
      <c r="N334">
        <f t="shared" si="30"/>
        <v>6871.490550695712</v>
      </c>
      <c r="T334">
        <f t="shared" si="34"/>
        <v>309.10228964475192</v>
      </c>
      <c r="U334" s="69">
        <v>147</v>
      </c>
      <c r="V334" s="69" t="e">
        <f>0.5*L$109*T334^2*(#REF!+L229)*L$19</f>
        <v>#REF!</v>
      </c>
      <c r="W334" s="99">
        <f t="shared" si="33"/>
        <v>652.41765657454755</v>
      </c>
    </row>
    <row r="335" spans="10:23">
      <c r="J335" s="307"/>
      <c r="K335">
        <v>382</v>
      </c>
      <c r="L335" s="69">
        <f t="shared" si="35"/>
        <v>179.53577561305377</v>
      </c>
      <c r="M335" s="69" t="e">
        <f>0.5*C$109*K335^2*(#REF!+C230)*C$19</f>
        <v>#REF!</v>
      </c>
      <c r="N335">
        <f t="shared" si="30"/>
        <v>6944.0123761753539</v>
      </c>
      <c r="T335">
        <f t="shared" si="34"/>
        <v>311.20502630900194</v>
      </c>
      <c r="U335">
        <v>148</v>
      </c>
      <c r="V335" s="69" t="e">
        <f>0.5*L$109*T335^2*(#REF!+L230)*L$19</f>
        <v>#REF!</v>
      </c>
      <c r="W335" s="99">
        <f t="shared" si="33"/>
        <v>661.3242792174043</v>
      </c>
    </row>
    <row r="336" spans="10:23">
      <c r="K336">
        <v>384</v>
      </c>
      <c r="L336" s="69">
        <f t="shared" si="35"/>
        <v>180.47575349584463</v>
      </c>
      <c r="M336" s="69" t="e">
        <f>0.5*C$109*K336^2*(#REF!+C231)*C$19</f>
        <v>#REF!</v>
      </c>
      <c r="N336">
        <f t="shared" ref="N336:N361" si="36">0.5*C$97*K336^2*C$107*C$19</f>
        <v>7016.9148936522643</v>
      </c>
      <c r="T336">
        <f t="shared" si="34"/>
        <v>313.30776297325195</v>
      </c>
      <c r="U336" s="69">
        <v>149</v>
      </c>
      <c r="V336" s="69" t="e">
        <f>0.5*L$109*T336^2*(#REF!+L231)*L$19</f>
        <v>#REF!</v>
      </c>
      <c r="W336" s="99">
        <f t="shared" si="33"/>
        <v>670.2912857425855</v>
      </c>
    </row>
    <row r="337" spans="10:23">
      <c r="J337" s="307"/>
      <c r="K337">
        <v>386</v>
      </c>
      <c r="L337" s="69">
        <f t="shared" si="35"/>
        <v>181.41573137863548</v>
      </c>
      <c r="M337" s="69" t="e">
        <f>0.5*C$109*K337^2*(#REF!+C232)*C$19</f>
        <v>#REF!</v>
      </c>
      <c r="N337">
        <f t="shared" si="36"/>
        <v>7090.1981031264422</v>
      </c>
      <c r="T337">
        <f t="shared" si="34"/>
        <v>315.41049963750197</v>
      </c>
      <c r="U337">
        <v>150</v>
      </c>
      <c r="V337" s="69" t="e">
        <f>0.5*L$109*T337^2*(#REF!+L232)*L$19</f>
        <v>#REF!</v>
      </c>
      <c r="W337" s="99">
        <f t="shared" si="33"/>
        <v>679.31867615009116</v>
      </c>
    </row>
    <row r="338" spans="10:23">
      <c r="K338">
        <v>388</v>
      </c>
      <c r="L338" s="69">
        <f t="shared" si="35"/>
        <v>182.35570926142634</v>
      </c>
      <c r="M338" s="69" t="e">
        <f>0.5*C$109*K338^2*(#REF!+C233)*C$19</f>
        <v>#REF!</v>
      </c>
      <c r="N338">
        <f t="shared" si="36"/>
        <v>7163.8620045978905</v>
      </c>
      <c r="T338">
        <f t="shared" si="34"/>
        <v>317.51323630175199</v>
      </c>
      <c r="U338" s="69">
        <v>151</v>
      </c>
      <c r="V338" s="69" t="e">
        <f>0.5*L$109*T338^2*(#REF!+L233)*L$19</f>
        <v>#REF!</v>
      </c>
      <c r="W338" s="99">
        <f t="shared" si="33"/>
        <v>688.40645043992129</v>
      </c>
    </row>
    <row r="339" spans="10:23">
      <c r="J339" s="307"/>
      <c r="K339">
        <v>390</v>
      </c>
      <c r="L339" s="69">
        <f t="shared" si="35"/>
        <v>183.29568714421723</v>
      </c>
      <c r="M339" s="69" t="e">
        <f>0.5*C$109*K339^2*(#REF!+C234)*C$19</f>
        <v>#REF!</v>
      </c>
      <c r="N339">
        <f t="shared" si="36"/>
        <v>7237.9065980666055</v>
      </c>
      <c r="T339">
        <f t="shared" si="34"/>
        <v>319.615972966002</v>
      </c>
      <c r="U339">
        <v>152</v>
      </c>
      <c r="V339" s="69" t="e">
        <f>0.5*L$109*T339^2*(#REF!+L234)*L$19</f>
        <v>#REF!</v>
      </c>
      <c r="W339" s="99">
        <f t="shared" si="33"/>
        <v>697.55460861207587</v>
      </c>
    </row>
    <row r="340" spans="10:23">
      <c r="K340">
        <v>392</v>
      </c>
      <c r="L340" s="69">
        <f t="shared" si="35"/>
        <v>184.23566502700808</v>
      </c>
      <c r="M340" s="69" t="e">
        <f>0.5*C$109*K340^2*(#REF!+C235)*C$19</f>
        <v>#REF!</v>
      </c>
      <c r="N340">
        <f t="shared" si="36"/>
        <v>7312.3318835325899</v>
      </c>
      <c r="T340">
        <f t="shared" si="34"/>
        <v>321.71870963025202</v>
      </c>
      <c r="U340" s="69">
        <v>153</v>
      </c>
      <c r="V340" s="69" t="e">
        <f>0.5*L$109*T340^2*(#REF!+L235)*L$19</f>
        <v>#REF!</v>
      </c>
      <c r="W340" s="99">
        <f t="shared" si="33"/>
        <v>706.76315066655491</v>
      </c>
    </row>
    <row r="341" spans="10:23">
      <c r="J341" s="307"/>
      <c r="K341">
        <v>394</v>
      </c>
      <c r="L341" s="69">
        <f t="shared" si="35"/>
        <v>185.17564290979891</v>
      </c>
      <c r="M341" s="69" t="e">
        <f>0.5*C$109*K341^2*(#REF!+C236)*C$19</f>
        <v>#REF!</v>
      </c>
      <c r="N341">
        <f t="shared" si="36"/>
        <v>7387.1378609958419</v>
      </c>
      <c r="T341">
        <f t="shared" si="34"/>
        <v>323.82144629450198</v>
      </c>
      <c r="U341">
        <v>154</v>
      </c>
      <c r="V341" s="69" t="e">
        <f>0.5*L$109*T341^2*(#REF!+L236)*L$19</f>
        <v>#REF!</v>
      </c>
      <c r="W341" s="99">
        <f t="shared" si="33"/>
        <v>716.03207660335806</v>
      </c>
    </row>
    <row r="342" spans="10:23">
      <c r="K342">
        <v>396</v>
      </c>
      <c r="L342" s="69">
        <f t="shared" si="35"/>
        <v>186.11562079258977</v>
      </c>
      <c r="M342" s="69" t="e">
        <f>0.5*C$109*K342^2*(#REF!+C237)*C$19</f>
        <v>#REF!</v>
      </c>
      <c r="N342">
        <f t="shared" si="36"/>
        <v>7462.3245304563634</v>
      </c>
      <c r="T342">
        <f t="shared" si="34"/>
        <v>325.924182958752</v>
      </c>
      <c r="U342" s="69">
        <v>155</v>
      </c>
      <c r="V342" s="69" t="e">
        <f>0.5*L$109*T342^2*(#REF!+L237)*L$19</f>
        <v>#REF!</v>
      </c>
      <c r="W342" s="99">
        <f t="shared" si="33"/>
        <v>725.36138642248613</v>
      </c>
    </row>
    <row r="343" spans="10:23">
      <c r="J343" s="307"/>
      <c r="K343">
        <v>398</v>
      </c>
      <c r="L343" s="69">
        <f t="shared" si="35"/>
        <v>187.05559867538062</v>
      </c>
      <c r="M343" s="69" t="e">
        <f>0.5*C$109*K343^2*(#REF!+C238)*C$19</f>
        <v>#REF!</v>
      </c>
      <c r="N343">
        <f t="shared" si="36"/>
        <v>7537.8918919141524</v>
      </c>
      <c r="T343">
        <f t="shared" si="34"/>
        <v>328.02691962300202</v>
      </c>
      <c r="U343">
        <v>156</v>
      </c>
      <c r="V343" s="69" t="e">
        <f>0.5*L$109*T343^2*(#REF!+L238)*L$19</f>
        <v>#REF!</v>
      </c>
      <c r="W343" s="99">
        <f t="shared" si="33"/>
        <v>734.75108012393855</v>
      </c>
    </row>
    <row r="344" spans="10:23">
      <c r="K344">
        <v>400</v>
      </c>
      <c r="L344" s="69">
        <f t="shared" si="35"/>
        <v>187.99557655817151</v>
      </c>
      <c r="M344" s="69" t="e">
        <f>0.5*C$109*K344^2*(#REF!+C239)*C$19</f>
        <v>#REF!</v>
      </c>
      <c r="N344">
        <f t="shared" si="36"/>
        <v>7613.8399453692109</v>
      </c>
      <c r="T344">
        <f t="shared" si="34"/>
        <v>330.12965628725203</v>
      </c>
      <c r="U344" s="69">
        <v>157</v>
      </c>
      <c r="V344" s="69" t="e">
        <f>0.5*L$109*T344^2*(#REF!+L239)*L$19</f>
        <v>#REF!</v>
      </c>
      <c r="W344" s="99">
        <f t="shared" si="33"/>
        <v>744.2011577077152</v>
      </c>
    </row>
    <row r="345" spans="10:23">
      <c r="J345" s="307"/>
      <c r="K345">
        <v>402</v>
      </c>
      <c r="L345" s="69">
        <f t="shared" si="35"/>
        <v>188.93555444096236</v>
      </c>
      <c r="M345" s="69" t="e">
        <f>0.5*C$109*K345^2*(#REF!+C240)*C$19</f>
        <v>#REF!</v>
      </c>
      <c r="N345">
        <f t="shared" si="36"/>
        <v>7690.168690821537</v>
      </c>
      <c r="T345">
        <f t="shared" si="34"/>
        <v>332.23239295150205</v>
      </c>
      <c r="U345">
        <v>158</v>
      </c>
      <c r="V345" s="69" t="e">
        <f>0.5*L$109*T345^2*(#REF!+L240)*L$19</f>
        <v>#REF!</v>
      </c>
      <c r="W345" s="99">
        <f t="shared" si="33"/>
        <v>753.71161917381664</v>
      </c>
    </row>
    <row r="346" spans="10:23">
      <c r="K346">
        <v>404</v>
      </c>
      <c r="L346" s="69">
        <f t="shared" si="35"/>
        <v>189.87553232375322</v>
      </c>
      <c r="M346" s="69" t="e">
        <f>0.5*C$109*K346^2*(#REF!+C241)*C$19</f>
        <v>#REF!</v>
      </c>
      <c r="N346">
        <f t="shared" si="36"/>
        <v>7766.8781282711325</v>
      </c>
      <c r="T346">
        <f t="shared" si="34"/>
        <v>334.33512961575212</v>
      </c>
      <c r="U346" s="69">
        <v>159</v>
      </c>
      <c r="V346" s="69" t="e">
        <f>0.5*L$109*T346^2*(#REF!+L241)*L$19</f>
        <v>#REF!</v>
      </c>
      <c r="W346" s="99">
        <f t="shared" si="33"/>
        <v>763.28246452224266</v>
      </c>
    </row>
    <row r="347" spans="10:23">
      <c r="J347" s="307"/>
      <c r="K347">
        <v>406</v>
      </c>
      <c r="L347" s="69">
        <f t="shared" si="35"/>
        <v>190.81551020654408</v>
      </c>
      <c r="M347" s="69" t="e">
        <f>0.5*C$109*K347^2*(#REF!+C242)*C$19</f>
        <v>#REF!</v>
      </c>
      <c r="N347">
        <f t="shared" si="36"/>
        <v>7843.9682577179947</v>
      </c>
      <c r="T347">
        <f t="shared" si="34"/>
        <v>336.43786628000208</v>
      </c>
      <c r="U347">
        <v>160</v>
      </c>
      <c r="V347" s="69" t="e">
        <f>0.5*L$109*T347^2*(#REF!+L242)*L$19</f>
        <v>#REF!</v>
      </c>
      <c r="W347" s="99">
        <f t="shared" si="33"/>
        <v>772.91369375299257</v>
      </c>
    </row>
    <row r="348" spans="10:23">
      <c r="K348">
        <v>408</v>
      </c>
      <c r="L348" s="69">
        <f t="shared" si="35"/>
        <v>191.7554880893349</v>
      </c>
      <c r="M348" s="69" t="e">
        <f>0.5*C$109*K348^2*(#REF!+C243)*C$19</f>
        <v>#REF!</v>
      </c>
      <c r="N348">
        <f t="shared" si="36"/>
        <v>7921.4390791621272</v>
      </c>
      <c r="T348">
        <f t="shared" si="34"/>
        <v>338.5406029442521</v>
      </c>
      <c r="U348" s="69">
        <v>161</v>
      </c>
      <c r="V348" s="69" t="e">
        <f>0.5*L$109*T348^2*(#REF!+L243)*L$19</f>
        <v>#REF!</v>
      </c>
      <c r="W348" s="99">
        <f t="shared" si="33"/>
        <v>782.60530686606717</v>
      </c>
    </row>
    <row r="349" spans="10:23">
      <c r="J349" s="307"/>
      <c r="K349">
        <v>410</v>
      </c>
      <c r="L349" s="69">
        <f t="shared" si="35"/>
        <v>192.69546597212576</v>
      </c>
      <c r="M349" s="69" t="e">
        <f>0.5*C$109*K349^2*(#REF!+C244)*C$19</f>
        <v>#REF!</v>
      </c>
      <c r="N349">
        <f t="shared" si="36"/>
        <v>7999.2905926035264</v>
      </c>
      <c r="T349">
        <f t="shared" si="34"/>
        <v>340.64333960850212</v>
      </c>
      <c r="U349">
        <v>162</v>
      </c>
      <c r="V349" s="69" t="e">
        <f>0.5*L$109*T349^2*(#REF!+L244)*L$19</f>
        <v>#REF!</v>
      </c>
      <c r="W349" s="99">
        <f t="shared" si="33"/>
        <v>792.35730386146633</v>
      </c>
    </row>
    <row r="350" spans="10:23">
      <c r="K350">
        <v>412</v>
      </c>
      <c r="L350" s="69">
        <f t="shared" si="35"/>
        <v>193.63544385491664</v>
      </c>
      <c r="M350" s="69" t="e">
        <f>0.5*C$109*K350^2*(#REF!+C245)*C$19</f>
        <v>#REF!</v>
      </c>
      <c r="N350">
        <f t="shared" si="36"/>
        <v>8077.5227980421951</v>
      </c>
      <c r="T350">
        <f t="shared" si="34"/>
        <v>342.74607627275213</v>
      </c>
      <c r="U350" s="69">
        <v>163</v>
      </c>
      <c r="V350" s="69" t="e">
        <f>0.5*L$109*T350^2*(#REF!+L245)*L$19</f>
        <v>#REF!</v>
      </c>
      <c r="W350" s="99">
        <f t="shared" si="33"/>
        <v>802.16968473918985</v>
      </c>
    </row>
    <row r="351" spans="10:23">
      <c r="J351" s="307"/>
      <c r="K351">
        <v>414</v>
      </c>
      <c r="L351" s="69">
        <f t="shared" si="35"/>
        <v>194.5754217377075</v>
      </c>
      <c r="M351" s="69" t="e">
        <f>0.5*C$109*K351^2*(#REF!+C246)*C$19</f>
        <v>#REF!</v>
      </c>
      <c r="N351">
        <f t="shared" si="36"/>
        <v>8156.1356954781331</v>
      </c>
      <c r="T351">
        <f t="shared" si="34"/>
        <v>344.84881293700215</v>
      </c>
      <c r="U351">
        <v>164</v>
      </c>
      <c r="V351" s="69" t="e">
        <f>0.5*L$109*T351^2*(#REF!+L246)*L$19</f>
        <v>#REF!</v>
      </c>
      <c r="W351" s="99">
        <f t="shared" si="33"/>
        <v>812.04244949923782</v>
      </c>
    </row>
    <row r="352" spans="10:23">
      <c r="K352">
        <v>416</v>
      </c>
      <c r="L352" s="69">
        <f t="shared" si="35"/>
        <v>195.51539962049836</v>
      </c>
      <c r="M352" s="69" t="e">
        <f>0.5*C$109*K352^2*(#REF!+C247)*C$19</f>
        <v>#REF!</v>
      </c>
      <c r="N352">
        <f t="shared" si="36"/>
        <v>8235.1292849113379</v>
      </c>
      <c r="T352">
        <f t="shared" si="34"/>
        <v>346.95154960125217</v>
      </c>
      <c r="U352" s="69">
        <v>165</v>
      </c>
      <c r="V352" s="69" t="e">
        <f>0.5*L$109*T352^2*(#REF!+L247)*L$19</f>
        <v>#REF!</v>
      </c>
      <c r="W352" s="99">
        <f t="shared" si="33"/>
        <v>821.97559814161025</v>
      </c>
    </row>
    <row r="353" spans="10:23">
      <c r="J353" s="307"/>
      <c r="K353">
        <v>418</v>
      </c>
      <c r="L353" s="69">
        <f t="shared" si="35"/>
        <v>196.45537750328921</v>
      </c>
      <c r="M353" s="69" t="e">
        <f>0.5*C$109*K353^2*(#REF!+C248)*C$19</f>
        <v>#REF!</v>
      </c>
      <c r="N353">
        <f t="shared" si="36"/>
        <v>8314.503566341813</v>
      </c>
      <c r="T353">
        <f t="shared" si="34"/>
        <v>349.05428626550213</v>
      </c>
      <c r="U353">
        <v>166</v>
      </c>
      <c r="V353" s="69" t="e">
        <f>0.5*L$109*T353^2*(#REF!+L248)*L$19</f>
        <v>#REF!</v>
      </c>
      <c r="W353" s="99">
        <f t="shared" si="33"/>
        <v>831.96913066630691</v>
      </c>
    </row>
    <row r="354" spans="10:23">
      <c r="K354">
        <v>420</v>
      </c>
      <c r="L354" s="69">
        <f t="shared" si="35"/>
        <v>197.39535538608007</v>
      </c>
      <c r="M354" s="69" t="e">
        <f>0.5*C$109*K354^2*(#REF!+C249)*C$19</f>
        <v>#REF!</v>
      </c>
      <c r="N354">
        <f t="shared" si="36"/>
        <v>8394.2585397695548</v>
      </c>
      <c r="T354">
        <f t="shared" si="34"/>
        <v>351.15702292975215</v>
      </c>
      <c r="U354" s="69">
        <v>167</v>
      </c>
      <c r="V354" s="69" t="e">
        <f>0.5*L$109*T354^2*(#REF!+L249)*L$19</f>
        <v>#REF!</v>
      </c>
      <c r="W354" s="99">
        <f t="shared" si="33"/>
        <v>842.02304707332826</v>
      </c>
    </row>
    <row r="355" spans="10:23">
      <c r="J355" s="307"/>
      <c r="K355">
        <v>422</v>
      </c>
      <c r="L355" s="69">
        <f t="shared" si="35"/>
        <v>198.33533326887095</v>
      </c>
      <c r="M355" s="69" t="e">
        <f>0.5*C$109*K355^2*(#REF!+C250)*C$19</f>
        <v>#REF!</v>
      </c>
      <c r="N355">
        <f t="shared" si="36"/>
        <v>8474.3942051945651</v>
      </c>
      <c r="T355">
        <f t="shared" si="34"/>
        <v>353.25975959400216</v>
      </c>
      <c r="U355">
        <v>168</v>
      </c>
      <c r="V355" s="69" t="e">
        <f>0.5*L$109*T355^2*(#REF!+L250)*L$19</f>
        <v>#REF!</v>
      </c>
      <c r="W355" s="99">
        <f t="shared" si="33"/>
        <v>852.13734736267406</v>
      </c>
    </row>
    <row r="356" spans="10:23">
      <c r="K356">
        <v>424</v>
      </c>
      <c r="L356" s="69">
        <f t="shared" si="35"/>
        <v>199.27531115166178</v>
      </c>
      <c r="M356" s="69" t="e">
        <f>0.5*C$109*K356^2*(#REF!+C251)*C$19</f>
        <v>#REF!</v>
      </c>
      <c r="N356">
        <f t="shared" si="36"/>
        <v>8554.9105626168457</v>
      </c>
      <c r="T356">
        <f t="shared" si="34"/>
        <v>355.36249625825224</v>
      </c>
      <c r="U356" s="69">
        <v>169</v>
      </c>
      <c r="V356" s="69" t="e">
        <f>0.5*L$109*T356^2*(#REF!+L251)*L$19</f>
        <v>#REF!</v>
      </c>
      <c r="W356" s="99">
        <f t="shared" si="33"/>
        <v>862.31203153434467</v>
      </c>
    </row>
    <row r="357" spans="10:23">
      <c r="J357" s="307"/>
      <c r="K357">
        <v>426</v>
      </c>
      <c r="L357" s="69">
        <f t="shared" ref="L357:L361" si="37">SQRT($C$11)*K357/1.68780986</f>
        <v>200.21528903445264</v>
      </c>
      <c r="M357" s="69" t="e">
        <f>0.5*C$109*K357^2*(#REF!+C252)*C$19</f>
        <v>#REF!</v>
      </c>
      <c r="N357">
        <f t="shared" si="36"/>
        <v>8635.8076120363949</v>
      </c>
      <c r="T357">
        <f t="shared" si="34"/>
        <v>357.46523292250225</v>
      </c>
      <c r="U357">
        <v>170</v>
      </c>
      <c r="V357" s="69" t="e">
        <f>0.5*L$109*T357^2*(#REF!+L252)*L$19</f>
        <v>#REF!</v>
      </c>
      <c r="W357" s="99">
        <f t="shared" si="33"/>
        <v>872.54709958833928</v>
      </c>
    </row>
    <row r="358" spans="10:23">
      <c r="K358">
        <v>428</v>
      </c>
      <c r="L358" s="69">
        <f t="shared" si="37"/>
        <v>201.15526691724349</v>
      </c>
      <c r="M358" s="69" t="e">
        <f>0.5*C$109*K358^2*(#REF!+C253)*C$19</f>
        <v>#REF!</v>
      </c>
      <c r="N358">
        <f t="shared" si="36"/>
        <v>8717.0853534532089</v>
      </c>
      <c r="T358">
        <f t="shared" si="34"/>
        <v>359.56796958675227</v>
      </c>
      <c r="U358" s="69">
        <v>171</v>
      </c>
      <c r="V358" s="69" t="e">
        <f>0.5*L$109*T358^2*(#REF!+L253)*L$19</f>
        <v>#REF!</v>
      </c>
      <c r="W358" s="99">
        <f t="shared" si="33"/>
        <v>882.84255152465857</v>
      </c>
    </row>
    <row r="359" spans="10:23">
      <c r="J359" s="307"/>
      <c r="K359">
        <v>430</v>
      </c>
      <c r="L359" s="69">
        <f t="shared" si="37"/>
        <v>202.09524480003435</v>
      </c>
      <c r="M359" s="69" t="e">
        <f>0.5*C$109*K359^2*(#REF!+C254)*C$19</f>
        <v>#REF!</v>
      </c>
      <c r="N359">
        <f t="shared" si="36"/>
        <v>8798.7437868672932</v>
      </c>
      <c r="T359">
        <f t="shared" si="34"/>
        <v>361.67070625100229</v>
      </c>
      <c r="U359">
        <v>172</v>
      </c>
      <c r="V359" s="69" t="e">
        <f>0.5*L$109*T359^2*(#REF!+L254)*L$19</f>
        <v>#REF!</v>
      </c>
      <c r="W359" s="99">
        <f t="shared" si="33"/>
        <v>893.19838734330222</v>
      </c>
    </row>
    <row r="360" spans="10:23">
      <c r="K360">
        <v>432</v>
      </c>
      <c r="L360" s="69">
        <f t="shared" si="37"/>
        <v>203.03522268282521</v>
      </c>
      <c r="M360" s="69" t="e">
        <f>0.5*C$109*K360^2*(#REF!+C255)*C$19</f>
        <v>#REF!</v>
      </c>
      <c r="N360">
        <f t="shared" si="36"/>
        <v>8880.7829122786479</v>
      </c>
      <c r="T360">
        <f t="shared" si="34"/>
        <v>363.77344291525225</v>
      </c>
      <c r="U360" s="69">
        <v>173</v>
      </c>
      <c r="V360" s="69" t="e">
        <f>0.5*L$109*T360^2*(#REF!+L255)*L$19</f>
        <v>#REF!</v>
      </c>
      <c r="W360" s="99">
        <f t="shared" si="33"/>
        <v>903.61460704427009</v>
      </c>
    </row>
    <row r="361" spans="10:23" ht="15.95" thickBot="1">
      <c r="J361" s="308"/>
      <c r="K361">
        <v>434</v>
      </c>
      <c r="L361" s="69">
        <f t="shared" si="37"/>
        <v>203.97520056561609</v>
      </c>
      <c r="M361" s="69" t="e">
        <f>0.5*C$109*K361^2*(#REF!+C256)*C$19</f>
        <v>#REF!</v>
      </c>
      <c r="N361">
        <f t="shared" si="36"/>
        <v>8963.2027296872675</v>
      </c>
      <c r="T361">
        <f t="shared" si="34"/>
        <v>365.87617957950226</v>
      </c>
      <c r="U361">
        <v>174</v>
      </c>
      <c r="V361" s="69" t="e">
        <f>0.5*L$109*T361^2*(#REF!+L256)*L$19</f>
        <v>#REF!</v>
      </c>
      <c r="W361" s="99">
        <f t="shared" si="33"/>
        <v>914.09121062756265</v>
      </c>
    </row>
    <row r="362" spans="10:23">
      <c r="T362">
        <f t="shared" si="34"/>
        <v>367.97891624375228</v>
      </c>
      <c r="U362" s="69">
        <v>175</v>
      </c>
      <c r="V362" s="69" t="e">
        <f>0.5*L$109*T362^2*(#REF!+L257)*L$19</f>
        <v>#REF!</v>
      </c>
      <c r="W362" s="99">
        <f t="shared" si="33"/>
        <v>924.62819809317966</v>
      </c>
    </row>
    <row r="363" spans="10:23">
      <c r="T363">
        <f t="shared" si="34"/>
        <v>370.0816529080023</v>
      </c>
      <c r="U363">
        <v>176</v>
      </c>
      <c r="V363" s="69" t="e">
        <f>0.5*L$109*T363^2*(#REF!+L258)*L$19</f>
        <v>#REF!</v>
      </c>
      <c r="W363" s="99">
        <f t="shared" si="33"/>
        <v>935.22556944112102</v>
      </c>
    </row>
    <row r="364" spans="10:23">
      <c r="T364">
        <f t="shared" si="34"/>
        <v>372.18438957225231</v>
      </c>
      <c r="U364" s="69">
        <v>177</v>
      </c>
      <c r="V364" s="69" t="e">
        <f>0.5*L$109*T364^2*(#REF!+L259)*L$19</f>
        <v>#REF!</v>
      </c>
      <c r="W364" s="99">
        <f t="shared" si="33"/>
        <v>945.88332467138684</v>
      </c>
    </row>
    <row r="365" spans="10:23">
      <c r="T365">
        <f t="shared" si="34"/>
        <v>374.28712623650233</v>
      </c>
      <c r="U365">
        <v>178</v>
      </c>
      <c r="V365" s="69" t="e">
        <f>0.5*L$109*T365^2*(#REF!+L260)*L$19</f>
        <v>#REF!</v>
      </c>
      <c r="W365" s="99">
        <f t="shared" si="33"/>
        <v>956.60146378397724</v>
      </c>
    </row>
    <row r="366" spans="10:23">
      <c r="T366">
        <f t="shared" si="34"/>
        <v>376.38986290075235</v>
      </c>
      <c r="U366" s="69">
        <v>179</v>
      </c>
      <c r="V366" s="69" t="e">
        <f>0.5*L$109*T366^2*(#REF!+L261)*L$19</f>
        <v>#REF!</v>
      </c>
      <c r="W366" s="99">
        <f t="shared" si="33"/>
        <v>967.3799867788922</v>
      </c>
    </row>
    <row r="367" spans="10:23">
      <c r="T367">
        <f t="shared" si="34"/>
        <v>378.49259956500237</v>
      </c>
      <c r="U367">
        <v>180</v>
      </c>
      <c r="V367" s="69" t="e">
        <f>0.5*L$109*T367^2*(#REF!+L262)*L$19</f>
        <v>#REF!</v>
      </c>
      <c r="W367" s="99">
        <f t="shared" si="33"/>
        <v>978.2188936561314</v>
      </c>
    </row>
    <row r="368" spans="10:23">
      <c r="T368">
        <f t="shared" si="34"/>
        <v>380.59533622925238</v>
      </c>
      <c r="U368" s="69">
        <v>181</v>
      </c>
      <c r="V368" s="69" t="e">
        <f>0.5*L$109*T368^2*(#REF!+L263)*L$19</f>
        <v>#REF!</v>
      </c>
      <c r="W368" s="99">
        <f t="shared" si="33"/>
        <v>989.11818441569483</v>
      </c>
    </row>
    <row r="369" spans="20:23">
      <c r="T369">
        <f t="shared" si="34"/>
        <v>382.6980728935024</v>
      </c>
      <c r="U369">
        <v>182</v>
      </c>
      <c r="V369" s="69" t="e">
        <f>0.5*L$109*T369^2*(#REF!+L264)*L$19</f>
        <v>#REF!</v>
      </c>
      <c r="W369" s="99">
        <f t="shared" si="33"/>
        <v>1000.0778590575832</v>
      </c>
    </row>
    <row r="370" spans="20:23">
      <c r="T370">
        <f t="shared" si="34"/>
        <v>384.80080955775242</v>
      </c>
      <c r="U370" s="69">
        <v>183</v>
      </c>
      <c r="V370" s="69" t="e">
        <f>0.5*L$109*T370^2*(#REF!+L265)*L$19</f>
        <v>#REF!</v>
      </c>
      <c r="W370" s="99">
        <f t="shared" si="33"/>
        <v>1011.0979175817957</v>
      </c>
    </row>
    <row r="371" spans="20:23">
      <c r="T371">
        <f t="shared" si="34"/>
        <v>386.90354622200243</v>
      </c>
      <c r="U371">
        <v>184</v>
      </c>
      <c r="V371" s="69" t="e">
        <f>0.5*L$109*T371^2*(#REF!+L266)*L$19</f>
        <v>#REF!</v>
      </c>
      <c r="W371" s="99">
        <f t="shared" si="33"/>
        <v>1022.1783599883328</v>
      </c>
    </row>
    <row r="372" spans="20:23">
      <c r="T372">
        <f t="shared" si="34"/>
        <v>389.00628288625239</v>
      </c>
      <c r="U372" s="69">
        <v>185</v>
      </c>
      <c r="V372" s="69" t="e">
        <f>0.5*L$109*T372^2*(#REF!+L267)*L$19</f>
        <v>#REF!</v>
      </c>
      <c r="W372" s="99">
        <f t="shared" si="33"/>
        <v>1033.3191862771941</v>
      </c>
    </row>
    <row r="373" spans="20:23">
      <c r="T373">
        <f t="shared" si="34"/>
        <v>391.10901955050241</v>
      </c>
      <c r="U373">
        <v>186</v>
      </c>
      <c r="V373" s="69" t="e">
        <f>0.5*L$109*T373^2*(#REF!+L268)*L$19</f>
        <v>#REF!</v>
      </c>
      <c r="W373" s="99">
        <f t="shared" si="33"/>
        <v>1044.5203964483799</v>
      </c>
    </row>
    <row r="374" spans="20:23">
      <c r="T374">
        <f t="shared" si="34"/>
        <v>393.21175621475243</v>
      </c>
      <c r="U374" s="69">
        <v>187</v>
      </c>
      <c r="V374" s="69" t="e">
        <f>0.5*L$109*T374^2*(#REF!+L269)*L$19</f>
        <v>#REF!</v>
      </c>
      <c r="W374" s="99">
        <f t="shared" si="33"/>
        <v>1055.7819905018905</v>
      </c>
    </row>
    <row r="375" spans="20:23">
      <c r="T375">
        <f t="shared" si="34"/>
        <v>395.31449287900244</v>
      </c>
      <c r="U375">
        <v>188</v>
      </c>
      <c r="V375" s="69" t="e">
        <f>0.5*L$109*T375^2*(#REF!+L270)*L$19</f>
        <v>#REF!</v>
      </c>
      <c r="W375" s="99">
        <f t="shared" si="33"/>
        <v>1067.1039684377254</v>
      </c>
    </row>
    <row r="376" spans="20:23">
      <c r="T376">
        <f t="shared" si="34"/>
        <v>397.41722954325246</v>
      </c>
      <c r="U376" s="69">
        <v>189</v>
      </c>
      <c r="V376" s="69" t="e">
        <f>0.5*L$109*T376^2*(#REF!+L271)*L$19</f>
        <v>#REF!</v>
      </c>
      <c r="W376" s="99">
        <f t="shared" si="33"/>
        <v>1078.4863302558845</v>
      </c>
    </row>
    <row r="377" spans="20:23">
      <c r="T377">
        <f t="shared" si="34"/>
        <v>399.51996620750253</v>
      </c>
      <c r="U377">
        <v>190</v>
      </c>
      <c r="V377" s="69" t="e">
        <f>0.5*L$109*T377^2*(#REF!+L272)*L$19</f>
        <v>#REF!</v>
      </c>
      <c r="W377" s="99">
        <f t="shared" si="33"/>
        <v>1089.9290759563687</v>
      </c>
    </row>
    <row r="378" spans="20:23">
      <c r="T378">
        <f t="shared" si="34"/>
        <v>401.62270287175249</v>
      </c>
      <c r="U378" s="69">
        <v>191</v>
      </c>
      <c r="V378" s="69" t="e">
        <f>0.5*L$109*T378^2*(#REF!+L273)*L$19</f>
        <v>#REF!</v>
      </c>
      <c r="W378" s="99">
        <f t="shared" si="33"/>
        <v>1101.4322055391767</v>
      </c>
    </row>
    <row r="379" spans="20:23">
      <c r="T379">
        <f t="shared" si="34"/>
        <v>403.72543953600251</v>
      </c>
      <c r="U379">
        <v>192</v>
      </c>
      <c r="V379" s="69" t="e">
        <f>0.5*L$109*T379^2*(#REF!+L274)*L$19</f>
        <v>#REF!</v>
      </c>
      <c r="W379" s="99">
        <f t="shared" ref="W379:W442" si="38">0.5*$C$97*T379^2*$C$95*$C$19</f>
        <v>1112.9957190043094</v>
      </c>
    </row>
    <row r="380" spans="20:23">
      <c r="T380">
        <f t="shared" ref="T380:T443" si="39">U380/SQRT($C$11)*1.668</f>
        <v>405.82817620025253</v>
      </c>
      <c r="U380" s="69">
        <v>193</v>
      </c>
      <c r="V380" s="69" t="e">
        <f>0.5*L$109*T380^2*(#REF!+L275)*L$19</f>
        <v>#REF!</v>
      </c>
      <c r="W380" s="99">
        <f t="shared" si="38"/>
        <v>1124.6196163517666</v>
      </c>
    </row>
    <row r="381" spans="20:23">
      <c r="T381">
        <f t="shared" si="39"/>
        <v>407.93091286450255</v>
      </c>
      <c r="U381">
        <v>194</v>
      </c>
      <c r="V381" s="69" t="e">
        <f>0.5*L$109*T381^2*(#REF!+L276)*L$19</f>
        <v>#REF!</v>
      </c>
      <c r="W381" s="99">
        <f t="shared" si="38"/>
        <v>1136.303897581548</v>
      </c>
    </row>
    <row r="382" spans="20:23">
      <c r="T382">
        <f t="shared" si="39"/>
        <v>410.03364952875256</v>
      </c>
      <c r="U382" s="69">
        <v>195</v>
      </c>
      <c r="V382" s="69" t="e">
        <f>0.5*L$109*T382^2*(#REF!+L277)*L$19</f>
        <v>#REF!</v>
      </c>
      <c r="W382" s="99">
        <f t="shared" si="38"/>
        <v>1148.0485626936543</v>
      </c>
    </row>
    <row r="383" spans="20:23">
      <c r="T383">
        <f t="shared" si="39"/>
        <v>412.13638619300258</v>
      </c>
      <c r="U383">
        <v>196</v>
      </c>
      <c r="V383" s="69" t="e">
        <f>0.5*L$109*T383^2*(#REF!+L278)*L$19</f>
        <v>#REF!</v>
      </c>
      <c r="W383" s="99">
        <f t="shared" si="38"/>
        <v>1159.8536116880848</v>
      </c>
    </row>
    <row r="384" spans="20:23">
      <c r="T384">
        <f t="shared" si="39"/>
        <v>414.23912285725254</v>
      </c>
      <c r="U384" s="69">
        <v>197</v>
      </c>
      <c r="V384" s="69" t="e">
        <f>0.5*L$109*T384^2*(#REF!+L279)*L$19</f>
        <v>#REF!</v>
      </c>
      <c r="W384" s="99">
        <f t="shared" si="38"/>
        <v>1171.7190445648391</v>
      </c>
    </row>
    <row r="385" spans="20:23">
      <c r="T385">
        <f t="shared" si="39"/>
        <v>416.34185952150256</v>
      </c>
      <c r="U385">
        <v>198</v>
      </c>
      <c r="V385" s="69" t="e">
        <f>0.5*L$109*T385^2*(#REF!+L280)*L$19</f>
        <v>#REF!</v>
      </c>
      <c r="W385" s="99">
        <f t="shared" si="38"/>
        <v>1183.6448613239186</v>
      </c>
    </row>
    <row r="386" spans="20:23">
      <c r="T386">
        <f t="shared" si="39"/>
        <v>418.44459618575257</v>
      </c>
      <c r="U386" s="69">
        <v>199</v>
      </c>
      <c r="V386" s="69" t="e">
        <f>0.5*L$109*T386^2*(#REF!+L281)*L$19</f>
        <v>#REF!</v>
      </c>
      <c r="W386" s="99">
        <f t="shared" si="38"/>
        <v>1195.6310619653225</v>
      </c>
    </row>
    <row r="387" spans="20:23">
      <c r="T387">
        <f t="shared" si="39"/>
        <v>420.54733285000265</v>
      </c>
      <c r="U387">
        <v>200</v>
      </c>
      <c r="V387" s="69" t="e">
        <f>0.5*L$109*T387^2*(#REF!+L282)*L$19</f>
        <v>#REF!</v>
      </c>
      <c r="W387" s="99">
        <f t="shared" si="38"/>
        <v>1207.6776464890511</v>
      </c>
    </row>
    <row r="388" spans="20:23">
      <c r="T388">
        <f t="shared" si="39"/>
        <v>422.65006951425266</v>
      </c>
      <c r="U388" s="69">
        <v>201</v>
      </c>
      <c r="V388" s="69" t="e">
        <f>0.5*L$109*T388^2*(#REF!+L283)*L$19</f>
        <v>#REF!</v>
      </c>
      <c r="W388" s="99">
        <f t="shared" si="38"/>
        <v>1219.7846148951037</v>
      </c>
    </row>
    <row r="389" spans="20:23">
      <c r="T389">
        <f t="shared" si="39"/>
        <v>424.75280617850268</v>
      </c>
      <c r="U389">
        <v>202</v>
      </c>
      <c r="V389" s="69" t="e">
        <f>0.5*L$109*T389^2*(#REF!+L284)*L$19</f>
        <v>#REF!</v>
      </c>
      <c r="W389" s="99">
        <f t="shared" si="38"/>
        <v>1231.951967183481</v>
      </c>
    </row>
    <row r="390" spans="20:23">
      <c r="T390">
        <f t="shared" si="39"/>
        <v>426.85554284275264</v>
      </c>
      <c r="U390" s="69">
        <v>203</v>
      </c>
      <c r="V390" s="69" t="e">
        <f>0.5*L$109*T390^2*(#REF!+L285)*L$19</f>
        <v>#REF!</v>
      </c>
      <c r="W390" s="99">
        <f t="shared" si="38"/>
        <v>1244.1797033541823</v>
      </c>
    </row>
    <row r="391" spans="20:23">
      <c r="T391">
        <f t="shared" si="39"/>
        <v>428.95827950700266</v>
      </c>
      <c r="U391">
        <v>204</v>
      </c>
      <c r="V391" s="69" t="e">
        <f>0.5*L$109*T391^2*(#REF!+L286)*L$19</f>
        <v>#REF!</v>
      </c>
      <c r="W391" s="99">
        <f t="shared" si="38"/>
        <v>1256.4678234072085</v>
      </c>
    </row>
    <row r="392" spans="20:23">
      <c r="T392">
        <f t="shared" si="39"/>
        <v>431.06101617125267</v>
      </c>
      <c r="U392" s="69">
        <v>205</v>
      </c>
      <c r="V392" s="69" t="e">
        <f>0.5*L$109*T392^2*(#REF!+L287)*L$19</f>
        <v>#REF!</v>
      </c>
      <c r="W392" s="99">
        <f t="shared" si="38"/>
        <v>1268.8163273425589</v>
      </c>
    </row>
    <row r="393" spans="20:23">
      <c r="T393">
        <f t="shared" si="39"/>
        <v>433.16375283550269</v>
      </c>
      <c r="U393">
        <v>206</v>
      </c>
      <c r="V393" s="69" t="e">
        <f>0.5*L$109*T393^2*(#REF!+L288)*L$19</f>
        <v>#REF!</v>
      </c>
      <c r="W393" s="99">
        <f t="shared" si="38"/>
        <v>1281.2252151602343</v>
      </c>
    </row>
    <row r="394" spans="20:23">
      <c r="T394">
        <f t="shared" si="39"/>
        <v>435.26648949975271</v>
      </c>
      <c r="U394" s="69">
        <v>207</v>
      </c>
      <c r="V394" s="69" t="e">
        <f>0.5*L$109*T394^2*(#REF!+L289)*L$19</f>
        <v>#REF!</v>
      </c>
      <c r="W394" s="99">
        <f t="shared" si="38"/>
        <v>1293.6944868602336</v>
      </c>
    </row>
    <row r="395" spans="20:23">
      <c r="T395">
        <f t="shared" si="39"/>
        <v>437.36922616400273</v>
      </c>
      <c r="U395">
        <v>208</v>
      </c>
      <c r="V395" s="69" t="e">
        <f>0.5*L$109*T395^2*(#REF!+L290)*L$19</f>
        <v>#REF!</v>
      </c>
      <c r="W395" s="99">
        <f t="shared" si="38"/>
        <v>1306.2241424425576</v>
      </c>
    </row>
    <row r="396" spans="20:23">
      <c r="T396">
        <f t="shared" si="39"/>
        <v>439.47196282825274</v>
      </c>
      <c r="U396" s="69">
        <v>209</v>
      </c>
      <c r="V396" s="69" t="e">
        <f>0.5*L$109*T396^2*(#REF!+L291)*L$19</f>
        <v>#REF!</v>
      </c>
      <c r="W396" s="99">
        <f t="shared" si="38"/>
        <v>1318.8141819072059</v>
      </c>
    </row>
    <row r="397" spans="20:23">
      <c r="T397">
        <f t="shared" si="39"/>
        <v>441.57469949250276</v>
      </c>
      <c r="U397">
        <v>210</v>
      </c>
      <c r="V397" s="69" t="e">
        <f>0.5*L$109*T397^2*(#REF!+L292)*L$19</f>
        <v>#REF!</v>
      </c>
      <c r="W397" s="99">
        <f t="shared" si="38"/>
        <v>1331.4646052541787</v>
      </c>
    </row>
    <row r="398" spans="20:23">
      <c r="T398">
        <f t="shared" si="39"/>
        <v>443.67743615675278</v>
      </c>
      <c r="U398" s="69">
        <v>211</v>
      </c>
      <c r="V398" s="69" t="e">
        <f>0.5*L$109*T398^2*(#REF!+L293)*L$19</f>
        <v>#REF!</v>
      </c>
      <c r="W398" s="99">
        <f t="shared" si="38"/>
        <v>1344.1754124834758</v>
      </c>
    </row>
    <row r="399" spans="20:23">
      <c r="T399">
        <f t="shared" si="39"/>
        <v>445.78017282100274</v>
      </c>
      <c r="U399">
        <v>212</v>
      </c>
      <c r="V399" s="69" t="e">
        <f>0.5*L$109*T399^2*(#REF!+L294)*L$19</f>
        <v>#REF!</v>
      </c>
      <c r="W399" s="99">
        <f t="shared" si="38"/>
        <v>1356.9466035950975</v>
      </c>
    </row>
    <row r="400" spans="20:23">
      <c r="T400">
        <f t="shared" si="39"/>
        <v>447.88290948525275</v>
      </c>
      <c r="U400" s="69">
        <v>213</v>
      </c>
      <c r="V400" s="69" t="e">
        <f>0.5*L$109*T400^2*(#REF!+L295)*L$19</f>
        <v>#REF!</v>
      </c>
      <c r="W400" s="99">
        <f t="shared" si="38"/>
        <v>1369.7781785890434</v>
      </c>
    </row>
    <row r="401" spans="20:23">
      <c r="T401">
        <f t="shared" si="39"/>
        <v>449.98564614950277</v>
      </c>
      <c r="U401">
        <v>214</v>
      </c>
      <c r="V401" s="69" t="e">
        <f>0.5*L$109*T401^2*(#REF!+L296)*L$19</f>
        <v>#REF!</v>
      </c>
      <c r="W401" s="99">
        <f t="shared" si="38"/>
        <v>1382.6701374653142</v>
      </c>
    </row>
    <row r="402" spans="20:23">
      <c r="T402">
        <f t="shared" si="39"/>
        <v>452.08838281375279</v>
      </c>
      <c r="U402" s="69">
        <v>215</v>
      </c>
      <c r="V402" s="69" t="e">
        <f>0.5*L$109*T402^2*(#REF!+L297)*L$19</f>
        <v>#REF!</v>
      </c>
      <c r="W402" s="99">
        <f t="shared" si="38"/>
        <v>1395.6224802239092</v>
      </c>
    </row>
    <row r="403" spans="20:23">
      <c r="T403">
        <f t="shared" si="39"/>
        <v>454.1911194780028</v>
      </c>
      <c r="U403">
        <v>216</v>
      </c>
      <c r="V403" s="69" t="e">
        <f>0.5*L$109*T403^2*(#REF!+L298)*L$19</f>
        <v>#REF!</v>
      </c>
      <c r="W403" s="99">
        <f t="shared" si="38"/>
        <v>1408.6352068648287</v>
      </c>
    </row>
    <row r="404" spans="20:23">
      <c r="T404">
        <f t="shared" si="39"/>
        <v>456.29385614225282</v>
      </c>
      <c r="U404" s="69">
        <v>217</v>
      </c>
      <c r="V404" s="69" t="e">
        <f>0.5*L$109*T404^2*(#REF!+L299)*L$19</f>
        <v>#REF!</v>
      </c>
      <c r="W404" s="99">
        <f t="shared" si="38"/>
        <v>1421.7083173880728</v>
      </c>
    </row>
    <row r="405" spans="20:23">
      <c r="T405">
        <f t="shared" si="39"/>
        <v>458.39659280650284</v>
      </c>
      <c r="U405">
        <v>218</v>
      </c>
      <c r="V405" s="69" t="e">
        <f>0.5*L$109*T405^2*(#REF!+L300)*L$19</f>
        <v>#REF!</v>
      </c>
      <c r="W405" s="99">
        <f t="shared" si="38"/>
        <v>1434.8418117936415</v>
      </c>
    </row>
    <row r="406" spans="20:23">
      <c r="T406">
        <f t="shared" si="39"/>
        <v>460.49932947075285</v>
      </c>
      <c r="U406" s="69">
        <v>219</v>
      </c>
      <c r="V406" s="69" t="e">
        <f>0.5*L$109*T406^2*(#REF!+L301)*L$19</f>
        <v>#REF!</v>
      </c>
      <c r="W406" s="99">
        <f t="shared" si="38"/>
        <v>1448.0356900815343</v>
      </c>
    </row>
    <row r="407" spans="20:23">
      <c r="T407">
        <f t="shared" si="39"/>
        <v>462.60206613500287</v>
      </c>
      <c r="U407">
        <v>220</v>
      </c>
      <c r="V407" s="69" t="e">
        <f>0.5*L$109*T407^2*(#REF!+L302)*L$19</f>
        <v>#REF!</v>
      </c>
      <c r="W407" s="99">
        <f t="shared" si="38"/>
        <v>1461.2899522517514</v>
      </c>
    </row>
    <row r="408" spans="20:23">
      <c r="T408">
        <f t="shared" si="39"/>
        <v>464.70480279925295</v>
      </c>
      <c r="U408" s="69">
        <v>221</v>
      </c>
      <c r="V408" s="69" t="e">
        <f>0.5*L$109*T408^2*(#REF!+L303)*L$19</f>
        <v>#REF!</v>
      </c>
      <c r="W408" s="99">
        <f t="shared" si="38"/>
        <v>1474.6045983042939</v>
      </c>
    </row>
    <row r="409" spans="20:23">
      <c r="T409">
        <f t="shared" si="39"/>
        <v>466.80753946350296</v>
      </c>
      <c r="U409">
        <v>222</v>
      </c>
      <c r="V409" s="69" t="e">
        <f>0.5*L$109*T409^2*(#REF!+L304)*L$19</f>
        <v>#REF!</v>
      </c>
      <c r="W409" s="99">
        <f t="shared" si="38"/>
        <v>1487.9796282391599</v>
      </c>
    </row>
    <row r="410" spans="20:23">
      <c r="T410">
        <f t="shared" si="39"/>
        <v>468.91027612775298</v>
      </c>
      <c r="U410" s="69">
        <v>223</v>
      </c>
      <c r="V410" s="69" t="e">
        <f>0.5*L$109*T410^2*(#REF!+L305)*L$19</f>
        <v>#REF!</v>
      </c>
      <c r="W410" s="99">
        <f t="shared" si="38"/>
        <v>1501.4150420563508</v>
      </c>
    </row>
    <row r="411" spans="20:23">
      <c r="T411">
        <f t="shared" si="39"/>
        <v>471.01301279200288</v>
      </c>
      <c r="U411">
        <v>224</v>
      </c>
      <c r="V411" s="69" t="e">
        <f>0.5*L$109*T411^2*(#REF!+L306)*L$19</f>
        <v>#REF!</v>
      </c>
      <c r="W411" s="99">
        <f t="shared" si="38"/>
        <v>1514.910839755865</v>
      </c>
    </row>
    <row r="412" spans="20:23">
      <c r="T412">
        <f t="shared" si="39"/>
        <v>473.1157494562529</v>
      </c>
      <c r="U412" s="69">
        <v>225</v>
      </c>
      <c r="V412" s="69" t="e">
        <f>0.5*L$109*T412^2*(#REF!+L307)*L$19</f>
        <v>#REF!</v>
      </c>
      <c r="W412" s="99">
        <f t="shared" si="38"/>
        <v>1528.4670213377046</v>
      </c>
    </row>
    <row r="413" spans="20:23">
      <c r="T413">
        <f t="shared" si="39"/>
        <v>475.21848612050292</v>
      </c>
      <c r="U413">
        <v>226</v>
      </c>
      <c r="V413" s="69" t="e">
        <f>0.5*L$109*T413^2*(#REF!+L308)*L$19</f>
        <v>#REF!</v>
      </c>
      <c r="W413" s="99">
        <f t="shared" si="38"/>
        <v>1542.0835868018689</v>
      </c>
    </row>
    <row r="414" spans="20:23">
      <c r="T414">
        <f t="shared" si="39"/>
        <v>477.32122278475293</v>
      </c>
      <c r="U414" s="69">
        <v>227</v>
      </c>
      <c r="V414" s="69" t="e">
        <f>0.5*L$109*T414^2*(#REF!+L309)*L$19</f>
        <v>#REF!</v>
      </c>
      <c r="W414" s="99">
        <f t="shared" si="38"/>
        <v>1555.7605361483572</v>
      </c>
    </row>
    <row r="415" spans="20:23">
      <c r="T415">
        <f t="shared" si="39"/>
        <v>479.42395944900295</v>
      </c>
      <c r="U415">
        <v>228</v>
      </c>
      <c r="V415" s="69" t="e">
        <f>0.5*L$109*T415^2*(#REF!+L310)*L$19</f>
        <v>#REF!</v>
      </c>
      <c r="W415" s="99">
        <f t="shared" si="38"/>
        <v>1569.4978693771704</v>
      </c>
    </row>
    <row r="416" spans="20:23">
      <c r="T416">
        <f t="shared" si="39"/>
        <v>481.52669611325297</v>
      </c>
      <c r="U416" s="69">
        <v>229</v>
      </c>
      <c r="V416" s="69" t="e">
        <f>0.5*L$109*T416^2*(#REF!+L311)*L$19</f>
        <v>#REF!</v>
      </c>
      <c r="W416" s="99">
        <f t="shared" si="38"/>
        <v>1583.2955864883079</v>
      </c>
    </row>
    <row r="417" spans="20:23">
      <c r="T417">
        <f t="shared" si="39"/>
        <v>483.62943277750298</v>
      </c>
      <c r="U417">
        <v>230</v>
      </c>
      <c r="V417" s="69" t="e">
        <f>0.5*L$109*T417^2*(#REF!+L312)*L$19</f>
        <v>#REF!</v>
      </c>
      <c r="W417" s="99">
        <f t="shared" si="38"/>
        <v>1597.1536874817696</v>
      </c>
    </row>
    <row r="418" spans="20:23">
      <c r="T418">
        <f t="shared" si="39"/>
        <v>485.73216944175306</v>
      </c>
      <c r="U418" s="69">
        <v>231</v>
      </c>
      <c r="V418" s="69" t="e">
        <f>0.5*L$109*T418^2*(#REF!+L313)*L$19</f>
        <v>#REF!</v>
      </c>
      <c r="W418" s="99">
        <f t="shared" si="38"/>
        <v>1611.0721723575564</v>
      </c>
    </row>
    <row r="419" spans="20:23">
      <c r="T419">
        <f t="shared" si="39"/>
        <v>487.83490610600307</v>
      </c>
      <c r="U419">
        <v>232</v>
      </c>
      <c r="V419" s="69" t="e">
        <f>0.5*L$109*T419^2*(#REF!+L314)*L$19</f>
        <v>#REF!</v>
      </c>
      <c r="W419" s="99">
        <f t="shared" si="38"/>
        <v>1625.0510411156672</v>
      </c>
    </row>
    <row r="420" spans="20:23">
      <c r="T420">
        <f t="shared" si="39"/>
        <v>489.93764277025309</v>
      </c>
      <c r="U420" s="69">
        <v>233</v>
      </c>
      <c r="V420" s="69" t="e">
        <f>0.5*L$109*T420^2*(#REF!+L315)*L$19</f>
        <v>#REF!</v>
      </c>
      <c r="W420" s="99">
        <f t="shared" si="38"/>
        <v>1639.0902937561025</v>
      </c>
    </row>
    <row r="421" spans="20:23">
      <c r="T421">
        <f t="shared" si="39"/>
        <v>492.04037943450311</v>
      </c>
      <c r="U421">
        <v>234</v>
      </c>
      <c r="V421" s="69" t="e">
        <f>0.5*L$109*T421^2*(#REF!+L316)*L$19</f>
        <v>#REF!</v>
      </c>
      <c r="W421" s="99">
        <f t="shared" si="38"/>
        <v>1653.1899302788622</v>
      </c>
    </row>
    <row r="422" spans="20:23">
      <c r="T422">
        <f t="shared" si="39"/>
        <v>494.14311609875313</v>
      </c>
      <c r="U422" s="69">
        <v>235</v>
      </c>
      <c r="V422" s="69" t="e">
        <f>0.5*L$109*T422^2*(#REF!+L317)*L$19</f>
        <v>#REF!</v>
      </c>
      <c r="W422" s="99">
        <f t="shared" si="38"/>
        <v>1667.3499506839464</v>
      </c>
    </row>
    <row r="423" spans="20:23">
      <c r="T423">
        <f t="shared" si="39"/>
        <v>496.24585276300303</v>
      </c>
      <c r="U423">
        <v>236</v>
      </c>
      <c r="V423" s="69" t="e">
        <f>0.5*L$109*T423^2*(#REF!+L318)*L$19</f>
        <v>#REF!</v>
      </c>
      <c r="W423" s="99">
        <f t="shared" si="38"/>
        <v>1681.5703549713542</v>
      </c>
    </row>
    <row r="424" spans="20:23">
      <c r="T424">
        <f t="shared" si="39"/>
        <v>498.34858942725305</v>
      </c>
      <c r="U424" s="69">
        <v>237</v>
      </c>
      <c r="V424" s="69" t="e">
        <f>0.5*L$109*T424^2*(#REF!+L319)*L$19</f>
        <v>#REF!</v>
      </c>
      <c r="W424" s="99">
        <f t="shared" si="38"/>
        <v>1695.8511431410868</v>
      </c>
    </row>
    <row r="425" spans="20:23">
      <c r="T425">
        <f t="shared" si="39"/>
        <v>500.45132609150306</v>
      </c>
      <c r="U425">
        <v>238</v>
      </c>
      <c r="V425" s="69" t="e">
        <f>0.5*L$109*T425^2*(#REF!+L320)*L$19</f>
        <v>#REF!</v>
      </c>
      <c r="W425" s="99">
        <f t="shared" si="38"/>
        <v>1710.1923151931444</v>
      </c>
    </row>
    <row r="426" spans="20:23">
      <c r="T426">
        <f t="shared" si="39"/>
        <v>502.55406275575308</v>
      </c>
      <c r="U426" s="69">
        <v>239</v>
      </c>
      <c r="V426" s="69" t="e">
        <f>0.5*L$109*T426^2*(#REF!+L321)*L$19</f>
        <v>#REF!</v>
      </c>
      <c r="W426" s="99">
        <f t="shared" si="38"/>
        <v>1724.5938711275267</v>
      </c>
    </row>
    <row r="427" spans="20:23">
      <c r="T427">
        <f t="shared" si="39"/>
        <v>504.65679942000315</v>
      </c>
      <c r="U427">
        <v>240</v>
      </c>
      <c r="V427" s="69" t="e">
        <f>0.5*L$109*T427^2*(#REF!+L322)*L$19</f>
        <v>#REF!</v>
      </c>
      <c r="W427" s="99">
        <f t="shared" si="38"/>
        <v>1739.0558109442334</v>
      </c>
    </row>
    <row r="428" spans="20:23">
      <c r="T428">
        <f t="shared" si="39"/>
        <v>506.75953608425317</v>
      </c>
      <c r="U428" s="69">
        <v>241</v>
      </c>
      <c r="V428" s="69" t="e">
        <f>0.5*L$109*T428^2*(#REF!+L323)*L$19</f>
        <v>#REF!</v>
      </c>
      <c r="W428" s="99">
        <f t="shared" si="38"/>
        <v>1753.5781346432643</v>
      </c>
    </row>
    <row r="429" spans="20:23">
      <c r="T429">
        <f t="shared" si="39"/>
        <v>508.86227274850319</v>
      </c>
      <c r="U429">
        <v>242</v>
      </c>
      <c r="V429" s="69" t="e">
        <f>0.5*L$109*T429^2*(#REF!+L324)*L$19</f>
        <v>#REF!</v>
      </c>
      <c r="W429" s="99">
        <f t="shared" si="38"/>
        <v>1768.1608422246195</v>
      </c>
    </row>
    <row r="430" spans="20:23">
      <c r="T430">
        <f t="shared" si="39"/>
        <v>510.9650094127532</v>
      </c>
      <c r="U430" s="69">
        <v>243</v>
      </c>
      <c r="V430" s="69" t="e">
        <f>0.5*L$109*T430^2*(#REF!+L325)*L$19</f>
        <v>#REF!</v>
      </c>
      <c r="W430" s="99">
        <f t="shared" si="38"/>
        <v>1782.8039336882994</v>
      </c>
    </row>
    <row r="431" spans="20:23">
      <c r="T431">
        <f t="shared" si="39"/>
        <v>513.06774607700322</v>
      </c>
      <c r="U431">
        <v>244</v>
      </c>
      <c r="V431" s="69" t="e">
        <f>0.5*L$109*T431^2*(#REF!+L326)*L$19</f>
        <v>#REF!</v>
      </c>
      <c r="W431" s="99">
        <f t="shared" si="38"/>
        <v>1797.5074090343039</v>
      </c>
    </row>
    <row r="432" spans="20:23">
      <c r="T432">
        <f t="shared" si="39"/>
        <v>515.17048274125318</v>
      </c>
      <c r="U432" s="69">
        <v>245</v>
      </c>
      <c r="V432" s="69" t="e">
        <f>0.5*L$109*T432^2*(#REF!+L327)*L$19</f>
        <v>#REF!</v>
      </c>
      <c r="W432" s="99">
        <f t="shared" si="38"/>
        <v>1812.2712682626318</v>
      </c>
    </row>
    <row r="433" spans="20:23">
      <c r="T433">
        <f t="shared" si="39"/>
        <v>517.27321940550326</v>
      </c>
      <c r="U433">
        <v>246</v>
      </c>
      <c r="V433" s="69" t="e">
        <f>0.5*L$109*T433^2*(#REF!+L328)*L$19</f>
        <v>#REF!</v>
      </c>
      <c r="W433" s="99">
        <f t="shared" si="38"/>
        <v>1827.0955113732855</v>
      </c>
    </row>
    <row r="434" spans="20:23">
      <c r="T434">
        <f t="shared" si="39"/>
        <v>519.37595606975333</v>
      </c>
      <c r="U434" s="69">
        <v>247</v>
      </c>
      <c r="V434" s="69" t="e">
        <f>0.5*L$109*T434^2*(#REF!+L329)*L$19</f>
        <v>#REF!</v>
      </c>
      <c r="W434" s="99">
        <f t="shared" si="38"/>
        <v>1841.9801383662636</v>
      </c>
    </row>
    <row r="435" spans="20:23">
      <c r="T435">
        <f t="shared" si="39"/>
        <v>521.47869273400318</v>
      </c>
      <c r="U435">
        <v>248</v>
      </c>
      <c r="V435" s="69" t="e">
        <f>0.5*L$109*T435^2*(#REF!+L330)*L$19</f>
        <v>#REF!</v>
      </c>
      <c r="W435" s="99">
        <f t="shared" si="38"/>
        <v>1856.9251492415642</v>
      </c>
    </row>
    <row r="436" spans="20:23">
      <c r="T436">
        <f t="shared" si="39"/>
        <v>523.58142939825325</v>
      </c>
      <c r="U436" s="69">
        <v>249</v>
      </c>
      <c r="V436" s="69" t="e">
        <f>0.5*L$109*T436^2*(#REF!+L331)*L$19</f>
        <v>#REF!</v>
      </c>
      <c r="W436" s="99">
        <f t="shared" si="38"/>
        <v>1871.9305439991913</v>
      </c>
    </row>
    <row r="437" spans="20:23">
      <c r="T437">
        <f t="shared" si="39"/>
        <v>525.68416606250321</v>
      </c>
      <c r="U437">
        <v>250</v>
      </c>
      <c r="V437" s="69" t="e">
        <f>0.5*L$109*T437^2*(#REF!+L332)*L$19</f>
        <v>#REF!</v>
      </c>
      <c r="W437" s="99">
        <f t="shared" si="38"/>
        <v>1886.9963226391415</v>
      </c>
    </row>
    <row r="438" spans="20:23">
      <c r="T438">
        <f t="shared" si="39"/>
        <v>527.78690272675328</v>
      </c>
      <c r="U438" s="69">
        <v>251</v>
      </c>
      <c r="V438" s="69" t="e">
        <f>0.5*L$109*T438^2*(#REF!+L333)*L$19</f>
        <v>#REF!</v>
      </c>
      <c r="W438" s="99">
        <f t="shared" si="38"/>
        <v>1902.1224851614174</v>
      </c>
    </row>
    <row r="439" spans="20:23">
      <c r="T439">
        <f t="shared" si="39"/>
        <v>529.88963939100324</v>
      </c>
      <c r="U439">
        <v>252</v>
      </c>
      <c r="V439" s="69" t="e">
        <f>0.5*L$109*T439^2*(#REF!+L334)*L$19</f>
        <v>#REF!</v>
      </c>
      <c r="W439" s="99">
        <f t="shared" si="38"/>
        <v>1917.309031566017</v>
      </c>
    </row>
    <row r="440" spans="20:23">
      <c r="T440">
        <f t="shared" si="39"/>
        <v>531.99237605525332</v>
      </c>
      <c r="U440" s="69">
        <v>253</v>
      </c>
      <c r="V440" s="69" t="e">
        <f>0.5*L$109*T440^2*(#REF!+L335)*L$19</f>
        <v>#REF!</v>
      </c>
      <c r="W440" s="99">
        <f t="shared" si="38"/>
        <v>1932.5559618529412</v>
      </c>
    </row>
    <row r="441" spans="20:23">
      <c r="T441">
        <f t="shared" si="39"/>
        <v>534.09511271950328</v>
      </c>
      <c r="U441">
        <v>254</v>
      </c>
      <c r="V441" s="69" t="e">
        <f>0.5*L$109*T441^2*(#REF!+L336)*L$19</f>
        <v>#REF!</v>
      </c>
      <c r="W441" s="99">
        <f t="shared" si="38"/>
        <v>1947.8632760221897</v>
      </c>
    </row>
    <row r="442" spans="20:23">
      <c r="T442">
        <f t="shared" si="39"/>
        <v>536.19784938375335</v>
      </c>
      <c r="U442" s="69">
        <v>255</v>
      </c>
      <c r="V442" s="69" t="e">
        <f>0.5*L$109*T442^2*(#REF!+L337)*L$19</f>
        <v>#REF!</v>
      </c>
      <c r="W442" s="99">
        <f t="shared" si="38"/>
        <v>1963.2309740737633</v>
      </c>
    </row>
    <row r="443" spans="20:23">
      <c r="T443">
        <f t="shared" si="39"/>
        <v>538.30058604800331</v>
      </c>
      <c r="U443">
        <v>256</v>
      </c>
      <c r="V443" s="69" t="e">
        <f>0.5*L$109*T443^2*(#REF!+L338)*L$19</f>
        <v>#REF!</v>
      </c>
      <c r="W443" s="99">
        <f t="shared" ref="W443:W488" si="40">0.5*$C$97*T443^2*$C$95*$C$19</f>
        <v>1978.6590560076609</v>
      </c>
    </row>
    <row r="444" spans="20:23">
      <c r="T444">
        <f t="shared" ref="T444:T488" si="41">U444/SQRT($C$11)*1.668</f>
        <v>540.40332271225338</v>
      </c>
      <c r="U444" s="69">
        <v>257</v>
      </c>
      <c r="V444" s="69" t="e">
        <f>0.5*L$109*T444^2*(#REF!+L339)*L$19</f>
        <v>#REF!</v>
      </c>
      <c r="W444" s="99">
        <f t="shared" si="40"/>
        <v>1994.1475218238832</v>
      </c>
    </row>
    <row r="445" spans="20:23">
      <c r="T445">
        <f t="shared" si="41"/>
        <v>542.50605937650346</v>
      </c>
      <c r="U445">
        <v>258</v>
      </c>
      <c r="V445" s="69" t="e">
        <f>0.5*L$109*T445^2*(#REF!+L340)*L$19</f>
        <v>#REF!</v>
      </c>
      <c r="W445" s="99">
        <f t="shared" si="40"/>
        <v>2009.6963715224301</v>
      </c>
    </row>
    <row r="446" spans="20:23">
      <c r="T446">
        <f t="shared" si="41"/>
        <v>544.60879604075342</v>
      </c>
      <c r="U446" s="69">
        <v>259</v>
      </c>
      <c r="V446" s="69" t="e">
        <f>0.5*L$109*T446^2*(#REF!+L341)*L$19</f>
        <v>#REF!</v>
      </c>
      <c r="W446" s="99">
        <f t="shared" si="40"/>
        <v>2025.3056051033006</v>
      </c>
    </row>
    <row r="447" spans="20:23">
      <c r="T447">
        <f t="shared" si="41"/>
        <v>546.71153270500338</v>
      </c>
      <c r="U447">
        <v>260</v>
      </c>
      <c r="V447" s="69" t="e">
        <f>0.5*L$109*T447^2*(#REF!+L342)*L$19</f>
        <v>#REF!</v>
      </c>
      <c r="W447" s="99">
        <f t="shared" si="40"/>
        <v>2040.9752225664959</v>
      </c>
    </row>
    <row r="448" spans="20:23">
      <c r="T448">
        <f t="shared" si="41"/>
        <v>548.81426936925334</v>
      </c>
      <c r="U448" s="69">
        <v>261</v>
      </c>
      <c r="V448" s="69" t="e">
        <f>0.5*L$109*T448^2*(#REF!+L343)*L$19</f>
        <v>#REF!</v>
      </c>
      <c r="W448" s="99">
        <f t="shared" si="40"/>
        <v>2056.7052239120153</v>
      </c>
    </row>
    <row r="449" spans="20:23">
      <c r="T449">
        <f t="shared" si="41"/>
        <v>550.91700603350341</v>
      </c>
      <c r="U449">
        <v>262</v>
      </c>
      <c r="V449" s="69" t="e">
        <f>0.5*L$109*T449^2*(#REF!+L344)*L$19</f>
        <v>#REF!</v>
      </c>
      <c r="W449" s="99">
        <f t="shared" si="40"/>
        <v>2072.4956091398603</v>
      </c>
    </row>
    <row r="450" spans="20:23">
      <c r="T450">
        <f t="shared" si="41"/>
        <v>553.01974269775337</v>
      </c>
      <c r="U450" s="69">
        <v>263</v>
      </c>
      <c r="V450" s="69" t="e">
        <f>0.5*L$109*T450^2*(#REF!+L345)*L$19</f>
        <v>#REF!</v>
      </c>
      <c r="W450" s="99">
        <f t="shared" si="40"/>
        <v>2088.3463782500285</v>
      </c>
    </row>
    <row r="451" spans="20:23">
      <c r="T451">
        <f t="shared" si="41"/>
        <v>555.12247936200345</v>
      </c>
      <c r="U451">
        <v>264</v>
      </c>
      <c r="V451" s="69" t="e">
        <f>0.5*L$109*T451^2*(#REF!+L346)*L$19</f>
        <v>#REF!</v>
      </c>
      <c r="W451" s="99">
        <f t="shared" si="40"/>
        <v>2104.2575312425224</v>
      </c>
    </row>
    <row r="452" spans="20:23">
      <c r="T452">
        <f t="shared" si="41"/>
        <v>557.22521602625341</v>
      </c>
      <c r="U452" s="69">
        <v>265</v>
      </c>
      <c r="V452" s="69" t="e">
        <f>0.5*L$109*T452^2*(#REF!+L347)*L$19</f>
        <v>#REF!</v>
      </c>
      <c r="W452" s="99">
        <f t="shared" si="40"/>
        <v>2120.2290681173395</v>
      </c>
    </row>
    <row r="453" spans="20:23">
      <c r="T453">
        <f t="shared" si="41"/>
        <v>559.32795269050348</v>
      </c>
      <c r="U453">
        <v>266</v>
      </c>
      <c r="V453" s="69" t="e">
        <f>0.5*L$109*T453^2*(#REF!+L348)*L$19</f>
        <v>#REF!</v>
      </c>
      <c r="W453" s="99">
        <f t="shared" si="40"/>
        <v>2136.2609888744823</v>
      </c>
    </row>
    <row r="454" spans="20:23">
      <c r="T454">
        <f t="shared" si="41"/>
        <v>561.43068935475355</v>
      </c>
      <c r="U454" s="69">
        <v>267</v>
      </c>
      <c r="V454" s="69" t="e">
        <f>0.5*L$109*T454^2*(#REF!+L349)*L$19</f>
        <v>#REF!</v>
      </c>
      <c r="W454" s="99">
        <f t="shared" si="40"/>
        <v>2152.3532935139492</v>
      </c>
    </row>
    <row r="455" spans="20:23">
      <c r="T455">
        <f t="shared" si="41"/>
        <v>563.53342601900351</v>
      </c>
      <c r="U455">
        <v>268</v>
      </c>
      <c r="V455" s="69" t="e">
        <f>0.5*L$109*T455^2*(#REF!+L350)*L$19</f>
        <v>#REF!</v>
      </c>
      <c r="W455" s="99">
        <f t="shared" si="40"/>
        <v>2168.5059820357396</v>
      </c>
    </row>
    <row r="456" spans="20:23">
      <c r="T456">
        <f t="shared" si="41"/>
        <v>565.63616268325359</v>
      </c>
      <c r="U456" s="69">
        <v>269</v>
      </c>
      <c r="V456" s="69" t="e">
        <f>0.5*L$109*T456^2*(#REF!+L351)*L$19</f>
        <v>#REF!</v>
      </c>
      <c r="W456" s="99">
        <f t="shared" si="40"/>
        <v>2184.7190544398563</v>
      </c>
    </row>
    <row r="457" spans="20:23">
      <c r="T457">
        <f t="shared" si="41"/>
        <v>567.73889934750355</v>
      </c>
      <c r="U457">
        <v>270</v>
      </c>
      <c r="V457" s="69" t="e">
        <f>0.5*L$109*T457^2*(#REF!+L352)*L$19</f>
        <v>#REF!</v>
      </c>
      <c r="W457" s="99">
        <f t="shared" si="40"/>
        <v>2200.9925107262957</v>
      </c>
    </row>
    <row r="458" spans="20:23">
      <c r="T458">
        <f t="shared" si="41"/>
        <v>569.84163601175362</v>
      </c>
      <c r="U458" s="69">
        <v>271</v>
      </c>
      <c r="V458" s="69" t="e">
        <f>0.5*L$109*T458^2*(#REF!+L353)*L$19</f>
        <v>#REF!</v>
      </c>
      <c r="W458" s="99">
        <f t="shared" si="40"/>
        <v>2217.3263508950599</v>
      </c>
    </row>
    <row r="459" spans="20:23">
      <c r="T459">
        <f t="shared" si="41"/>
        <v>571.94437267600347</v>
      </c>
      <c r="U459">
        <v>272</v>
      </c>
      <c r="V459" s="69" t="e">
        <f>0.5*L$109*T459^2*(#REF!+L354)*L$19</f>
        <v>#REF!</v>
      </c>
      <c r="W459" s="99">
        <f t="shared" si="40"/>
        <v>2233.7205749461477</v>
      </c>
    </row>
    <row r="460" spans="20:23">
      <c r="T460">
        <f t="shared" si="41"/>
        <v>574.04710934025354</v>
      </c>
      <c r="U460" s="69">
        <v>273</v>
      </c>
      <c r="V460" s="69" t="e">
        <f>0.5*L$109*T460^2*(#REF!+L355)*L$19</f>
        <v>#REF!</v>
      </c>
      <c r="W460" s="99">
        <f t="shared" si="40"/>
        <v>2250.1751828795618</v>
      </c>
    </row>
    <row r="461" spans="20:23">
      <c r="T461">
        <f t="shared" si="41"/>
        <v>576.1498460045035</v>
      </c>
      <c r="U461">
        <v>274</v>
      </c>
      <c r="V461" s="69" t="e">
        <f>0.5*L$109*T461^2*(#REF!+L356)*L$19</f>
        <v>#REF!</v>
      </c>
      <c r="W461" s="99">
        <f t="shared" si="40"/>
        <v>2266.690174695299</v>
      </c>
    </row>
    <row r="462" spans="20:23">
      <c r="T462">
        <f t="shared" si="41"/>
        <v>578.25258266875358</v>
      </c>
      <c r="U462" s="69">
        <v>275</v>
      </c>
      <c r="V462" s="69" t="e">
        <f>0.5*L$109*T462^2*(#REF!+L357)*L$19</f>
        <v>#REF!</v>
      </c>
      <c r="W462" s="99">
        <f t="shared" si="40"/>
        <v>2283.2655503933615</v>
      </c>
    </row>
    <row r="463" spans="20:23">
      <c r="T463">
        <f t="shared" si="41"/>
        <v>580.35531933300365</v>
      </c>
      <c r="U463">
        <v>276</v>
      </c>
      <c r="V463" s="69" t="e">
        <f>0.5*L$109*T463^2*(#REF!+L358)*L$19</f>
        <v>#REF!</v>
      </c>
      <c r="W463" s="99">
        <f t="shared" si="40"/>
        <v>2299.901309973749</v>
      </c>
    </row>
    <row r="464" spans="20:23">
      <c r="T464">
        <f t="shared" si="41"/>
        <v>582.45805599725361</v>
      </c>
      <c r="U464" s="69">
        <v>277</v>
      </c>
      <c r="V464" s="69" t="e">
        <f>0.5*L$109*T464^2*(#REF!+L359)*L$19</f>
        <v>#REF!</v>
      </c>
      <c r="W464" s="99">
        <f t="shared" si="40"/>
        <v>2316.59745343646</v>
      </c>
    </row>
    <row r="465" spans="20:23">
      <c r="T465">
        <f t="shared" si="41"/>
        <v>584.56079266150368</v>
      </c>
      <c r="U465">
        <v>278</v>
      </c>
      <c r="V465" s="69" t="e">
        <f>0.5*L$109*T465^2*(#REF!+L360)*L$19</f>
        <v>#REF!</v>
      </c>
      <c r="W465" s="99">
        <f t="shared" si="40"/>
        <v>2333.3539807814955</v>
      </c>
    </row>
    <row r="466" spans="20:23">
      <c r="T466">
        <f t="shared" si="41"/>
        <v>586.66352932575364</v>
      </c>
      <c r="U466" s="69">
        <v>279</v>
      </c>
      <c r="V466" s="69" t="e">
        <f>0.5*L$109*T466^2*(#REF!+L361)*L$19</f>
        <v>#REF!</v>
      </c>
      <c r="W466" s="99">
        <f t="shared" si="40"/>
        <v>2350.1708920088554</v>
      </c>
    </row>
    <row r="467" spans="20:23">
      <c r="T467">
        <f t="shared" si="41"/>
        <v>588.76626599000372</v>
      </c>
      <c r="U467">
        <v>280</v>
      </c>
      <c r="V467" s="69" t="e">
        <f>0.5*L$109*T467^2*(#REF!+L362)*L$19</f>
        <v>#REF!</v>
      </c>
      <c r="W467" s="99">
        <f t="shared" si="40"/>
        <v>2367.0481871185402</v>
      </c>
    </row>
    <row r="468" spans="20:23">
      <c r="T468">
        <f t="shared" si="41"/>
        <v>590.86900265425368</v>
      </c>
      <c r="U468" s="69">
        <v>281</v>
      </c>
      <c r="V468" s="69" t="e">
        <f>0.5*L$109*T468^2*(#REF!+L363)*L$19</f>
        <v>#REF!</v>
      </c>
      <c r="W468" s="99">
        <f t="shared" si="40"/>
        <v>2383.9858661105486</v>
      </c>
    </row>
    <row r="469" spans="20:23">
      <c r="T469">
        <f t="shared" si="41"/>
        <v>592.97173931850375</v>
      </c>
      <c r="U469">
        <v>282</v>
      </c>
      <c r="V469" s="69" t="e">
        <f>0.5*L$109*T469^2*(#REF!+L364)*L$19</f>
        <v>#REF!</v>
      </c>
      <c r="W469" s="99">
        <f t="shared" si="40"/>
        <v>2400.9839289848824</v>
      </c>
    </row>
    <row r="470" spans="20:23">
      <c r="T470">
        <f t="shared" si="41"/>
        <v>595.07447598275371</v>
      </c>
      <c r="U470" s="69">
        <v>283</v>
      </c>
      <c r="V470" s="69" t="e">
        <f>0.5*L$109*T470^2*(#REF!+L365)*L$19</f>
        <v>#REF!</v>
      </c>
      <c r="W470" s="99">
        <f t="shared" si="40"/>
        <v>2418.0423757415397</v>
      </c>
    </row>
    <row r="471" spans="20:23">
      <c r="T471">
        <f t="shared" si="41"/>
        <v>597.17721264700367</v>
      </c>
      <c r="U471">
        <v>284</v>
      </c>
      <c r="V471" s="69" t="e">
        <f>0.5*L$109*T471^2*(#REF!+L366)*L$19</f>
        <v>#REF!</v>
      </c>
      <c r="W471" s="99">
        <f t="shared" si="40"/>
        <v>2435.1612063805219</v>
      </c>
    </row>
    <row r="472" spans="20:23">
      <c r="T472">
        <f t="shared" si="41"/>
        <v>599.27994931125374</v>
      </c>
      <c r="U472" s="69">
        <v>285</v>
      </c>
      <c r="V472" s="69" t="e">
        <f>0.5*L$109*T472^2*(#REF!+L367)*L$19</f>
        <v>#REF!</v>
      </c>
      <c r="W472" s="99">
        <f t="shared" si="40"/>
        <v>2452.340420901829</v>
      </c>
    </row>
    <row r="473" spans="20:23">
      <c r="T473">
        <f t="shared" si="41"/>
        <v>601.3826859755037</v>
      </c>
      <c r="U473">
        <v>286</v>
      </c>
      <c r="V473" s="69" t="e">
        <f>0.5*L$109*T473^2*(#REF!+L368)*L$19</f>
        <v>#REF!</v>
      </c>
      <c r="W473" s="99">
        <f t="shared" si="40"/>
        <v>2469.5800193054597</v>
      </c>
    </row>
    <row r="474" spans="20:23">
      <c r="T474">
        <f t="shared" si="41"/>
        <v>603.48542263975378</v>
      </c>
      <c r="U474" s="69">
        <v>287</v>
      </c>
      <c r="V474" s="69" t="e">
        <f>0.5*L$109*T474^2*(#REF!+L369)*L$19</f>
        <v>#REF!</v>
      </c>
      <c r="W474" s="99">
        <f t="shared" si="40"/>
        <v>2486.8800015914157</v>
      </c>
    </row>
    <row r="475" spans="20:23">
      <c r="T475">
        <f t="shared" si="41"/>
        <v>605.58815930400374</v>
      </c>
      <c r="U475">
        <v>288</v>
      </c>
      <c r="V475" s="69" t="e">
        <f>0.5*L$109*T475^2*(#REF!+L370)*L$19</f>
        <v>#REF!</v>
      </c>
      <c r="W475" s="99">
        <f t="shared" si="40"/>
        <v>2504.2403677596958</v>
      </c>
    </row>
    <row r="476" spans="20:23">
      <c r="T476">
        <f t="shared" si="41"/>
        <v>607.69089596825381</v>
      </c>
      <c r="U476" s="69">
        <v>289</v>
      </c>
      <c r="V476" s="69" t="e">
        <f>0.5*L$109*T476^2*(#REF!+L371)*L$19</f>
        <v>#REF!</v>
      </c>
      <c r="W476" s="99">
        <f t="shared" si="40"/>
        <v>2521.6611178103008</v>
      </c>
    </row>
    <row r="477" spans="20:23">
      <c r="T477">
        <f t="shared" si="41"/>
        <v>609.79363263250377</v>
      </c>
      <c r="U477">
        <v>290</v>
      </c>
      <c r="V477" s="69" t="e">
        <f>0.5*L$109*T477^2*(#REF!+L372)*L$19</f>
        <v>#REF!</v>
      </c>
      <c r="W477" s="99">
        <f t="shared" si="40"/>
        <v>2539.1422517432297</v>
      </c>
    </row>
    <row r="478" spans="20:23">
      <c r="T478">
        <f t="shared" si="41"/>
        <v>611.89636929675385</v>
      </c>
      <c r="U478" s="69">
        <v>291</v>
      </c>
      <c r="V478" s="69" t="e">
        <f>0.5*L$109*T478^2*(#REF!+L373)*L$19</f>
        <v>#REF!</v>
      </c>
      <c r="W478" s="99">
        <f t="shared" si="40"/>
        <v>2556.6837695584832</v>
      </c>
    </row>
    <row r="479" spans="20:23">
      <c r="T479">
        <f t="shared" si="41"/>
        <v>613.99910596100381</v>
      </c>
      <c r="U479">
        <v>292</v>
      </c>
      <c r="V479" s="69" t="e">
        <f>0.5*L$109*T479^2*(#REF!+L374)*L$19</f>
        <v>#REF!</v>
      </c>
      <c r="W479" s="99">
        <f t="shared" si="40"/>
        <v>2574.2856712560606</v>
      </c>
    </row>
    <row r="480" spans="20:23">
      <c r="T480">
        <f t="shared" si="41"/>
        <v>616.10184262525388</v>
      </c>
      <c r="U480" s="69">
        <v>293</v>
      </c>
      <c r="V480" s="69" t="e">
        <f>0.5*L$109*T480^2*(#REF!+L375)*L$19</f>
        <v>#REF!</v>
      </c>
      <c r="W480" s="99">
        <f t="shared" si="40"/>
        <v>2591.9479568359634</v>
      </c>
    </row>
    <row r="481" spans="20:23">
      <c r="T481">
        <f t="shared" si="41"/>
        <v>618.20457928950384</v>
      </c>
      <c r="U481">
        <v>294</v>
      </c>
      <c r="V481" s="69" t="e">
        <f>0.5*L$109*T481^2*(#REF!+L376)*L$19</f>
        <v>#REF!</v>
      </c>
      <c r="W481" s="99">
        <f t="shared" si="40"/>
        <v>2609.6706262981902</v>
      </c>
    </row>
    <row r="482" spans="20:23">
      <c r="T482">
        <f t="shared" si="41"/>
        <v>620.30731595375391</v>
      </c>
      <c r="U482" s="69">
        <v>295</v>
      </c>
      <c r="V482" s="69" t="e">
        <f>0.5*L$109*T482^2*(#REF!+L377)*L$19</f>
        <v>#REF!</v>
      </c>
      <c r="W482" s="99">
        <f t="shared" si="40"/>
        <v>2627.4536796427424</v>
      </c>
    </row>
    <row r="483" spans="20:23">
      <c r="T483">
        <f t="shared" si="41"/>
        <v>622.41005261800387</v>
      </c>
      <c r="U483">
        <v>296</v>
      </c>
      <c r="V483" s="69" t="e">
        <f>0.5*L$109*T483^2*(#REF!+L378)*L$19</f>
        <v>#REF!</v>
      </c>
      <c r="W483" s="99">
        <f t="shared" si="40"/>
        <v>2645.2971168696172</v>
      </c>
    </row>
    <row r="484" spans="20:23">
      <c r="T484">
        <f t="shared" si="41"/>
        <v>624.51278928225383</v>
      </c>
      <c r="U484" s="69">
        <v>297</v>
      </c>
      <c r="V484" s="69" t="e">
        <f>0.5*L$109*T484^2*(#REF!+L379)*L$19</f>
        <v>#REF!</v>
      </c>
      <c r="W484" s="99">
        <f t="shared" si="40"/>
        <v>2663.2009379788169</v>
      </c>
    </row>
    <row r="485" spans="20:23">
      <c r="T485">
        <f t="shared" si="41"/>
        <v>626.61552594650391</v>
      </c>
      <c r="U485">
        <v>298</v>
      </c>
      <c r="V485" s="69" t="e">
        <f>0.5*L$109*T485^2*(#REF!+L380)*L$19</f>
        <v>#REF!</v>
      </c>
      <c r="W485" s="99">
        <f t="shared" si="40"/>
        <v>2681.165142970342</v>
      </c>
    </row>
    <row r="486" spans="20:23">
      <c r="T486">
        <f t="shared" si="41"/>
        <v>628.71826261075387</v>
      </c>
      <c r="U486" s="69">
        <v>299</v>
      </c>
      <c r="V486" s="69" t="e">
        <f>0.5*L$109*T486^2*(#REF!+L381)*L$19</f>
        <v>#REF!</v>
      </c>
      <c r="W486" s="99">
        <f t="shared" si="40"/>
        <v>2699.1897318441902</v>
      </c>
    </row>
    <row r="487" spans="20:23">
      <c r="T487">
        <f t="shared" si="41"/>
        <v>630.82099927500394</v>
      </c>
      <c r="U487">
        <v>300</v>
      </c>
      <c r="V487" s="69" t="e">
        <f>0.5*L$109*T487^2*(#REF!+L382)*L$19</f>
        <v>#REF!</v>
      </c>
      <c r="W487" s="99">
        <f t="shared" si="40"/>
        <v>2717.2747046003647</v>
      </c>
    </row>
    <row r="488" spans="20:23">
      <c r="T488">
        <f t="shared" si="41"/>
        <v>632.9237359392539</v>
      </c>
      <c r="U488" s="69">
        <v>301</v>
      </c>
      <c r="V488" s="69" t="e">
        <f>0.5*L$109*T488^2*(#REF!+L383)*L$19</f>
        <v>#REF!</v>
      </c>
      <c r="W488" s="117">
        <f t="shared" si="40"/>
        <v>2735.4200612388627</v>
      </c>
    </row>
  </sheetData>
  <sortState xmlns:xlrd2="http://schemas.microsoft.com/office/spreadsheetml/2017/richdata2" ref="R113:R135">
    <sortCondition descending="1" ref="R113:R135"/>
  </sortState>
  <mergeCells count="19">
    <mergeCell ref="S4:W4"/>
    <mergeCell ref="A94:F94"/>
    <mergeCell ref="A1:K1"/>
    <mergeCell ref="A3:K3"/>
    <mergeCell ref="A17:K17"/>
    <mergeCell ref="A34:K34"/>
    <mergeCell ref="A47:K47"/>
    <mergeCell ref="C22:F22"/>
    <mergeCell ref="C23:F23"/>
    <mergeCell ref="H22:H23"/>
    <mergeCell ref="A61:B61"/>
    <mergeCell ref="A72:B72"/>
    <mergeCell ref="R36:Z40"/>
    <mergeCell ref="F11:G11"/>
    <mergeCell ref="A162:F162"/>
    <mergeCell ref="A102:F102"/>
    <mergeCell ref="K110:T110"/>
    <mergeCell ref="K142:M142"/>
    <mergeCell ref="T185:V185"/>
  </mergeCells>
  <pageMargins left="0.7" right="0.7" top="0.75" bottom="0.75" header="0.3" footer="0.3"/>
  <drawing r:id="rId1"/>
  <tableParts count="3">
    <tablePart r:id="rId2"/>
    <tablePart r:id="rId3"/>
    <tablePart r:id="rId4"/>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B65B4-0209-4765-9B64-A7C1AD86130F}">
  <dimension ref="A1:AD86"/>
  <sheetViews>
    <sheetView zoomScale="60" zoomScaleNormal="60" workbookViewId="0">
      <selection activeCell="AD3" sqref="AD3"/>
    </sheetView>
  </sheetViews>
  <sheetFormatPr defaultColWidth="8.42578125" defaultRowHeight="15"/>
  <cols>
    <col min="2" max="2" width="26.42578125" customWidth="1"/>
    <col min="9" max="9" width="20.42578125" style="89" customWidth="1"/>
    <col min="10" max="10" width="12.42578125" style="89" customWidth="1"/>
    <col min="11" max="11" width="13" style="89" customWidth="1"/>
    <col min="12" max="12" width="14.42578125" style="89" customWidth="1"/>
    <col min="13" max="13" width="13.42578125" style="89" customWidth="1"/>
    <col min="16" max="16" width="22.42578125" customWidth="1"/>
    <col min="18" max="18" width="12.42578125" customWidth="1"/>
    <col min="19" max="20" width="14.42578125" customWidth="1"/>
    <col min="23" max="23" width="22.42578125" customWidth="1"/>
    <col min="25" max="25" width="12.42578125" customWidth="1"/>
    <col min="26" max="27" width="14.42578125" customWidth="1"/>
  </cols>
  <sheetData>
    <row r="1" spans="1:30">
      <c r="H1" s="347" t="s">
        <v>1114</v>
      </c>
      <c r="I1" s="349" t="s">
        <v>1115</v>
      </c>
      <c r="J1" s="349"/>
      <c r="K1" s="349"/>
      <c r="L1" s="349"/>
      <c r="M1" s="349"/>
      <c r="O1" s="347" t="s">
        <v>1114</v>
      </c>
      <c r="P1" s="319" t="s">
        <v>1116</v>
      </c>
      <c r="Q1" s="319"/>
      <c r="R1" s="319"/>
      <c r="S1" s="319"/>
      <c r="T1" s="319"/>
      <c r="V1" s="347" t="s">
        <v>1114</v>
      </c>
      <c r="W1" s="319" t="s">
        <v>1116</v>
      </c>
      <c r="X1" s="319"/>
      <c r="Y1" s="319"/>
      <c r="Z1" s="319"/>
      <c r="AA1" s="319"/>
    </row>
    <row r="2" spans="1:30" ht="15.6" customHeight="1">
      <c r="H2" s="347"/>
      <c r="I2" s="84" t="s">
        <v>1117</v>
      </c>
      <c r="J2" s="85" t="s">
        <v>1118</v>
      </c>
      <c r="K2" s="86" t="s">
        <v>1119</v>
      </c>
      <c r="L2" s="87" t="s">
        <v>1120</v>
      </c>
      <c r="M2" s="88" t="s">
        <v>1121</v>
      </c>
      <c r="O2" s="347"/>
      <c r="P2" s="84" t="s">
        <v>1117</v>
      </c>
      <c r="Q2" s="85" t="s">
        <v>1118</v>
      </c>
      <c r="R2" s="86" t="s">
        <v>1119</v>
      </c>
      <c r="S2" s="87" t="s">
        <v>1120</v>
      </c>
      <c r="T2" s="88" t="s">
        <v>1121</v>
      </c>
      <c r="V2" s="347"/>
      <c r="W2" s="84" t="s">
        <v>1117</v>
      </c>
      <c r="X2" s="85" t="s">
        <v>1118</v>
      </c>
      <c r="Y2" s="86" t="s">
        <v>1119</v>
      </c>
      <c r="Z2" s="87" t="s">
        <v>1120</v>
      </c>
      <c r="AA2" s="88" t="s">
        <v>1121</v>
      </c>
      <c r="AC2" t="s">
        <v>1122</v>
      </c>
      <c r="AD2" s="43">
        <f>General!C7</f>
        <v>18875</v>
      </c>
    </row>
    <row r="3" spans="1:30">
      <c r="A3" s="350" t="s">
        <v>1123</v>
      </c>
      <c r="B3" s="350"/>
      <c r="C3" s="350"/>
      <c r="D3" s="350"/>
      <c r="H3">
        <v>0.5</v>
      </c>
      <c r="I3" s="89">
        <f t="shared" ref="I3:I34" si="0">$C$15*(($C$5/H3)+$C$8*($C$14/$C$15)^2*(H3))</f>
        <v>3.3945569824670359</v>
      </c>
      <c r="J3" s="89">
        <f t="shared" ref="J3:J34" si="1">($C$21/$C$22)+($C$23/H3)*$C$5+($C$8/$C$23)*H3</f>
        <v>2.7081837639857977</v>
      </c>
      <c r="K3" s="89">
        <f t="shared" ref="K3:K34" si="2">((1.21*H3)/(32.2*$C$31*$C$29*$C$28))+$C$32+0.605*($C$30-($C$32*$C$29))/$C$29</f>
        <v>3.9047098708411825E-2</v>
      </c>
      <c r="L3" s="89">
        <f t="shared" ref="L3:L34" si="3">$C$38*$C$5*(1/H3)+$C$8*(1/$C$38)*H3</f>
        <v>5.6380682414771082</v>
      </c>
      <c r="M3" s="89">
        <f t="shared" ref="M3:M34" si="4">(1.667/SQRT(((2/$C$43)*H3)*SQRT($C$8/(3*$C$5))))+(4*SQRT(($C$8*$C$5)/3))</f>
        <v>0.11849760112177413</v>
      </c>
      <c r="O3">
        <v>0.5</v>
      </c>
      <c r="P3">
        <f t="shared" ref="P3:P34" si="5">(I3*$C$13*1.688)/(0.85*550)</f>
        <v>2.8190434286053518</v>
      </c>
      <c r="Q3">
        <f t="shared" ref="Q3:Q34" si="6">(J3*$C$22*1.688)/(0.85*550)</f>
        <v>2.6401750422976842</v>
      </c>
      <c r="R3">
        <f t="shared" ref="R3:R34" si="7">(K3*$C$13*1.688)/(0.85*550)</f>
        <v>3.2427049417227398E-2</v>
      </c>
      <c r="S3">
        <f t="shared" ref="S3:S34" si="8">(L3*$C$37*1.688)/(0.85*550)</f>
        <v>6.1072037593240802</v>
      </c>
      <c r="T3">
        <f t="shared" ref="T3:T34" si="9">(M3*$C$37*1.688)/(0.85*550)</f>
        <v>0.12835761541832388</v>
      </c>
      <c r="V3">
        <v>0.5</v>
      </c>
      <c r="W3">
        <f t="shared" ref="W3:W34" si="10">P3*$AD$2</f>
        <v>53209.444714926016</v>
      </c>
      <c r="X3">
        <f t="shared" ref="X3:X34" si="11">Q3*$AD$2</f>
        <v>49833.303923368789</v>
      </c>
      <c r="Y3">
        <f t="shared" ref="Y3:Y34" si="12">R3*$AD$2</f>
        <v>612.06055775016716</v>
      </c>
      <c r="Z3">
        <f t="shared" ref="Z3:Z34" si="13">S3*$AD$2</f>
        <v>115273.47095724201</v>
      </c>
      <c r="AA3">
        <f t="shared" ref="AA3:AA34" si="14">T3*$AD$2</f>
        <v>2422.7499910208635</v>
      </c>
    </row>
    <row r="4" spans="1:30">
      <c r="A4" s="90" t="s">
        <v>861</v>
      </c>
      <c r="B4" s="90" t="s">
        <v>860</v>
      </c>
      <c r="C4" s="90" t="s">
        <v>191</v>
      </c>
      <c r="D4" s="90" t="s">
        <v>192</v>
      </c>
      <c r="H4">
        <v>1</v>
      </c>
      <c r="I4" s="89">
        <f t="shared" si="0"/>
        <v>1.6983976944160193</v>
      </c>
      <c r="J4" s="89">
        <f t="shared" si="1"/>
        <v>1.4041163962370733</v>
      </c>
      <c r="K4" s="89">
        <f t="shared" si="2"/>
        <v>4.3639964487915524E-2</v>
      </c>
      <c r="L4" s="89">
        <f t="shared" si="3"/>
        <v>2.819202548974356</v>
      </c>
      <c r="M4" s="89">
        <f t="shared" si="4"/>
        <v>0.10080935158834972</v>
      </c>
      <c r="O4">
        <v>1</v>
      </c>
      <c r="P4">
        <f t="shared" si="5"/>
        <v>1.4104511676579152</v>
      </c>
      <c r="Q4">
        <f t="shared" si="6"/>
        <v>1.3688558048107133</v>
      </c>
      <c r="R4">
        <f t="shared" si="7"/>
        <v>3.6241240241258438E-2</v>
      </c>
      <c r="S4">
        <f t="shared" si="8"/>
        <v>3.0537843225681582</v>
      </c>
      <c r="T4">
        <f t="shared" si="9"/>
        <v>0.10919755218040705</v>
      </c>
      <c r="V4">
        <v>1</v>
      </c>
      <c r="W4">
        <f t="shared" si="10"/>
        <v>26622.265789543151</v>
      </c>
      <c r="X4">
        <f t="shared" si="11"/>
        <v>25837.153315802214</v>
      </c>
      <c r="Y4">
        <f t="shared" si="12"/>
        <v>684.053409553753</v>
      </c>
      <c r="Z4">
        <f t="shared" si="13"/>
        <v>57640.179088473989</v>
      </c>
      <c r="AA4">
        <f t="shared" si="14"/>
        <v>2061.1037974051833</v>
      </c>
    </row>
    <row r="5" spans="1:30" ht="17.100000000000001">
      <c r="A5" s="91" t="s">
        <v>151</v>
      </c>
      <c r="B5" s="91" t="s">
        <v>513</v>
      </c>
      <c r="C5" s="293">
        <f>Drag!C92</f>
        <v>1.5047746178408776E-2</v>
      </c>
      <c r="D5" s="91"/>
      <c r="H5">
        <v>1.5</v>
      </c>
      <c r="I5" s="89">
        <f t="shared" si="0"/>
        <v>1.1335086887023476</v>
      </c>
      <c r="J5" s="89">
        <f t="shared" si="1"/>
        <v>0.96958906050617111</v>
      </c>
      <c r="K5" s="89">
        <f t="shared" si="2"/>
        <v>4.823283026741923E-2</v>
      </c>
      <c r="L5" s="89">
        <f t="shared" si="3"/>
        <v>1.8796555084671283</v>
      </c>
      <c r="M5" s="89">
        <f t="shared" si="4"/>
        <v>9.297316619598614E-2</v>
      </c>
      <c r="O5">
        <v>1.5</v>
      </c>
      <c r="P5">
        <f t="shared" si="5"/>
        <v>0.94133350438887564</v>
      </c>
      <c r="Q5">
        <f t="shared" si="6"/>
        <v>0.94524044966051879</v>
      </c>
      <c r="R5">
        <f t="shared" si="7"/>
        <v>4.0055431065289498E-2</v>
      </c>
      <c r="S5">
        <f t="shared" si="8"/>
        <v>2.0360589293855695</v>
      </c>
      <c r="T5">
        <f t="shared" si="9"/>
        <v>0.10070932911582328</v>
      </c>
      <c r="V5">
        <v>1.5</v>
      </c>
      <c r="W5">
        <f t="shared" si="10"/>
        <v>17767.669895340026</v>
      </c>
      <c r="X5">
        <f t="shared" si="11"/>
        <v>17841.413487342292</v>
      </c>
      <c r="Y5">
        <f t="shared" si="12"/>
        <v>756.04626135733929</v>
      </c>
      <c r="Z5">
        <f t="shared" si="13"/>
        <v>38430.612292152626</v>
      </c>
      <c r="AA5">
        <f t="shared" si="14"/>
        <v>1900.8885870611643</v>
      </c>
    </row>
    <row r="6" spans="1:30">
      <c r="A6" s="91" t="s">
        <v>309</v>
      </c>
      <c r="B6" s="91" t="s">
        <v>308</v>
      </c>
      <c r="C6" s="96">
        <f>General!C24</f>
        <v>10</v>
      </c>
      <c r="D6" s="91"/>
      <c r="H6">
        <v>2</v>
      </c>
      <c r="I6" s="89">
        <f t="shared" si="0"/>
        <v>0.85143725357301236</v>
      </c>
      <c r="J6" s="89">
        <f t="shared" si="1"/>
        <v>0.75244673277972451</v>
      </c>
      <c r="K6" s="89">
        <f t="shared" si="2"/>
        <v>5.2825696046922929E-2</v>
      </c>
      <c r="L6" s="89">
        <f t="shared" si="3"/>
        <v>1.4099381309587817</v>
      </c>
      <c r="M6" s="89">
        <f t="shared" si="4"/>
        <v>8.8301870395945545E-2</v>
      </c>
      <c r="O6">
        <v>2</v>
      </c>
      <c r="P6">
        <f t="shared" si="5"/>
        <v>0.70708449053943589</v>
      </c>
      <c r="Q6">
        <f t="shared" si="6"/>
        <v>0.73355106509451817</v>
      </c>
      <c r="R6">
        <f t="shared" si="7"/>
        <v>4.3869621889320545E-2</v>
      </c>
      <c r="S6">
        <f t="shared" si="8"/>
        <v>1.5272570470963147</v>
      </c>
      <c r="T6">
        <f t="shared" si="9"/>
        <v>9.5649341536912999E-2</v>
      </c>
      <c r="V6">
        <v>2</v>
      </c>
      <c r="W6">
        <f t="shared" si="10"/>
        <v>13346.219758931853</v>
      </c>
      <c r="X6">
        <f t="shared" si="11"/>
        <v>13845.77635365903</v>
      </c>
      <c r="Y6">
        <f t="shared" si="12"/>
        <v>828.03911316092524</v>
      </c>
      <c r="Z6">
        <f t="shared" si="13"/>
        <v>28826.976763942941</v>
      </c>
      <c r="AA6">
        <f t="shared" si="14"/>
        <v>1805.3813215092327</v>
      </c>
    </row>
    <row r="7" spans="1:30">
      <c r="A7" s="91" t="s">
        <v>153</v>
      </c>
      <c r="B7" s="91" t="s">
        <v>310</v>
      </c>
      <c r="C7" s="91">
        <f>1.78*(1-0.045*(C6^0.68))-0.64</f>
        <v>0.75661729604956662</v>
      </c>
      <c r="D7" s="91"/>
      <c r="H7">
        <v>2.5</v>
      </c>
      <c r="I7" s="89">
        <f t="shared" si="0"/>
        <v>0.6824928466774115</v>
      </c>
      <c r="J7" s="89">
        <f t="shared" si="1"/>
        <v>0.62225840825506029</v>
      </c>
      <c r="K7" s="89">
        <f t="shared" si="2"/>
        <v>5.7418561826426628E-2</v>
      </c>
      <c r="L7" s="89">
        <f t="shared" si="3"/>
        <v>1.1281526186499877</v>
      </c>
      <c r="M7" s="89">
        <f t="shared" si="4"/>
        <v>8.5114022283409668E-2</v>
      </c>
      <c r="O7">
        <v>2.5</v>
      </c>
      <c r="P7">
        <f t="shared" si="5"/>
        <v>0.56678293645783573</v>
      </c>
      <c r="Q7">
        <f t="shared" si="6"/>
        <v>0.60663206876219522</v>
      </c>
      <c r="R7">
        <f t="shared" si="7"/>
        <v>4.7683812713351606E-2</v>
      </c>
      <c r="S7">
        <f t="shared" si="8"/>
        <v>1.2220245691643932</v>
      </c>
      <c r="T7">
        <f t="shared" si="9"/>
        <v>9.2196237185708366E-2</v>
      </c>
      <c r="V7">
        <v>2.5</v>
      </c>
      <c r="W7">
        <f t="shared" si="10"/>
        <v>10698.027925641649</v>
      </c>
      <c r="X7">
        <f t="shared" si="11"/>
        <v>11450.180297886434</v>
      </c>
      <c r="Y7">
        <f t="shared" si="12"/>
        <v>900.03196496451153</v>
      </c>
      <c r="Z7">
        <f t="shared" si="13"/>
        <v>23065.713742977921</v>
      </c>
      <c r="AA7">
        <f t="shared" si="14"/>
        <v>1740.2039768802454</v>
      </c>
    </row>
    <row r="8" spans="1:30">
      <c r="A8" s="91" t="s">
        <v>155</v>
      </c>
      <c r="B8" s="91" t="s">
        <v>1124</v>
      </c>
      <c r="C8" s="91">
        <f>1/(PI()*C6*C7)</f>
        <v>4.2070130810614975E-2</v>
      </c>
      <c r="D8" s="91"/>
      <c r="H8">
        <v>3</v>
      </c>
      <c r="I8" s="89">
        <f t="shared" si="0"/>
        <v>0.57011195389867797</v>
      </c>
      <c r="J8" s="89">
        <f t="shared" si="1"/>
        <v>0.53554708533128736</v>
      </c>
      <c r="K8" s="89">
        <f t="shared" si="2"/>
        <v>6.2011427605930328E-2</v>
      </c>
      <c r="L8" s="89">
        <f t="shared" si="3"/>
        <v>0.94033303894096987</v>
      </c>
      <c r="M8" s="89">
        <f t="shared" si="4"/>
        <v>8.2760850566370281E-2</v>
      </c>
      <c r="O8">
        <v>3</v>
      </c>
      <c r="P8">
        <f t="shared" si="5"/>
        <v>0.47345511226015558</v>
      </c>
      <c r="Q8">
        <f t="shared" si="6"/>
        <v>0.52209826654671132</v>
      </c>
      <c r="R8">
        <f t="shared" si="7"/>
        <v>5.1498003537382653E-2</v>
      </c>
      <c r="S8">
        <f t="shared" si="8"/>
        <v>1.0185767934111383</v>
      </c>
      <c r="T8">
        <f t="shared" si="9"/>
        <v>8.9647261447721727E-2</v>
      </c>
      <c r="V8">
        <v>3</v>
      </c>
      <c r="W8">
        <f t="shared" si="10"/>
        <v>8936.4652439104357</v>
      </c>
      <c r="X8">
        <f t="shared" si="11"/>
        <v>9854.6047810691762</v>
      </c>
      <c r="Y8">
        <f t="shared" si="12"/>
        <v>972.02481676809759</v>
      </c>
      <c r="Z8">
        <f t="shared" si="13"/>
        <v>19225.636975635236</v>
      </c>
      <c r="AA8">
        <f t="shared" si="14"/>
        <v>1692.0920598257476</v>
      </c>
    </row>
    <row r="9" spans="1:30">
      <c r="H9">
        <v>3.5</v>
      </c>
      <c r="I9" s="89">
        <f t="shared" si="0"/>
        <v>0.49005306918672559</v>
      </c>
      <c r="J9" s="89">
        <f t="shared" si="1"/>
        <v>0.47367976332230916</v>
      </c>
      <c r="K9" s="89">
        <f t="shared" si="2"/>
        <v>6.6604293385434027E-2</v>
      </c>
      <c r="L9" s="89">
        <f t="shared" si="3"/>
        <v>0.80620827786039562</v>
      </c>
      <c r="M9" s="89">
        <f t="shared" si="4"/>
        <v>8.0931966571949621E-2</v>
      </c>
      <c r="O9">
        <v>3.5</v>
      </c>
      <c r="P9">
        <f t="shared" si="5"/>
        <v>0.40696941942471515</v>
      </c>
      <c r="Q9">
        <f t="shared" si="6"/>
        <v>0.461784575255135</v>
      </c>
      <c r="R9">
        <f t="shared" si="7"/>
        <v>5.53121943614137E-2</v>
      </c>
      <c r="S9">
        <f t="shared" si="8"/>
        <v>0.87329170461712158</v>
      </c>
      <c r="T9">
        <f t="shared" si="9"/>
        <v>8.7666198656759967E-2</v>
      </c>
      <c r="V9">
        <v>3.5</v>
      </c>
      <c r="W9">
        <f t="shared" si="10"/>
        <v>7681.5477916414984</v>
      </c>
      <c r="X9">
        <f t="shared" si="11"/>
        <v>8716.183857940674</v>
      </c>
      <c r="Y9">
        <f t="shared" si="12"/>
        <v>1044.0176685716835</v>
      </c>
      <c r="Z9">
        <f t="shared" si="13"/>
        <v>16483.380924648169</v>
      </c>
      <c r="AA9">
        <f t="shared" si="14"/>
        <v>1654.6994996463443</v>
      </c>
    </row>
    <row r="10" spans="1:30">
      <c r="A10" s="351" t="s">
        <v>1117</v>
      </c>
      <c r="B10" s="351"/>
      <c r="C10" s="351"/>
      <c r="D10" s="351"/>
      <c r="H10">
        <v>4</v>
      </c>
      <c r="I10" s="89">
        <f t="shared" si="0"/>
        <v>0.43019543951651162</v>
      </c>
      <c r="J10" s="89">
        <f t="shared" si="1"/>
        <v>0.42733994188507785</v>
      </c>
      <c r="K10" s="89">
        <f t="shared" si="2"/>
        <v>7.1197159164937726E-2</v>
      </c>
      <c r="L10" s="89">
        <f t="shared" si="3"/>
        <v>0.7056427784225987</v>
      </c>
      <c r="M10" s="89">
        <f t="shared" si="4"/>
        <v>7.9457745629233342E-2</v>
      </c>
      <c r="O10">
        <v>4</v>
      </c>
      <c r="P10">
        <f t="shared" si="5"/>
        <v>0.35726005869067479</v>
      </c>
      <c r="Q10">
        <f t="shared" si="6"/>
        <v>0.41660845329100121</v>
      </c>
      <c r="R10">
        <f t="shared" si="7"/>
        <v>5.9126385185444746E-2</v>
      </c>
      <c r="S10">
        <f t="shared" si="8"/>
        <v>0.76435829517262888</v>
      </c>
      <c r="T10">
        <f t="shared" si="9"/>
        <v>8.6069309917954584E-2</v>
      </c>
      <c r="V10">
        <v>4</v>
      </c>
      <c r="W10">
        <f t="shared" si="10"/>
        <v>6743.2836077864868</v>
      </c>
      <c r="X10">
        <f t="shared" si="11"/>
        <v>7863.4845558676479</v>
      </c>
      <c r="Y10">
        <f t="shared" si="12"/>
        <v>1116.0105203752696</v>
      </c>
      <c r="Z10">
        <f t="shared" si="13"/>
        <v>14427.26282138337</v>
      </c>
      <c r="AA10">
        <f t="shared" si="14"/>
        <v>1624.5582247013929</v>
      </c>
    </row>
    <row r="11" spans="1:30">
      <c r="A11" s="90" t="s">
        <v>861</v>
      </c>
      <c r="B11" s="90" t="s">
        <v>860</v>
      </c>
      <c r="C11" s="90" t="s">
        <v>191</v>
      </c>
      <c r="D11" s="90" t="s">
        <v>192</v>
      </c>
      <c r="H11">
        <v>4.5</v>
      </c>
      <c r="I11" s="89">
        <f t="shared" si="0"/>
        <v>0.38380531320745653</v>
      </c>
      <c r="J11" s="89">
        <f t="shared" si="1"/>
        <v>0.39135178749567773</v>
      </c>
      <c r="K11" s="89">
        <f t="shared" si="2"/>
        <v>7.5790024944441425E-2</v>
      </c>
      <c r="L11" s="89">
        <f t="shared" si="3"/>
        <v>0.62745012007998646</v>
      </c>
      <c r="M11" s="89">
        <f t="shared" si="4"/>
        <v>7.8236626820669342E-2</v>
      </c>
      <c r="O11">
        <v>4.5</v>
      </c>
      <c r="P11">
        <f t="shared" si="5"/>
        <v>0.3187349193575677</v>
      </c>
      <c r="Q11">
        <f t="shared" si="6"/>
        <v>0.38152404421182906</v>
      </c>
      <c r="R11">
        <f t="shared" si="7"/>
        <v>6.2940576009475807E-2</v>
      </c>
      <c r="S11">
        <f t="shared" si="8"/>
        <v>0.67965933862781858</v>
      </c>
      <c r="T11">
        <f t="shared" si="9"/>
        <v>8.4746583576442686E-2</v>
      </c>
      <c r="V11">
        <v>4.5</v>
      </c>
      <c r="W11">
        <f t="shared" si="10"/>
        <v>6016.1216028740901</v>
      </c>
      <c r="X11">
        <f t="shared" si="11"/>
        <v>7201.2663344982739</v>
      </c>
      <c r="Y11">
        <f t="shared" si="12"/>
        <v>1188.0033721788559</v>
      </c>
      <c r="Z11">
        <f t="shared" si="13"/>
        <v>12828.570016600075</v>
      </c>
      <c r="AA11">
        <f t="shared" si="14"/>
        <v>1599.5917650053557</v>
      </c>
    </row>
    <row r="12" spans="1:30">
      <c r="A12" s="91" t="s">
        <v>1125</v>
      </c>
      <c r="B12" s="91" t="s">
        <v>1126</v>
      </c>
      <c r="C12" s="93">
        <f>General!C108</f>
        <v>15000</v>
      </c>
      <c r="D12" s="91" t="s">
        <v>66</v>
      </c>
      <c r="H12">
        <v>5</v>
      </c>
      <c r="I12" s="89">
        <f t="shared" si="0"/>
        <v>0.34684243925121255</v>
      </c>
      <c r="J12" s="89">
        <f t="shared" si="1"/>
        <v>0.36260980003975951</v>
      </c>
      <c r="K12" s="89">
        <f t="shared" si="2"/>
        <v>8.0382890723945125E-2</v>
      </c>
      <c r="L12" s="89">
        <f t="shared" si="3"/>
        <v>0.56491845050400358</v>
      </c>
      <c r="M12" s="89">
        <f t="shared" si="4"/>
        <v>7.7203596611466488E-2</v>
      </c>
      <c r="O12">
        <v>5</v>
      </c>
      <c r="P12">
        <f t="shared" si="5"/>
        <v>0.2880387350051139</v>
      </c>
      <c r="Q12">
        <f t="shared" si="6"/>
        <v>0.35350383415213005</v>
      </c>
      <c r="R12">
        <f t="shared" si="7"/>
        <v>6.6754766833506854E-2</v>
      </c>
      <c r="S12">
        <f t="shared" si="8"/>
        <v>0.6119244991127859</v>
      </c>
      <c r="T12">
        <f t="shared" si="9"/>
        <v>8.3627596415073002E-2</v>
      </c>
      <c r="V12">
        <v>5</v>
      </c>
      <c r="W12">
        <f t="shared" si="10"/>
        <v>5436.7311232215252</v>
      </c>
      <c r="X12">
        <f t="shared" si="11"/>
        <v>6672.3848696214545</v>
      </c>
      <c r="Y12">
        <f t="shared" si="12"/>
        <v>1259.996223982442</v>
      </c>
      <c r="Z12">
        <f t="shared" si="13"/>
        <v>11550.074920753834</v>
      </c>
      <c r="AA12">
        <f t="shared" si="14"/>
        <v>1578.4708823345029</v>
      </c>
    </row>
    <row r="13" spans="1:30">
      <c r="A13" s="91" t="s">
        <v>1127</v>
      </c>
      <c r="B13" s="91" t="s">
        <v>1128</v>
      </c>
      <c r="C13" s="93">
        <f>General!C105</f>
        <v>230</v>
      </c>
      <c r="D13" s="91" t="s">
        <v>596</v>
      </c>
      <c r="H13">
        <v>5.5</v>
      </c>
      <c r="I13" s="89">
        <f t="shared" si="0"/>
        <v>0.3167357488242859</v>
      </c>
      <c r="J13" s="89">
        <f t="shared" si="1"/>
        <v>0.33913775217182812</v>
      </c>
      <c r="K13" s="89">
        <f t="shared" si="2"/>
        <v>8.4975756503448824E-2</v>
      </c>
      <c r="L13" s="89">
        <f t="shared" si="3"/>
        <v>0.51377659094011485</v>
      </c>
      <c r="M13" s="89">
        <f t="shared" si="4"/>
        <v>7.6314850413422286E-2</v>
      </c>
      <c r="O13">
        <v>5.5</v>
      </c>
      <c r="P13">
        <f t="shared" si="5"/>
        <v>0.26303633609313531</v>
      </c>
      <c r="Q13">
        <f t="shared" si="6"/>
        <v>0.33062122337932059</v>
      </c>
      <c r="R13">
        <f t="shared" si="7"/>
        <v>7.0568957657537901E-2</v>
      </c>
      <c r="S13">
        <f t="shared" si="8"/>
        <v>0.55652719925577365</v>
      </c>
      <c r="T13">
        <f t="shared" si="9"/>
        <v>8.2664898929105973E-2</v>
      </c>
      <c r="V13">
        <v>5.5</v>
      </c>
      <c r="W13">
        <f t="shared" si="10"/>
        <v>4964.8108437579294</v>
      </c>
      <c r="X13">
        <f t="shared" si="11"/>
        <v>6240.4755912846758</v>
      </c>
      <c r="Y13">
        <f t="shared" si="12"/>
        <v>1331.9890757860278</v>
      </c>
      <c r="Z13">
        <f t="shared" si="13"/>
        <v>10504.450885952727</v>
      </c>
      <c r="AA13">
        <f t="shared" si="14"/>
        <v>1560.2999672868752</v>
      </c>
    </row>
    <row r="14" spans="1:30">
      <c r="A14" s="91" t="s">
        <v>205</v>
      </c>
      <c r="B14" s="91" t="s">
        <v>1129</v>
      </c>
      <c r="C14" s="92">
        <v>2</v>
      </c>
      <c r="D14" s="91"/>
      <c r="H14">
        <v>6</v>
      </c>
      <c r="I14" s="89">
        <f t="shared" si="0"/>
        <v>0.2917711960443472</v>
      </c>
      <c r="J14" s="89">
        <f t="shared" si="1"/>
        <v>0.31961815899488683</v>
      </c>
      <c r="K14" s="89">
        <f t="shared" si="2"/>
        <v>8.9568622282952537E-2</v>
      </c>
      <c r="L14" s="89">
        <f t="shared" si="3"/>
        <v>0.47117708888529664</v>
      </c>
      <c r="M14" s="89">
        <f t="shared" si="4"/>
        <v>7.5539652933051551E-2</v>
      </c>
      <c r="O14">
        <v>6</v>
      </c>
      <c r="P14">
        <f t="shared" si="5"/>
        <v>0.24230427626151302</v>
      </c>
      <c r="Q14">
        <f t="shared" si="6"/>
        <v>0.31159181207167835</v>
      </c>
      <c r="R14">
        <f t="shared" si="7"/>
        <v>7.4383148481568961E-2</v>
      </c>
      <c r="S14">
        <f t="shared" si="8"/>
        <v>0.51038305414227647</v>
      </c>
      <c r="T14">
        <f t="shared" si="9"/>
        <v>8.1825198385662684E-2</v>
      </c>
      <c r="V14">
        <v>6</v>
      </c>
      <c r="W14">
        <f t="shared" si="10"/>
        <v>4573.4932144360582</v>
      </c>
      <c r="X14">
        <f t="shared" si="11"/>
        <v>5881.295452852929</v>
      </c>
      <c r="Y14">
        <f t="shared" si="12"/>
        <v>1403.9819275896141</v>
      </c>
      <c r="Z14">
        <f t="shared" si="13"/>
        <v>9633.4801469354679</v>
      </c>
      <c r="AA14">
        <f t="shared" si="14"/>
        <v>1544.4506195293832</v>
      </c>
    </row>
    <row r="15" spans="1:30">
      <c r="A15" s="94" t="s">
        <v>157</v>
      </c>
      <c r="B15" s="91" t="s">
        <v>156</v>
      </c>
      <c r="C15" s="91">
        <f>1/2*(0.002378*(1-0.0000068756*C12)^4.2561)*(1.688*C13)^2</f>
        <v>112.76807858048657</v>
      </c>
      <c r="D15" s="91"/>
      <c r="H15">
        <v>6.5</v>
      </c>
      <c r="I15" s="89">
        <f t="shared" si="0"/>
        <v>0.27076213376209146</v>
      </c>
      <c r="J15" s="89">
        <f t="shared" si="1"/>
        <v>0.30313891558024553</v>
      </c>
      <c r="K15" s="89">
        <f t="shared" si="2"/>
        <v>9.4161488062456222E-2</v>
      </c>
      <c r="L15" s="89">
        <f t="shared" si="3"/>
        <v>0.43514863106822504</v>
      </c>
      <c r="M15" s="89">
        <f t="shared" si="4"/>
        <v>7.4855717428898252E-2</v>
      </c>
      <c r="O15">
        <v>6.5</v>
      </c>
      <c r="P15">
        <f t="shared" si="5"/>
        <v>0.22485709264554948</v>
      </c>
      <c r="Q15">
        <f t="shared" si="6"/>
        <v>0.29552640035262612</v>
      </c>
      <c r="R15">
        <f t="shared" si="7"/>
        <v>7.8197339305599994E-2</v>
      </c>
      <c r="S15">
        <f t="shared" si="8"/>
        <v>0.47135672036994469</v>
      </c>
      <c r="T15">
        <f t="shared" si="9"/>
        <v>8.1084353595709258E-2</v>
      </c>
      <c r="V15">
        <v>6.5</v>
      </c>
      <c r="W15">
        <f t="shared" si="10"/>
        <v>4244.1776236847463</v>
      </c>
      <c r="X15">
        <f t="shared" si="11"/>
        <v>5578.0608066558179</v>
      </c>
      <c r="Y15">
        <f t="shared" si="12"/>
        <v>1475.9747793931999</v>
      </c>
      <c r="Z15">
        <f t="shared" si="13"/>
        <v>8896.8580969827053</v>
      </c>
      <c r="AA15">
        <f t="shared" si="14"/>
        <v>1530.4671741190123</v>
      </c>
    </row>
    <row r="16" spans="1:30">
      <c r="H16">
        <v>7</v>
      </c>
      <c r="I16" s="89">
        <f t="shared" si="0"/>
        <v>0.2528609568708724</v>
      </c>
      <c r="J16" s="89">
        <f t="shared" si="1"/>
        <v>0.28904851840741147</v>
      </c>
      <c r="K16" s="89">
        <f t="shared" si="2"/>
        <v>9.8754353841959908E-2</v>
      </c>
      <c r="L16" s="89">
        <f t="shared" si="3"/>
        <v>0.40428313658081144</v>
      </c>
      <c r="M16" s="89">
        <f t="shared" si="4"/>
        <v>7.4246436658593151E-2</v>
      </c>
      <c r="O16">
        <v>7</v>
      </c>
      <c r="P16">
        <f t="shared" si="5"/>
        <v>0.20999088319903209</v>
      </c>
      <c r="Q16">
        <f t="shared" si="6"/>
        <v>0.28178984545318042</v>
      </c>
      <c r="R16">
        <f t="shared" si="7"/>
        <v>8.2011530129631041E-2</v>
      </c>
      <c r="S16">
        <f t="shared" si="8"/>
        <v>0.43792295265138587</v>
      </c>
      <c r="T16">
        <f t="shared" si="9"/>
        <v>8.0424375452217256E-2</v>
      </c>
      <c r="V16">
        <v>7</v>
      </c>
      <c r="W16">
        <f t="shared" si="10"/>
        <v>3963.5779203817306</v>
      </c>
      <c r="X16">
        <f t="shared" si="11"/>
        <v>5318.7833329287805</v>
      </c>
      <c r="Y16">
        <f t="shared" si="12"/>
        <v>1547.967631196786</v>
      </c>
      <c r="Z16">
        <f t="shared" si="13"/>
        <v>8265.7957312949075</v>
      </c>
      <c r="AA16">
        <f t="shared" si="14"/>
        <v>1518.0100866606008</v>
      </c>
    </row>
    <row r="17" spans="1:27">
      <c r="A17" s="352" t="s">
        <v>1130</v>
      </c>
      <c r="B17" s="352"/>
      <c r="C17" s="352"/>
      <c r="D17" s="352"/>
      <c r="H17">
        <v>7.5</v>
      </c>
      <c r="I17" s="89">
        <f t="shared" si="0"/>
        <v>0.23744608829248268</v>
      </c>
      <c r="J17" s="89">
        <f t="shared" si="1"/>
        <v>0.27686919822802319</v>
      </c>
      <c r="K17" s="89">
        <f t="shared" si="2"/>
        <v>0.10334721962146362</v>
      </c>
      <c r="L17" s="89">
        <f t="shared" si="3"/>
        <v>0.3775480127571243</v>
      </c>
      <c r="M17" s="89">
        <f t="shared" si="4"/>
        <v>7.3699147967143316E-2</v>
      </c>
      <c r="O17">
        <v>7.5</v>
      </c>
      <c r="P17">
        <f t="shared" si="5"/>
        <v>0.19718945308807159</v>
      </c>
      <c r="Q17">
        <f t="shared" si="6"/>
        <v>0.26991637600941998</v>
      </c>
      <c r="R17">
        <f t="shared" si="7"/>
        <v>8.5825720953662102E-2</v>
      </c>
      <c r="S17">
        <f t="shared" si="8"/>
        <v>0.40896323777584537</v>
      </c>
      <c r="T17">
        <f t="shared" si="9"/>
        <v>7.983154765895481E-2</v>
      </c>
      <c r="V17">
        <v>7.5</v>
      </c>
      <c r="W17">
        <f t="shared" si="10"/>
        <v>3721.9509270373514</v>
      </c>
      <c r="X17">
        <f t="shared" si="11"/>
        <v>5094.6715971778021</v>
      </c>
      <c r="Y17">
        <f t="shared" si="12"/>
        <v>1619.9604830003723</v>
      </c>
      <c r="Z17">
        <f t="shared" si="13"/>
        <v>7719.1811130190817</v>
      </c>
      <c r="AA17">
        <f t="shared" si="14"/>
        <v>1506.8204620627721</v>
      </c>
    </row>
    <row r="18" spans="1:27">
      <c r="A18" s="90" t="s">
        <v>861</v>
      </c>
      <c r="B18" s="90" t="s">
        <v>860</v>
      </c>
      <c r="C18" s="90" t="s">
        <v>191</v>
      </c>
      <c r="D18" s="90" t="s">
        <v>192</v>
      </c>
      <c r="H18">
        <v>8</v>
      </c>
      <c r="I18" s="89">
        <f t="shared" si="0"/>
        <v>0.22405134521826678</v>
      </c>
      <c r="J18" s="89">
        <f t="shared" si="1"/>
        <v>0.26624262810580956</v>
      </c>
      <c r="K18" s="89">
        <f t="shared" si="2"/>
        <v>0.10794008540096733</v>
      </c>
      <c r="L18" s="89">
        <f t="shared" si="3"/>
        <v>0.35416881509771492</v>
      </c>
      <c r="M18" s="89">
        <f t="shared" si="4"/>
        <v>7.3204005033031247E-2</v>
      </c>
      <c r="O18">
        <v>8</v>
      </c>
      <c r="P18">
        <f t="shared" si="5"/>
        <v>0.18606565618725113</v>
      </c>
      <c r="Q18">
        <f t="shared" si="6"/>
        <v>0.25955666349840378</v>
      </c>
      <c r="R18">
        <f t="shared" si="7"/>
        <v>8.9639911777693176E-2</v>
      </c>
      <c r="S18">
        <f t="shared" si="8"/>
        <v>0.38363869083525742</v>
      </c>
      <c r="T18">
        <f t="shared" si="9"/>
        <v>7.9295204596207536E-2</v>
      </c>
      <c r="V18">
        <v>8</v>
      </c>
      <c r="W18">
        <f t="shared" si="10"/>
        <v>3511.9892605343648</v>
      </c>
      <c r="X18">
        <f t="shared" si="11"/>
        <v>4899.132023532371</v>
      </c>
      <c r="Y18">
        <f t="shared" si="12"/>
        <v>1691.9533348039588</v>
      </c>
      <c r="Z18">
        <f t="shared" si="13"/>
        <v>7241.1802895154842</v>
      </c>
      <c r="AA18">
        <f t="shared" si="14"/>
        <v>1496.6969867534171</v>
      </c>
    </row>
    <row r="19" spans="1:27">
      <c r="A19" s="91" t="s">
        <v>1131</v>
      </c>
      <c r="B19" s="91" t="s">
        <v>1132</v>
      </c>
      <c r="C19" s="91">
        <v>0</v>
      </c>
      <c r="D19" s="91" t="s">
        <v>66</v>
      </c>
      <c r="H19">
        <v>8.5</v>
      </c>
      <c r="I19" s="89">
        <f t="shared" si="0"/>
        <v>0.21232023491219404</v>
      </c>
      <c r="J19" s="89">
        <f t="shared" si="1"/>
        <v>0.25689479332479864</v>
      </c>
      <c r="K19" s="89">
        <f t="shared" si="2"/>
        <v>0.11253295118047102</v>
      </c>
      <c r="L19" s="89">
        <f t="shared" si="3"/>
        <v>0.3335533213382989</v>
      </c>
      <c r="M19" s="89">
        <f t="shared" si="4"/>
        <v>7.2753220520152234E-2</v>
      </c>
      <c r="O19">
        <v>8.5</v>
      </c>
      <c r="P19">
        <f t="shared" si="5"/>
        <v>0.17632343957713414</v>
      </c>
      <c r="Q19">
        <f t="shared" si="6"/>
        <v>0.25044357434376519</v>
      </c>
      <c r="R19">
        <f t="shared" si="7"/>
        <v>9.3454102601724209E-2</v>
      </c>
      <c r="S19">
        <f t="shared" si="8"/>
        <v>0.36130781160580655</v>
      </c>
      <c r="T19">
        <f t="shared" si="9"/>
        <v>7.8806910954877199E-2</v>
      </c>
      <c r="V19">
        <v>8.5</v>
      </c>
      <c r="W19">
        <f t="shared" si="10"/>
        <v>3328.1049220184068</v>
      </c>
      <c r="X19">
        <f t="shared" si="11"/>
        <v>4727.1224657385683</v>
      </c>
      <c r="Y19">
        <f t="shared" si="12"/>
        <v>1763.9461866075444</v>
      </c>
      <c r="Z19">
        <f t="shared" si="13"/>
        <v>6819.6849440595988</v>
      </c>
      <c r="AA19">
        <f t="shared" si="14"/>
        <v>1487.4804442733071</v>
      </c>
    </row>
    <row r="20" spans="1:27">
      <c r="A20" s="91" t="s">
        <v>1133</v>
      </c>
      <c r="B20" s="91" t="s">
        <v>1134</v>
      </c>
      <c r="C20" s="93">
        <v>1609</v>
      </c>
      <c r="D20" s="91" t="s">
        <v>600</v>
      </c>
      <c r="H20">
        <v>9</v>
      </c>
      <c r="I20" s="89">
        <f t="shared" si="0"/>
        <v>0.20197548524624057</v>
      </c>
      <c r="J20" s="89">
        <f t="shared" si="1"/>
        <v>0.24861257132812331</v>
      </c>
      <c r="K20" s="89">
        <f t="shared" si="2"/>
        <v>0.11712581695997473</v>
      </c>
      <c r="L20" s="89">
        <f t="shared" si="3"/>
        <v>0.31524091416221073</v>
      </c>
      <c r="M20" s="89">
        <f t="shared" si="4"/>
        <v>7.2340543642861216E-2</v>
      </c>
      <c r="O20">
        <v>9</v>
      </c>
      <c r="P20">
        <f t="shared" si="5"/>
        <v>0.16773253987593675</v>
      </c>
      <c r="Q20">
        <f t="shared" si="6"/>
        <v>0.24236933798610794</v>
      </c>
      <c r="R20">
        <f t="shared" si="7"/>
        <v>9.726829342575527E-2</v>
      </c>
      <c r="S20">
        <f t="shared" si="8"/>
        <v>0.34147165546897007</v>
      </c>
      <c r="T20">
        <f t="shared" si="9"/>
        <v>7.8359895830470414E-2</v>
      </c>
      <c r="V20">
        <v>9</v>
      </c>
      <c r="W20">
        <f t="shared" si="10"/>
        <v>3165.9516901583061</v>
      </c>
      <c r="X20">
        <f t="shared" si="11"/>
        <v>4574.7212544877875</v>
      </c>
      <c r="Y20">
        <f t="shared" si="12"/>
        <v>1835.9390384111307</v>
      </c>
      <c r="Z20">
        <f t="shared" si="13"/>
        <v>6445.2774969768097</v>
      </c>
      <c r="AA20">
        <f t="shared" si="14"/>
        <v>1479.043033800129</v>
      </c>
    </row>
    <row r="21" spans="1:27">
      <c r="A21" s="91" t="s">
        <v>1135</v>
      </c>
      <c r="B21" s="91" t="s">
        <v>1136</v>
      </c>
      <c r="C21" s="91">
        <f>1609/60</f>
        <v>26.816666666666666</v>
      </c>
      <c r="D21" s="91" t="s">
        <v>183</v>
      </c>
      <c r="H21">
        <v>9.5</v>
      </c>
      <c r="I21" s="89">
        <f t="shared" si="0"/>
        <v>0.19279819717196653</v>
      </c>
      <c r="J21" s="89">
        <f t="shared" si="1"/>
        <v>0.24122770746562527</v>
      </c>
      <c r="K21" s="89">
        <f t="shared" si="2"/>
        <v>0.12171868273947842</v>
      </c>
      <c r="L21" s="89">
        <f t="shared" si="3"/>
        <v>0.29886794831945124</v>
      </c>
      <c r="M21" s="89">
        <f t="shared" si="4"/>
        <v>7.1960891118564629E-2</v>
      </c>
      <c r="O21">
        <v>9.5</v>
      </c>
      <c r="P21">
        <f t="shared" si="5"/>
        <v>0.16011117020330329</v>
      </c>
      <c r="Q21">
        <f t="shared" si="6"/>
        <v>0.23516992503643502</v>
      </c>
      <c r="R21">
        <f t="shared" si="7"/>
        <v>0.1010824842497863</v>
      </c>
      <c r="S21">
        <f t="shared" si="8"/>
        <v>0.3237363187785457</v>
      </c>
      <c r="T21">
        <f t="shared" si="9"/>
        <v>7.7948652967788509E-2</v>
      </c>
      <c r="V21">
        <v>9.5</v>
      </c>
      <c r="W21">
        <f t="shared" si="10"/>
        <v>3022.0983375873498</v>
      </c>
      <c r="X21">
        <f t="shared" si="11"/>
        <v>4438.8323350627106</v>
      </c>
      <c r="Y21">
        <f t="shared" si="12"/>
        <v>1907.9318902147165</v>
      </c>
      <c r="Z21">
        <f t="shared" si="13"/>
        <v>6110.5230169450497</v>
      </c>
      <c r="AA21">
        <f t="shared" si="14"/>
        <v>1471.2808247670082</v>
      </c>
    </row>
    <row r="22" spans="1:27">
      <c r="A22" s="91" t="s">
        <v>553</v>
      </c>
      <c r="B22" s="91" t="s">
        <v>1137</v>
      </c>
      <c r="C22" s="91">
        <v>270</v>
      </c>
      <c r="D22" s="91" t="s">
        <v>183</v>
      </c>
      <c r="H22">
        <v>10</v>
      </c>
      <c r="I22" s="89">
        <f t="shared" si="0"/>
        <v>0.18461325145061999</v>
      </c>
      <c r="J22" s="89">
        <f t="shared" si="1"/>
        <v>0.23460559801717795</v>
      </c>
      <c r="K22" s="89">
        <f t="shared" si="2"/>
        <v>0.12631154851898213</v>
      </c>
      <c r="L22" s="89">
        <f t="shared" si="3"/>
        <v>0.28414350761002127</v>
      </c>
      <c r="M22" s="89">
        <f t="shared" si="4"/>
        <v>7.1610080976763316E-2</v>
      </c>
      <c r="O22">
        <v>10</v>
      </c>
      <c r="P22">
        <f t="shared" si="5"/>
        <v>0.15331390105494908</v>
      </c>
      <c r="Q22">
        <f t="shared" si="6"/>
        <v>0.22871411198354871</v>
      </c>
      <c r="R22">
        <f t="shared" si="7"/>
        <v>0.10489667507381738</v>
      </c>
      <c r="S22">
        <f t="shared" si="8"/>
        <v>0.3077866786175717</v>
      </c>
      <c r="T22">
        <f t="shared" si="9"/>
        <v>7.7568652420605219E-2</v>
      </c>
      <c r="V22">
        <v>10</v>
      </c>
      <c r="W22">
        <f t="shared" si="10"/>
        <v>2893.7998824121637</v>
      </c>
      <c r="X22">
        <f t="shared" si="11"/>
        <v>4316.9788636894818</v>
      </c>
      <c r="Y22">
        <f t="shared" si="12"/>
        <v>1979.924742018303</v>
      </c>
      <c r="Z22">
        <f t="shared" si="13"/>
        <v>5809.4735589066659</v>
      </c>
      <c r="AA22">
        <f t="shared" si="14"/>
        <v>1464.1083144389236</v>
      </c>
    </row>
    <row r="23" spans="1:27">
      <c r="A23" s="91" t="s">
        <v>157</v>
      </c>
      <c r="B23" s="91" t="s">
        <v>156</v>
      </c>
      <c r="C23" s="91">
        <f>1/2*(0.002378*(1-0.0000068756*C19)^4.2561)*(C22)^2</f>
        <v>86.678100000000001</v>
      </c>
      <c r="D23" s="91"/>
      <c r="H23">
        <v>10.5</v>
      </c>
      <c r="I23" s="89">
        <f t="shared" si="0"/>
        <v>0.17727888488892557</v>
      </c>
      <c r="J23" s="89">
        <f t="shared" si="1"/>
        <v>0.22863727806648843</v>
      </c>
      <c r="K23" s="89">
        <f t="shared" si="2"/>
        <v>0.13090441429848584</v>
      </c>
      <c r="L23" s="89">
        <f t="shared" si="3"/>
        <v>0.27083208844344497</v>
      </c>
      <c r="M23" s="89">
        <f t="shared" si="4"/>
        <v>7.1284636976365848E-2</v>
      </c>
      <c r="O23">
        <v>10.5</v>
      </c>
      <c r="P23">
        <f t="shared" si="5"/>
        <v>0.14722300378454858</v>
      </c>
      <c r="Q23">
        <f t="shared" si="6"/>
        <v>0.22289567027076526</v>
      </c>
      <c r="R23">
        <f t="shared" si="7"/>
        <v>0.10871086589784842</v>
      </c>
      <c r="S23">
        <f t="shared" si="8"/>
        <v>0.29336763548184069</v>
      </c>
      <c r="T23">
        <f t="shared" si="9"/>
        <v>7.721612869482708E-2</v>
      </c>
      <c r="V23">
        <v>10.5</v>
      </c>
      <c r="W23">
        <f t="shared" si="10"/>
        <v>2778.8341964333545</v>
      </c>
      <c r="X23">
        <f t="shared" si="11"/>
        <v>4207.1557763606943</v>
      </c>
      <c r="Y23">
        <f t="shared" si="12"/>
        <v>2051.9175938218891</v>
      </c>
      <c r="Z23">
        <f t="shared" si="13"/>
        <v>5537.3141197197428</v>
      </c>
      <c r="AA23">
        <f t="shared" si="14"/>
        <v>1457.4544291148611</v>
      </c>
    </row>
    <row r="24" spans="1:27">
      <c r="H24">
        <v>11</v>
      </c>
      <c r="I24" s="89">
        <f t="shared" si="0"/>
        <v>0.17067910941965803</v>
      </c>
      <c r="J24" s="89">
        <f t="shared" si="1"/>
        <v>0.22323359450022603</v>
      </c>
      <c r="K24" s="89">
        <f t="shared" si="2"/>
        <v>0.13549728007798953</v>
      </c>
      <c r="L24" s="89">
        <f t="shared" si="3"/>
        <v>0.25874100606387884</v>
      </c>
      <c r="M24" s="89">
        <f t="shared" si="4"/>
        <v>7.0981642513372495E-2</v>
      </c>
      <c r="O24">
        <v>11</v>
      </c>
      <c r="P24">
        <f t="shared" si="5"/>
        <v>0.14174215495419898</v>
      </c>
      <c r="Q24">
        <f t="shared" si="6"/>
        <v>0.21762768562443424</v>
      </c>
      <c r="R24">
        <f t="shared" si="7"/>
        <v>0.11252505672187947</v>
      </c>
      <c r="S24">
        <f t="shared" si="8"/>
        <v>0.28027047159518337</v>
      </c>
      <c r="T24">
        <f t="shared" si="9"/>
        <v>7.6887922500046696E-2</v>
      </c>
      <c r="V24">
        <v>11</v>
      </c>
      <c r="W24">
        <f t="shared" si="10"/>
        <v>2675.3831747605059</v>
      </c>
      <c r="X24">
        <f t="shared" si="11"/>
        <v>4107.7225661611965</v>
      </c>
      <c r="Y24">
        <f t="shared" si="12"/>
        <v>2123.9104456254749</v>
      </c>
      <c r="Z24">
        <f t="shared" si="13"/>
        <v>5290.1051513590864</v>
      </c>
      <c r="AA24">
        <f t="shared" si="14"/>
        <v>1451.2595371883813</v>
      </c>
    </row>
    <row r="25" spans="1:27">
      <c r="A25" s="353" t="s">
        <v>1138</v>
      </c>
      <c r="B25" s="353"/>
      <c r="C25" s="353"/>
      <c r="D25" s="353"/>
      <c r="H25">
        <v>11.5</v>
      </c>
      <c r="I25" s="89">
        <f t="shared" si="0"/>
        <v>0.16471810881337032</v>
      </c>
      <c r="J25" s="89">
        <f t="shared" si="1"/>
        <v>0.21832089909433505</v>
      </c>
      <c r="K25" s="89">
        <f t="shared" si="2"/>
        <v>0.14009014585749321</v>
      </c>
      <c r="L25" s="89">
        <f t="shared" si="3"/>
        <v>0.24771108610779966</v>
      </c>
      <c r="M25" s="89">
        <f t="shared" si="4"/>
        <v>7.0698629868759674E-2</v>
      </c>
      <c r="O25">
        <v>11.5</v>
      </c>
      <c r="P25">
        <f t="shared" si="5"/>
        <v>0.13679178302824149</v>
      </c>
      <c r="Q25">
        <f t="shared" si="6"/>
        <v>0.21283835929675751</v>
      </c>
      <c r="R25">
        <f t="shared" si="7"/>
        <v>0.1163392475459105</v>
      </c>
      <c r="S25">
        <f t="shared" si="8"/>
        <v>0.26832276792511173</v>
      </c>
      <c r="T25">
        <f t="shared" si="9"/>
        <v>7.6581360781903515E-2</v>
      </c>
      <c r="V25">
        <v>11.5</v>
      </c>
      <c r="W25">
        <f t="shared" si="10"/>
        <v>2581.944904658058</v>
      </c>
      <c r="X25">
        <f t="shared" si="11"/>
        <v>4017.324031726298</v>
      </c>
      <c r="Y25">
        <f t="shared" si="12"/>
        <v>2195.9032974290608</v>
      </c>
      <c r="Z25">
        <f t="shared" si="13"/>
        <v>5064.5922445864835</v>
      </c>
      <c r="AA25">
        <f t="shared" si="14"/>
        <v>1445.4731847584289</v>
      </c>
    </row>
    <row r="26" spans="1:27">
      <c r="A26" s="90" t="s">
        <v>861</v>
      </c>
      <c r="B26" s="90" t="s">
        <v>860</v>
      </c>
      <c r="C26" s="90" t="s">
        <v>191</v>
      </c>
      <c r="D26" s="90" t="s">
        <v>192</v>
      </c>
      <c r="H26">
        <v>12</v>
      </c>
      <c r="I26" s="89">
        <f t="shared" si="0"/>
        <v>0.15931603621219001</v>
      </c>
      <c r="J26" s="89">
        <f t="shared" si="1"/>
        <v>0.21383781832876914</v>
      </c>
      <c r="K26" s="89">
        <f t="shared" si="2"/>
        <v>0.14468301163699693</v>
      </c>
      <c r="L26" s="89">
        <f t="shared" si="3"/>
        <v>0.23760968327227164</v>
      </c>
      <c r="M26" s="89">
        <f t="shared" si="4"/>
        <v>7.0433495118243622E-2</v>
      </c>
      <c r="O26">
        <v>12</v>
      </c>
      <c r="P26">
        <f t="shared" si="5"/>
        <v>0.13230557839362703</v>
      </c>
      <c r="Q26">
        <f t="shared" si="6"/>
        <v>0.20846785899790335</v>
      </c>
      <c r="R26">
        <f t="shared" si="7"/>
        <v>0.12015343836994156</v>
      </c>
      <c r="S26">
        <f t="shared" si="8"/>
        <v>0.25738084194455263</v>
      </c>
      <c r="T26">
        <f t="shared" si="9"/>
        <v>7.6294164551611907E-2</v>
      </c>
      <c r="V26">
        <v>12</v>
      </c>
      <c r="W26">
        <f t="shared" si="10"/>
        <v>2497.2677921797103</v>
      </c>
      <c r="X26">
        <f t="shared" si="11"/>
        <v>3934.8308385854257</v>
      </c>
      <c r="Y26">
        <f t="shared" si="12"/>
        <v>2267.8961492326471</v>
      </c>
      <c r="Z26">
        <f t="shared" si="13"/>
        <v>4858.0633917034311</v>
      </c>
      <c r="AA26">
        <f t="shared" si="14"/>
        <v>1440.0523559116748</v>
      </c>
    </row>
    <row r="27" spans="1:27">
      <c r="A27" s="91" t="s">
        <v>1139</v>
      </c>
      <c r="B27" s="91" t="s">
        <v>1132</v>
      </c>
      <c r="C27" s="91">
        <v>0</v>
      </c>
      <c r="D27" s="91" t="s">
        <v>66</v>
      </c>
      <c r="H27">
        <v>12.5</v>
      </c>
      <c r="I27" s="89">
        <f t="shared" si="0"/>
        <v>0.15440582025550417</v>
      </c>
      <c r="J27" s="89">
        <f t="shared" si="1"/>
        <v>0.20973279844668918</v>
      </c>
      <c r="K27" s="89">
        <f t="shared" si="2"/>
        <v>0.14927587741650064</v>
      </c>
      <c r="L27" s="89">
        <f t="shared" si="3"/>
        <v>0.22832537550282866</v>
      </c>
      <c r="M27" s="89">
        <f t="shared" si="4"/>
        <v>7.0184431960448393E-2</v>
      </c>
      <c r="O27">
        <v>12.5</v>
      </c>
      <c r="P27">
        <f t="shared" si="5"/>
        <v>0.12822784097539452</v>
      </c>
      <c r="Q27">
        <f t="shared" si="6"/>
        <v>0.20446592560441298</v>
      </c>
      <c r="R27">
        <f t="shared" si="7"/>
        <v>0.12396762919397264</v>
      </c>
      <c r="S27">
        <f t="shared" si="8"/>
        <v>0.24732400033076457</v>
      </c>
      <c r="T27">
        <f t="shared" si="9"/>
        <v>7.6024377208066457E-2</v>
      </c>
      <c r="V27">
        <v>12.5</v>
      </c>
      <c r="W27">
        <f t="shared" si="10"/>
        <v>2420.3004984105714</v>
      </c>
      <c r="X27">
        <f t="shared" si="11"/>
        <v>3859.2943457832953</v>
      </c>
      <c r="Y27">
        <f t="shared" si="12"/>
        <v>2339.8890010362334</v>
      </c>
      <c r="Z27">
        <f t="shared" si="13"/>
        <v>4668.2405062431817</v>
      </c>
      <c r="AA27">
        <f t="shared" si="14"/>
        <v>1434.9601198022544</v>
      </c>
    </row>
    <row r="28" spans="1:27">
      <c r="A28" s="91" t="s">
        <v>1140</v>
      </c>
      <c r="B28" s="91" t="s">
        <v>1141</v>
      </c>
      <c r="C28" s="93">
        <f>'Performance T_O'!C32</f>
        <v>1731.146466364683</v>
      </c>
      <c r="D28" s="91" t="s">
        <v>66</v>
      </c>
      <c r="H28">
        <v>13</v>
      </c>
      <c r="I28" s="89">
        <f t="shared" si="0"/>
        <v>0.14993070825356353</v>
      </c>
      <c r="J28" s="89">
        <f t="shared" si="1"/>
        <v>0.20596221703846226</v>
      </c>
      <c r="K28" s="89">
        <f t="shared" si="2"/>
        <v>0.15386874319600433</v>
      </c>
      <c r="L28" s="89">
        <f t="shared" si="3"/>
        <v>0.2197638825995378</v>
      </c>
      <c r="M28" s="89">
        <f t="shared" si="4"/>
        <v>6.9949879685362593E-2</v>
      </c>
      <c r="O28">
        <v>13</v>
      </c>
      <c r="P28">
        <f t="shared" si="5"/>
        <v>0.1245114399408845</v>
      </c>
      <c r="Q28">
        <f t="shared" si="6"/>
        <v>0.20079003216566751</v>
      </c>
      <c r="R28">
        <f t="shared" si="7"/>
        <v>0.12778182001800367</v>
      </c>
      <c r="S28">
        <f t="shared" si="8"/>
        <v>0.23805011796450468</v>
      </c>
      <c r="T28">
        <f t="shared" si="9"/>
        <v>7.5770308176829143E-2</v>
      </c>
      <c r="V28">
        <v>13</v>
      </c>
      <c r="W28">
        <f t="shared" si="10"/>
        <v>2350.1534288841949</v>
      </c>
      <c r="X28">
        <f t="shared" si="11"/>
        <v>3789.9118571269742</v>
      </c>
      <c r="Y28">
        <f t="shared" si="12"/>
        <v>2411.8818528398192</v>
      </c>
      <c r="Z28">
        <f t="shared" si="13"/>
        <v>4493.1959765800257</v>
      </c>
      <c r="AA28">
        <f t="shared" si="14"/>
        <v>1430.16456683765</v>
      </c>
    </row>
    <row r="29" spans="1:27">
      <c r="A29" s="91" t="s">
        <v>847</v>
      </c>
      <c r="B29" s="91" t="s">
        <v>1142</v>
      </c>
      <c r="C29" s="92">
        <f>'Performance T_O'!C8</f>
        <v>0.99373385348611587</v>
      </c>
      <c r="D29" s="91"/>
      <c r="H29">
        <v>13.5</v>
      </c>
      <c r="I29" s="89">
        <f t="shared" si="0"/>
        <v>0.14584235532250739</v>
      </c>
      <c r="J29" s="89">
        <f t="shared" si="1"/>
        <v>0.20248891427366023</v>
      </c>
      <c r="K29" s="89">
        <f t="shared" si="2"/>
        <v>0.15846160897550804</v>
      </c>
      <c r="L29" s="89">
        <f t="shared" si="3"/>
        <v>0.21184489179949326</v>
      </c>
      <c r="M29" s="89">
        <f t="shared" si="4"/>
        <v>6.9728481845406684E-2</v>
      </c>
      <c r="O29">
        <v>13.5</v>
      </c>
      <c r="P29">
        <f t="shared" si="5"/>
        <v>0.12111622680301661</v>
      </c>
      <c r="Q29">
        <f t="shared" si="6"/>
        <v>0.19740395202002864</v>
      </c>
      <c r="R29">
        <f t="shared" si="7"/>
        <v>0.13159601084203473</v>
      </c>
      <c r="S29">
        <f t="shared" si="8"/>
        <v>0.22947219937382543</v>
      </c>
      <c r="T29">
        <f t="shared" si="9"/>
        <v>7.5530488142275809E-2</v>
      </c>
      <c r="V29">
        <v>13.5</v>
      </c>
      <c r="W29">
        <f t="shared" si="10"/>
        <v>2286.0687809069386</v>
      </c>
      <c r="X29">
        <f t="shared" si="11"/>
        <v>3725.9995943780405</v>
      </c>
      <c r="Y29">
        <f t="shared" si="12"/>
        <v>2483.8747046434055</v>
      </c>
      <c r="Z29">
        <f t="shared" si="13"/>
        <v>4331.2877631809552</v>
      </c>
      <c r="AA29">
        <f t="shared" si="14"/>
        <v>1425.6379636854558</v>
      </c>
    </row>
    <row r="30" spans="1:27">
      <c r="A30" s="91" t="s">
        <v>1143</v>
      </c>
      <c r="B30" s="91" t="s">
        <v>1144</v>
      </c>
      <c r="C30" s="92">
        <f>'Performance T_O'!C21</f>
        <v>5.6592293648515861E-2</v>
      </c>
      <c r="D30" s="91"/>
      <c r="H30">
        <v>14</v>
      </c>
      <c r="I30" s="89">
        <f t="shared" si="0"/>
        <v>0.14209932299045533</v>
      </c>
      <c r="J30" s="89">
        <f t="shared" si="1"/>
        <v>0.19928103886905901</v>
      </c>
      <c r="K30" s="89">
        <f t="shared" si="2"/>
        <v>0.1630544747550117</v>
      </c>
      <c r="L30" s="89">
        <f t="shared" si="3"/>
        <v>0.20449956359163293</v>
      </c>
      <c r="M30" s="89">
        <f t="shared" si="4"/>
        <v>6.9519053121033292E-2</v>
      </c>
      <c r="O30">
        <v>14</v>
      </c>
      <c r="P30">
        <f t="shared" si="5"/>
        <v>0.11800778857286498</v>
      </c>
      <c r="Q30">
        <f t="shared" si="6"/>
        <v>0.19427663374323492</v>
      </c>
      <c r="R30">
        <f t="shared" si="7"/>
        <v>0.13541020166606577</v>
      </c>
      <c r="S30">
        <f t="shared" si="8"/>
        <v>0.22151567701134314</v>
      </c>
      <c r="T30">
        <f t="shared" si="9"/>
        <v>7.5303633156131033E-2</v>
      </c>
      <c r="V30">
        <v>14</v>
      </c>
      <c r="W30">
        <f t="shared" si="10"/>
        <v>2227.3970093128264</v>
      </c>
      <c r="X30">
        <f t="shared" si="11"/>
        <v>3666.971461903559</v>
      </c>
      <c r="Y30">
        <f t="shared" si="12"/>
        <v>2555.8675564469913</v>
      </c>
      <c r="Z30">
        <f t="shared" si="13"/>
        <v>4181.1084035891017</v>
      </c>
      <c r="AA30">
        <f t="shared" si="14"/>
        <v>1421.3560758219733</v>
      </c>
    </row>
    <row r="31" spans="1:27">
      <c r="A31" s="94" t="s">
        <v>1145</v>
      </c>
      <c r="B31" s="91" t="s">
        <v>200</v>
      </c>
      <c r="C31" s="91">
        <f>0.002378*(1-0.0000068756*C27)^4.2561</f>
        <v>2.3779999999999999E-3</v>
      </c>
      <c r="D31" s="91"/>
      <c r="H31">
        <v>14.5</v>
      </c>
      <c r="I31" s="89">
        <f t="shared" si="0"/>
        <v>0.13866588843682073</v>
      </c>
      <c r="J31" s="89">
        <f t="shared" si="1"/>
        <v>0.19631113282187918</v>
      </c>
      <c r="K31" s="89">
        <f t="shared" si="2"/>
        <v>0.16764734053451541</v>
      </c>
      <c r="L31" s="89">
        <f t="shared" si="3"/>
        <v>0.19766855356986884</v>
      </c>
      <c r="M31" s="89">
        <f t="shared" si="4"/>
        <v>6.9320552527388835E-2</v>
      </c>
      <c r="O31">
        <v>14.5</v>
      </c>
      <c r="P31">
        <f t="shared" si="5"/>
        <v>0.11515645888066584</v>
      </c>
      <c r="Q31">
        <f t="shared" si="6"/>
        <v>0.1913813088660955</v>
      </c>
      <c r="R31">
        <f t="shared" si="7"/>
        <v>0.13922439249009683</v>
      </c>
      <c r="S31">
        <f t="shared" si="8"/>
        <v>0.2141162685086237</v>
      </c>
      <c r="T31">
        <f t="shared" si="9"/>
        <v>7.5088615614694543E-2</v>
      </c>
      <c r="V31">
        <v>14.5</v>
      </c>
      <c r="W31">
        <f t="shared" si="10"/>
        <v>2173.5781613725676</v>
      </c>
      <c r="X31">
        <f t="shared" si="11"/>
        <v>3612.3222048475527</v>
      </c>
      <c r="Y31">
        <f t="shared" si="12"/>
        <v>2627.8604082505776</v>
      </c>
      <c r="Z31">
        <f t="shared" si="13"/>
        <v>4041.4445681002721</v>
      </c>
      <c r="AA31">
        <f t="shared" si="14"/>
        <v>1417.2976197273595</v>
      </c>
    </row>
    <row r="32" spans="1:27">
      <c r="A32" s="94" t="s">
        <v>1146</v>
      </c>
      <c r="B32" s="91" t="s">
        <v>1147</v>
      </c>
      <c r="C32" s="92">
        <v>0</v>
      </c>
      <c r="D32" s="91"/>
      <c r="H32">
        <v>15</v>
      </c>
      <c r="I32" s="89">
        <f t="shared" si="0"/>
        <v>0.13551109188376184</v>
      </c>
      <c r="J32" s="89">
        <f t="shared" si="1"/>
        <v>0.19355539919637865</v>
      </c>
      <c r="K32" s="89">
        <f t="shared" si="2"/>
        <v>0.17224020631401912</v>
      </c>
      <c r="L32" s="89">
        <f t="shared" si="3"/>
        <v>0.19130042991559132</v>
      </c>
      <c r="M32" s="89">
        <f t="shared" si="4"/>
        <v>6.9132061576042403E-2</v>
      </c>
      <c r="O32">
        <v>15</v>
      </c>
      <c r="P32">
        <f t="shared" si="5"/>
        <v>0.11253652687262394</v>
      </c>
      <c r="Q32">
        <f t="shared" si="6"/>
        <v>0.18869477804864498</v>
      </c>
      <c r="R32">
        <f t="shared" si="7"/>
        <v>0.14303858331412786</v>
      </c>
      <c r="S32">
        <f t="shared" si="8"/>
        <v>0.20721826247969077</v>
      </c>
      <c r="T32">
        <f t="shared" si="9"/>
        <v>7.4884440603439309E-2</v>
      </c>
      <c r="V32">
        <v>15</v>
      </c>
      <c r="W32">
        <f t="shared" si="10"/>
        <v>2124.1269447207769</v>
      </c>
      <c r="X32">
        <f t="shared" si="11"/>
        <v>3561.6139356681742</v>
      </c>
      <c r="Y32">
        <f t="shared" si="12"/>
        <v>2699.8532600541635</v>
      </c>
      <c r="Z32">
        <f t="shared" si="13"/>
        <v>3911.2447043041634</v>
      </c>
      <c r="AA32">
        <f t="shared" si="14"/>
        <v>1413.4438163899169</v>
      </c>
    </row>
    <row r="33" spans="1:27">
      <c r="H33">
        <v>15.5</v>
      </c>
      <c r="I33" s="89">
        <f t="shared" si="0"/>
        <v>0.13260796836348102</v>
      </c>
      <c r="J33" s="89">
        <f t="shared" si="1"/>
        <v>0.19099311162916902</v>
      </c>
      <c r="K33" s="89">
        <f t="shared" si="2"/>
        <v>0.17683307209352281</v>
      </c>
      <c r="L33" s="89">
        <f t="shared" si="3"/>
        <v>0.18535039717388233</v>
      </c>
      <c r="M33" s="89">
        <f t="shared" si="4"/>
        <v>6.8952766343980176E-2</v>
      </c>
      <c r="O33">
        <v>15.5</v>
      </c>
      <c r="P33">
        <f t="shared" si="5"/>
        <v>0.11012559922446603</v>
      </c>
      <c r="Q33">
        <f t="shared" si="6"/>
        <v>0.18619683541413914</v>
      </c>
      <c r="R33">
        <f t="shared" si="7"/>
        <v>0.14685277413815892</v>
      </c>
      <c r="S33">
        <f t="shared" si="8"/>
        <v>0.20077313610450057</v>
      </c>
      <c r="T33">
        <f t="shared" si="9"/>
        <v>7.4690226473992649E-2</v>
      </c>
      <c r="V33">
        <v>15.5</v>
      </c>
      <c r="W33">
        <f t="shared" si="10"/>
        <v>2078.6206853617964</v>
      </c>
      <c r="X33">
        <f t="shared" si="11"/>
        <v>3514.4652684418766</v>
      </c>
      <c r="Y33">
        <f t="shared" si="12"/>
        <v>2771.8461118577497</v>
      </c>
      <c r="Z33">
        <f t="shared" si="13"/>
        <v>3789.5929439724482</v>
      </c>
      <c r="AA33">
        <f t="shared" si="14"/>
        <v>1409.7780246966113</v>
      </c>
    </row>
    <row r="34" spans="1:27">
      <c r="A34" s="354" t="s">
        <v>1148</v>
      </c>
      <c r="B34" s="354"/>
      <c r="C34" s="354"/>
      <c r="D34" s="354"/>
      <c r="H34">
        <v>16</v>
      </c>
      <c r="I34" s="89">
        <f t="shared" si="0"/>
        <v>0.12993292352915528</v>
      </c>
      <c r="J34" s="89">
        <f t="shared" si="1"/>
        <v>0.18860613455228559</v>
      </c>
      <c r="K34" s="89">
        <f t="shared" si="2"/>
        <v>0.18142593787302652</v>
      </c>
      <c r="L34" s="89">
        <f t="shared" si="3"/>
        <v>0.17977925932168856</v>
      </c>
      <c r="M34" s="89">
        <f t="shared" si="4"/>
        <v>6.878194264967516E-2</v>
      </c>
      <c r="O34">
        <v>16</v>
      </c>
      <c r="P34">
        <f t="shared" si="5"/>
        <v>0.10790408177745293</v>
      </c>
      <c r="Q34">
        <f t="shared" si="6"/>
        <v>0.18386980082042712</v>
      </c>
      <c r="R34">
        <f t="shared" si="7"/>
        <v>0.15066696496218998</v>
      </c>
      <c r="S34">
        <f t="shared" si="8"/>
        <v>0.19473843191551463</v>
      </c>
      <c r="T34">
        <f t="shared" si="9"/>
        <v>7.4505188786728335E-2</v>
      </c>
      <c r="V34">
        <v>16</v>
      </c>
      <c r="W34">
        <f t="shared" si="10"/>
        <v>2036.6895435494241</v>
      </c>
      <c r="X34">
        <f t="shared" si="11"/>
        <v>3470.5424904855618</v>
      </c>
      <c r="Y34">
        <f t="shared" si="12"/>
        <v>2843.838963661336</v>
      </c>
      <c r="Z34">
        <f t="shared" si="13"/>
        <v>3675.6879024053387</v>
      </c>
      <c r="AA34">
        <f t="shared" si="14"/>
        <v>1406.2854383494973</v>
      </c>
    </row>
    <row r="35" spans="1:27">
      <c r="A35" s="90" t="s">
        <v>861</v>
      </c>
      <c r="B35" s="90" t="s">
        <v>860</v>
      </c>
      <c r="C35" s="90" t="s">
        <v>191</v>
      </c>
      <c r="D35" s="90" t="s">
        <v>192</v>
      </c>
      <c r="H35">
        <v>16.5</v>
      </c>
      <c r="I35" s="89">
        <f t="shared" ref="I35:I66" si="15">$C$15*(($C$5/H35)+$C$8*($C$14/$C$15)^2*(H35))</f>
        <v>0.12746522295478874</v>
      </c>
      <c r="J35" s="89">
        <f t="shared" ref="J35:J66" si="16">($C$21/$C$22)+($C$23/H35)*$C$5+($C$8/$C$23)*H35</f>
        <v>0.18637853064842597</v>
      </c>
      <c r="K35" s="89">
        <f t="shared" ref="K35:K66" si="17">((1.21*H35)/(32.2*$C$31*$C$29*$C$28))+$C$32+0.605*($C$30-($C$32*$C$29))/$C$29</f>
        <v>0.18601880365253023</v>
      </c>
      <c r="L35" s="89">
        <f t="shared" ref="L35:L66" si="18">$C$38*$C$5*(1/H35)+$C$8*(1/$C$38)*H35</f>
        <v>0.17455257136905408</v>
      </c>
      <c r="M35" s="89">
        <f t="shared" ref="M35:M66" si="19">(1.667/SQRT(((2/$C$43)*H35)*SQRT($C$8/(3*$C$5))))+(4*SQRT(($C$8*$C$5)/3))</f>
        <v>6.8618943719360323E-2</v>
      </c>
      <c r="O35">
        <v>16.5</v>
      </c>
      <c r="P35">
        <f t="shared" ref="P35:P66" si="20">(I35*$C$13*1.688)/(0.85*550)</f>
        <v>0.10585475542238967</v>
      </c>
      <c r="Q35">
        <f t="shared" ref="Q35:Q66" si="21">(J35*$C$22*1.688)/(0.85*550)</f>
        <v>0.18169813717289116</v>
      </c>
      <c r="R35">
        <f t="shared" ref="R35:R66" si="22">(K35*$C$13*1.688)/(0.85*550)</f>
        <v>0.15448115578622104</v>
      </c>
      <c r="S35">
        <f t="shared" ref="S35:S66" si="23">(L35*$C$37*1.688)/(0.85*550)</f>
        <v>0.18907683880489623</v>
      </c>
      <c r="T35">
        <f t="shared" ref="T35:T66" si="24">(M35*$C$37*1.688)/(0.85*550)</f>
        <v>7.4328626950768056E-2</v>
      </c>
      <c r="V35">
        <v>16.5</v>
      </c>
      <c r="W35">
        <f t="shared" ref="W35:W66" si="25">P35*$AD$2</f>
        <v>1998.008508597605</v>
      </c>
      <c r="X35">
        <f t="shared" ref="X35:X66" si="26">Q35*$AD$2</f>
        <v>3429.5523391383203</v>
      </c>
      <c r="Y35">
        <f t="shared" ref="Y35:Y66" si="27">R35*$AD$2</f>
        <v>2915.8318154649223</v>
      </c>
      <c r="Z35">
        <f t="shared" ref="Z35:Z66" si="28">S35*$AD$2</f>
        <v>3568.8253324424163</v>
      </c>
      <c r="AA35">
        <f t="shared" ref="AA35:AA66" si="29">T35*$AD$2</f>
        <v>1402.9528336957471</v>
      </c>
    </row>
    <row r="36" spans="1:27">
      <c r="A36" s="91" t="s">
        <v>1149</v>
      </c>
      <c r="B36" s="91" t="s">
        <v>871</v>
      </c>
      <c r="C36" s="93">
        <v>15000</v>
      </c>
      <c r="D36" s="91" t="s">
        <v>66</v>
      </c>
      <c r="H36">
        <v>17</v>
      </c>
      <c r="I36" s="89">
        <f t="shared" si="15"/>
        <v>0.12518657155862029</v>
      </c>
      <c r="J36" s="89">
        <f t="shared" si="16"/>
        <v>0.18429623757879388</v>
      </c>
      <c r="K36" s="89">
        <f t="shared" si="17"/>
        <v>0.19061166943203392</v>
      </c>
      <c r="L36" s="89">
        <f t="shared" si="18"/>
        <v>0.16963994067778251</v>
      </c>
      <c r="M36" s="89">
        <f t="shared" si="19"/>
        <v>6.8463189863764526E-2</v>
      </c>
      <c r="O36">
        <v>17</v>
      </c>
      <c r="P36">
        <f t="shared" si="20"/>
        <v>0.10396242682763367</v>
      </c>
      <c r="Q36">
        <f t="shared" si="21"/>
        <v>0.17966813527039804</v>
      </c>
      <c r="R36">
        <f t="shared" si="22"/>
        <v>0.15829534661025207</v>
      </c>
      <c r="S36">
        <f t="shared" si="23"/>
        <v>0.1837554352069071</v>
      </c>
      <c r="T36">
        <f t="shared" si="24"/>
        <v>7.4159913041733375E-2</v>
      </c>
      <c r="V36">
        <v>17</v>
      </c>
      <c r="W36">
        <f t="shared" si="25"/>
        <v>1962.2908063715854</v>
      </c>
      <c r="X36">
        <f t="shared" si="26"/>
        <v>3391.236053228763</v>
      </c>
      <c r="Y36">
        <f t="shared" si="27"/>
        <v>2987.8246672685077</v>
      </c>
      <c r="Z36">
        <f t="shared" si="28"/>
        <v>3468.3838395303715</v>
      </c>
      <c r="AA36">
        <f t="shared" si="29"/>
        <v>1399.7683586627174</v>
      </c>
    </row>
    <row r="37" spans="1:27">
      <c r="A37" s="91" t="s">
        <v>238</v>
      </c>
      <c r="B37" s="91" t="s">
        <v>1150</v>
      </c>
      <c r="C37" s="93">
        <v>300</v>
      </c>
      <c r="D37" s="91" t="s">
        <v>596</v>
      </c>
      <c r="H37">
        <v>17.5</v>
      </c>
      <c r="I37" s="89">
        <f t="shared" si="15"/>
        <v>0.12308076512537577</v>
      </c>
      <c r="J37" s="89">
        <f t="shared" si="16"/>
        <v>0.18234680012902707</v>
      </c>
      <c r="K37" s="89">
        <f t="shared" si="17"/>
        <v>0.19520453521153763</v>
      </c>
      <c r="L37" s="89">
        <f t="shared" si="18"/>
        <v>0.1650144480540427</v>
      </c>
      <c r="M37" s="89">
        <f t="shared" si="19"/>
        <v>6.8314159789145207E-2</v>
      </c>
      <c r="O37">
        <v>17.5</v>
      </c>
      <c r="P37">
        <f t="shared" si="20"/>
        <v>0.10221363904230137</v>
      </c>
      <c r="Q37">
        <f t="shared" si="21"/>
        <v>0.17776765267765857</v>
      </c>
      <c r="R37">
        <f t="shared" si="22"/>
        <v>0.16210953743428314</v>
      </c>
      <c r="S37">
        <f t="shared" si="23"/>
        <v>0.17874506202046464</v>
      </c>
      <c r="T37">
        <f t="shared" si="24"/>
        <v>7.39984823897821E-2</v>
      </c>
      <c r="V37">
        <v>17.5</v>
      </c>
      <c r="W37">
        <f t="shared" si="25"/>
        <v>1929.2824369234384</v>
      </c>
      <c r="X37">
        <f t="shared" si="26"/>
        <v>3355.3644442908053</v>
      </c>
      <c r="Y37">
        <f t="shared" si="27"/>
        <v>3059.817519072094</v>
      </c>
      <c r="Z37">
        <f t="shared" si="28"/>
        <v>3373.8130456362701</v>
      </c>
      <c r="AA37">
        <f t="shared" si="29"/>
        <v>1396.7213551071372</v>
      </c>
    </row>
    <row r="38" spans="1:27">
      <c r="A38" s="91" t="s">
        <v>157</v>
      </c>
      <c r="B38" s="91" t="s">
        <v>156</v>
      </c>
      <c r="C38" s="91">
        <f>1/2*(0.002378*(1-0.0000068756*C36)^4.2561)*(C37*1.668)^2</f>
        <v>187.33556139045533</v>
      </c>
      <c r="D38" s="91"/>
      <c r="H38">
        <v>18</v>
      </c>
      <c r="I38" s="89">
        <f t="shared" si="15"/>
        <v>0.1211333999081449</v>
      </c>
      <c r="J38" s="89">
        <f t="shared" si="16"/>
        <v>0.18051914699746999</v>
      </c>
      <c r="K38" s="89">
        <f t="shared" si="17"/>
        <v>0.19979740099104135</v>
      </c>
      <c r="L38" s="89">
        <f t="shared" si="18"/>
        <v>0.16065216532554036</v>
      </c>
      <c r="M38" s="89">
        <f t="shared" si="19"/>
        <v>6.8171383245393152E-2</v>
      </c>
      <c r="O38">
        <v>18</v>
      </c>
      <c r="P38">
        <f t="shared" si="20"/>
        <v>0.10059643033227417</v>
      </c>
      <c r="Q38">
        <f t="shared" si="21"/>
        <v>0.1759858961188597</v>
      </c>
      <c r="R38">
        <f t="shared" si="22"/>
        <v>0.16592372825831422</v>
      </c>
      <c r="S38">
        <f t="shared" si="23"/>
        <v>0.17401980004460668</v>
      </c>
      <c r="T38">
        <f t="shared" si="24"/>
        <v>7.3843825615972386E-2</v>
      </c>
      <c r="V38">
        <v>18</v>
      </c>
      <c r="W38">
        <f t="shared" si="25"/>
        <v>1898.7576225216749</v>
      </c>
      <c r="X38">
        <f t="shared" si="26"/>
        <v>3321.7337892434771</v>
      </c>
      <c r="Y38">
        <f t="shared" si="27"/>
        <v>3131.8103708756807</v>
      </c>
      <c r="Z38">
        <f t="shared" si="28"/>
        <v>3284.623725841951</v>
      </c>
      <c r="AA38">
        <f t="shared" si="29"/>
        <v>1393.8022085014788</v>
      </c>
    </row>
    <row r="39" spans="1:27">
      <c r="H39">
        <v>18.5</v>
      </c>
      <c r="I39" s="89">
        <f t="shared" si="15"/>
        <v>0.1193316293218455</v>
      </c>
      <c r="J39" s="89">
        <f t="shared" si="16"/>
        <v>0.17880340377994353</v>
      </c>
      <c r="K39" s="89">
        <f t="shared" si="17"/>
        <v>0.204390266770545</v>
      </c>
      <c r="L39" s="89">
        <f t="shared" si="18"/>
        <v>0.15653175114941842</v>
      </c>
      <c r="M39" s="89">
        <f t="shared" si="19"/>
        <v>6.8034434774659924E-2</v>
      </c>
      <c r="O39">
        <v>18.5</v>
      </c>
      <c r="P39">
        <f t="shared" si="20"/>
        <v>9.9100132123878706E-2</v>
      </c>
      <c r="Q39">
        <f t="shared" si="21"/>
        <v>0.17431323915881722</v>
      </c>
      <c r="R39">
        <f t="shared" si="22"/>
        <v>0.16973791908234523</v>
      </c>
      <c r="S39">
        <f t="shared" si="23"/>
        <v>0.16955653215415076</v>
      </c>
      <c r="T39">
        <f t="shared" si="24"/>
        <v>7.3695481860722542E-2</v>
      </c>
      <c r="V39">
        <v>18.5</v>
      </c>
      <c r="W39">
        <f t="shared" si="25"/>
        <v>1870.5149938382106</v>
      </c>
      <c r="X39">
        <f t="shared" si="26"/>
        <v>3290.162389122675</v>
      </c>
      <c r="Y39">
        <f t="shared" si="27"/>
        <v>3203.8032226792661</v>
      </c>
      <c r="Z39">
        <f t="shared" si="28"/>
        <v>3200.3795444095954</v>
      </c>
      <c r="AA39">
        <f t="shared" si="29"/>
        <v>1391.002220121138</v>
      </c>
    </row>
    <row r="40" spans="1:27">
      <c r="A40" s="348" t="s">
        <v>1151</v>
      </c>
      <c r="B40" s="348"/>
      <c r="C40" s="348"/>
      <c r="D40" s="348"/>
      <c r="H40">
        <v>19</v>
      </c>
      <c r="I40" s="89">
        <f t="shared" si="15"/>
        <v>0.11766395905350925</v>
      </c>
      <c r="J40" s="89">
        <f t="shared" si="16"/>
        <v>0.17719073548323475</v>
      </c>
      <c r="K40" s="89">
        <f t="shared" si="17"/>
        <v>0.20898313255004872</v>
      </c>
      <c r="L40" s="89">
        <f t="shared" si="18"/>
        <v>0.15263411063996257</v>
      </c>
      <c r="M40" s="89">
        <f t="shared" si="19"/>
        <v>6.7902928370968452E-2</v>
      </c>
      <c r="O40">
        <v>19</v>
      </c>
      <c r="P40">
        <f t="shared" si="20"/>
        <v>9.7715198851196644E-2</v>
      </c>
      <c r="Q40">
        <f t="shared" si="21"/>
        <v>0.17274106867131353</v>
      </c>
      <c r="R40">
        <f t="shared" si="22"/>
        <v>0.17355210990637626</v>
      </c>
      <c r="S40">
        <f t="shared" si="23"/>
        <v>0.16533457460551237</v>
      </c>
      <c r="T40">
        <f t="shared" si="24"/>
        <v>7.355303299905544E-2</v>
      </c>
      <c r="V40">
        <v>19</v>
      </c>
      <c r="W40">
        <f t="shared" si="25"/>
        <v>1844.3743783163366</v>
      </c>
      <c r="X40">
        <f t="shared" si="26"/>
        <v>3260.4876711710431</v>
      </c>
      <c r="Y40">
        <f t="shared" si="27"/>
        <v>3275.796074482852</v>
      </c>
      <c r="Z40">
        <f t="shared" si="28"/>
        <v>3120.690095679046</v>
      </c>
      <c r="AA40">
        <f t="shared" si="29"/>
        <v>1388.3134978571713</v>
      </c>
    </row>
    <row r="41" spans="1:27">
      <c r="A41" s="90" t="s">
        <v>861</v>
      </c>
      <c r="B41" s="90" t="s">
        <v>860</v>
      </c>
      <c r="C41" s="90" t="s">
        <v>191</v>
      </c>
      <c r="D41" s="90" t="s">
        <v>192</v>
      </c>
      <c r="H41">
        <v>19.5</v>
      </c>
      <c r="I41" s="89">
        <f t="shared" si="15"/>
        <v>0.1161200736940621</v>
      </c>
      <c r="J41" s="89">
        <f t="shared" si="16"/>
        <v>0.17567321326728072</v>
      </c>
      <c r="K41" s="89">
        <f t="shared" si="17"/>
        <v>0.21357599832955243</v>
      </c>
      <c r="L41" s="89">
        <f t="shared" si="18"/>
        <v>0.1489421073612755</v>
      </c>
      <c r="M41" s="89">
        <f t="shared" si="19"/>
        <v>6.777651289796191E-2</v>
      </c>
      <c r="O41">
        <v>19.5</v>
      </c>
      <c r="P41">
        <f t="shared" si="20"/>
        <v>9.6433063980711595E-2</v>
      </c>
      <c r="Q41">
        <f t="shared" si="21"/>
        <v>0.17126165492769169</v>
      </c>
      <c r="R41">
        <f t="shared" si="22"/>
        <v>0.17736630073040735</v>
      </c>
      <c r="S41">
        <f t="shared" si="23"/>
        <v>0.16133536506470569</v>
      </c>
      <c r="T41">
        <f t="shared" si="24"/>
        <v>7.3416098677065042E-2</v>
      </c>
      <c r="V41">
        <v>19.5</v>
      </c>
      <c r="W41">
        <f t="shared" si="25"/>
        <v>1820.1740826359314</v>
      </c>
      <c r="X41">
        <f t="shared" si="26"/>
        <v>3232.5637367601807</v>
      </c>
      <c r="Y41">
        <f t="shared" si="27"/>
        <v>3347.7889262864387</v>
      </c>
      <c r="Z41">
        <f t="shared" si="28"/>
        <v>3045.2050155963198</v>
      </c>
      <c r="AA41">
        <f t="shared" si="29"/>
        <v>1385.7288625296026</v>
      </c>
    </row>
    <row r="42" spans="1:27">
      <c r="A42" s="91" t="s">
        <v>1152</v>
      </c>
      <c r="B42" s="91" t="s">
        <v>871</v>
      </c>
      <c r="C42" s="93">
        <v>20000</v>
      </c>
      <c r="D42" s="91" t="s">
        <v>66</v>
      </c>
      <c r="H42">
        <v>20</v>
      </c>
      <c r="I42" s="89">
        <f t="shared" si="15"/>
        <v>0.11469068937533734</v>
      </c>
      <c r="J42" s="89">
        <f t="shared" si="16"/>
        <v>0.17424370117602486</v>
      </c>
      <c r="K42" s="89">
        <f t="shared" si="17"/>
        <v>0.21816886410905612</v>
      </c>
      <c r="L42" s="89">
        <f t="shared" si="18"/>
        <v>0.14544031852104952</v>
      </c>
      <c r="M42" s="89">
        <f t="shared" si="19"/>
        <v>6.7654868140791719E-2</v>
      </c>
      <c r="O42">
        <v>20</v>
      </c>
      <c r="P42">
        <f t="shared" si="20"/>
        <v>9.5246017632258748E-2</v>
      </c>
      <c r="Q42">
        <f t="shared" si="21"/>
        <v>0.16986804117216064</v>
      </c>
      <c r="R42">
        <f t="shared" si="22"/>
        <v>0.18118049155443838</v>
      </c>
      <c r="S42">
        <f t="shared" si="23"/>
        <v>0.15754219743114325</v>
      </c>
      <c r="T42">
        <f t="shared" si="24"/>
        <v>7.328433203528753E-2</v>
      </c>
      <c r="V42">
        <v>20</v>
      </c>
      <c r="W42">
        <f t="shared" si="25"/>
        <v>1797.7685828088838</v>
      </c>
      <c r="X42">
        <f t="shared" si="26"/>
        <v>3206.2592771245322</v>
      </c>
      <c r="Y42">
        <f t="shared" si="27"/>
        <v>3419.7817780900245</v>
      </c>
      <c r="Z42">
        <f t="shared" si="28"/>
        <v>2973.608976512829</v>
      </c>
      <c r="AA42">
        <f t="shared" si="29"/>
        <v>1383.2417671660521</v>
      </c>
    </row>
    <row r="43" spans="1:27">
      <c r="A43" s="94" t="s">
        <v>1145</v>
      </c>
      <c r="B43" s="91" t="s">
        <v>530</v>
      </c>
      <c r="C43" s="91">
        <f>0.002378*(1-0.0000068756*C42)^4.2561</f>
        <v>1.2669820284852995E-3</v>
      </c>
      <c r="D43" s="91"/>
      <c r="H43">
        <v>20.5</v>
      </c>
      <c r="I43" s="89">
        <f t="shared" si="15"/>
        <v>0.11336742797240408</v>
      </c>
      <c r="J43" s="89">
        <f t="shared" si="16"/>
        <v>0.17289575944424534</v>
      </c>
      <c r="K43" s="89">
        <f t="shared" si="17"/>
        <v>0.22276172988855983</v>
      </c>
      <c r="L43" s="89">
        <f t="shared" si="18"/>
        <v>0.14211482598964112</v>
      </c>
      <c r="M43" s="89">
        <f t="shared" si="19"/>
        <v>6.7537701390972996E-2</v>
      </c>
      <c r="O43">
        <v>20.5</v>
      </c>
      <c r="P43">
        <f t="shared" si="20"/>
        <v>9.4147102109104083E-2</v>
      </c>
      <c r="Q43">
        <f t="shared" si="21"/>
        <v>0.16855394935681123</v>
      </c>
      <c r="R43">
        <f t="shared" si="22"/>
        <v>0.18499468237846944</v>
      </c>
      <c r="S43">
        <f t="shared" si="23"/>
        <v>0.15393999546770967</v>
      </c>
      <c r="T43">
        <f t="shared" si="24"/>
        <v>7.3157416009387646E-2</v>
      </c>
      <c r="V43">
        <v>20.5</v>
      </c>
      <c r="W43">
        <f t="shared" si="25"/>
        <v>1777.0265523093396</v>
      </c>
      <c r="X43">
        <f t="shared" si="26"/>
        <v>3181.4557941098119</v>
      </c>
      <c r="Y43">
        <f t="shared" si="27"/>
        <v>3491.7746298936108</v>
      </c>
      <c r="Z43">
        <f t="shared" si="28"/>
        <v>2905.61741445302</v>
      </c>
      <c r="AA43">
        <f t="shared" si="29"/>
        <v>1380.8462271771918</v>
      </c>
    </row>
    <row r="44" spans="1:27">
      <c r="H44">
        <v>21</v>
      </c>
      <c r="I44" s="89">
        <f t="shared" si="15"/>
        <v>0.11214270927699152</v>
      </c>
      <c r="J44" s="89">
        <f t="shared" si="16"/>
        <v>0.17162356161769385</v>
      </c>
      <c r="K44" s="89">
        <f t="shared" si="17"/>
        <v>0.22735459566806354</v>
      </c>
      <c r="L44" s="89">
        <f t="shared" si="18"/>
        <v>0.13895303717356333</v>
      </c>
      <c r="M44" s="89">
        <f t="shared" si="19"/>
        <v>6.7424744481214202E-2</v>
      </c>
      <c r="O44">
        <v>21</v>
      </c>
      <c r="P44">
        <f t="shared" si="20"/>
        <v>9.3130022352297726E-2</v>
      </c>
      <c r="Q44">
        <f t="shared" si="21"/>
        <v>0.16731369934305912</v>
      </c>
      <c r="R44">
        <f t="shared" si="22"/>
        <v>0.1888088732025005</v>
      </c>
      <c r="S44">
        <f t="shared" si="23"/>
        <v>0.15051511876939563</v>
      </c>
      <c r="T44">
        <f t="shared" si="24"/>
        <v>7.3035060118260692E-2</v>
      </c>
      <c r="V44">
        <v>21</v>
      </c>
      <c r="W44">
        <f t="shared" si="25"/>
        <v>1757.8291718996195</v>
      </c>
      <c r="X44">
        <f t="shared" si="26"/>
        <v>3158.0460751002411</v>
      </c>
      <c r="Y44">
        <f t="shared" si="27"/>
        <v>3563.7674816971971</v>
      </c>
      <c r="Z44">
        <f t="shared" si="28"/>
        <v>2840.9728667723425</v>
      </c>
      <c r="AA44">
        <f t="shared" si="29"/>
        <v>1378.5367597321706</v>
      </c>
    </row>
    <row r="45" spans="1:27">
      <c r="H45">
        <v>21.5</v>
      </c>
      <c r="I45" s="89">
        <f t="shared" si="15"/>
        <v>0.11100965821648189</v>
      </c>
      <c r="J45" s="89">
        <f t="shared" si="16"/>
        <v>0.17042182323786612</v>
      </c>
      <c r="K45" s="89">
        <f t="shared" si="17"/>
        <v>0.23194746144756723</v>
      </c>
      <c r="L45" s="89">
        <f t="shared" si="18"/>
        <v>0.13594353088337449</v>
      </c>
      <c r="M45" s="89">
        <f t="shared" si="19"/>
        <v>6.7315751201791285E-2</v>
      </c>
      <c r="O45">
        <v>21.5</v>
      </c>
      <c r="P45">
        <f t="shared" si="20"/>
        <v>9.2189068889768813E-2</v>
      </c>
      <c r="Q45">
        <f t="shared" si="21"/>
        <v>0.16614213937730449</v>
      </c>
      <c r="R45">
        <f t="shared" si="22"/>
        <v>0.19262306402653154</v>
      </c>
      <c r="S45">
        <f t="shared" si="23"/>
        <v>0.14725519580607668</v>
      </c>
      <c r="T45">
        <f t="shared" si="24"/>
        <v>7.2916997665426961E-2</v>
      </c>
      <c r="V45">
        <v>21.5</v>
      </c>
      <c r="W45">
        <f t="shared" si="25"/>
        <v>1740.0686752943864</v>
      </c>
      <c r="X45">
        <f t="shared" si="26"/>
        <v>3135.9328807466222</v>
      </c>
      <c r="Y45">
        <f t="shared" si="27"/>
        <v>3635.760333500783</v>
      </c>
      <c r="Z45">
        <f t="shared" si="28"/>
        <v>2779.4418208396974</v>
      </c>
      <c r="AA45">
        <f t="shared" si="29"/>
        <v>1376.3083309349338</v>
      </c>
    </row>
    <row r="46" spans="1:27">
      <c r="H46">
        <v>22</v>
      </c>
      <c r="I46" s="89">
        <f t="shared" si="15"/>
        <v>0.10996202472485909</v>
      </c>
      <c r="J46" s="89">
        <f t="shared" si="16"/>
        <v>0.16928574025157642</v>
      </c>
      <c r="K46" s="89">
        <f t="shared" si="17"/>
        <v>0.23654032722707091</v>
      </c>
      <c r="L46" s="89">
        <f t="shared" si="18"/>
        <v>0.1330759242195822</v>
      </c>
      <c r="M46" s="89">
        <f t="shared" si="19"/>
        <v>6.7210495041769625E-2</v>
      </c>
      <c r="O46">
        <v>22</v>
      </c>
      <c r="P46">
        <f t="shared" si="20"/>
        <v>9.1319051292362119E-2</v>
      </c>
      <c r="Q46">
        <f t="shared" si="21"/>
        <v>0.16503458604718388</v>
      </c>
      <c r="R46">
        <f t="shared" si="22"/>
        <v>0.19643725485056257</v>
      </c>
      <c r="S46">
        <f t="shared" si="23"/>
        <v>0.14414897973218485</v>
      </c>
      <c r="T46">
        <f t="shared" si="24"/>
        <v>7.2802983292304044E-2</v>
      </c>
      <c r="V46">
        <v>22</v>
      </c>
      <c r="W46">
        <f t="shared" si="25"/>
        <v>1723.647093143335</v>
      </c>
      <c r="X46">
        <f t="shared" si="26"/>
        <v>3115.0278116405957</v>
      </c>
      <c r="Y46">
        <f t="shared" si="27"/>
        <v>3707.7531853043683</v>
      </c>
      <c r="Z46">
        <f t="shared" si="28"/>
        <v>2720.8119924449888</v>
      </c>
      <c r="AA46">
        <f t="shared" si="29"/>
        <v>1374.1563096422387</v>
      </c>
    </row>
    <row r="47" spans="1:27">
      <c r="H47">
        <v>22.5</v>
      </c>
      <c r="I47" s="89">
        <f t="shared" si="15"/>
        <v>0.10899411429753071</v>
      </c>
      <c r="J47" s="89">
        <f t="shared" si="16"/>
        <v>0.16821093563258893</v>
      </c>
      <c r="K47" s="89">
        <f t="shared" si="17"/>
        <v>0.24113319300657463</v>
      </c>
      <c r="L47" s="89">
        <f t="shared" si="18"/>
        <v>0.13034075720709332</v>
      </c>
      <c r="M47" s="89">
        <f t="shared" si="19"/>
        <v>6.7108767207881198E-2</v>
      </c>
      <c r="O47">
        <v>22.5</v>
      </c>
      <c r="P47">
        <f t="shared" si="20"/>
        <v>9.0515240502402824E-2</v>
      </c>
      <c r="Q47">
        <f t="shared" si="21"/>
        <v>0.16398677224365502</v>
      </c>
      <c r="R47">
        <f t="shared" si="22"/>
        <v>0.20025144567459363</v>
      </c>
      <c r="S47">
        <f t="shared" si="23"/>
        <v>0.14118622342175841</v>
      </c>
      <c r="T47">
        <f t="shared" si="24"/>
        <v>7.2692790832237508E-2</v>
      </c>
      <c r="V47">
        <v>22.5</v>
      </c>
      <c r="W47">
        <f t="shared" si="25"/>
        <v>1708.4751644828534</v>
      </c>
      <c r="X47">
        <f t="shared" si="26"/>
        <v>3095.2503260989884</v>
      </c>
      <c r="Y47">
        <f t="shared" si="27"/>
        <v>3779.7460371079546</v>
      </c>
      <c r="Z47">
        <f t="shared" si="28"/>
        <v>2664.8899670856899</v>
      </c>
      <c r="AA47">
        <f t="shared" si="29"/>
        <v>1372.0764269584829</v>
      </c>
    </row>
    <row r="48" spans="1:27">
      <c r="H48">
        <v>23</v>
      </c>
      <c r="I48" s="89">
        <f t="shared" si="15"/>
        <v>0.10810072760421661</v>
      </c>
      <c r="J48" s="89">
        <f t="shared" si="16"/>
        <v>0.16719341296564472</v>
      </c>
      <c r="K48" s="89">
        <f t="shared" si="17"/>
        <v>0.24572605878607831</v>
      </c>
      <c r="L48" s="89">
        <f t="shared" si="18"/>
        <v>0.12772939247734455</v>
      </c>
      <c r="M48" s="89">
        <f t="shared" si="19"/>
        <v>6.7010374881602358E-2</v>
      </c>
      <c r="O48">
        <v>23</v>
      </c>
      <c r="P48">
        <f t="shared" si="20"/>
        <v>8.9773318684622586E-2</v>
      </c>
      <c r="Q48">
        <f t="shared" si="21"/>
        <v>0.16299480191063578</v>
      </c>
      <c r="R48">
        <f t="shared" si="22"/>
        <v>0.20406563649862466</v>
      </c>
      <c r="S48">
        <f t="shared" si="23"/>
        <v>0.13835757080326694</v>
      </c>
      <c r="T48">
        <f t="shared" si="24"/>
        <v>7.2586211422552796E-2</v>
      </c>
      <c r="V48">
        <v>23</v>
      </c>
      <c r="W48">
        <f t="shared" si="25"/>
        <v>1694.4713901722514</v>
      </c>
      <c r="X48">
        <f t="shared" si="26"/>
        <v>3076.5268860632505</v>
      </c>
      <c r="Y48">
        <f t="shared" si="27"/>
        <v>3851.7388889115405</v>
      </c>
      <c r="Z48">
        <f t="shared" si="28"/>
        <v>2611.4991489116633</v>
      </c>
      <c r="AA48">
        <f t="shared" si="29"/>
        <v>1370.064740600684</v>
      </c>
    </row>
    <row r="49" spans="8:27">
      <c r="H49">
        <v>23.5</v>
      </c>
      <c r="I49" s="89">
        <f t="shared" si="15"/>
        <v>0.10727710781083084</v>
      </c>
      <c r="J49" s="89">
        <f t="shared" si="16"/>
        <v>0.16622951595593261</v>
      </c>
      <c r="K49" s="89">
        <f t="shared" si="17"/>
        <v>0.25031892456558202</v>
      </c>
      <c r="L49" s="89">
        <f t="shared" si="18"/>
        <v>0.12523392775696957</v>
      </c>
      <c r="M49" s="89">
        <f t="shared" si="19"/>
        <v>6.6915139681308355E-2</v>
      </c>
      <c r="O49">
        <v>23.5</v>
      </c>
      <c r="P49">
        <f t="shared" si="20"/>
        <v>8.9089335479095103E-2</v>
      </c>
      <c r="Q49">
        <f t="shared" si="21"/>
        <v>0.16205511057128522</v>
      </c>
      <c r="R49">
        <f t="shared" si="22"/>
        <v>0.20787982732265572</v>
      </c>
      <c r="S49">
        <f t="shared" si="23"/>
        <v>0.13565446206658693</v>
      </c>
      <c r="T49">
        <f t="shared" si="24"/>
        <v>7.2483051838747703E-2</v>
      </c>
      <c r="V49">
        <v>23.5</v>
      </c>
      <c r="W49">
        <f t="shared" si="25"/>
        <v>1681.56120716792</v>
      </c>
      <c r="X49">
        <f t="shared" si="26"/>
        <v>3058.7902120330086</v>
      </c>
      <c r="Y49">
        <f t="shared" si="27"/>
        <v>3923.7317407151268</v>
      </c>
      <c r="Z49">
        <f t="shared" si="28"/>
        <v>2560.4779715068285</v>
      </c>
      <c r="AA49">
        <f t="shared" si="29"/>
        <v>1368.117603456363</v>
      </c>
    </row>
    <row r="50" spans="8:27">
      <c r="H50">
        <v>24</v>
      </c>
      <c r="I50" s="89">
        <f t="shared" si="15"/>
        <v>0.10651889448612784</v>
      </c>
      <c r="J50" s="89">
        <f t="shared" si="16"/>
        <v>0.16531589299987551</v>
      </c>
      <c r="K50" s="89">
        <f t="shared" si="17"/>
        <v>0.25491179034508576</v>
      </c>
      <c r="L50" s="89">
        <f t="shared" si="18"/>
        <v>0.12284711929538249</v>
      </c>
      <c r="M50" s="89">
        <f t="shared" si="19"/>
        <v>6.682289630158425E-2</v>
      </c>
      <c r="O50">
        <v>24</v>
      </c>
      <c r="P50">
        <f t="shared" si="20"/>
        <v>8.8459669722554576E-2</v>
      </c>
      <c r="Q50">
        <f t="shared" si="21"/>
        <v>0.16116443078849896</v>
      </c>
      <c r="R50">
        <f t="shared" si="22"/>
        <v>0.21169401814668681</v>
      </c>
      <c r="S50">
        <f t="shared" si="23"/>
        <v>0.13306905071910521</v>
      </c>
      <c r="T50">
        <f t="shared" si="24"/>
        <v>7.2383133020582371E-2</v>
      </c>
      <c r="V50">
        <v>24</v>
      </c>
      <c r="W50">
        <f t="shared" si="25"/>
        <v>1669.6762660132176</v>
      </c>
      <c r="X50">
        <f t="shared" si="26"/>
        <v>3041.9786311329181</v>
      </c>
      <c r="Y50">
        <f t="shared" si="27"/>
        <v>3995.7245925187135</v>
      </c>
      <c r="Z50">
        <f t="shared" si="28"/>
        <v>2511.6783323231111</v>
      </c>
      <c r="AA50">
        <f t="shared" si="29"/>
        <v>1366.2316357634922</v>
      </c>
    </row>
    <row r="51" spans="8:27">
      <c r="H51">
        <v>24.5</v>
      </c>
      <c r="I51" s="89">
        <f t="shared" si="15"/>
        <v>0.10582208315243315</v>
      </c>
      <c r="J51" s="89">
        <f t="shared" si="16"/>
        <v>0.16444946609418851</v>
      </c>
      <c r="K51" s="89">
        <f t="shared" si="17"/>
        <v>0.25950465612458945</v>
      </c>
      <c r="L51" s="89">
        <f t="shared" si="18"/>
        <v>0.12056231466857589</v>
      </c>
      <c r="M51" s="89">
        <f t="shared" si="19"/>
        <v>6.6733491306067982E-2</v>
      </c>
      <c r="O51">
        <v>24.5</v>
      </c>
      <c r="P51">
        <f t="shared" si="20"/>
        <v>8.7880995856899763E-2</v>
      </c>
      <c r="Q51">
        <f t="shared" si="21"/>
        <v>0.16031976185473229</v>
      </c>
      <c r="R51">
        <f t="shared" si="22"/>
        <v>0.21550820897071785</v>
      </c>
      <c r="S51">
        <f t="shared" si="23"/>
        <v>0.13059413079821783</v>
      </c>
      <c r="T51">
        <f t="shared" si="24"/>
        <v>7.2286288764476625E-2</v>
      </c>
      <c r="V51">
        <v>24.5</v>
      </c>
      <c r="W51">
        <f t="shared" si="25"/>
        <v>1658.7537967989831</v>
      </c>
      <c r="X51">
        <f t="shared" si="26"/>
        <v>3026.0355050080721</v>
      </c>
      <c r="Y51">
        <f t="shared" si="27"/>
        <v>4067.7174443222993</v>
      </c>
      <c r="Z51">
        <f t="shared" si="28"/>
        <v>2464.9642188163616</v>
      </c>
      <c r="AA51">
        <f t="shared" si="29"/>
        <v>1364.4037004294962</v>
      </c>
    </row>
    <row r="52" spans="8:27">
      <c r="H52">
        <v>25</v>
      </c>
      <c r="I52" s="89">
        <f t="shared" si="15"/>
        <v>0.10518298969028629</v>
      </c>
      <c r="J52" s="89">
        <f t="shared" si="16"/>
        <v>0.16362740347584931</v>
      </c>
      <c r="K52" s="89">
        <f t="shared" si="17"/>
        <v>0.26409752190409314</v>
      </c>
      <c r="L52" s="89">
        <f t="shared" si="18"/>
        <v>0.11837339364646295</v>
      </c>
      <c r="M52" s="89">
        <f t="shared" si="19"/>
        <v>6.6646782053763509E-2</v>
      </c>
      <c r="O52">
        <v>25</v>
      </c>
      <c r="P52">
        <f t="shared" si="20"/>
        <v>8.7350254368677535E-2</v>
      </c>
      <c r="Q52">
        <f t="shared" si="21"/>
        <v>0.15951834311904403</v>
      </c>
      <c r="R52">
        <f t="shared" si="22"/>
        <v>0.21932239979474888</v>
      </c>
      <c r="S52">
        <f t="shared" si="23"/>
        <v>0.12822307281832906</v>
      </c>
      <c r="T52">
        <f t="shared" si="24"/>
        <v>7.2192364560483085E-2</v>
      </c>
      <c r="V52">
        <v>25</v>
      </c>
      <c r="W52">
        <f t="shared" si="25"/>
        <v>1648.7360512087885</v>
      </c>
      <c r="X52">
        <f t="shared" si="26"/>
        <v>3010.9087263719562</v>
      </c>
      <c r="Y52">
        <f t="shared" si="27"/>
        <v>4139.7102961258852</v>
      </c>
      <c r="Z52">
        <f t="shared" si="28"/>
        <v>2420.210499445961</v>
      </c>
      <c r="AA52">
        <f t="shared" si="29"/>
        <v>1362.6308810791181</v>
      </c>
    </row>
    <row r="53" spans="8:27">
      <c r="H53">
        <v>25.5</v>
      </c>
      <c r="I53" s="89">
        <f t="shared" si="15"/>
        <v>0.10459821893077269</v>
      </c>
      <c r="J53" s="89">
        <f t="shared" si="16"/>
        <v>0.16284709548089638</v>
      </c>
      <c r="K53" s="89">
        <f t="shared" si="17"/>
        <v>0.26869038768359682</v>
      </c>
      <c r="L53" s="89">
        <f t="shared" si="18"/>
        <v>0.11627471601700284</v>
      </c>
      <c r="M53" s="89">
        <f t="shared" si="19"/>
        <v>6.656263574172705E-2</v>
      </c>
      <c r="O53">
        <v>25.5</v>
      </c>
      <c r="P53">
        <f t="shared" si="20"/>
        <v>8.6864625706274193E-2</v>
      </c>
      <c r="Q53">
        <f t="shared" si="21"/>
        <v>0.15875763045213548</v>
      </c>
      <c r="R53">
        <f t="shared" si="22"/>
        <v>0.22313659061877994</v>
      </c>
      <c r="S53">
        <f t="shared" si="23"/>
        <v>0.12594976725349782</v>
      </c>
      <c r="T53">
        <f t="shared" si="24"/>
        <v>7.2101216555316747E-2</v>
      </c>
      <c r="V53">
        <v>25.5</v>
      </c>
      <c r="W53">
        <f t="shared" si="25"/>
        <v>1639.5698102059255</v>
      </c>
      <c r="X53">
        <f t="shared" si="26"/>
        <v>2996.5502747840574</v>
      </c>
      <c r="Y53">
        <f t="shared" si="27"/>
        <v>4211.703147929471</v>
      </c>
      <c r="Z53">
        <f t="shared" si="28"/>
        <v>2377.3018569097712</v>
      </c>
      <c r="AA53">
        <f t="shared" si="29"/>
        <v>1360.9104624816036</v>
      </c>
    </row>
    <row r="54" spans="8:27">
      <c r="H54">
        <v>26</v>
      </c>
      <c r="I54" s="89">
        <f t="shared" si="15"/>
        <v>0.10406463687181733</v>
      </c>
      <c r="J54" s="89">
        <f t="shared" si="16"/>
        <v>0.16210613318874964</v>
      </c>
      <c r="K54" s="89">
        <f t="shared" si="17"/>
        <v>0.27328325346310056</v>
      </c>
      <c r="L54" s="89">
        <f t="shared" si="18"/>
        <v>0.11426107543061946</v>
      </c>
      <c r="M54" s="89">
        <f t="shared" si="19"/>
        <v>6.6480928549507615E-2</v>
      </c>
      <c r="O54">
        <v>26</v>
      </c>
      <c r="P54">
        <f t="shared" si="20"/>
        <v>8.6421507206661738E-2</v>
      </c>
      <c r="Q54">
        <f t="shared" si="21"/>
        <v>0.15803527542696158</v>
      </c>
      <c r="R54">
        <f t="shared" si="22"/>
        <v>0.22695078144281106</v>
      </c>
      <c r="S54">
        <f t="shared" si="23"/>
        <v>0.12376857454131698</v>
      </c>
      <c r="T54">
        <f t="shared" si="24"/>
        <v>7.2012710625605672E-2</v>
      </c>
      <c r="V54">
        <v>26</v>
      </c>
      <c r="W54">
        <f t="shared" si="25"/>
        <v>1631.2059485257403</v>
      </c>
      <c r="X54">
        <f t="shared" si="26"/>
        <v>2982.9158236838998</v>
      </c>
      <c r="Y54">
        <f t="shared" si="27"/>
        <v>4283.6959997330587</v>
      </c>
      <c r="Z54">
        <f t="shared" si="28"/>
        <v>2336.131844467358</v>
      </c>
      <c r="AA54">
        <f t="shared" si="29"/>
        <v>1359.2399130583071</v>
      </c>
    </row>
    <row r="55" spans="8:27">
      <c r="H55">
        <v>26.5</v>
      </c>
      <c r="I55" s="89">
        <f t="shared" si="15"/>
        <v>0.10357934603980372</v>
      </c>
      <c r="J55" s="89">
        <f t="shared" si="16"/>
        <v>0.16140228948415597</v>
      </c>
      <c r="K55" s="89">
        <f t="shared" si="17"/>
        <v>0.27787611924260425</v>
      </c>
      <c r="L55" s="89">
        <f t="shared" si="18"/>
        <v>0.11232765846978014</v>
      </c>
      <c r="M55" s="89">
        <f t="shared" si="19"/>
        <v>6.6401544872802101E-2</v>
      </c>
      <c r="O55">
        <v>26.5</v>
      </c>
      <c r="P55">
        <f t="shared" si="20"/>
        <v>8.6018492634210478E-2</v>
      </c>
      <c r="Q55">
        <f t="shared" si="21"/>
        <v>0.15734910685625439</v>
      </c>
      <c r="R55">
        <f t="shared" si="22"/>
        <v>0.23076497226684206</v>
      </c>
      <c r="S55">
        <f t="shared" si="23"/>
        <v>0.12167428074673083</v>
      </c>
      <c r="T55">
        <f t="shared" si="24"/>
        <v>7.192672154777964E-2</v>
      </c>
      <c r="V55">
        <v>26.5</v>
      </c>
      <c r="W55">
        <f t="shared" si="25"/>
        <v>1623.5990484707227</v>
      </c>
      <c r="X55">
        <f t="shared" si="26"/>
        <v>2969.9643919118016</v>
      </c>
      <c r="Y55">
        <f t="shared" si="27"/>
        <v>4355.6888515366436</v>
      </c>
      <c r="Z55">
        <f t="shared" si="28"/>
        <v>2296.6020490945443</v>
      </c>
      <c r="AA55">
        <f t="shared" si="29"/>
        <v>1357.6168692143408</v>
      </c>
    </row>
    <row r="56" spans="8:27">
      <c r="H56">
        <v>27</v>
      </c>
      <c r="I56" s="89">
        <f t="shared" si="15"/>
        <v>0.10313966358879063</v>
      </c>
      <c r="J56" s="89">
        <f t="shared" si="16"/>
        <v>0.16073350222336238</v>
      </c>
      <c r="K56" s="89">
        <f t="shared" si="17"/>
        <v>0.28246898502210793</v>
      </c>
      <c r="L56" s="89">
        <f t="shared" si="18"/>
        <v>0.11047000826639913</v>
      </c>
      <c r="M56" s="89">
        <f t="shared" si="19"/>
        <v>6.632437663553474E-2</v>
      </c>
      <c r="O56">
        <v>27</v>
      </c>
      <c r="P56">
        <f t="shared" si="20"/>
        <v>8.5653353992967002E-2</v>
      </c>
      <c r="Q56">
        <f t="shared" si="21"/>
        <v>0.15669711438143238</v>
      </c>
      <c r="R56">
        <f t="shared" si="22"/>
        <v>0.23457916309087312</v>
      </c>
      <c r="S56">
        <f t="shared" si="23"/>
        <v>0.11966205815209523</v>
      </c>
      <c r="T56">
        <f t="shared" si="24"/>
        <v>7.1843132252908642E-2</v>
      </c>
      <c r="V56">
        <v>27</v>
      </c>
      <c r="W56">
        <f t="shared" si="25"/>
        <v>1616.7070566172522</v>
      </c>
      <c r="X56">
        <f t="shared" si="26"/>
        <v>2957.6580339495363</v>
      </c>
      <c r="Y56">
        <f t="shared" si="27"/>
        <v>4427.6817033402303</v>
      </c>
      <c r="Z56">
        <f t="shared" si="28"/>
        <v>2258.6213476207972</v>
      </c>
      <c r="AA56">
        <f t="shared" si="29"/>
        <v>1356.0391212736506</v>
      </c>
    </row>
    <row r="57" spans="8:27">
      <c r="H57">
        <v>27.5</v>
      </c>
      <c r="I57" s="89">
        <f t="shared" si="15"/>
        <v>0.10274310178890533</v>
      </c>
      <c r="J57" s="89">
        <f t="shared" si="16"/>
        <v>0.16009785923670711</v>
      </c>
      <c r="K57" s="89">
        <f t="shared" si="17"/>
        <v>0.28706185080161167</v>
      </c>
      <c r="L57" s="89">
        <f t="shared" si="18"/>
        <v>0.10868399208825141</v>
      </c>
      <c r="M57" s="89">
        <f t="shared" si="19"/>
        <v>6.6249322671049257E-2</v>
      </c>
      <c r="O57">
        <v>27.5</v>
      </c>
      <c r="P57">
        <f t="shared" si="20"/>
        <v>8.5324025323047295E-2</v>
      </c>
      <c r="Q57">
        <f t="shared" si="21"/>
        <v>0.15607743385181097</v>
      </c>
      <c r="R57">
        <f t="shared" si="22"/>
        <v>0.23839335391490424</v>
      </c>
      <c r="S57">
        <f t="shared" si="23"/>
        <v>0.11772743014650378</v>
      </c>
      <c r="T57">
        <f t="shared" si="24"/>
        <v>7.1761833156405011E-2</v>
      </c>
      <c r="V57">
        <v>27.5</v>
      </c>
      <c r="W57">
        <f t="shared" si="25"/>
        <v>1610.4909779725176</v>
      </c>
      <c r="X57">
        <f t="shared" si="26"/>
        <v>2945.961563952932</v>
      </c>
      <c r="Y57">
        <f t="shared" si="27"/>
        <v>4499.6745551438171</v>
      </c>
      <c r="Z57">
        <f t="shared" si="28"/>
        <v>2222.1052440152589</v>
      </c>
      <c r="AA57">
        <f t="shared" si="29"/>
        <v>1354.5046008271445</v>
      </c>
    </row>
    <row r="58" spans="8:27">
      <c r="H58">
        <v>28</v>
      </c>
      <c r="I58" s="89">
        <f t="shared" si="15"/>
        <v>0.10238735060526598</v>
      </c>
      <c r="J58" s="89">
        <f t="shared" si="16"/>
        <v>0.15949358493807556</v>
      </c>
      <c r="K58" s="89">
        <f t="shared" si="17"/>
        <v>0.2916547165811153</v>
      </c>
      <c r="L58" s="89">
        <f t="shared" si="18"/>
        <v>0.1069657723982709</v>
      </c>
      <c r="M58" s="89">
        <f t="shared" si="19"/>
        <v>6.6176288164355057E-2</v>
      </c>
      <c r="O58">
        <v>28</v>
      </c>
      <c r="P58">
        <f t="shared" si="20"/>
        <v>8.5028588233130406E-2</v>
      </c>
      <c r="Q58">
        <f t="shared" si="21"/>
        <v>0.1554883342703258</v>
      </c>
      <c r="R58">
        <f t="shared" si="22"/>
        <v>0.24220754473893519</v>
      </c>
      <c r="S58">
        <f t="shared" si="23"/>
        <v>0.11586623987697195</v>
      </c>
      <c r="T58">
        <f t="shared" si="24"/>
        <v>7.1682721553859671E-2</v>
      </c>
      <c r="V58">
        <v>28</v>
      </c>
      <c r="W58">
        <f t="shared" si="25"/>
        <v>1604.9146029003364</v>
      </c>
      <c r="X58">
        <f t="shared" si="26"/>
        <v>2934.8423093523993</v>
      </c>
      <c r="Y58">
        <f t="shared" si="27"/>
        <v>4571.667406947402</v>
      </c>
      <c r="Z58">
        <f t="shared" si="28"/>
        <v>2186.9752776778455</v>
      </c>
      <c r="AA58">
        <f t="shared" si="29"/>
        <v>1353.0113693291014</v>
      </c>
    </row>
    <row r="59" spans="8:27">
      <c r="H59">
        <v>28.5</v>
      </c>
      <c r="I59" s="89">
        <f t="shared" si="15"/>
        <v>0.10207026211070171</v>
      </c>
      <c r="J59" s="89">
        <f t="shared" si="16"/>
        <v>0.15891902834388755</v>
      </c>
      <c r="K59" s="89">
        <f t="shared" si="17"/>
        <v>0.29624758236061904</v>
      </c>
      <c r="L59" s="89">
        <f t="shared" si="18"/>
        <v>0.10531178096023831</v>
      </c>
      <c r="M59" s="89">
        <f t="shared" si="19"/>
        <v>6.6105184148433582E-2</v>
      </c>
      <c r="O59">
        <v>28.5</v>
      </c>
      <c r="P59">
        <f t="shared" si="20"/>
        <v>8.4765258955847772E-2</v>
      </c>
      <c r="Q59">
        <f t="shared" si="21"/>
        <v>0.15492820611339078</v>
      </c>
      <c r="R59">
        <f t="shared" si="22"/>
        <v>0.24602173556296628</v>
      </c>
      <c r="S59">
        <f t="shared" si="23"/>
        <v>0.11407462219949664</v>
      </c>
      <c r="T59">
        <f t="shared" si="24"/>
        <v>7.1605701075436928E-2</v>
      </c>
      <c r="V59">
        <v>28.5</v>
      </c>
      <c r="W59">
        <f t="shared" si="25"/>
        <v>1599.9442627916267</v>
      </c>
      <c r="X59">
        <f t="shared" si="26"/>
        <v>2924.269890390251</v>
      </c>
      <c r="Y59">
        <f t="shared" si="27"/>
        <v>4643.6602587509888</v>
      </c>
      <c r="Z59">
        <f t="shared" si="28"/>
        <v>2153.1584940154989</v>
      </c>
      <c r="AA59">
        <f t="shared" si="29"/>
        <v>1351.5576077988719</v>
      </c>
    </row>
    <row r="60" spans="8:27">
      <c r="H60">
        <v>29</v>
      </c>
      <c r="I60" s="89">
        <f t="shared" si="15"/>
        <v>0.10178983651095004</v>
      </c>
      <c r="J60" s="89">
        <f t="shared" si="16"/>
        <v>0.15837265233149941</v>
      </c>
      <c r="K60" s="89">
        <f t="shared" si="17"/>
        <v>0.30084044814012273</v>
      </c>
      <c r="L60" s="89">
        <f t="shared" si="18"/>
        <v>0.1037186956231908</v>
      </c>
      <c r="M60" s="89">
        <f t="shared" si="19"/>
        <v>6.6035927048519502E-2</v>
      </c>
      <c r="O60">
        <v>29</v>
      </c>
      <c r="P60">
        <f t="shared" si="20"/>
        <v>8.4532376742270043E-2</v>
      </c>
      <c r="Q60">
        <f t="shared" si="21"/>
        <v>0.15439555085904635</v>
      </c>
      <c r="R60">
        <f t="shared" si="22"/>
        <v>0.24983592638699734</v>
      </c>
      <c r="S60">
        <f t="shared" si="23"/>
        <v>0.11234897853173009</v>
      </c>
      <c r="T60">
        <f t="shared" si="24"/>
        <v>7.1530681192235893E-2</v>
      </c>
      <c r="V60">
        <v>29</v>
      </c>
      <c r="W60">
        <f t="shared" si="25"/>
        <v>1595.548611010347</v>
      </c>
      <c r="X60">
        <f t="shared" si="26"/>
        <v>2914.2160224644999</v>
      </c>
      <c r="Y60">
        <f t="shared" si="27"/>
        <v>4715.6531105545746</v>
      </c>
      <c r="Z60">
        <f t="shared" si="28"/>
        <v>2120.5869697864055</v>
      </c>
      <c r="AA60">
        <f t="shared" si="29"/>
        <v>1350.1416075034524</v>
      </c>
    </row>
    <row r="61" spans="8:27">
      <c r="H61">
        <v>29.5</v>
      </c>
      <c r="I61" s="89">
        <f t="shared" si="15"/>
        <v>0.10154420959102051</v>
      </c>
      <c r="J61" s="89">
        <f t="shared" si="16"/>
        <v>0.15785302398997222</v>
      </c>
      <c r="K61" s="89">
        <f t="shared" si="17"/>
        <v>0.30543331391962647</v>
      </c>
      <c r="L61" s="89">
        <f t="shared" si="18"/>
        <v>0.1021834194667393</v>
      </c>
      <c r="M61" s="89">
        <f t="shared" si="19"/>
        <v>6.5968438269048607E-2</v>
      </c>
      <c r="O61">
        <v>29.5</v>
      </c>
      <c r="P61">
        <f t="shared" si="20"/>
        <v>8.432839343661562E-2</v>
      </c>
      <c r="Q61">
        <f t="shared" si="21"/>
        <v>0.15388897158004222</v>
      </c>
      <c r="R61">
        <f t="shared" si="22"/>
        <v>0.25365011721102837</v>
      </c>
      <c r="S61">
        <f t="shared" si="23"/>
        <v>0.11068595426300916</v>
      </c>
      <c r="T61">
        <f t="shared" si="24"/>
        <v>7.1457576768868908E-2</v>
      </c>
      <c r="V61">
        <v>29.5</v>
      </c>
      <c r="W61">
        <f t="shared" si="25"/>
        <v>1591.6984261161199</v>
      </c>
      <c r="X61">
        <f t="shared" si="26"/>
        <v>2904.6543385732971</v>
      </c>
      <c r="Y61">
        <f t="shared" si="27"/>
        <v>4787.6459623581604</v>
      </c>
      <c r="Z61">
        <f t="shared" si="28"/>
        <v>2089.1973867142979</v>
      </c>
      <c r="AA61">
        <f t="shared" si="29"/>
        <v>1348.7617615124007</v>
      </c>
    </row>
    <row r="62" spans="8:27">
      <c r="H62">
        <v>30</v>
      </c>
      <c r="I62" s="89">
        <f t="shared" si="15"/>
        <v>0.10133164141692196</v>
      </c>
      <c r="J62" s="89">
        <f t="shared" si="16"/>
        <v>0.1573588059357629</v>
      </c>
      <c r="K62" s="89">
        <f t="shared" si="17"/>
        <v>0.31002617969913016</v>
      </c>
      <c r="L62" s="89">
        <f t="shared" si="18"/>
        <v>0.10070306203185399</v>
      </c>
      <c r="M62" s="89">
        <f t="shared" si="19"/>
        <v>6.5902643818630147E-2</v>
      </c>
      <c r="O62">
        <v>30</v>
      </c>
      <c r="P62">
        <f t="shared" si="20"/>
        <v>8.4151864093488293E-2</v>
      </c>
      <c r="Q62">
        <f t="shared" si="21"/>
        <v>0.15340716447761132</v>
      </c>
      <c r="R62">
        <f t="shared" si="22"/>
        <v>0.25746430803505943</v>
      </c>
      <c r="S62">
        <f t="shared" si="23"/>
        <v>0.10908241842338151</v>
      </c>
      <c r="T62">
        <f t="shared" si="24"/>
        <v>7.1386307657228462E-2</v>
      </c>
      <c r="V62">
        <v>30</v>
      </c>
      <c r="W62">
        <f t="shared" si="25"/>
        <v>1588.3664347645915</v>
      </c>
      <c r="X62">
        <f t="shared" si="26"/>
        <v>2895.5602295149138</v>
      </c>
      <c r="Y62">
        <f t="shared" si="27"/>
        <v>4859.6388141617472</v>
      </c>
      <c r="Z62">
        <f t="shared" si="28"/>
        <v>2058.9306477413261</v>
      </c>
      <c r="AA62">
        <f t="shared" si="29"/>
        <v>1347.4165570301873</v>
      </c>
    </row>
    <row r="63" spans="8:27">
      <c r="H63">
        <v>30.5</v>
      </c>
      <c r="I63" s="89">
        <f t="shared" si="15"/>
        <v>0.10115050614869553</v>
      </c>
      <c r="J63" s="89">
        <f t="shared" si="16"/>
        <v>0.15688874848260995</v>
      </c>
      <c r="K63" s="89">
        <f t="shared" si="17"/>
        <v>0.3146190454786339</v>
      </c>
      <c r="L63" s="89">
        <f t="shared" si="18"/>
        <v>9.9274922397802126E-2</v>
      </c>
      <c r="M63" s="89">
        <f t="shared" si="19"/>
        <v>6.5838473968974909E-2</v>
      </c>
      <c r="O63">
        <v>30.5</v>
      </c>
      <c r="P63">
        <f t="shared" si="20"/>
        <v>8.400143851800973E-2</v>
      </c>
      <c r="Q63">
        <f t="shared" si="21"/>
        <v>0.15294891124798782</v>
      </c>
      <c r="R63">
        <f t="shared" si="22"/>
        <v>0.26127849885909055</v>
      </c>
      <c r="S63">
        <f t="shared" si="23"/>
        <v>0.10753544535239999</v>
      </c>
      <c r="T63">
        <f t="shared" si="24"/>
        <v>7.1316798327035066E-2</v>
      </c>
      <c r="V63">
        <v>30.5</v>
      </c>
      <c r="W63">
        <f t="shared" si="25"/>
        <v>1585.5271520274337</v>
      </c>
      <c r="X63">
        <f t="shared" si="26"/>
        <v>2886.91069980577</v>
      </c>
      <c r="Y63">
        <f t="shared" si="27"/>
        <v>4931.6316659653339</v>
      </c>
      <c r="Z63">
        <f t="shared" si="28"/>
        <v>2029.7315310265499</v>
      </c>
      <c r="AA63">
        <f t="shared" si="29"/>
        <v>1346.1045684227868</v>
      </c>
    </row>
    <row r="64" spans="8:27">
      <c r="H64">
        <v>31</v>
      </c>
      <c r="I64" s="89">
        <f t="shared" si="15"/>
        <v>0.10099928283928292</v>
      </c>
      <c r="J64" s="89">
        <f t="shared" si="16"/>
        <v>0.15644168256917187</v>
      </c>
      <c r="K64" s="89">
        <f t="shared" si="17"/>
        <v>0.31921191125813753</v>
      </c>
      <c r="L64" s="89">
        <f t="shared" si="18"/>
        <v>9.7896473896801436E-2</v>
      </c>
      <c r="M64" s="89">
        <f t="shared" si="19"/>
        <v>6.5775862944204538E-2</v>
      </c>
      <c r="O64">
        <v>31</v>
      </c>
      <c r="P64">
        <f t="shared" si="20"/>
        <v>8.3875853624648555E-2</v>
      </c>
      <c r="Q64">
        <f t="shared" si="21"/>
        <v>0.1525130721876487</v>
      </c>
      <c r="R64">
        <f t="shared" si="22"/>
        <v>0.2650926896831215</v>
      </c>
      <c r="S64">
        <f t="shared" si="23"/>
        <v>0.10604229814190427</v>
      </c>
      <c r="T64">
        <f t="shared" si="24"/>
        <v>7.1248977529294502E-2</v>
      </c>
      <c r="V64">
        <v>31</v>
      </c>
      <c r="W64">
        <f t="shared" si="25"/>
        <v>1583.1567371652416</v>
      </c>
      <c r="X64">
        <f t="shared" si="26"/>
        <v>2878.6842375418692</v>
      </c>
      <c r="Y64">
        <f t="shared" si="27"/>
        <v>5003.6245177689179</v>
      </c>
      <c r="Z64">
        <f t="shared" si="28"/>
        <v>2001.5483774284432</v>
      </c>
      <c r="AA64">
        <f t="shared" si="29"/>
        <v>1344.8244508654336</v>
      </c>
    </row>
    <row r="65" spans="8:27">
      <c r="H65">
        <v>31.5</v>
      </c>
      <c r="I65" s="89">
        <f t="shared" si="15"/>
        <v>0.10087654710969293</v>
      </c>
      <c r="J65" s="89">
        <f t="shared" si="16"/>
        <v>0.15601651336022421</v>
      </c>
      <c r="K65" s="89">
        <f t="shared" si="17"/>
        <v>0.32380477703764127</v>
      </c>
      <c r="L65" s="89">
        <f t="shared" si="18"/>
        <v>9.6565350284420912E-2</v>
      </c>
      <c r="M65" s="89">
        <f t="shared" si="19"/>
        <v>6.5714748637394516E-2</v>
      </c>
      <c r="O65">
        <v>31.5</v>
      </c>
      <c r="P65">
        <f t="shared" si="20"/>
        <v>8.3773926523780073E-2</v>
      </c>
      <c r="Q65">
        <f t="shared" si="21"/>
        <v>0.15209857995519954</v>
      </c>
      <c r="R65">
        <f t="shared" si="22"/>
        <v>0.26890688050715261</v>
      </c>
      <c r="S65">
        <f t="shared" si="23"/>
        <v>0.10460041365568074</v>
      </c>
      <c r="T65">
        <f t="shared" si="24"/>
        <v>7.1182777989254709E-2</v>
      </c>
      <c r="V65">
        <v>31.5</v>
      </c>
      <c r="W65">
        <f t="shared" si="25"/>
        <v>1581.2328631363489</v>
      </c>
      <c r="X65">
        <f t="shared" si="26"/>
        <v>2870.8606966543912</v>
      </c>
      <c r="Y65">
        <f t="shared" si="27"/>
        <v>5075.6173695725056</v>
      </c>
      <c r="Z65">
        <f t="shared" si="28"/>
        <v>1974.3328077509739</v>
      </c>
      <c r="AA65">
        <f t="shared" si="29"/>
        <v>1343.5749345471827</v>
      </c>
    </row>
    <row r="66" spans="8:27">
      <c r="H66">
        <v>32</v>
      </c>
      <c r="I66" s="89">
        <f t="shared" si="15"/>
        <v>0.10078096360462141</v>
      </c>
      <c r="J66" s="89">
        <f t="shared" si="16"/>
        <v>0.15561221444774392</v>
      </c>
      <c r="K66" s="89">
        <f t="shared" si="17"/>
        <v>0.32839764281714495</v>
      </c>
      <c r="L66" s="89">
        <f t="shared" si="18"/>
        <v>9.52793332065065E-2</v>
      </c>
      <c r="M66" s="89">
        <f t="shared" si="19"/>
        <v>6.5655072351574112E-2</v>
      </c>
      <c r="O66">
        <v>32</v>
      </c>
      <c r="P66">
        <f t="shared" si="20"/>
        <v>8.3694548256381215E-2</v>
      </c>
      <c r="Q66">
        <f t="shared" si="21"/>
        <v>0.15170443391808294</v>
      </c>
      <c r="R66">
        <f t="shared" si="22"/>
        <v>0.27272107133118367</v>
      </c>
      <c r="S66">
        <f t="shared" si="23"/>
        <v>0.10320738895352918</v>
      </c>
      <c r="T66">
        <f t="shared" si="24"/>
        <v>7.1118136125854811E-2</v>
      </c>
      <c r="V66">
        <v>32</v>
      </c>
      <c r="W66">
        <f t="shared" si="25"/>
        <v>1579.7345983391954</v>
      </c>
      <c r="X66">
        <f t="shared" si="26"/>
        <v>2863.4211902038155</v>
      </c>
      <c r="Y66">
        <f t="shared" si="27"/>
        <v>5147.6102213760914</v>
      </c>
      <c r="Z66">
        <f t="shared" si="28"/>
        <v>1948.0394664978633</v>
      </c>
      <c r="AA66">
        <f t="shared" si="29"/>
        <v>1342.3548193755096</v>
      </c>
    </row>
    <row r="67" spans="8:27">
      <c r="H67">
        <v>32.5</v>
      </c>
      <c r="I67" s="89">
        <f t="shared" ref="I67:I86" si="30">$C$15*(($C$5/H67)+$C$8*($C$14/$C$15)^2*(H67))</f>
        <v>0.1007112791444752</v>
      </c>
      <c r="J67" s="89">
        <f t="shared" ref="J67:J86" si="31">($C$21/$C$22)+($C$23/H67)*$C$5+($C$8/$C$23)*H67</f>
        <v>0.15522782258727869</v>
      </c>
      <c r="K67" s="89">
        <f t="shared" ref="K67:K86" si="32">((1.21*H67)/(32.2*$C$31*$C$29*$C$28))+$C$32+0.605*($C$30-($C$32*$C$29))/$C$29</f>
        <v>0.33299050859664864</v>
      </c>
      <c r="L67" s="89">
        <f t="shared" ref="L67:L86" si="33">$C$38*$C$5*(1/H67)+$C$8*(1/$C$38)*H67</f>
        <v>9.4036340823005896E-2</v>
      </c>
      <c r="M67" s="89">
        <f t="shared" ref="M67:M86" si="34">(1.667/SQRT(((2/$C$43)*H67)*SQRT($C$8/(3*$C$5))))+(4*SQRT(($C$8*$C$5)/3))</f>
        <v>6.5596778562727678E-2</v>
      </c>
      <c r="O67">
        <v>32.5</v>
      </c>
      <c r="P67">
        <f t="shared" ref="P67:P86" si="35">(I67*$C$13*1.688)/(0.85*550)</f>
        <v>8.3636678107061074E-2</v>
      </c>
      <c r="Q67">
        <f t="shared" ref="Q67:Q86" si="36">(J67*$C$22*1.688)/(0.85*550)</f>
        <v>0.1513296950211297</v>
      </c>
      <c r="R67">
        <f t="shared" ref="R67:R86" si="37">(K67*$C$13*1.688)/(0.85*550)</f>
        <v>0.27653526215521468</v>
      </c>
      <c r="S67">
        <f t="shared" ref="S67:S86" si="38">(L67*$C$37*1.688)/(0.85*550)</f>
        <v>0.10186096896849237</v>
      </c>
      <c r="T67">
        <f t="shared" ref="T67:T86" si="39">(M67*$C$37*1.688)/(0.85*550)</f>
        <v>7.1054991795005976E-2</v>
      </c>
      <c r="V67">
        <v>32.5</v>
      </c>
      <c r="W67">
        <f t="shared" ref="W67:W86" si="40">P67*$AD$2</f>
        <v>1578.6422992707778</v>
      </c>
      <c r="X67">
        <f t="shared" ref="X67:X86" si="41">Q67*$AD$2</f>
        <v>2856.3479935238229</v>
      </c>
      <c r="Y67">
        <f t="shared" ref="Y67:Y86" si="42">R67*$AD$2</f>
        <v>5219.6030731796773</v>
      </c>
      <c r="Z67">
        <f t="shared" ref="Z67:Z86" si="43">S67*$AD$2</f>
        <v>1922.6257892802935</v>
      </c>
      <c r="AA67">
        <f t="shared" ref="AA67:AA86" si="44">T67*$AD$2</f>
        <v>1341.1629701307377</v>
      </c>
    </row>
    <row r="68" spans="8:27">
      <c r="H68">
        <v>33</v>
      </c>
      <c r="I68" s="89">
        <f t="shared" si="30"/>
        <v>0.1006663164999395</v>
      </c>
      <c r="J68" s="89">
        <f t="shared" si="31"/>
        <v>0.15486243291282786</v>
      </c>
      <c r="K68" s="89">
        <f t="shared" si="32"/>
        <v>0.33758337437615238</v>
      </c>
      <c r="L68" s="89">
        <f t="shared" si="33"/>
        <v>9.2834417465991206E-2</v>
      </c>
      <c r="M68" s="89">
        <f t="shared" si="34"/>
        <v>6.5539814702622337E-2</v>
      </c>
      <c r="O68">
        <v>33</v>
      </c>
      <c r="P68">
        <f t="shared" si="35"/>
        <v>8.3599338434088788E-2</v>
      </c>
      <c r="Q68">
        <f t="shared" si="36"/>
        <v>0.15097348112160519</v>
      </c>
      <c r="R68">
        <f t="shared" si="37"/>
        <v>0.28034945297924574</v>
      </c>
      <c r="S68">
        <f t="shared" si="38"/>
        <v>0.10055903530433784</v>
      </c>
      <c r="T68">
        <f t="shared" si="39"/>
        <v>7.0993288054348555E-2</v>
      </c>
      <c r="V68">
        <v>33</v>
      </c>
      <c r="W68">
        <f t="shared" si="40"/>
        <v>1577.9375129434259</v>
      </c>
      <c r="X68">
        <f t="shared" si="41"/>
        <v>2849.6244561702979</v>
      </c>
      <c r="Y68">
        <f t="shared" si="42"/>
        <v>5291.5959249832631</v>
      </c>
      <c r="Z68">
        <f t="shared" si="43"/>
        <v>1898.0517913693766</v>
      </c>
      <c r="AA68">
        <f t="shared" si="44"/>
        <v>1339.9983120258289</v>
      </c>
    </row>
    <row r="69" spans="8:27">
      <c r="H69">
        <v>33.5</v>
      </c>
      <c r="I69" s="89">
        <f t="shared" si="30"/>
        <v>0.1006449687240467</v>
      </c>
      <c r="J69" s="89">
        <f t="shared" si="31"/>
        <v>0.15451519458024154</v>
      </c>
      <c r="K69" s="89">
        <f t="shared" si="32"/>
        <v>0.34217624015565606</v>
      </c>
      <c r="L69" s="89">
        <f t="shared" si="33"/>
        <v>9.1671724223828743E-2</v>
      </c>
      <c r="M69" s="89">
        <f t="shared" si="34"/>
        <v>6.548413095953115E-2</v>
      </c>
      <c r="O69">
        <v>33.5</v>
      </c>
      <c r="P69">
        <f t="shared" si="35"/>
        <v>8.3581609962404046E-2</v>
      </c>
      <c r="Q69">
        <f t="shared" si="36"/>
        <v>0.1506349627420126</v>
      </c>
      <c r="R69">
        <f t="shared" si="37"/>
        <v>0.2841636438032768</v>
      </c>
      <c r="S69">
        <f t="shared" si="38"/>
        <v>9.9299596036249993E-2</v>
      </c>
      <c r="T69">
        <f t="shared" si="39"/>
        <v>7.0932970947393731E-2</v>
      </c>
      <c r="V69">
        <v>33.5</v>
      </c>
      <c r="W69">
        <f t="shared" si="40"/>
        <v>1577.6028880403765</v>
      </c>
      <c r="X69">
        <f t="shared" si="41"/>
        <v>2843.2349217554879</v>
      </c>
      <c r="Y69">
        <f t="shared" si="42"/>
        <v>5363.5887767868498</v>
      </c>
      <c r="Z69">
        <f t="shared" si="43"/>
        <v>1874.2798751842186</v>
      </c>
      <c r="AA69">
        <f t="shared" si="44"/>
        <v>1338.8598266320566</v>
      </c>
    </row>
    <row r="70" spans="8:27">
      <c r="H70">
        <v>34</v>
      </c>
      <c r="I70" s="89">
        <f t="shared" si="30"/>
        <v>0.10064619398435665</v>
      </c>
      <c r="J70" s="89">
        <f t="shared" si="31"/>
        <v>0.15418530679502562</v>
      </c>
      <c r="K70" s="89">
        <f t="shared" si="32"/>
        <v>0.34676910593515975</v>
      </c>
      <c r="L70" s="89">
        <f t="shared" si="33"/>
        <v>9.0546530356157368E-2</v>
      </c>
      <c r="M70" s="89">
        <f t="shared" si="34"/>
        <v>6.5429680095134599E-2</v>
      </c>
      <c r="O70">
        <v>34</v>
      </c>
      <c r="P70">
        <f t="shared" si="35"/>
        <v>8.3582627491949987E-2</v>
      </c>
      <c r="Q70">
        <f t="shared" si="36"/>
        <v>0.15031335919764893</v>
      </c>
      <c r="R70">
        <f t="shared" si="37"/>
        <v>0.2879778346273078</v>
      </c>
      <c r="S70">
        <f t="shared" si="38"/>
        <v>9.8080776411461151E-2</v>
      </c>
      <c r="T70">
        <f t="shared" si="39"/>
        <v>7.0873989305189636E-2</v>
      </c>
      <c r="V70">
        <v>34</v>
      </c>
      <c r="W70">
        <f t="shared" si="40"/>
        <v>1577.622093910556</v>
      </c>
      <c r="X70">
        <f t="shared" si="41"/>
        <v>2837.1646548556237</v>
      </c>
      <c r="Y70">
        <f t="shared" si="42"/>
        <v>5435.5816285904348</v>
      </c>
      <c r="Z70">
        <f t="shared" si="43"/>
        <v>1851.2746547663291</v>
      </c>
      <c r="AA70">
        <f t="shared" si="44"/>
        <v>1337.7465481354543</v>
      </c>
    </row>
    <row r="71" spans="8:27">
      <c r="H71">
        <v>34.5</v>
      </c>
      <c r="I71" s="89">
        <f t="shared" si="30"/>
        <v>0.1006690108445127</v>
      </c>
      <c r="J71" s="89">
        <f t="shared" si="31"/>
        <v>0.15387201518555535</v>
      </c>
      <c r="K71" s="89">
        <f t="shared" si="32"/>
        <v>0.35136197171466343</v>
      </c>
      <c r="L71" s="89">
        <f t="shared" si="33"/>
        <v>8.9457205455390501E-2</v>
      </c>
      <c r="M71" s="89">
        <f t="shared" si="34"/>
        <v>6.5376417276071061E-2</v>
      </c>
      <c r="O71">
        <v>34.5</v>
      </c>
      <c r="P71">
        <f t="shared" si="35"/>
        <v>8.3601575979194889E-2</v>
      </c>
      <c r="Q71">
        <f t="shared" si="36"/>
        <v>0.1500079350608956</v>
      </c>
      <c r="R71">
        <f t="shared" si="37"/>
        <v>0.29179202545133887</v>
      </c>
      <c r="S71">
        <f t="shared" si="38"/>
        <v>9.6900810358523534E-2</v>
      </c>
      <c r="T71">
        <f t="shared" si="39"/>
        <v>7.0816294563855367E-2</v>
      </c>
      <c r="V71">
        <v>34.5</v>
      </c>
      <c r="W71">
        <f t="shared" si="40"/>
        <v>1577.9797466073035</v>
      </c>
      <c r="X71">
        <f t="shared" si="41"/>
        <v>2831.3997742744045</v>
      </c>
      <c r="Y71">
        <f t="shared" si="42"/>
        <v>5507.5744803940215</v>
      </c>
      <c r="Z71">
        <f t="shared" si="43"/>
        <v>1829.0027955171317</v>
      </c>
      <c r="AA71">
        <f t="shared" si="44"/>
        <v>1336.65755989277</v>
      </c>
    </row>
    <row r="72" spans="8:27">
      <c r="H72">
        <v>35</v>
      </c>
      <c r="I72" s="89">
        <f t="shared" si="30"/>
        <v>0.10071249395023577</v>
      </c>
      <c r="J72" s="89">
        <f t="shared" si="31"/>
        <v>0.15357460848715598</v>
      </c>
      <c r="K72" s="89">
        <f t="shared" si="32"/>
        <v>0.35595483749416718</v>
      </c>
      <c r="L72" s="89">
        <f t="shared" si="33"/>
        <v>8.8402212280089404E-2</v>
      </c>
      <c r="M72" s="89">
        <f t="shared" si="34"/>
        <v>6.5324299918770548E-2</v>
      </c>
      <c r="O72">
        <v>35</v>
      </c>
      <c r="P72">
        <f t="shared" si="35"/>
        <v>8.3637686954523074E-2</v>
      </c>
      <c r="Q72">
        <f t="shared" si="36"/>
        <v>0.14971799692856941</v>
      </c>
      <c r="R72">
        <f t="shared" si="37"/>
        <v>0.29560621627536998</v>
      </c>
      <c r="S72">
        <f t="shared" si="38"/>
        <v>9.5758032724357803E-2</v>
      </c>
      <c r="T72">
        <f t="shared" si="39"/>
        <v>7.0759840596503532E-2</v>
      </c>
      <c r="V72">
        <v>35</v>
      </c>
      <c r="W72">
        <f t="shared" si="40"/>
        <v>1578.6613412666231</v>
      </c>
      <c r="X72">
        <f t="shared" si="41"/>
        <v>2825.9271920267474</v>
      </c>
      <c r="Y72">
        <f t="shared" si="42"/>
        <v>5579.5673321976083</v>
      </c>
      <c r="Z72">
        <f t="shared" si="43"/>
        <v>1807.4328676722535</v>
      </c>
      <c r="AA72">
        <f t="shared" si="44"/>
        <v>1335.5919912590041</v>
      </c>
    </row>
    <row r="73" spans="8:27">
      <c r="H73">
        <v>35.5</v>
      </c>
      <c r="I73" s="89">
        <f t="shared" si="30"/>
        <v>0.10077577007988214</v>
      </c>
      <c r="J73" s="89">
        <f t="shared" si="31"/>
        <v>0.15329241550640185</v>
      </c>
      <c r="K73" s="89">
        <f t="shared" si="32"/>
        <v>0.36054770327367086</v>
      </c>
      <c r="L73" s="89">
        <f t="shared" si="33"/>
        <v>8.7380100193966775E-2</v>
      </c>
      <c r="M73" s="89">
        <f t="shared" si="34"/>
        <v>6.5273287546351755E-2</v>
      </c>
      <c r="O73">
        <v>35.5</v>
      </c>
      <c r="P73">
        <f t="shared" si="35"/>
        <v>8.36902352423817E-2</v>
      </c>
      <c r="Q73">
        <f t="shared" si="36"/>
        <v>0.14944289046245501</v>
      </c>
      <c r="R73">
        <f t="shared" si="37"/>
        <v>0.29942040709940099</v>
      </c>
      <c r="S73">
        <f t="shared" si="38"/>
        <v>9.4650872167325734E-2</v>
      </c>
      <c r="T73">
        <f t="shared" si="39"/>
        <v>7.0704583558230019E-2</v>
      </c>
      <c r="V73">
        <v>35.5</v>
      </c>
      <c r="W73">
        <f t="shared" si="40"/>
        <v>1579.6531901999547</v>
      </c>
      <c r="X73">
        <f t="shared" si="41"/>
        <v>2820.7345574788383</v>
      </c>
      <c r="Y73">
        <f t="shared" si="42"/>
        <v>5651.5601840011932</v>
      </c>
      <c r="Z73">
        <f t="shared" si="43"/>
        <v>1786.5352121582732</v>
      </c>
      <c r="AA73">
        <f t="shared" si="44"/>
        <v>1334.5490146615916</v>
      </c>
    </row>
    <row r="74" spans="8:27">
      <c r="H74">
        <v>36</v>
      </c>
      <c r="I74" s="89">
        <f t="shared" si="30"/>
        <v>0.1008580145241217</v>
      </c>
      <c r="J74" s="89">
        <f t="shared" si="31"/>
        <v>0.15302480233839119</v>
      </c>
      <c r="K74" s="89">
        <f t="shared" si="32"/>
        <v>0.3651405690531746</v>
      </c>
      <c r="L74" s="89">
        <f t="shared" si="33"/>
        <v>8.6389499151640181E-2</v>
      </c>
      <c r="M74" s="89">
        <f t="shared" si="34"/>
        <v>6.5223341656489089E-2</v>
      </c>
      <c r="O74">
        <v>36</v>
      </c>
      <c r="P74">
        <f t="shared" si="35"/>
        <v>8.3758535954748678E-2</v>
      </c>
      <c r="Q74">
        <f t="shared" si="36"/>
        <v>0.14918199767646023</v>
      </c>
      <c r="R74">
        <f t="shared" si="37"/>
        <v>0.3032345979234321</v>
      </c>
      <c r="S74">
        <f t="shared" si="38"/>
        <v>9.3577844642546704E-2</v>
      </c>
      <c r="T74">
        <f t="shared" si="39"/>
        <v>7.0650481742986257E-2</v>
      </c>
      <c r="V74">
        <v>36</v>
      </c>
      <c r="W74">
        <f t="shared" si="40"/>
        <v>1580.9423661458814</v>
      </c>
      <c r="X74">
        <f t="shared" si="41"/>
        <v>2815.8102061431869</v>
      </c>
      <c r="Y74">
        <f t="shared" si="42"/>
        <v>5723.5530358047808</v>
      </c>
      <c r="Z74">
        <f t="shared" si="43"/>
        <v>1766.2818176280691</v>
      </c>
      <c r="AA74">
        <f t="shared" si="44"/>
        <v>1333.5278428988656</v>
      </c>
    </row>
    <row r="75" spans="8:27">
      <c r="H75">
        <v>36.5</v>
      </c>
      <c r="I75" s="89">
        <f t="shared" si="30"/>
        <v>0.10095844776317664</v>
      </c>
      <c r="J75" s="89">
        <f t="shared" si="31"/>
        <v>0.15277116981273722</v>
      </c>
      <c r="K75" s="89">
        <f t="shared" si="32"/>
        <v>0.36973343483267823</v>
      </c>
      <c r="L75" s="89">
        <f t="shared" si="33"/>
        <v>8.542911417870705E-2</v>
      </c>
      <c r="M75" s="89">
        <f t="shared" si="34"/>
        <v>6.5174425599269808E-2</v>
      </c>
      <c r="O75">
        <v>36.5</v>
      </c>
      <c r="P75">
        <f t="shared" si="35"/>
        <v>8.3841941731712721E-2</v>
      </c>
      <c r="Q75">
        <f t="shared" si="36"/>
        <v>0.14893473444674463</v>
      </c>
      <c r="R75">
        <f t="shared" si="37"/>
        <v>0.30704878874746311</v>
      </c>
      <c r="S75">
        <f t="shared" si="38"/>
        <v>9.2537547422667912E-2</v>
      </c>
      <c r="T75">
        <f t="shared" si="39"/>
        <v>7.0597495451273209E-2</v>
      </c>
      <c r="V75">
        <v>36.5</v>
      </c>
      <c r="W75">
        <f t="shared" si="40"/>
        <v>1582.5166501860776</v>
      </c>
      <c r="X75">
        <f t="shared" si="41"/>
        <v>2811.1431126823049</v>
      </c>
      <c r="Y75">
        <f t="shared" si="42"/>
        <v>5795.5458876083658</v>
      </c>
      <c r="Z75">
        <f t="shared" si="43"/>
        <v>1746.6462076028567</v>
      </c>
      <c r="AA75">
        <f t="shared" si="44"/>
        <v>1332.5277266427818</v>
      </c>
    </row>
    <row r="76" spans="8:27">
      <c r="H76">
        <v>37</v>
      </c>
      <c r="I76" s="89">
        <f t="shared" si="30"/>
        <v>0.10107633241347336</v>
      </c>
      <c r="J76" s="89">
        <f t="shared" si="31"/>
        <v>0.15253095114664175</v>
      </c>
      <c r="K76" s="89">
        <f t="shared" si="32"/>
        <v>0.37432630061218192</v>
      </c>
      <c r="L76" s="89">
        <f t="shared" si="33"/>
        <v>8.4497720299381143E-2</v>
      </c>
      <c r="M76" s="89">
        <f t="shared" si="34"/>
        <v>6.512650446416049E-2</v>
      </c>
      <c r="O76">
        <v>37</v>
      </c>
      <c r="P76">
        <f t="shared" si="35"/>
        <v>8.3939840205790164E-2</v>
      </c>
      <c r="Q76">
        <f t="shared" si="36"/>
        <v>0.14870054822372927</v>
      </c>
      <c r="R76">
        <f t="shared" si="37"/>
        <v>0.31086297957149411</v>
      </c>
      <c r="S76">
        <f t="shared" si="38"/>
        <v>9.1528653603436608E-2</v>
      </c>
      <c r="T76">
        <f t="shared" si="39"/>
        <v>7.0545586867702403E-2</v>
      </c>
      <c r="V76">
        <v>37</v>
      </c>
      <c r="W76">
        <f t="shared" si="40"/>
        <v>1584.3644838842893</v>
      </c>
      <c r="X76">
        <f t="shared" si="41"/>
        <v>2806.72284772289</v>
      </c>
      <c r="Y76">
        <f t="shared" si="42"/>
        <v>5867.5387394119516</v>
      </c>
      <c r="Z76">
        <f t="shared" si="43"/>
        <v>1727.6033367648661</v>
      </c>
      <c r="AA76">
        <f t="shared" si="44"/>
        <v>1331.5479521278828</v>
      </c>
    </row>
    <row r="77" spans="8:27">
      <c r="H77">
        <v>37.5</v>
      </c>
      <c r="I77" s="89">
        <f t="shared" si="30"/>
        <v>0.10121097041856221</v>
      </c>
      <c r="J77" s="89">
        <f t="shared" si="31"/>
        <v>0.15230360978572235</v>
      </c>
      <c r="K77" s="89">
        <f t="shared" si="32"/>
        <v>0.37891916639168566</v>
      </c>
      <c r="L77" s="89">
        <f t="shared" si="33"/>
        <v>8.3594157869918195E-2</v>
      </c>
      <c r="M77" s="89">
        <f t="shared" si="34"/>
        <v>6.5079544975290796E-2</v>
      </c>
      <c r="O77">
        <v>37.5</v>
      </c>
      <c r="P77">
        <f t="shared" si="35"/>
        <v>8.405165166909645E-2</v>
      </c>
      <c r="Q77">
        <f t="shared" si="36"/>
        <v>0.14847891592714613</v>
      </c>
      <c r="R77">
        <f t="shared" si="37"/>
        <v>0.31467717039552517</v>
      </c>
      <c r="S77">
        <f t="shared" si="38"/>
        <v>9.05499070488269E-2</v>
      </c>
      <c r="T77">
        <f t="shared" si="39"/>
        <v>7.0494719947566328E-2</v>
      </c>
      <c r="V77">
        <v>37.5</v>
      </c>
      <c r="W77">
        <f t="shared" si="40"/>
        <v>1586.4749252541956</v>
      </c>
      <c r="X77">
        <f t="shared" si="41"/>
        <v>2802.5395381248832</v>
      </c>
      <c r="Y77">
        <f t="shared" si="42"/>
        <v>5939.5315912155374</v>
      </c>
      <c r="Z77">
        <f t="shared" si="43"/>
        <v>1709.1294955466078</v>
      </c>
      <c r="AA77">
        <f t="shared" si="44"/>
        <v>1330.5878390103144</v>
      </c>
    </row>
    <row r="78" spans="8:27">
      <c r="H78">
        <v>38</v>
      </c>
      <c r="I78" s="89">
        <f t="shared" si="30"/>
        <v>0.10136170046180662</v>
      </c>
      <c r="J78" s="89">
        <f t="shared" si="31"/>
        <v>0.15208863741530113</v>
      </c>
      <c r="K78" s="89">
        <f t="shared" si="32"/>
        <v>0.38351203217118934</v>
      </c>
      <c r="L78" s="89">
        <f t="shared" si="33"/>
        <v>8.2717328280455166E-2</v>
      </c>
      <c r="M78" s="89">
        <f t="shared" si="34"/>
        <v>6.5033515394340796E-2</v>
      </c>
      <c r="O78">
        <v>38</v>
      </c>
      <c r="P78">
        <f t="shared" si="35"/>
        <v>8.4176826924688336E-2</v>
      </c>
      <c r="Q78">
        <f t="shared" si="36"/>
        <v>0.14826934200726768</v>
      </c>
      <c r="R78">
        <f t="shared" si="37"/>
        <v>0.31849136121955623</v>
      </c>
      <c r="S78">
        <f t="shared" si="38"/>
        <v>8.9600117735235282E-2</v>
      </c>
      <c r="T78">
        <f t="shared" si="39"/>
        <v>7.0444860311645305E-2</v>
      </c>
      <c r="V78">
        <v>38</v>
      </c>
      <c r="W78">
        <f t="shared" si="40"/>
        <v>1588.8376082034924</v>
      </c>
      <c r="X78">
        <f t="shared" si="41"/>
        <v>2798.5838303871774</v>
      </c>
      <c r="Y78">
        <f t="shared" si="42"/>
        <v>6011.5244430191242</v>
      </c>
      <c r="Z78">
        <f t="shared" si="43"/>
        <v>1691.2022222525659</v>
      </c>
      <c r="AA78">
        <f t="shared" si="44"/>
        <v>1329.6467383823051</v>
      </c>
    </row>
    <row r="79" spans="8:27">
      <c r="H79">
        <v>38.5</v>
      </c>
      <c r="I79" s="89">
        <f t="shared" si="30"/>
        <v>0.10152789558068105</v>
      </c>
      <c r="J79" s="89">
        <f t="shared" si="31"/>
        <v>0.15188555212665728</v>
      </c>
      <c r="K79" s="89">
        <f t="shared" si="32"/>
        <v>0.38810489795069308</v>
      </c>
      <c r="L79" s="89">
        <f t="shared" si="33"/>
        <v>8.1866189991771324E-2</v>
      </c>
      <c r="M79" s="89">
        <f t="shared" si="34"/>
        <v>6.4988385430387818E-2</v>
      </c>
      <c r="O79">
        <v>38.5</v>
      </c>
      <c r="P79">
        <f t="shared" si="35"/>
        <v>8.4314845305333924E-2</v>
      </c>
      <c r="Q79">
        <f t="shared" si="36"/>
        <v>0.14807135665720925</v>
      </c>
      <c r="R79">
        <f t="shared" si="37"/>
        <v>0.3223055520435873</v>
      </c>
      <c r="S79">
        <f t="shared" si="38"/>
        <v>8.8678157458466314E-2</v>
      </c>
      <c r="T79">
        <f t="shared" si="39"/>
        <v>7.0395975148552697E-2</v>
      </c>
      <c r="V79">
        <v>38.5</v>
      </c>
      <c r="W79">
        <f t="shared" si="40"/>
        <v>1591.4427051381779</v>
      </c>
      <c r="X79">
        <f t="shared" si="41"/>
        <v>2794.8468569048246</v>
      </c>
      <c r="Y79">
        <f t="shared" si="42"/>
        <v>6083.51729482271</v>
      </c>
      <c r="Z79">
        <f t="shared" si="43"/>
        <v>1673.8002220285516</v>
      </c>
      <c r="AA79">
        <f t="shared" si="44"/>
        <v>1328.7240309289321</v>
      </c>
    </row>
    <row r="80" spans="8:27">
      <c r="H80">
        <v>39</v>
      </c>
      <c r="I80" s="89">
        <f t="shared" si="30"/>
        <v>0.1017089609645844</v>
      </c>
      <c r="J80" s="89">
        <f t="shared" si="31"/>
        <v>0.15169389672433789</v>
      </c>
      <c r="K80" s="89">
        <f t="shared" si="32"/>
        <v>0.39269776373019677</v>
      </c>
      <c r="L80" s="89">
        <f t="shared" si="33"/>
        <v>8.1039754876913575E-2</v>
      </c>
      <c r="M80" s="89">
        <f t="shared" si="34"/>
        <v>6.4944126156130974E-2</v>
      </c>
      <c r="O80">
        <v>39</v>
      </c>
      <c r="P80">
        <f t="shared" si="35"/>
        <v>8.4465212844685028E-2</v>
      </c>
      <c r="Q80">
        <f t="shared" si="36"/>
        <v>0.14788451416274703</v>
      </c>
      <c r="R80">
        <f t="shared" si="37"/>
        <v>0.32611974286761836</v>
      </c>
      <c r="S80">
        <f t="shared" si="38"/>
        <v>8.7782955870949808E-2</v>
      </c>
      <c r="T80">
        <f t="shared" si="39"/>
        <v>7.0348033123988712E-2</v>
      </c>
      <c r="V80">
        <v>39</v>
      </c>
      <c r="W80">
        <f t="shared" si="40"/>
        <v>1594.2808924434298</v>
      </c>
      <c r="X80">
        <f t="shared" si="41"/>
        <v>2791.3202048218504</v>
      </c>
      <c r="Y80">
        <f t="shared" si="42"/>
        <v>6155.5101466262968</v>
      </c>
      <c r="Z80">
        <f t="shared" si="43"/>
        <v>1656.9032920641775</v>
      </c>
      <c r="AA80">
        <f t="shared" si="44"/>
        <v>1327.8191252152869</v>
      </c>
    </row>
    <row r="81" spans="8:27">
      <c r="H81">
        <v>39.5</v>
      </c>
      <c r="I81" s="89">
        <f t="shared" si="30"/>
        <v>0.10190433191990793</v>
      </c>
      <c r="J81" s="89">
        <f t="shared" si="31"/>
        <v>0.15151323716202678</v>
      </c>
      <c r="K81" s="89">
        <f t="shared" si="32"/>
        <v>0.39729062950970045</v>
      </c>
      <c r="L81" s="89">
        <f t="shared" si="33"/>
        <v>8.0237084840673364E-2</v>
      </c>
      <c r="M81" s="89">
        <f t="shared" si="34"/>
        <v>6.4900709929966952E-2</v>
      </c>
      <c r="O81">
        <v>39.5</v>
      </c>
      <c r="P81">
        <f t="shared" si="35"/>
        <v>8.4627460587347714E-2</v>
      </c>
      <c r="Q81">
        <f t="shared" si="36"/>
        <v>0.14770839137746591</v>
      </c>
      <c r="R81">
        <f t="shared" si="37"/>
        <v>0.32993393369164942</v>
      </c>
      <c r="S81">
        <f t="shared" si="38"/>
        <v>8.6913496819929381E-2</v>
      </c>
      <c r="T81">
        <f t="shared" si="39"/>
        <v>7.0301004296332098E-2</v>
      </c>
      <c r="V81">
        <v>39.5</v>
      </c>
      <c r="W81">
        <f t="shared" si="40"/>
        <v>1597.3433185861882</v>
      </c>
      <c r="X81">
        <f t="shared" si="41"/>
        <v>2787.9958872496691</v>
      </c>
      <c r="Y81">
        <f t="shared" si="42"/>
        <v>6227.5029984298826</v>
      </c>
      <c r="Z81">
        <f t="shared" si="43"/>
        <v>1640.4922524761671</v>
      </c>
      <c r="AA81">
        <f t="shared" si="44"/>
        <v>1326.9314560932683</v>
      </c>
    </row>
    <row r="82" spans="8:27">
      <c r="H82">
        <v>40</v>
      </c>
      <c r="I82" s="89">
        <f t="shared" si="30"/>
        <v>0.10211347198772339</v>
      </c>
      <c r="J82" s="89">
        <f t="shared" si="31"/>
        <v>0.15134316109572371</v>
      </c>
      <c r="K82" s="89">
        <f t="shared" si="32"/>
        <v>0.40188349528920414</v>
      </c>
      <c r="L82" s="89">
        <f t="shared" si="33"/>
        <v>7.9457288692602532E-2</v>
      </c>
      <c r="M82" s="89">
        <f t="shared" si="34"/>
        <v>6.4858110323440146E-2</v>
      </c>
      <c r="O82">
        <v>40</v>
      </c>
      <c r="P82">
        <f t="shared" si="35"/>
        <v>8.4801143025697814E-2</v>
      </c>
      <c r="Q82">
        <f t="shared" si="36"/>
        <v>0.14754258631227174</v>
      </c>
      <c r="R82">
        <f t="shared" si="37"/>
        <v>0.33374812451568048</v>
      </c>
      <c r="S82">
        <f t="shared" si="38"/>
        <v>8.6068814960286455E-2</v>
      </c>
      <c r="T82">
        <f t="shared" si="39"/>
        <v>7.0254860038053674E-2</v>
      </c>
      <c r="V82">
        <v>40</v>
      </c>
      <c r="W82">
        <f t="shared" si="40"/>
        <v>1600.6215746100463</v>
      </c>
      <c r="X82">
        <f t="shared" si="41"/>
        <v>2784.8663166441293</v>
      </c>
      <c r="Y82">
        <f t="shared" si="42"/>
        <v>6299.4958502334694</v>
      </c>
      <c r="Z82">
        <f t="shared" si="43"/>
        <v>1624.5488823754069</v>
      </c>
      <c r="AA82">
        <f t="shared" si="44"/>
        <v>1326.060483218263</v>
      </c>
    </row>
    <row r="83" spans="8:27">
      <c r="H83">
        <v>40.5</v>
      </c>
      <c r="I83" s="89">
        <f t="shared" si="30"/>
        <v>0.10233587120090144</v>
      </c>
      <c r="J83" s="89">
        <f t="shared" si="31"/>
        <v>0.151183276544095</v>
      </c>
      <c r="K83" s="89">
        <f t="shared" si="32"/>
        <v>0.40647636106870783</v>
      </c>
      <c r="L83" s="89">
        <f t="shared" si="33"/>
        <v>7.8699519251657746E-2</v>
      </c>
      <c r="M83" s="89">
        <f t="shared" si="34"/>
        <v>6.4816302053634423E-2</v>
      </c>
      <c r="O83">
        <v>40.5</v>
      </c>
      <c r="P83">
        <f t="shared" si="35"/>
        <v>8.4985836652487642E-2</v>
      </c>
      <c r="Q83">
        <f t="shared" si="36"/>
        <v>0.14738671682938337</v>
      </c>
      <c r="R83">
        <f t="shared" si="37"/>
        <v>0.33756231533971148</v>
      </c>
      <c r="S83">
        <f t="shared" si="38"/>
        <v>8.5247992618266266E-2</v>
      </c>
      <c r="T83">
        <f t="shared" si="39"/>
        <v>7.0209572962482286E-2</v>
      </c>
      <c r="V83">
        <v>40.5</v>
      </c>
      <c r="W83">
        <f t="shared" si="40"/>
        <v>1604.1076668157043</v>
      </c>
      <c r="X83">
        <f t="shared" si="41"/>
        <v>2781.9242801546111</v>
      </c>
      <c r="Y83">
        <f t="shared" si="42"/>
        <v>6371.4887020370543</v>
      </c>
      <c r="Z83">
        <f t="shared" si="43"/>
        <v>1609.0558606697757</v>
      </c>
      <c r="AA83">
        <f t="shared" si="44"/>
        <v>1325.2056896668532</v>
      </c>
    </row>
    <row r="84" spans="8:27">
      <c r="H84">
        <v>41</v>
      </c>
      <c r="I84" s="89">
        <f t="shared" si="30"/>
        <v>0.10257104446875814</v>
      </c>
      <c r="J84" s="89">
        <f t="shared" si="31"/>
        <v>0.15103321064684774</v>
      </c>
      <c r="K84" s="89">
        <f t="shared" si="32"/>
        <v>0.41106922684821157</v>
      </c>
      <c r="L84" s="89">
        <f t="shared" si="33"/>
        <v>7.7962970662700276E-2</v>
      </c>
      <c r="M84" s="89">
        <f t="shared" si="34"/>
        <v>6.4775260920113736E-2</v>
      </c>
      <c r="O84">
        <v>41</v>
      </c>
      <c r="P84">
        <f t="shared" si="35"/>
        <v>8.5181138619359706E-2</v>
      </c>
      <c r="Q84">
        <f t="shared" si="36"/>
        <v>0.14724041943188731</v>
      </c>
      <c r="R84">
        <f t="shared" si="37"/>
        <v>0.34137650616374254</v>
      </c>
      <c r="S84">
        <f t="shared" si="38"/>
        <v>8.445015688468753E-2</v>
      </c>
      <c r="T84">
        <f t="shared" si="39"/>
        <v>7.0165116855498602E-2</v>
      </c>
      <c r="V84">
        <v>41</v>
      </c>
      <c r="W84">
        <f t="shared" si="40"/>
        <v>1607.7939914404144</v>
      </c>
      <c r="X84">
        <f t="shared" si="41"/>
        <v>2779.1629167768729</v>
      </c>
      <c r="Y84">
        <f t="shared" si="42"/>
        <v>6443.4815538406401</v>
      </c>
      <c r="Z84">
        <f t="shared" si="43"/>
        <v>1593.9967111984772</v>
      </c>
      <c r="AA84">
        <f t="shared" si="44"/>
        <v>1324.366580647536</v>
      </c>
    </row>
    <row r="85" spans="8:27">
      <c r="H85">
        <v>41.5</v>
      </c>
      <c r="I85" s="89">
        <f t="shared" si="30"/>
        <v>0.1028185300784737</v>
      </c>
      <c r="J85" s="89">
        <f t="shared" si="31"/>
        <v>0.15089260851285963</v>
      </c>
      <c r="K85" s="89">
        <f t="shared" si="32"/>
        <v>0.41566209262771525</v>
      </c>
      <c r="L85" s="89">
        <f t="shared" si="33"/>
        <v>7.7246875906983578E-2</v>
      </c>
      <c r="M85" s="89">
        <f t="shared" si="34"/>
        <v>6.4734963746054017E-2</v>
      </c>
      <c r="O85">
        <v>41.5</v>
      </c>
      <c r="P85">
        <f t="shared" si="35"/>
        <v>8.5386665492335048E-2</v>
      </c>
      <c r="Q85">
        <f t="shared" si="36"/>
        <v>0.14710334814079337</v>
      </c>
      <c r="R85">
        <f t="shared" si="37"/>
        <v>0.3451906969877736</v>
      </c>
      <c r="S85">
        <f t="shared" si="38"/>
        <v>8.367447691828124E-2</v>
      </c>
      <c r="T85">
        <f t="shared" si="39"/>
        <v>7.0121466611768449E-2</v>
      </c>
      <c r="V85">
        <v>41.5</v>
      </c>
      <c r="W85">
        <f t="shared" si="40"/>
        <v>1611.6733111678241</v>
      </c>
      <c r="X85">
        <f t="shared" si="41"/>
        <v>2776.5756961574748</v>
      </c>
      <c r="Y85">
        <f t="shared" si="42"/>
        <v>6515.4744056442269</v>
      </c>
      <c r="Z85">
        <f t="shared" si="43"/>
        <v>1579.3557518325583</v>
      </c>
      <c r="AA85">
        <f t="shared" si="44"/>
        <v>1323.5426822971294</v>
      </c>
    </row>
    <row r="86" spans="8:27">
      <c r="H86">
        <v>42</v>
      </c>
      <c r="I86" s="89">
        <f t="shared" si="30"/>
        <v>0.1030778883035532</v>
      </c>
      <c r="J86" s="89">
        <f t="shared" si="31"/>
        <v>0.15076113215058576</v>
      </c>
      <c r="K86" s="89">
        <f t="shared" si="32"/>
        <v>0.42025495840721899</v>
      </c>
      <c r="L86" s="89">
        <f t="shared" si="33"/>
        <v>7.6550504490463328E-2</v>
      </c>
      <c r="M86" s="89">
        <f t="shared" si="34"/>
        <v>6.4695388323241412E-2</v>
      </c>
      <c r="O86">
        <v>42</v>
      </c>
      <c r="P86">
        <f t="shared" si="35"/>
        <v>8.5602052096195702E-2</v>
      </c>
      <c r="Q86">
        <f t="shared" si="36"/>
        <v>0.14697517345230154</v>
      </c>
      <c r="R86">
        <f t="shared" si="37"/>
        <v>0.34900488781180466</v>
      </c>
      <c r="S86">
        <f t="shared" si="38"/>
        <v>8.2920161441648405E-2</v>
      </c>
      <c r="T86">
        <f t="shared" si="39"/>
        <v>7.0078598175164611E-2</v>
      </c>
      <c r="V86">
        <v>42</v>
      </c>
      <c r="W86">
        <f t="shared" si="40"/>
        <v>1615.7387333156939</v>
      </c>
      <c r="X86">
        <f t="shared" si="41"/>
        <v>2774.1563989121914</v>
      </c>
      <c r="Y86">
        <f t="shared" si="42"/>
        <v>6587.4672574478127</v>
      </c>
      <c r="Z86">
        <f t="shared" si="43"/>
        <v>1565.1180472111137</v>
      </c>
      <c r="AA86">
        <f t="shared" si="44"/>
        <v>1322.7335405562321</v>
      </c>
    </row>
  </sheetData>
  <mergeCells count="12">
    <mergeCell ref="V1:V2"/>
    <mergeCell ref="W1:AA1"/>
    <mergeCell ref="A40:D40"/>
    <mergeCell ref="H1:H2"/>
    <mergeCell ref="I1:M1"/>
    <mergeCell ref="O1:O2"/>
    <mergeCell ref="P1:T1"/>
    <mergeCell ref="A3:D3"/>
    <mergeCell ref="A10:D10"/>
    <mergeCell ref="A17:D17"/>
    <mergeCell ref="A25:D25"/>
    <mergeCell ref="A34:D34"/>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9EE22-A5D6-4C5D-A8CB-A57035DDD253}">
  <dimension ref="A1:AD86"/>
  <sheetViews>
    <sheetView zoomScale="60" zoomScaleNormal="60" workbookViewId="0">
      <selection activeCell="AD3" sqref="AD3"/>
    </sheetView>
  </sheetViews>
  <sheetFormatPr defaultColWidth="8.42578125" defaultRowHeight="15"/>
  <cols>
    <col min="2" max="2" width="26.42578125" customWidth="1"/>
    <col min="9" max="9" width="20.42578125" style="89" customWidth="1"/>
    <col min="10" max="10" width="12.42578125" style="89" customWidth="1"/>
    <col min="11" max="11" width="13" style="89" customWidth="1"/>
    <col min="12" max="12" width="14.42578125" style="89" customWidth="1"/>
    <col min="13" max="13" width="13.42578125" style="89" customWidth="1"/>
    <col min="16" max="16" width="22.42578125" customWidth="1"/>
    <col min="18" max="18" width="12.42578125" customWidth="1"/>
    <col min="19" max="20" width="14.42578125" customWidth="1"/>
    <col min="23" max="23" width="22.42578125" customWidth="1"/>
    <col min="25" max="25" width="12.42578125" customWidth="1"/>
    <col min="26" max="27" width="14.42578125" customWidth="1"/>
  </cols>
  <sheetData>
    <row r="1" spans="1:30">
      <c r="H1" s="347" t="s">
        <v>1114</v>
      </c>
      <c r="I1" s="349" t="s">
        <v>1115</v>
      </c>
      <c r="J1" s="349"/>
      <c r="K1" s="349"/>
      <c r="L1" s="349"/>
      <c r="M1" s="349"/>
      <c r="O1" s="347" t="s">
        <v>1114</v>
      </c>
      <c r="P1" s="319" t="s">
        <v>1116</v>
      </c>
      <c r="Q1" s="319"/>
      <c r="R1" s="319"/>
      <c r="S1" s="319"/>
      <c r="T1" s="319"/>
      <c r="V1" s="347" t="s">
        <v>1114</v>
      </c>
      <c r="W1" s="319" t="s">
        <v>1116</v>
      </c>
      <c r="X1" s="319"/>
      <c r="Y1" s="319"/>
      <c r="Z1" s="319"/>
      <c r="AA1" s="319"/>
    </row>
    <row r="2" spans="1:30" ht="15.6" customHeight="1">
      <c r="H2" s="347"/>
      <c r="I2" s="84" t="s">
        <v>1117</v>
      </c>
      <c r="J2" s="85" t="s">
        <v>1118</v>
      </c>
      <c r="K2" s="86" t="s">
        <v>1119</v>
      </c>
      <c r="L2" s="87" t="s">
        <v>1120</v>
      </c>
      <c r="M2" s="88" t="s">
        <v>1121</v>
      </c>
      <c r="O2" s="347"/>
      <c r="P2" s="84" t="s">
        <v>1117</v>
      </c>
      <c r="Q2" s="85" t="s">
        <v>1118</v>
      </c>
      <c r="R2" s="86" t="s">
        <v>1119</v>
      </c>
      <c r="S2" s="87" t="s">
        <v>1120</v>
      </c>
      <c r="T2" s="88" t="s">
        <v>1121</v>
      </c>
      <c r="V2" s="347"/>
      <c r="W2" s="84" t="s">
        <v>1117</v>
      </c>
      <c r="X2" s="85" t="s">
        <v>1118</v>
      </c>
      <c r="Y2" s="86" t="s">
        <v>1119</v>
      </c>
      <c r="Z2" s="87" t="s">
        <v>1120</v>
      </c>
      <c r="AA2" s="88" t="s">
        <v>1121</v>
      </c>
      <c r="AC2" t="s">
        <v>1122</v>
      </c>
      <c r="AD2" s="43">
        <f>General!C7</f>
        <v>18875</v>
      </c>
    </row>
    <row r="3" spans="1:30">
      <c r="A3" s="350" t="s">
        <v>1123</v>
      </c>
      <c r="B3" s="350"/>
      <c r="C3" s="350"/>
      <c r="D3" s="350"/>
      <c r="H3">
        <v>0.5</v>
      </c>
      <c r="I3" s="89">
        <f>$C$15*(($C$5/H3)+$C$8*($C$14/$C$15)^2*(H3))</f>
        <v>5.0753096715768962</v>
      </c>
      <c r="J3" s="89">
        <f>($C$21/$C$22)+($C$23/H3)*$C$5+($C$8/$C$23)*H3</f>
        <v>4.0000781679323305</v>
      </c>
      <c r="K3" s="89">
        <f>((1.21*H3)/(32.2*$C$31*$C$29*$C$28))+$C$32+0.605*($C$30-($C$32*$C$29))/$C$29</f>
        <v>4.5316313571219617E-2</v>
      </c>
      <c r="L3" s="89">
        <f>$C$38*$C$5*(1/H3)+$C$8*(1/$C$38)*H3</f>
        <v>8.4302125480610233</v>
      </c>
      <c r="M3" s="89">
        <f>(1.667/SQRT(((2/$C$43)*H3)*SQRT($C$8/(3*$C$5))))+(4*SQRT(($C$8*$C$5)/3))</f>
        <v>0.13783326349749236</v>
      </c>
      <c r="O3">
        <v>0.5</v>
      </c>
      <c r="P3">
        <f>(I3*$C$13*1.688)/(0.85*550)</f>
        <v>4.214841127043881</v>
      </c>
      <c r="Q3">
        <f>(J3*$C$22*1.688)/(0.85*550)</f>
        <v>3.8996270070948427</v>
      </c>
      <c r="R3">
        <f>(K3*$C$13*1.688)/(0.85*550)</f>
        <v>3.7633380921690489E-2</v>
      </c>
      <c r="S3">
        <f t="shared" ref="S3:S34" si="0">(L3*$C$37*1.688)/(550)</f>
        <v>7.7619266078874585</v>
      </c>
      <c r="T3">
        <f>(M3*$C$37*1.688)/(0.85*550)</f>
        <v>0.14930217034252433</v>
      </c>
      <c r="V3">
        <v>0.5</v>
      </c>
      <c r="W3">
        <f>P3*$AD$2</f>
        <v>79555.126272953261</v>
      </c>
      <c r="X3">
        <f>Q3*$AD$2</f>
        <v>73605.459758915153</v>
      </c>
      <c r="Y3">
        <f>R3*$AD$2</f>
        <v>710.33006489690797</v>
      </c>
      <c r="Z3">
        <f>S3*$AD$2</f>
        <v>146506.36472387577</v>
      </c>
      <c r="AA3">
        <f>T3*$AD$2</f>
        <v>2818.0784652151465</v>
      </c>
    </row>
    <row r="4" spans="1:30">
      <c r="A4" s="90" t="s">
        <v>861</v>
      </c>
      <c r="B4" s="90" t="s">
        <v>860</v>
      </c>
      <c r="C4" s="90" t="s">
        <v>191</v>
      </c>
      <c r="D4" s="90" t="s">
        <v>192</v>
      </c>
      <c r="H4">
        <v>1</v>
      </c>
      <c r="I4" s="89">
        <f t="shared" ref="I4:I67" si="1">$C$15*(($C$5/H4)+$C$8*($C$14/$C$15)^2*(H4))</f>
        <v>2.5387740389709497</v>
      </c>
      <c r="J4" s="89">
        <f t="shared" ref="J4:J67" si="2">($C$21/$C$22)+($C$23/H4)*$C$5+($C$8/$C$23)*H4</f>
        <v>2.0500635982103392</v>
      </c>
      <c r="K4" s="89">
        <f t="shared" ref="K4:K67" si="3">((1.21*H4)/(32.2*$C$31*$C$29*$C$28))+$C$32+0.605*($C$30-($C$32*$C$29))/$C$29</f>
        <v>5.0254502142439234E-2</v>
      </c>
      <c r="L4" s="89">
        <f t="shared" ref="L4:L67" si="4">$C$38*$C$5*(1/H4)+$C$8*(1/$C$38)*H4</f>
        <v>4.2152747022663135</v>
      </c>
      <c r="M4" s="89">
        <f t="shared" ref="M4:M67" si="5">(1.667/SQRT(((2/$C$43)*H4)*SQRT($C$8/(3*$C$5))))+(4*SQRT(($C$8*$C$5)/3))</f>
        <v>0.11827354403377696</v>
      </c>
      <c r="O4">
        <v>1</v>
      </c>
      <c r="P4">
        <f t="shared" ref="P4:P67" si="6">(I4*$C$13*1.688)/(0.85*550)</f>
        <v>2.1083500168771794</v>
      </c>
      <c r="Q4">
        <f t="shared" ref="Q4:Q67" si="7">(J4*$C$22*1.688)/(0.85*550)</f>
        <v>1.9985817872092921</v>
      </c>
      <c r="R4">
        <f t="shared" ref="R4:R67" si="8">(K4*$C$13*1.688)/(0.85*550)</f>
        <v>4.1734348474397019E-2</v>
      </c>
      <c r="S4">
        <f t="shared" si="0"/>
        <v>3.88111838041393</v>
      </c>
      <c r="T4">
        <f t="shared" ref="T4:T67" si="9">(M4*$C$37*1.688)/(0.85*550)</f>
        <v>0.12811491486353938</v>
      </c>
      <c r="V4">
        <v>1</v>
      </c>
      <c r="W4">
        <f t="shared" ref="W4:AA54" si="10">P4*$AD$2</f>
        <v>39795.106568556759</v>
      </c>
      <c r="X4">
        <f t="shared" si="10"/>
        <v>37723.231233575389</v>
      </c>
      <c r="Y4">
        <f t="shared" si="10"/>
        <v>787.73582745424369</v>
      </c>
      <c r="Z4">
        <f t="shared" si="10"/>
        <v>73256.109430312921</v>
      </c>
      <c r="AA4">
        <f t="shared" si="10"/>
        <v>2418.1690180493056</v>
      </c>
    </row>
    <row r="5" spans="1:30" ht="17.100000000000001">
      <c r="A5" s="91" t="s">
        <v>151</v>
      </c>
      <c r="B5" s="91" t="s">
        <v>513</v>
      </c>
      <c r="C5" s="92">
        <v>2.2499999999999999E-2</v>
      </c>
      <c r="D5" s="91"/>
      <c r="H5">
        <v>1.5</v>
      </c>
      <c r="I5" s="89">
        <f t="shared" si="1"/>
        <v>1.6937595850723013</v>
      </c>
      <c r="J5" s="89">
        <f t="shared" si="2"/>
        <v>1.4002205284883487</v>
      </c>
      <c r="K5" s="89">
        <f t="shared" si="3"/>
        <v>5.519269071365885E-2</v>
      </c>
      <c r="L5" s="89">
        <f t="shared" si="4"/>
        <v>2.8103702773284334</v>
      </c>
      <c r="M5" s="89">
        <f t="shared" si="5"/>
        <v>0.10960826668959064</v>
      </c>
      <c r="O5">
        <v>1.5</v>
      </c>
      <c r="P5">
        <f t="shared" si="6"/>
        <v>1.4065994038683856</v>
      </c>
      <c r="Q5">
        <f t="shared" si="7"/>
        <v>1.3650577712595717</v>
      </c>
      <c r="R5">
        <f t="shared" si="8"/>
        <v>4.5835316027103556E-2</v>
      </c>
      <c r="S5">
        <f t="shared" si="0"/>
        <v>2.5875845607983972</v>
      </c>
      <c r="T5">
        <f t="shared" si="9"/>
        <v>0.11872861230290632</v>
      </c>
      <c r="V5">
        <v>1.5</v>
      </c>
      <c r="W5">
        <f t="shared" si="10"/>
        <v>26549.563748015778</v>
      </c>
      <c r="X5">
        <f t="shared" si="10"/>
        <v>25765.465432524416</v>
      </c>
      <c r="Y5">
        <f t="shared" si="10"/>
        <v>865.14159001157964</v>
      </c>
      <c r="Z5">
        <f t="shared" si="10"/>
        <v>48840.658585069745</v>
      </c>
      <c r="AA5">
        <f t="shared" si="10"/>
        <v>2241.0025572173568</v>
      </c>
    </row>
    <row r="6" spans="1:30">
      <c r="A6" s="91" t="s">
        <v>309</v>
      </c>
      <c r="B6" s="91" t="s">
        <v>308</v>
      </c>
      <c r="C6" s="96">
        <f>General!C24</f>
        <v>10</v>
      </c>
      <c r="D6" s="91"/>
      <c r="H6">
        <v>2</v>
      </c>
      <c r="I6" s="89">
        <f t="shared" si="1"/>
        <v>1.2716254258504776</v>
      </c>
      <c r="J6" s="89">
        <f t="shared" si="2"/>
        <v>1.0754203337663577</v>
      </c>
      <c r="K6" s="89">
        <f t="shared" si="3"/>
        <v>6.0130879284878466E-2</v>
      </c>
      <c r="L6" s="89">
        <f t="shared" si="4"/>
        <v>2.107974207604761</v>
      </c>
      <c r="M6" s="89">
        <f t="shared" si="5"/>
        <v>0.10444273376287727</v>
      </c>
      <c r="O6">
        <v>2</v>
      </c>
      <c r="P6">
        <f t="shared" si="6"/>
        <v>1.0560339151490683</v>
      </c>
      <c r="Q6">
        <f t="shared" si="7"/>
        <v>1.0484140562938078</v>
      </c>
      <c r="R6">
        <f t="shared" si="8"/>
        <v>4.993628357981008E-2</v>
      </c>
      <c r="S6">
        <f t="shared" si="0"/>
        <v>1.9408693431473651</v>
      </c>
      <c r="T6">
        <f t="shared" si="9"/>
        <v>0.11313326283961722</v>
      </c>
      <c r="V6">
        <v>2</v>
      </c>
      <c r="W6">
        <f t="shared" si="10"/>
        <v>19932.640148438662</v>
      </c>
      <c r="X6">
        <f t="shared" si="10"/>
        <v>19788.815312545623</v>
      </c>
      <c r="Y6">
        <f t="shared" si="10"/>
        <v>942.54735256891524</v>
      </c>
      <c r="Z6">
        <f t="shared" si="10"/>
        <v>36633.908851906519</v>
      </c>
      <c r="AA6">
        <f t="shared" si="10"/>
        <v>2135.3903360977752</v>
      </c>
    </row>
    <row r="7" spans="1:30">
      <c r="A7" s="91" t="s">
        <v>153</v>
      </c>
      <c r="B7" s="91" t="s">
        <v>310</v>
      </c>
      <c r="C7" s="91">
        <f>1.78*(1-0.045*(C6^0.68))-0.64</f>
        <v>0.75661729604956662</v>
      </c>
      <c r="D7" s="91"/>
      <c r="H7">
        <v>2.5</v>
      </c>
      <c r="I7" s="89">
        <f t="shared" si="1"/>
        <v>1.0186433844993836</v>
      </c>
      <c r="J7" s="89">
        <f t="shared" si="2"/>
        <v>0.88063728904436678</v>
      </c>
      <c r="K7" s="89">
        <f t="shared" si="3"/>
        <v>6.506906785609809E-2</v>
      </c>
      <c r="L7" s="89">
        <f t="shared" si="4"/>
        <v>1.6865814799667711</v>
      </c>
      <c r="M7" s="89">
        <f t="shared" si="5"/>
        <v>0.10091760174479313</v>
      </c>
      <c r="O7">
        <v>2.5</v>
      </c>
      <c r="P7">
        <f t="shared" si="6"/>
        <v>0.84594247614554163</v>
      </c>
      <c r="Q7">
        <f t="shared" si="7"/>
        <v>0.85852246172162694</v>
      </c>
      <c r="R7">
        <f t="shared" si="8"/>
        <v>5.4037251132516624E-2</v>
      </c>
      <c r="S7">
        <f t="shared" si="0"/>
        <v>1.5528815662821325</v>
      </c>
      <c r="T7">
        <f t="shared" si="9"/>
        <v>0.10931480967607109</v>
      </c>
      <c r="V7">
        <v>2.5</v>
      </c>
      <c r="W7">
        <f t="shared" si="10"/>
        <v>15967.164237247098</v>
      </c>
      <c r="X7">
        <f t="shared" si="10"/>
        <v>16204.611464995709</v>
      </c>
      <c r="Y7">
        <f t="shared" si="10"/>
        <v>1019.9531151262513</v>
      </c>
      <c r="Z7">
        <f t="shared" si="10"/>
        <v>29310.639563575249</v>
      </c>
      <c r="AA7">
        <f t="shared" si="10"/>
        <v>2063.3170326358418</v>
      </c>
    </row>
    <row r="8" spans="1:30">
      <c r="A8" s="91" t="s">
        <v>155</v>
      </c>
      <c r="B8" s="91" t="s">
        <v>1124</v>
      </c>
      <c r="C8" s="91">
        <f>1/(PI()*C6*C7)</f>
        <v>4.2070130810614975E-2</v>
      </c>
      <c r="D8" s="91"/>
      <c r="H8">
        <v>3</v>
      </c>
      <c r="I8" s="89">
        <f t="shared" si="1"/>
        <v>0.85023740208365473</v>
      </c>
      <c r="J8" s="89">
        <f t="shared" si="2"/>
        <v>0.75086281932237608</v>
      </c>
      <c r="K8" s="89">
        <f t="shared" si="3"/>
        <v>7.0007256427317699E-2</v>
      </c>
      <c r="L8" s="89">
        <f t="shared" si="4"/>
        <v>1.4056904233716225</v>
      </c>
      <c r="M8" s="89">
        <f t="shared" si="5"/>
        <v>9.8315457391940975E-2</v>
      </c>
      <c r="O8">
        <v>3</v>
      </c>
      <c r="P8">
        <f t="shared" si="6"/>
        <v>0.70608806199991048</v>
      </c>
      <c r="Q8">
        <f t="shared" si="7"/>
        <v>0.73200692734623762</v>
      </c>
      <c r="R8">
        <f t="shared" si="8"/>
        <v>5.8138218685223161E-2</v>
      </c>
      <c r="S8">
        <f t="shared" si="0"/>
        <v>1.2942575098097993</v>
      </c>
      <c r="T8">
        <f t="shared" si="9"/>
        <v>0.10649614464872494</v>
      </c>
      <c r="V8">
        <v>3</v>
      </c>
      <c r="W8">
        <f t="shared" si="10"/>
        <v>13327.41217024831</v>
      </c>
      <c r="X8">
        <f t="shared" si="10"/>
        <v>13816.630753660234</v>
      </c>
      <c r="Y8">
        <f t="shared" si="10"/>
        <v>1097.3588776835873</v>
      </c>
      <c r="Z8">
        <f t="shared" si="10"/>
        <v>24429.11049765996</v>
      </c>
      <c r="AA8">
        <f t="shared" si="10"/>
        <v>2010.1147302446832</v>
      </c>
    </row>
    <row r="9" spans="1:30">
      <c r="H9">
        <v>3.5</v>
      </c>
      <c r="I9" s="89">
        <f t="shared" si="1"/>
        <v>0.73016059620242002</v>
      </c>
      <c r="J9" s="89">
        <f t="shared" si="2"/>
        <v>0.65823610674324229</v>
      </c>
      <c r="K9" s="89">
        <f t="shared" si="3"/>
        <v>7.4945444998537322E-2</v>
      </c>
      <c r="L9" s="89">
        <f t="shared" si="4"/>
        <v>1.2050860359438123</v>
      </c>
      <c r="M9" s="89">
        <f t="shared" si="5"/>
        <v>9.6293071977547634E-2</v>
      </c>
      <c r="O9">
        <v>3.5</v>
      </c>
      <c r="P9">
        <f t="shared" si="6"/>
        <v>0.60636909063021938</v>
      </c>
      <c r="Q9">
        <f t="shared" si="7"/>
        <v>0.64170628451187184</v>
      </c>
      <c r="R9">
        <f t="shared" si="8"/>
        <v>6.2239186237929692E-2</v>
      </c>
      <c r="S9">
        <f t="shared" si="0"/>
        <v>1.1095555792762664</v>
      </c>
      <c r="T9">
        <f t="shared" si="9"/>
        <v>0.10430547946402165</v>
      </c>
      <c r="V9">
        <v>3.5</v>
      </c>
      <c r="W9">
        <f t="shared" si="10"/>
        <v>11445.21658564539</v>
      </c>
      <c r="X9">
        <f t="shared" si="10"/>
        <v>12112.206120161582</v>
      </c>
      <c r="Y9">
        <f t="shared" si="10"/>
        <v>1174.764640240923</v>
      </c>
      <c r="Z9">
        <f t="shared" si="10"/>
        <v>20942.861558839526</v>
      </c>
      <c r="AA9">
        <f t="shared" si="10"/>
        <v>1968.7659248834086</v>
      </c>
    </row>
    <row r="10" spans="1:30">
      <c r="A10" s="351" t="s">
        <v>1117</v>
      </c>
      <c r="B10" s="351"/>
      <c r="C10" s="351"/>
      <c r="D10" s="351"/>
      <c r="H10">
        <v>4</v>
      </c>
      <c r="I10" s="89">
        <f t="shared" si="1"/>
        <v>0.64028952565524433</v>
      </c>
      <c r="J10" s="89">
        <f t="shared" si="2"/>
        <v>0.58882674237839439</v>
      </c>
      <c r="K10" s="89">
        <f t="shared" si="3"/>
        <v>7.9883633569756946E-2</v>
      </c>
      <c r="L10" s="89">
        <f t="shared" si="4"/>
        <v>1.0546608167455882</v>
      </c>
      <c r="M10" s="89">
        <f t="shared" si="5"/>
        <v>9.466287403101957E-2</v>
      </c>
      <c r="O10">
        <v>4</v>
      </c>
      <c r="P10">
        <f t="shared" si="6"/>
        <v>0.53173477099549105</v>
      </c>
      <c r="Q10">
        <f t="shared" si="7"/>
        <v>0.57403994889064613</v>
      </c>
      <c r="R10">
        <f t="shared" si="8"/>
        <v>6.6340153790636222E-2</v>
      </c>
      <c r="S10">
        <f t="shared" si="0"/>
        <v>0.97105497745448333</v>
      </c>
      <c r="T10">
        <f t="shared" si="9"/>
        <v>0.10253963510012473</v>
      </c>
      <c r="V10">
        <v>4</v>
      </c>
      <c r="W10">
        <f t="shared" si="10"/>
        <v>10036.493802539893</v>
      </c>
      <c r="X10">
        <f t="shared" si="10"/>
        <v>10835.004035310945</v>
      </c>
      <c r="Y10">
        <f t="shared" si="10"/>
        <v>1252.1704027982587</v>
      </c>
      <c r="Z10">
        <f t="shared" si="10"/>
        <v>18328.662699453373</v>
      </c>
      <c r="AA10">
        <f t="shared" si="10"/>
        <v>1935.4356125148543</v>
      </c>
    </row>
    <row r="11" spans="1:30">
      <c r="A11" s="90" t="s">
        <v>861</v>
      </c>
      <c r="B11" s="90" t="s">
        <v>860</v>
      </c>
      <c r="C11" s="90" t="s">
        <v>191</v>
      </c>
      <c r="D11" s="90" t="s">
        <v>192</v>
      </c>
      <c r="H11">
        <v>4.5</v>
      </c>
      <c r="I11" s="89">
        <f t="shared" si="1"/>
        <v>0.57055561199744109</v>
      </c>
      <c r="J11" s="89">
        <f t="shared" si="2"/>
        <v>0.53489561015640363</v>
      </c>
      <c r="K11" s="89">
        <f t="shared" si="3"/>
        <v>8.4821822140976555E-2</v>
      </c>
      <c r="L11" s="89">
        <f t="shared" si="4"/>
        <v>0.93768837636708824</v>
      </c>
      <c r="M11" s="89">
        <f t="shared" si="5"/>
        <v>9.3312557184672254E-2</v>
      </c>
      <c r="O11">
        <v>4.5</v>
      </c>
      <c r="P11">
        <f t="shared" si="6"/>
        <v>0.47382355251740432</v>
      </c>
      <c r="Q11">
        <f t="shared" si="7"/>
        <v>0.52146315141151334</v>
      </c>
      <c r="R11">
        <f t="shared" si="8"/>
        <v>7.0441121343342752E-2</v>
      </c>
      <c r="S11">
        <f t="shared" si="0"/>
        <v>0.86335526144053354</v>
      </c>
      <c r="T11">
        <f t="shared" si="9"/>
        <v>0.10107696033864819</v>
      </c>
      <c r="V11">
        <v>4.5</v>
      </c>
      <c r="W11">
        <f t="shared" si="10"/>
        <v>8943.4195537660071</v>
      </c>
      <c r="X11">
        <f t="shared" si="10"/>
        <v>9842.6169828923139</v>
      </c>
      <c r="Y11">
        <f t="shared" si="10"/>
        <v>1329.5761653555944</v>
      </c>
      <c r="Z11">
        <f t="shared" si="10"/>
        <v>16295.83055969007</v>
      </c>
      <c r="AA11">
        <f t="shared" si="10"/>
        <v>1907.8276263919845</v>
      </c>
    </row>
    <row r="12" spans="1:30">
      <c r="A12" s="91" t="s">
        <v>1125</v>
      </c>
      <c r="B12" s="91" t="s">
        <v>1126</v>
      </c>
      <c r="C12" s="93">
        <f>General!C108</f>
        <v>15000</v>
      </c>
      <c r="D12" s="91" t="s">
        <v>66</v>
      </c>
      <c r="H12">
        <v>5</v>
      </c>
      <c r="I12" s="89">
        <f t="shared" si="1"/>
        <v>0.51491770816219862</v>
      </c>
      <c r="J12" s="89">
        <f t="shared" si="2"/>
        <v>0.4917992404344127</v>
      </c>
      <c r="K12" s="89">
        <f t="shared" si="3"/>
        <v>8.9760010712196164E-2</v>
      </c>
      <c r="L12" s="89">
        <f t="shared" si="4"/>
        <v>0.84413288116239527</v>
      </c>
      <c r="M12" s="89">
        <f t="shared" si="5"/>
        <v>9.2170229276454449E-2</v>
      </c>
      <c r="O12">
        <v>5</v>
      </c>
      <c r="P12">
        <f t="shared" si="6"/>
        <v>0.42761850484896685</v>
      </c>
      <c r="Q12">
        <f t="shared" si="7"/>
        <v>0.47944903063184585</v>
      </c>
      <c r="R12">
        <f t="shared" si="8"/>
        <v>7.4542088896049269E-2</v>
      </c>
      <c r="S12">
        <f t="shared" si="0"/>
        <v>0.77721616549206718</v>
      </c>
      <c r="T12">
        <f t="shared" si="9"/>
        <v>9.9839580974538031E-2</v>
      </c>
      <c r="V12">
        <v>5</v>
      </c>
      <c r="W12">
        <f t="shared" si="10"/>
        <v>8071.2992790242497</v>
      </c>
      <c r="X12">
        <f t="shared" si="10"/>
        <v>9049.60045317609</v>
      </c>
      <c r="Y12">
        <f t="shared" si="10"/>
        <v>1406.9819279129299</v>
      </c>
      <c r="Z12">
        <f t="shared" si="10"/>
        <v>14669.955123662769</v>
      </c>
      <c r="AA12">
        <f t="shared" si="10"/>
        <v>1884.4720908944053</v>
      </c>
    </row>
    <row r="13" spans="1:30">
      <c r="A13" s="91" t="s">
        <v>1127</v>
      </c>
      <c r="B13" s="91" t="s">
        <v>1128</v>
      </c>
      <c r="C13" s="93">
        <f>General!C105</f>
        <v>230</v>
      </c>
      <c r="D13" s="91" t="s">
        <v>596</v>
      </c>
      <c r="H13">
        <v>5.5</v>
      </c>
      <c r="I13" s="89">
        <f t="shared" si="1"/>
        <v>0.46953144783427325</v>
      </c>
      <c r="J13" s="89">
        <f t="shared" si="2"/>
        <v>0.45658269798514928</v>
      </c>
      <c r="K13" s="89">
        <f t="shared" si="3"/>
        <v>9.4698199283415788E-2</v>
      </c>
      <c r="L13" s="89">
        <f t="shared" si="4"/>
        <v>0.76760789153865272</v>
      </c>
      <c r="M13" s="89">
        <f t="shared" si="5"/>
        <v>9.1187451061157374E-2</v>
      </c>
      <c r="O13">
        <v>5.5</v>
      </c>
      <c r="P13">
        <f t="shared" si="6"/>
        <v>0.38992703595118344</v>
      </c>
      <c r="Q13">
        <f t="shared" si="7"/>
        <v>0.44511685654269867</v>
      </c>
      <c r="R13">
        <f t="shared" si="8"/>
        <v>7.8643056448755813E-2</v>
      </c>
      <c r="S13">
        <f t="shared" si="0"/>
        <v>0.70675752050031582</v>
      </c>
      <c r="T13">
        <f t="shared" si="9"/>
        <v>9.8775027202930687E-2</v>
      </c>
      <c r="V13">
        <v>5.5</v>
      </c>
      <c r="W13">
        <f t="shared" si="10"/>
        <v>7359.8728035785871</v>
      </c>
      <c r="X13">
        <f t="shared" si="10"/>
        <v>8401.5806672434373</v>
      </c>
      <c r="Y13">
        <f t="shared" si="10"/>
        <v>1484.3876904702661</v>
      </c>
      <c r="Z13">
        <f t="shared" si="10"/>
        <v>13340.048199443461</v>
      </c>
      <c r="AA13">
        <f t="shared" si="10"/>
        <v>1864.3786384553168</v>
      </c>
    </row>
    <row r="14" spans="1:30">
      <c r="A14" s="91" t="s">
        <v>205</v>
      </c>
      <c r="B14" s="91" t="s">
        <v>1129</v>
      </c>
      <c r="C14" s="92">
        <v>2</v>
      </c>
      <c r="D14" s="91"/>
      <c r="H14">
        <v>6</v>
      </c>
      <c r="I14" s="89">
        <f t="shared" si="1"/>
        <v>0.43183392013683558</v>
      </c>
      <c r="J14" s="89">
        <f t="shared" si="2"/>
        <v>0.42727602599043119</v>
      </c>
      <c r="K14" s="89">
        <f t="shared" si="3"/>
        <v>9.9636387854635411E-2</v>
      </c>
      <c r="L14" s="89">
        <f t="shared" si="4"/>
        <v>0.70385578110062297</v>
      </c>
      <c r="M14" s="89">
        <f t="shared" si="5"/>
        <v>9.0330235358926425E-2</v>
      </c>
      <c r="O14">
        <v>6</v>
      </c>
      <c r="P14">
        <f t="shared" si="6"/>
        <v>0.35862075113139047</v>
      </c>
      <c r="Q14">
        <f t="shared" si="7"/>
        <v>0.41654614247144156</v>
      </c>
      <c r="R14">
        <f t="shared" si="8"/>
        <v>8.2744024001462357E-2</v>
      </c>
      <c r="S14">
        <f t="shared" si="0"/>
        <v>0.64805921372610076</v>
      </c>
      <c r="T14">
        <f t="shared" si="9"/>
        <v>9.7846483819808205E-2</v>
      </c>
      <c r="V14">
        <v>6</v>
      </c>
      <c r="W14">
        <f t="shared" si="10"/>
        <v>6768.9666776049953</v>
      </c>
      <c r="X14">
        <f t="shared" si="10"/>
        <v>7862.308439148459</v>
      </c>
      <c r="Y14">
        <f t="shared" si="10"/>
        <v>1561.793453027602</v>
      </c>
      <c r="Z14">
        <f t="shared" si="10"/>
        <v>12232.117659080151</v>
      </c>
      <c r="AA14">
        <f t="shared" si="10"/>
        <v>1846.8523820988798</v>
      </c>
    </row>
    <row r="15" spans="1:30">
      <c r="A15" s="94" t="s">
        <v>157</v>
      </c>
      <c r="B15" s="91" t="s">
        <v>156</v>
      </c>
      <c r="C15" s="91">
        <f>1/2*(0.002378*(1-0.0000068756*C12)^4.2561)*(1.688*C13)^2</f>
        <v>112.76807858048657</v>
      </c>
      <c r="D15" s="91"/>
      <c r="H15">
        <v>6.5</v>
      </c>
      <c r="I15" s="89">
        <f t="shared" si="1"/>
        <v>0.40005080215515765</v>
      </c>
      <c r="J15" s="89">
        <f t="shared" si="2"/>
        <v>0.40251540819151721</v>
      </c>
      <c r="K15" s="89">
        <f t="shared" si="3"/>
        <v>0.10457457642585502</v>
      </c>
      <c r="L15" s="89">
        <f t="shared" si="4"/>
        <v>0.64992896234391095</v>
      </c>
      <c r="M15" s="89">
        <f t="shared" si="5"/>
        <v>8.9573937424117525E-2</v>
      </c>
      <c r="O15">
        <v>6.5</v>
      </c>
      <c r="P15">
        <f t="shared" si="6"/>
        <v>0.33222614637159015</v>
      </c>
      <c r="Q15">
        <f t="shared" si="7"/>
        <v>0.3924073207216382</v>
      </c>
      <c r="R15">
        <f t="shared" si="8"/>
        <v>8.6844991554168874E-2</v>
      </c>
      <c r="S15">
        <f t="shared" si="0"/>
        <v>0.59840732096537541</v>
      </c>
      <c r="T15">
        <f t="shared" si="9"/>
        <v>9.702725542582484E-2</v>
      </c>
      <c r="V15">
        <v>6.5</v>
      </c>
      <c r="W15">
        <f t="shared" si="10"/>
        <v>6270.7685127637642</v>
      </c>
      <c r="X15">
        <f t="shared" si="10"/>
        <v>7406.6881786209206</v>
      </c>
      <c r="Y15">
        <f t="shared" si="10"/>
        <v>1639.1992155849375</v>
      </c>
      <c r="Z15">
        <f t="shared" si="10"/>
        <v>11294.93818322146</v>
      </c>
      <c r="AA15">
        <f t="shared" si="10"/>
        <v>1831.3894461624438</v>
      </c>
    </row>
    <row r="16" spans="1:30">
      <c r="H16">
        <v>7</v>
      </c>
      <c r="I16" s="89">
        <f t="shared" si="1"/>
        <v>0.37291472037871959</v>
      </c>
      <c r="J16" s="89">
        <f t="shared" si="2"/>
        <v>0.38132669011787806</v>
      </c>
      <c r="K16" s="89">
        <f t="shared" si="3"/>
        <v>0.10951276499707463</v>
      </c>
      <c r="L16" s="89">
        <f t="shared" si="4"/>
        <v>0.6037220156225197</v>
      </c>
      <c r="M16" s="89">
        <f t="shared" si="5"/>
        <v>8.8900192918236115E-2</v>
      </c>
      <c r="O16">
        <v>7</v>
      </c>
      <c r="P16">
        <f t="shared" si="6"/>
        <v>0.30969071880178417</v>
      </c>
      <c r="Q16">
        <f t="shared" si="7"/>
        <v>0.37175070008154887</v>
      </c>
      <c r="R16">
        <f t="shared" si="8"/>
        <v>9.0945959106875418E-2</v>
      </c>
      <c r="S16">
        <f t="shared" si="0"/>
        <v>0.5558633249295345</v>
      </c>
      <c r="T16">
        <f t="shared" si="9"/>
        <v>9.6297449612395239E-2</v>
      </c>
      <c r="V16">
        <v>7</v>
      </c>
      <c r="W16">
        <f t="shared" si="10"/>
        <v>5845.4123173836761</v>
      </c>
      <c r="X16">
        <f t="shared" si="10"/>
        <v>7016.7944640392352</v>
      </c>
      <c r="Y16">
        <f t="shared" si="10"/>
        <v>1716.6049781422735</v>
      </c>
      <c r="Z16">
        <f t="shared" si="10"/>
        <v>10491.920258044964</v>
      </c>
      <c r="AA16">
        <f t="shared" si="10"/>
        <v>1817.6143614339601</v>
      </c>
    </row>
    <row r="17" spans="1:27">
      <c r="A17" s="352" t="s">
        <v>1130</v>
      </c>
      <c r="B17" s="352"/>
      <c r="C17" s="352"/>
      <c r="D17" s="352"/>
      <c r="H17">
        <v>7.5</v>
      </c>
      <c r="I17" s="89">
        <f t="shared" si="1"/>
        <v>0.3494962675664734</v>
      </c>
      <c r="J17" s="89">
        <f t="shared" si="2"/>
        <v>0.36299549182445873</v>
      </c>
      <c r="K17" s="89">
        <f t="shared" si="3"/>
        <v>0.11445095356829424</v>
      </c>
      <c r="L17" s="89">
        <f t="shared" si="4"/>
        <v>0.56369096652938533</v>
      </c>
      <c r="M17" s="89">
        <f t="shared" si="5"/>
        <v>8.8294999439356564E-2</v>
      </c>
      <c r="O17">
        <v>7.5</v>
      </c>
      <c r="P17">
        <f t="shared" si="6"/>
        <v>0.29024263298397351</v>
      </c>
      <c r="Q17">
        <f t="shared" si="7"/>
        <v>0.35387984032923059</v>
      </c>
      <c r="R17">
        <f t="shared" si="8"/>
        <v>9.5046926659581935E-2</v>
      </c>
      <c r="S17">
        <f t="shared" si="0"/>
        <v>0.51900564627360124</v>
      </c>
      <c r="T17">
        <f t="shared" si="9"/>
        <v>9.5641898857946869E-2</v>
      </c>
      <c r="V17">
        <v>7.5</v>
      </c>
      <c r="W17">
        <f t="shared" si="10"/>
        <v>5478.3296975724998</v>
      </c>
      <c r="X17">
        <f t="shared" si="10"/>
        <v>6679.4819862142276</v>
      </c>
      <c r="Y17">
        <f t="shared" si="10"/>
        <v>1794.010740699609</v>
      </c>
      <c r="Z17">
        <f t="shared" si="10"/>
        <v>9796.231573414223</v>
      </c>
      <c r="AA17">
        <f t="shared" si="10"/>
        <v>1805.2408409437471</v>
      </c>
    </row>
    <row r="18" spans="1:27">
      <c r="A18" s="90" t="s">
        <v>861</v>
      </c>
      <c r="B18" s="90" t="s">
        <v>860</v>
      </c>
      <c r="C18" s="90" t="s">
        <v>191</v>
      </c>
      <c r="D18" s="90" t="s">
        <v>192</v>
      </c>
      <c r="H18">
        <v>8</v>
      </c>
      <c r="I18" s="89">
        <f t="shared" si="1"/>
        <v>0.32909838828763305</v>
      </c>
      <c r="J18" s="89">
        <f t="shared" si="2"/>
        <v>0.34698602835246783</v>
      </c>
      <c r="K18" s="89">
        <f t="shared" si="3"/>
        <v>0.11938914213951388</v>
      </c>
      <c r="L18" s="89">
        <f t="shared" si="4"/>
        <v>0.52867783425920967</v>
      </c>
      <c r="M18" s="89">
        <f t="shared" si="5"/>
        <v>8.7747468895569739E-2</v>
      </c>
      <c r="O18">
        <v>8</v>
      </c>
      <c r="P18">
        <f t="shared" si="6"/>
        <v>0.27330301233965915</v>
      </c>
      <c r="Q18">
        <f t="shared" si="7"/>
        <v>0.33827241129822622</v>
      </c>
      <c r="R18">
        <f t="shared" si="8"/>
        <v>9.9147894212288479E-2</v>
      </c>
      <c r="S18">
        <f t="shared" si="0"/>
        <v>0.48676810048884323</v>
      </c>
      <c r="T18">
        <f t="shared" si="9"/>
        <v>9.5048809088163669E-2</v>
      </c>
      <c r="V18">
        <v>8</v>
      </c>
      <c r="W18">
        <f t="shared" si="10"/>
        <v>5158.5943579110663</v>
      </c>
      <c r="X18">
        <f t="shared" si="10"/>
        <v>6384.8917632540197</v>
      </c>
      <c r="Y18">
        <f t="shared" si="10"/>
        <v>1871.4165032569451</v>
      </c>
      <c r="Z18">
        <f t="shared" si="10"/>
        <v>9187.7478967269162</v>
      </c>
      <c r="AA18">
        <f t="shared" si="10"/>
        <v>1794.0462715390893</v>
      </c>
    </row>
    <row r="19" spans="1:27">
      <c r="A19" s="91" t="s">
        <v>1131</v>
      </c>
      <c r="B19" s="91" t="s">
        <v>1132</v>
      </c>
      <c r="C19" s="91">
        <v>0</v>
      </c>
      <c r="D19" s="91" t="s">
        <v>66</v>
      </c>
      <c r="H19">
        <v>8.5</v>
      </c>
      <c r="I19" s="89">
        <f t="shared" si="1"/>
        <v>0.31118804015395052</v>
      </c>
      <c r="J19" s="89">
        <f t="shared" si="2"/>
        <v>0.33288858179224173</v>
      </c>
      <c r="K19" s="89">
        <f t="shared" si="3"/>
        <v>0.12432733071073349</v>
      </c>
      <c r="L19" s="89">
        <f t="shared" si="4"/>
        <v>0.49779710407852923</v>
      </c>
      <c r="M19" s="89">
        <f t="shared" si="5"/>
        <v>8.7248990027220447E-2</v>
      </c>
      <c r="O19">
        <v>8.5</v>
      </c>
      <c r="P19">
        <f t="shared" si="6"/>
        <v>0.2584291865441064</v>
      </c>
      <c r="Q19">
        <f t="shared" si="7"/>
        <v>0.32452898403771574</v>
      </c>
      <c r="R19">
        <f t="shared" si="8"/>
        <v>0.10324886176499502</v>
      </c>
      <c r="S19">
        <f t="shared" si="0"/>
        <v>0.45833537000975855</v>
      </c>
      <c r="T19">
        <f t="shared" si="9"/>
        <v>9.4508852512907887E-2</v>
      </c>
      <c r="V19">
        <v>8.5</v>
      </c>
      <c r="W19">
        <f t="shared" si="10"/>
        <v>4877.8508960200088</v>
      </c>
      <c r="X19">
        <f t="shared" si="10"/>
        <v>6125.4845737118849</v>
      </c>
      <c r="Y19">
        <f t="shared" si="10"/>
        <v>1948.8222658142811</v>
      </c>
      <c r="Z19">
        <f t="shared" si="10"/>
        <v>8651.080108934193</v>
      </c>
      <c r="AA19">
        <f t="shared" si="10"/>
        <v>1783.8545911811364</v>
      </c>
    </row>
    <row r="20" spans="1:27">
      <c r="A20" s="91" t="s">
        <v>1133</v>
      </c>
      <c r="B20" s="91" t="s">
        <v>1134</v>
      </c>
      <c r="C20" s="93">
        <v>1609</v>
      </c>
      <c r="D20" s="91" t="s">
        <v>600</v>
      </c>
      <c r="H20">
        <v>9</v>
      </c>
      <c r="I20" s="89">
        <f t="shared" si="1"/>
        <v>0.29535063464123285</v>
      </c>
      <c r="J20" s="89">
        <f t="shared" si="2"/>
        <v>0.32038448265848618</v>
      </c>
      <c r="K20" s="89">
        <f t="shared" si="3"/>
        <v>0.12926551928195312</v>
      </c>
      <c r="L20" s="89">
        <f t="shared" si="4"/>
        <v>0.47036004230576162</v>
      </c>
      <c r="M20" s="89">
        <f t="shared" si="5"/>
        <v>8.6792650696767115E-2</v>
      </c>
      <c r="O20">
        <v>9</v>
      </c>
      <c r="P20">
        <f t="shared" si="6"/>
        <v>0.24527685645585506</v>
      </c>
      <c r="Q20">
        <f t="shared" si="7"/>
        <v>0.31233889158595002</v>
      </c>
      <c r="R20">
        <f t="shared" si="8"/>
        <v>0.10734982931770155</v>
      </c>
      <c r="S20">
        <f t="shared" si="0"/>
        <v>0.43307331895206846</v>
      </c>
      <c r="T20">
        <f t="shared" si="9"/>
        <v>9.4014541845653193E-2</v>
      </c>
      <c r="V20">
        <v>9</v>
      </c>
      <c r="W20">
        <f t="shared" si="10"/>
        <v>4629.6006656042646</v>
      </c>
      <c r="X20">
        <f t="shared" si="10"/>
        <v>5895.3965786848066</v>
      </c>
      <c r="Y20">
        <f t="shared" si="10"/>
        <v>2026.2280283716168</v>
      </c>
      <c r="Z20">
        <f t="shared" si="10"/>
        <v>8174.2588952202923</v>
      </c>
      <c r="AA20">
        <f t="shared" si="10"/>
        <v>1774.524477336704</v>
      </c>
    </row>
    <row r="21" spans="1:27">
      <c r="A21" s="91" t="s">
        <v>1135</v>
      </c>
      <c r="B21" s="91" t="s">
        <v>1136</v>
      </c>
      <c r="C21" s="91">
        <f>1609/60</f>
        <v>26.816666666666666</v>
      </c>
      <c r="D21" s="91" t="s">
        <v>183</v>
      </c>
      <c r="H21">
        <v>9.5</v>
      </c>
      <c r="I21" s="89">
        <f t="shared" si="1"/>
        <v>0.28125886501985392</v>
      </c>
      <c r="J21" s="89">
        <f t="shared" si="2"/>
        <v>0.30922214977860069</v>
      </c>
      <c r="K21" s="89">
        <f t="shared" si="3"/>
        <v>0.1342037078531727</v>
      </c>
      <c r="L21" s="89">
        <f t="shared" si="4"/>
        <v>0.44582291182386791</v>
      </c>
      <c r="M21" s="89">
        <f t="shared" si="5"/>
        <v>8.6372829795049261E-2</v>
      </c>
      <c r="O21">
        <v>9.5</v>
      </c>
      <c r="P21">
        <f t="shared" si="6"/>
        <v>0.23357420696322584</v>
      </c>
      <c r="Q21">
        <f t="shared" si="7"/>
        <v>0.30145687055207493</v>
      </c>
      <c r="R21">
        <f t="shared" si="8"/>
        <v>0.11145079687040807</v>
      </c>
      <c r="S21">
        <f t="shared" si="0"/>
        <v>0.41048131372292124</v>
      </c>
      <c r="T21">
        <f t="shared" si="9"/>
        <v>9.3559788252861917E-2</v>
      </c>
      <c r="V21">
        <v>9.5</v>
      </c>
      <c r="W21">
        <f t="shared" si="10"/>
        <v>4408.7131564308875</v>
      </c>
      <c r="X21">
        <f t="shared" si="10"/>
        <v>5689.998431670414</v>
      </c>
      <c r="Y21">
        <f t="shared" si="10"/>
        <v>2103.6337909289523</v>
      </c>
      <c r="Z21">
        <f t="shared" si="10"/>
        <v>7747.8347965201383</v>
      </c>
      <c r="AA21">
        <f t="shared" si="10"/>
        <v>1765.9410032727687</v>
      </c>
    </row>
    <row r="22" spans="1:27">
      <c r="A22" s="91" t="s">
        <v>553</v>
      </c>
      <c r="B22" s="91" t="s">
        <v>1137</v>
      </c>
      <c r="C22" s="91">
        <v>270</v>
      </c>
      <c r="D22" s="91" t="s">
        <v>183</v>
      </c>
      <c r="H22">
        <v>10</v>
      </c>
      <c r="I22" s="89">
        <f t="shared" si="1"/>
        <v>0.26865088590611302</v>
      </c>
      <c r="J22" s="89">
        <f t="shared" si="2"/>
        <v>0.2992003182145046</v>
      </c>
      <c r="K22" s="89">
        <f t="shared" si="3"/>
        <v>0.13914189642439234</v>
      </c>
      <c r="L22" s="89">
        <f t="shared" si="4"/>
        <v>0.42375072293921712</v>
      </c>
      <c r="M22" s="89">
        <f t="shared" si="5"/>
        <v>8.5984902886527659E-2</v>
      </c>
      <c r="O22">
        <v>10</v>
      </c>
      <c r="P22">
        <f t="shared" si="6"/>
        <v>0.22310378597687555</v>
      </c>
      <c r="Q22">
        <f t="shared" si="7"/>
        <v>0.2916867102234067</v>
      </c>
      <c r="R22">
        <f t="shared" si="8"/>
        <v>0.11555176442311463</v>
      </c>
      <c r="S22">
        <f t="shared" si="0"/>
        <v>0.39015884744803553</v>
      </c>
      <c r="T22">
        <f t="shared" si="9"/>
        <v>9.3139582506390595E-2</v>
      </c>
      <c r="V22">
        <v>10</v>
      </c>
      <c r="W22">
        <f t="shared" si="10"/>
        <v>4211.0839603135264</v>
      </c>
      <c r="X22">
        <f t="shared" si="10"/>
        <v>5505.5866554668019</v>
      </c>
      <c r="Y22">
        <f t="shared" si="10"/>
        <v>2181.0395534862887</v>
      </c>
      <c r="Z22">
        <f t="shared" si="10"/>
        <v>7364.2482455816707</v>
      </c>
      <c r="AA22">
        <f t="shared" si="10"/>
        <v>1758.0096198081226</v>
      </c>
    </row>
    <row r="23" spans="1:27">
      <c r="A23" s="91" t="s">
        <v>157</v>
      </c>
      <c r="B23" s="91" t="s">
        <v>156</v>
      </c>
      <c r="C23" s="91">
        <f>1/2*(0.002378*(1-0.0000068756*C19)^4.2561)*(C22)^2</f>
        <v>86.678100000000001</v>
      </c>
      <c r="D23" s="91"/>
      <c r="H23">
        <v>10.5</v>
      </c>
      <c r="I23" s="89">
        <f t="shared" si="1"/>
        <v>0.25731472722749044</v>
      </c>
      <c r="J23" s="89">
        <f t="shared" si="2"/>
        <v>0.29015605920679949</v>
      </c>
      <c r="K23" s="89">
        <f t="shared" si="3"/>
        <v>0.14408008499561195</v>
      </c>
      <c r="L23" s="89">
        <f t="shared" si="4"/>
        <v>0.40379134113791715</v>
      </c>
      <c r="M23" s="89">
        <f t="shared" si="5"/>
        <v>8.5625025933361937E-2</v>
      </c>
      <c r="O23">
        <v>10.5</v>
      </c>
      <c r="P23">
        <f t="shared" si="6"/>
        <v>0.21368956085305002</v>
      </c>
      <c r="Q23">
        <f t="shared" si="7"/>
        <v>0.28286957335634422</v>
      </c>
      <c r="R23">
        <f t="shared" si="8"/>
        <v>0.11965273197582113</v>
      </c>
      <c r="S23">
        <f t="shared" si="0"/>
        <v>0.37178170027680224</v>
      </c>
      <c r="T23">
        <f t="shared" si="9"/>
        <v>9.2749760711560394E-2</v>
      </c>
      <c r="V23">
        <v>10.5</v>
      </c>
      <c r="W23">
        <f t="shared" si="10"/>
        <v>4033.390461101319</v>
      </c>
      <c r="X23">
        <f t="shared" si="10"/>
        <v>5339.1631971009974</v>
      </c>
      <c r="Y23">
        <f t="shared" si="10"/>
        <v>2258.4453160436237</v>
      </c>
      <c r="Z23">
        <f t="shared" si="10"/>
        <v>7017.379592724642</v>
      </c>
      <c r="AA23">
        <f t="shared" si="10"/>
        <v>1750.6517334307025</v>
      </c>
    </row>
    <row r="24" spans="1:27">
      <c r="H24">
        <v>11</v>
      </c>
      <c r="I24" s="89">
        <f t="shared" si="1"/>
        <v>0.24707695892465165</v>
      </c>
      <c r="J24" s="89">
        <f t="shared" si="2"/>
        <v>0.28195606740688656</v>
      </c>
      <c r="K24" s="89">
        <f t="shared" si="3"/>
        <v>0.14901827356683156</v>
      </c>
      <c r="L24" s="89">
        <f t="shared" si="4"/>
        <v>0.38565665636314778</v>
      </c>
      <c r="M24" s="89">
        <f t="shared" si="5"/>
        <v>8.5289973746088682E-2</v>
      </c>
      <c r="O24">
        <v>11</v>
      </c>
      <c r="P24">
        <f t="shared" si="6"/>
        <v>0.20518750488322302</v>
      </c>
      <c r="Q24">
        <f t="shared" si="7"/>
        <v>0.27487550220612322</v>
      </c>
      <c r="R24">
        <f t="shared" si="8"/>
        <v>0.12375369952852766</v>
      </c>
      <c r="S24">
        <f t="shared" si="0"/>
        <v>0.35508460142236004</v>
      </c>
      <c r="T24">
        <f t="shared" si="9"/>
        <v>9.2386829315549326E-2</v>
      </c>
      <c r="V24">
        <v>11</v>
      </c>
      <c r="W24">
        <f t="shared" si="10"/>
        <v>3872.9141546708343</v>
      </c>
      <c r="X24">
        <f t="shared" si="10"/>
        <v>5188.2751041405754</v>
      </c>
      <c r="Y24">
        <f t="shared" si="10"/>
        <v>2335.8510786009597</v>
      </c>
      <c r="Z24">
        <f t="shared" si="10"/>
        <v>6702.2218518470454</v>
      </c>
      <c r="AA24">
        <f t="shared" si="10"/>
        <v>1743.8014033309935</v>
      </c>
    </row>
    <row r="25" spans="1:27">
      <c r="A25" s="353" t="s">
        <v>1138</v>
      </c>
      <c r="B25" s="353"/>
      <c r="C25" s="353"/>
      <c r="D25" s="353"/>
      <c r="H25">
        <v>11.5</v>
      </c>
      <c r="I25" s="89">
        <f t="shared" si="1"/>
        <v>0.23779431268771206</v>
      </c>
      <c r="J25" s="89">
        <f t="shared" si="2"/>
        <v>0.27449022100505388</v>
      </c>
      <c r="K25" s="89">
        <f t="shared" si="3"/>
        <v>0.15395646213805117</v>
      </c>
      <c r="L25" s="89">
        <f t="shared" si="4"/>
        <v>0.36910866465492642</v>
      </c>
      <c r="M25" s="89">
        <f t="shared" si="5"/>
        <v>8.4977017513599387E-2</v>
      </c>
      <c r="O25">
        <v>11.5</v>
      </c>
      <c r="P25">
        <f t="shared" si="6"/>
        <v>0.19747863948209052</v>
      </c>
      <c r="Q25">
        <f t="shared" si="7"/>
        <v>0.26759714037489485</v>
      </c>
      <c r="R25">
        <f t="shared" si="8"/>
        <v>0.12785466708123419</v>
      </c>
      <c r="S25">
        <f t="shared" si="0"/>
        <v>0.33984841414773587</v>
      </c>
      <c r="T25">
        <f t="shared" si="9"/>
        <v>9.2047832446816538E-2</v>
      </c>
      <c r="V25">
        <v>11.5</v>
      </c>
      <c r="W25">
        <f t="shared" si="10"/>
        <v>3727.4093202244585</v>
      </c>
      <c r="X25">
        <f t="shared" si="10"/>
        <v>5050.89602457614</v>
      </c>
      <c r="Y25">
        <f t="shared" si="10"/>
        <v>2413.2568411582952</v>
      </c>
      <c r="Z25">
        <f t="shared" si="10"/>
        <v>6414.6388170385144</v>
      </c>
      <c r="AA25">
        <f t="shared" si="10"/>
        <v>1737.4028374336622</v>
      </c>
    </row>
    <row r="26" spans="1:27">
      <c r="A26" s="90" t="s">
        <v>861</v>
      </c>
      <c r="B26" s="90" t="s">
        <v>860</v>
      </c>
      <c r="C26" s="90" t="s">
        <v>191</v>
      </c>
      <c r="D26" s="90" t="s">
        <v>192</v>
      </c>
      <c r="H26">
        <v>12</v>
      </c>
      <c r="I26" s="89">
        <f t="shared" si="1"/>
        <v>0.22934739825843423</v>
      </c>
      <c r="J26" s="89">
        <f t="shared" si="2"/>
        <v>0.26766675182654132</v>
      </c>
      <c r="K26" s="89">
        <f t="shared" si="3"/>
        <v>0.15889465070927081</v>
      </c>
      <c r="L26" s="89">
        <f t="shared" si="4"/>
        <v>0.35394902937993483</v>
      </c>
      <c r="M26" s="89">
        <f t="shared" si="5"/>
        <v>8.468383071010159E-2</v>
      </c>
      <c r="O26">
        <v>12</v>
      </c>
      <c r="P26">
        <f t="shared" si="6"/>
        <v>0.19046381582856581</v>
      </c>
      <c r="Q26">
        <f t="shared" si="7"/>
        <v>0.26094502419778492</v>
      </c>
      <c r="R26">
        <f t="shared" si="8"/>
        <v>0.13195563463394072</v>
      </c>
      <c r="S26">
        <f t="shared" si="0"/>
        <v>0.32589052450545269</v>
      </c>
      <c r="T26">
        <f t="shared" si="9"/>
        <v>9.1730249992717533E-2</v>
      </c>
      <c r="V26">
        <v>12</v>
      </c>
      <c r="W26">
        <f t="shared" si="10"/>
        <v>3595.0045237641798</v>
      </c>
      <c r="X26">
        <f t="shared" si="10"/>
        <v>4925.3373317331907</v>
      </c>
      <c r="Y26">
        <f t="shared" si="10"/>
        <v>2490.6626037156311</v>
      </c>
      <c r="Z26">
        <f t="shared" si="10"/>
        <v>6151.1836500404197</v>
      </c>
      <c r="AA26">
        <f t="shared" si="10"/>
        <v>1731.4084686125434</v>
      </c>
    </row>
    <row r="27" spans="1:27">
      <c r="A27" s="91" t="s">
        <v>1139</v>
      </c>
      <c r="B27" s="91" t="s">
        <v>1132</v>
      </c>
      <c r="C27" s="91">
        <v>0</v>
      </c>
      <c r="D27" s="91" t="s">
        <v>66</v>
      </c>
      <c r="H27">
        <v>12.5</v>
      </c>
      <c r="I27" s="89">
        <f t="shared" si="1"/>
        <v>0.22163592781989863</v>
      </c>
      <c r="J27" s="89">
        <f t="shared" si="2"/>
        <v>0.26140857460455047</v>
      </c>
      <c r="K27" s="89">
        <f t="shared" si="3"/>
        <v>0.16383283928049042</v>
      </c>
      <c r="L27" s="89">
        <f t="shared" si="4"/>
        <v>0.3400111477661853</v>
      </c>
      <c r="M27" s="89">
        <f t="shared" si="5"/>
        <v>8.4408415922108224E-2</v>
      </c>
      <c r="O27">
        <v>12.5</v>
      </c>
      <c r="P27">
        <f t="shared" si="6"/>
        <v>0.18405974891293569</v>
      </c>
      <c r="Q27">
        <f t="shared" si="7"/>
        <v>0.25484400419629932</v>
      </c>
      <c r="R27">
        <f t="shared" si="8"/>
        <v>0.13605660218664725</v>
      </c>
      <c r="S27">
        <f t="shared" si="0"/>
        <v>0.31305753677962955</v>
      </c>
      <c r="T27">
        <f t="shared" si="9"/>
        <v>9.1431918337872939E-2</v>
      </c>
      <c r="V27">
        <v>12.5</v>
      </c>
      <c r="W27">
        <f t="shared" si="10"/>
        <v>3474.1277607316611</v>
      </c>
      <c r="X27">
        <f t="shared" si="10"/>
        <v>4810.18057920515</v>
      </c>
      <c r="Y27">
        <f t="shared" si="10"/>
        <v>2568.0683662729671</v>
      </c>
      <c r="Z27">
        <f t="shared" si="10"/>
        <v>5908.9610067155081</v>
      </c>
      <c r="AA27">
        <f t="shared" si="10"/>
        <v>1725.7774586273517</v>
      </c>
    </row>
    <row r="28" spans="1:27">
      <c r="A28" s="91" t="s">
        <v>1140</v>
      </c>
      <c r="B28" s="91" t="s">
        <v>1141</v>
      </c>
      <c r="C28" s="93">
        <v>2000</v>
      </c>
      <c r="D28" s="91" t="s">
        <v>66</v>
      </c>
      <c r="H28">
        <v>13</v>
      </c>
      <c r="I28" s="89">
        <f t="shared" si="1"/>
        <v>0.21457504245009662</v>
      </c>
      <c r="J28" s="89">
        <f t="shared" si="2"/>
        <v>0.25565046334409813</v>
      </c>
      <c r="K28" s="89">
        <f t="shared" si="3"/>
        <v>0.16877102785171005</v>
      </c>
      <c r="L28" s="89">
        <f t="shared" si="4"/>
        <v>0.32715404823738076</v>
      </c>
      <c r="M28" s="89">
        <f t="shared" si="5"/>
        <v>8.414904731180084E-2</v>
      </c>
      <c r="O28">
        <v>13</v>
      </c>
      <c r="P28">
        <f t="shared" si="6"/>
        <v>0.17819596680390482</v>
      </c>
      <c r="Q28">
        <f t="shared" si="7"/>
        <v>0.24923049235017361</v>
      </c>
      <c r="R28">
        <f t="shared" si="8"/>
        <v>0.14015756973935381</v>
      </c>
      <c r="S28">
        <f t="shared" si="0"/>
        <v>0.30121965459529021</v>
      </c>
      <c r="T28">
        <f t="shared" si="9"/>
        <v>9.1150968039991315E-2</v>
      </c>
      <c r="V28">
        <v>13</v>
      </c>
      <c r="W28">
        <f t="shared" si="10"/>
        <v>3363.4488734237034</v>
      </c>
      <c r="X28">
        <f t="shared" si="10"/>
        <v>4704.2255431095273</v>
      </c>
      <c r="Y28">
        <f t="shared" si="10"/>
        <v>2645.474128830303</v>
      </c>
      <c r="Z28">
        <f t="shared" si="10"/>
        <v>5685.5209804861024</v>
      </c>
      <c r="AA28">
        <f t="shared" si="10"/>
        <v>1720.4745217548361</v>
      </c>
    </row>
    <row r="29" spans="1:27">
      <c r="A29" s="91" t="s">
        <v>847</v>
      </c>
      <c r="B29" s="91" t="s">
        <v>1142</v>
      </c>
      <c r="C29" s="92">
        <v>0.8</v>
      </c>
      <c r="D29" s="91"/>
      <c r="H29">
        <v>13.5</v>
      </c>
      <c r="I29" s="89">
        <f t="shared" si="1"/>
        <v>0.20809245491916889</v>
      </c>
      <c r="J29" s="89">
        <f t="shared" si="2"/>
        <v>0.25033685516056886</v>
      </c>
      <c r="K29" s="89">
        <f t="shared" si="3"/>
        <v>0.17370921642292966</v>
      </c>
      <c r="L29" s="89">
        <f t="shared" si="4"/>
        <v>0.31525764389519384</v>
      </c>
      <c r="M29" s="89">
        <f t="shared" si="5"/>
        <v>8.3904224915371681E-2</v>
      </c>
      <c r="O29">
        <v>13.5</v>
      </c>
      <c r="P29">
        <f t="shared" si="6"/>
        <v>0.17281243785629546</v>
      </c>
      <c r="Q29">
        <f t="shared" si="7"/>
        <v>0.24405032108659008</v>
      </c>
      <c r="R29">
        <f t="shared" si="8"/>
        <v>0.14425853729206031</v>
      </c>
      <c r="S29">
        <f t="shared" si="0"/>
        <v>0.2902663106700476</v>
      </c>
      <c r="T29">
        <f t="shared" si="9"/>
        <v>9.0885774325442176E-2</v>
      </c>
      <c r="V29">
        <v>13.5</v>
      </c>
      <c r="W29">
        <f t="shared" si="10"/>
        <v>3261.834764537577</v>
      </c>
      <c r="X29">
        <f t="shared" si="10"/>
        <v>4606.449810509388</v>
      </c>
      <c r="Y29">
        <f t="shared" si="10"/>
        <v>2722.8798913876385</v>
      </c>
      <c r="Z29">
        <f t="shared" si="10"/>
        <v>5478.7766138971483</v>
      </c>
      <c r="AA29">
        <f t="shared" si="10"/>
        <v>1715.468990392721</v>
      </c>
    </row>
    <row r="30" spans="1:27">
      <c r="A30" s="91" t="s">
        <v>1143</v>
      </c>
      <c r="B30" s="91" t="s">
        <v>1144</v>
      </c>
      <c r="C30" s="92">
        <v>3.2500000000000001E-2</v>
      </c>
      <c r="D30" s="91"/>
      <c r="H30">
        <v>14</v>
      </c>
      <c r="I30" s="89">
        <f t="shared" si="1"/>
        <v>0.20212620474437895</v>
      </c>
      <c r="J30" s="89">
        <f t="shared" si="2"/>
        <v>0.24542012472429231</v>
      </c>
      <c r="K30" s="89">
        <f t="shared" si="3"/>
        <v>0.17864740499414927</v>
      </c>
      <c r="L30" s="89">
        <f t="shared" si="4"/>
        <v>0.30421900311248712</v>
      </c>
      <c r="M30" s="89">
        <f t="shared" si="5"/>
        <v>8.367263800290492E-2</v>
      </c>
      <c r="O30">
        <v>14</v>
      </c>
      <c r="P30">
        <f t="shared" si="6"/>
        <v>0.16785770637424102</v>
      </c>
      <c r="Q30">
        <f t="shared" si="7"/>
        <v>0.23925706105741917</v>
      </c>
      <c r="R30">
        <f t="shared" si="8"/>
        <v>0.14835950484476684</v>
      </c>
      <c r="S30">
        <f t="shared" si="0"/>
        <v>0.28010273304756994</v>
      </c>
      <c r="T30">
        <f t="shared" si="9"/>
        <v>9.0634917400365889E-2</v>
      </c>
      <c r="V30">
        <v>14</v>
      </c>
      <c r="W30">
        <f t="shared" si="10"/>
        <v>3168.3142078137994</v>
      </c>
      <c r="X30">
        <f t="shared" si="10"/>
        <v>4515.9770274587872</v>
      </c>
      <c r="Y30">
        <f t="shared" si="10"/>
        <v>2800.285653944974</v>
      </c>
      <c r="Z30">
        <f t="shared" si="10"/>
        <v>5286.9390862728824</v>
      </c>
      <c r="AA30">
        <f t="shared" si="10"/>
        <v>1710.7340659319061</v>
      </c>
    </row>
    <row r="31" spans="1:27">
      <c r="A31" s="94" t="s">
        <v>1145</v>
      </c>
      <c r="B31" s="91" t="s">
        <v>200</v>
      </c>
      <c r="C31" s="91">
        <f>0.002378*(1-0.0000068756*C27)^4.2561</f>
        <v>2.3779999999999999E-3</v>
      </c>
      <c r="D31" s="91"/>
      <c r="H31">
        <v>14.5</v>
      </c>
      <c r="I31" s="89">
        <f t="shared" si="1"/>
        <v>0.19662287771647111</v>
      </c>
      <c r="J31" s="89">
        <f t="shared" si="2"/>
        <v>0.24085921571658719</v>
      </c>
      <c r="K31" s="89">
        <f t="shared" si="3"/>
        <v>0.18358559356536888</v>
      </c>
      <c r="L31" s="89">
        <f t="shared" si="4"/>
        <v>0.29394939172793494</v>
      </c>
      <c r="M31" s="89">
        <f t="shared" si="5"/>
        <v>8.3453135450222704E-2</v>
      </c>
      <c r="O31">
        <v>14.5</v>
      </c>
      <c r="P31">
        <f t="shared" si="6"/>
        <v>0.16328741399923583</v>
      </c>
      <c r="Q31">
        <f t="shared" si="7"/>
        <v>0.23481068696254923</v>
      </c>
      <c r="R31">
        <f t="shared" si="8"/>
        <v>0.1524604723974734</v>
      </c>
      <c r="S31">
        <f t="shared" si="0"/>
        <v>0.27064722176550232</v>
      </c>
      <c r="T31">
        <f t="shared" si="9"/>
        <v>9.039715035720379E-2</v>
      </c>
      <c r="V31">
        <v>14.5</v>
      </c>
      <c r="W31">
        <f t="shared" si="10"/>
        <v>3082.0499392355764</v>
      </c>
      <c r="X31">
        <f t="shared" si="10"/>
        <v>4432.0517164181165</v>
      </c>
      <c r="Y31">
        <f t="shared" si="10"/>
        <v>2877.6914165023104</v>
      </c>
      <c r="Z31">
        <f t="shared" si="10"/>
        <v>5108.4663108238565</v>
      </c>
      <c r="AA31">
        <f t="shared" si="10"/>
        <v>1706.2462129922214</v>
      </c>
    </row>
    <row r="32" spans="1:27">
      <c r="A32" s="94" t="s">
        <v>1146</v>
      </c>
      <c r="B32" s="91" t="s">
        <v>1147</v>
      </c>
      <c r="C32" s="92">
        <v>0.04</v>
      </c>
      <c r="D32" s="91"/>
      <c r="H32">
        <v>15</v>
      </c>
      <c r="I32" s="89">
        <f t="shared" si="1"/>
        <v>0.19153618152075721</v>
      </c>
      <c r="J32" s="89">
        <f t="shared" si="2"/>
        <v>0.23661854599459639</v>
      </c>
      <c r="K32" s="89">
        <f t="shared" si="3"/>
        <v>0.18852378213658849</v>
      </c>
      <c r="L32" s="89">
        <f t="shared" si="4"/>
        <v>0.28437190680172186</v>
      </c>
      <c r="M32" s="89">
        <f t="shared" si="5"/>
        <v>8.3244701590059311E-2</v>
      </c>
      <c r="O32">
        <v>15</v>
      </c>
      <c r="P32">
        <f t="shared" si="6"/>
        <v>0.15906311682057492</v>
      </c>
      <c r="Q32">
        <f t="shared" si="7"/>
        <v>0.23067651020855026</v>
      </c>
      <c r="R32">
        <f t="shared" si="8"/>
        <v>0.15656143995017993</v>
      </c>
      <c r="S32">
        <f t="shared" si="0"/>
        <v>0.26182897018980356</v>
      </c>
      <c r="T32">
        <f t="shared" si="9"/>
        <v>9.0171373016483494E-2</v>
      </c>
      <c r="V32">
        <v>15</v>
      </c>
      <c r="W32">
        <f t="shared" si="10"/>
        <v>3002.3163299883518</v>
      </c>
      <c r="X32">
        <f t="shared" si="10"/>
        <v>4354.0191301863861</v>
      </c>
      <c r="Y32">
        <f t="shared" si="10"/>
        <v>2955.0971790596464</v>
      </c>
      <c r="Z32">
        <f t="shared" si="10"/>
        <v>4942.0218123325421</v>
      </c>
      <c r="AA32">
        <f t="shared" si="10"/>
        <v>1701.9846656861259</v>
      </c>
    </row>
    <row r="33" spans="1:27">
      <c r="H33">
        <v>15.5</v>
      </c>
      <c r="I33" s="89">
        <f t="shared" si="1"/>
        <v>0.18682579704444424</v>
      </c>
      <c r="J33" s="89">
        <f t="shared" si="2"/>
        <v>0.23266712465970232</v>
      </c>
      <c r="K33" s="89">
        <f t="shared" si="3"/>
        <v>0.19346197070780813</v>
      </c>
      <c r="L33" s="89">
        <f t="shared" si="4"/>
        <v>0.27541956835400866</v>
      </c>
      <c r="M33" s="89">
        <f t="shared" si="5"/>
        <v>8.3046436383901287E-2</v>
      </c>
      <c r="O33">
        <v>15.5</v>
      </c>
      <c r="P33">
        <f t="shared" si="6"/>
        <v>0.15515133143216051</v>
      </c>
      <c r="Q33">
        <f t="shared" si="7"/>
        <v>0.22682431814953138</v>
      </c>
      <c r="R33">
        <f t="shared" si="8"/>
        <v>0.16066240750288646</v>
      </c>
      <c r="S33">
        <f t="shared" si="0"/>
        <v>0.2535863080263091</v>
      </c>
      <c r="T33">
        <f t="shared" si="9"/>
        <v>8.9956610448786334E-2</v>
      </c>
      <c r="V33">
        <v>15.5</v>
      </c>
      <c r="W33">
        <f t="shared" si="10"/>
        <v>2928.4813807820296</v>
      </c>
      <c r="X33">
        <f t="shared" si="10"/>
        <v>4281.3090050724049</v>
      </c>
      <c r="Y33">
        <f t="shared" si="10"/>
        <v>3032.5029416169818</v>
      </c>
      <c r="Z33">
        <f t="shared" si="10"/>
        <v>4786.4415639965846</v>
      </c>
      <c r="AA33">
        <f t="shared" si="10"/>
        <v>1697.9310222208421</v>
      </c>
    </row>
    <row r="34" spans="1:27">
      <c r="A34" s="354" t="s">
        <v>1148</v>
      </c>
      <c r="B34" s="354"/>
      <c r="C34" s="354"/>
      <c r="D34" s="354"/>
      <c r="H34">
        <v>16</v>
      </c>
      <c r="I34" s="89">
        <f t="shared" si="1"/>
        <v>0.1824564450638384</v>
      </c>
      <c r="J34" s="89">
        <f t="shared" si="2"/>
        <v>0.22897783467561472</v>
      </c>
      <c r="K34" s="89">
        <f t="shared" si="3"/>
        <v>0.19840015927902774</v>
      </c>
      <c r="L34" s="89">
        <f t="shared" si="4"/>
        <v>0.26703376890243591</v>
      </c>
      <c r="M34" s="89">
        <f t="shared" si="5"/>
        <v>8.2857539029640881E-2</v>
      </c>
      <c r="O34">
        <v>16</v>
      </c>
      <c r="P34">
        <f t="shared" si="6"/>
        <v>0.15152275985365693</v>
      </c>
      <c r="Q34">
        <f t="shared" si="7"/>
        <v>0.2232276747203383</v>
      </c>
      <c r="R34">
        <f t="shared" si="8"/>
        <v>0.16476337505559299</v>
      </c>
      <c r="S34">
        <f t="shared" si="0"/>
        <v>0.2458652737676246</v>
      </c>
      <c r="T34">
        <f t="shared" si="9"/>
        <v>8.975199521841741E-2</v>
      </c>
      <c r="V34">
        <v>16</v>
      </c>
      <c r="W34">
        <f t="shared" si="10"/>
        <v>2859.9920922377746</v>
      </c>
      <c r="X34">
        <f t="shared" si="10"/>
        <v>4213.4223603463852</v>
      </c>
      <c r="Y34">
        <f t="shared" si="10"/>
        <v>3109.9087041743178</v>
      </c>
      <c r="Z34">
        <f t="shared" si="10"/>
        <v>4640.7070423639143</v>
      </c>
      <c r="AA34">
        <f t="shared" si="10"/>
        <v>1694.0689097476286</v>
      </c>
    </row>
    <row r="35" spans="1:27">
      <c r="A35" s="90" t="s">
        <v>861</v>
      </c>
      <c r="B35" s="90" t="s">
        <v>860</v>
      </c>
      <c r="C35" s="90" t="s">
        <v>191</v>
      </c>
      <c r="D35" s="90" t="s">
        <v>192</v>
      </c>
      <c r="H35">
        <v>16.5</v>
      </c>
      <c r="I35" s="89">
        <f t="shared" si="1"/>
        <v>0.17839712262478452</v>
      </c>
      <c r="J35" s="89">
        <f t="shared" si="2"/>
        <v>0.22552684591953301</v>
      </c>
      <c r="K35" s="89">
        <f t="shared" si="3"/>
        <v>0.20333834785024735</v>
      </c>
      <c r="L35" s="89">
        <f t="shared" si="4"/>
        <v>0.25916300490190003</v>
      </c>
      <c r="M35" s="89">
        <f t="shared" si="5"/>
        <v>8.2677294322903841E-2</v>
      </c>
      <c r="O35">
        <v>16.5</v>
      </c>
      <c r="P35">
        <f t="shared" si="6"/>
        <v>0.14815165537507241</v>
      </c>
      <c r="Q35">
        <f t="shared" si="7"/>
        <v>0.21986334822735051</v>
      </c>
      <c r="R35">
        <f t="shared" si="8"/>
        <v>0.16886434260829952</v>
      </c>
      <c r="S35">
        <f t="shared" ref="S35:S66" si="11">(L35*$C$37*1.688)/(550)</f>
        <v>0.23861844669513119</v>
      </c>
      <c r="T35">
        <f t="shared" si="9"/>
        <v>8.9556752609879151E-2</v>
      </c>
      <c r="V35">
        <v>16.5</v>
      </c>
      <c r="W35">
        <f t="shared" si="10"/>
        <v>2796.3624952044916</v>
      </c>
      <c r="X35">
        <f t="shared" si="10"/>
        <v>4149.9206977912409</v>
      </c>
      <c r="Y35">
        <f t="shared" si="10"/>
        <v>3187.3144667316533</v>
      </c>
      <c r="Z35">
        <f t="shared" si="10"/>
        <v>4503.923181370601</v>
      </c>
      <c r="AA35">
        <f t="shared" si="10"/>
        <v>1690.3837055114689</v>
      </c>
    </row>
    <row r="36" spans="1:27">
      <c r="A36" s="91" t="s">
        <v>1149</v>
      </c>
      <c r="B36" s="91" t="s">
        <v>871</v>
      </c>
      <c r="C36" s="93">
        <v>15000</v>
      </c>
      <c r="D36" s="91" t="s">
        <v>66</v>
      </c>
      <c r="H36">
        <v>17</v>
      </c>
      <c r="I36" s="89">
        <f t="shared" si="1"/>
        <v>0.17462047417949852</v>
      </c>
      <c r="J36" s="89">
        <f t="shared" si="2"/>
        <v>0.22229313181251542</v>
      </c>
      <c r="K36" s="89">
        <f t="shared" si="3"/>
        <v>0.20827653642146698</v>
      </c>
      <c r="L36" s="89">
        <f t="shared" si="4"/>
        <v>0.25176183204789765</v>
      </c>
      <c r="M36" s="89">
        <f t="shared" si="5"/>
        <v>8.2505061241552907E-2</v>
      </c>
      <c r="O36">
        <v>17</v>
      </c>
      <c r="P36">
        <f t="shared" si="6"/>
        <v>0.14501530031111981</v>
      </c>
      <c r="Q36">
        <f t="shared" si="7"/>
        <v>0.21671084011737332</v>
      </c>
      <c r="R36">
        <f t="shared" si="8"/>
        <v>0.17296531016100605</v>
      </c>
      <c r="S36">
        <f t="shared" si="11"/>
        <v>0.23180398499828248</v>
      </c>
      <c r="T36">
        <f t="shared" si="9"/>
        <v>8.9370188262507783E-2</v>
      </c>
      <c r="V36">
        <v>17</v>
      </c>
      <c r="W36">
        <f t="shared" si="10"/>
        <v>2737.1637933723864</v>
      </c>
      <c r="X36">
        <f t="shared" si="10"/>
        <v>4090.4171072154213</v>
      </c>
      <c r="Y36">
        <f t="shared" si="10"/>
        <v>3264.7202292889892</v>
      </c>
      <c r="Z36">
        <f t="shared" si="10"/>
        <v>4375.3002168425819</v>
      </c>
      <c r="AA36">
        <f t="shared" si="10"/>
        <v>1686.8623034548343</v>
      </c>
    </row>
    <row r="37" spans="1:27">
      <c r="A37" s="91" t="s">
        <v>238</v>
      </c>
      <c r="B37" s="91" t="s">
        <v>1150</v>
      </c>
      <c r="C37" s="93">
        <v>300</v>
      </c>
      <c r="D37" s="91" t="s">
        <v>596</v>
      </c>
      <c r="H37">
        <v>17.5</v>
      </c>
      <c r="I37" s="89">
        <f t="shared" si="1"/>
        <v>0.17110227052851465</v>
      </c>
      <c r="J37" s="89">
        <f t="shared" si="2"/>
        <v>0.21925806881321372</v>
      </c>
      <c r="K37" s="89">
        <f t="shared" si="3"/>
        <v>0.21321472499268659</v>
      </c>
      <c r="L37" s="89">
        <f t="shared" si="4"/>
        <v>0.24478999967072601</v>
      </c>
      <c r="M37" s="89">
        <f t="shared" si="5"/>
        <v>8.2340263337401784E-2</v>
      </c>
      <c r="O37">
        <v>17.5</v>
      </c>
      <c r="P37">
        <f t="shared" si="6"/>
        <v>0.14209357328340222</v>
      </c>
      <c r="Q37">
        <f t="shared" si="7"/>
        <v>0.21375199452900595</v>
      </c>
      <c r="R37">
        <f t="shared" si="8"/>
        <v>0.17706627771371261</v>
      </c>
      <c r="S37">
        <f t="shared" si="11"/>
        <v>0.22538482878773755</v>
      </c>
      <c r="T37">
        <f t="shared" si="9"/>
        <v>8.9191677762695751E-2</v>
      </c>
      <c r="V37">
        <v>17.5</v>
      </c>
      <c r="W37">
        <f t="shared" si="10"/>
        <v>2682.0161957242167</v>
      </c>
      <c r="X37">
        <f t="shared" si="10"/>
        <v>4034.5688967349874</v>
      </c>
      <c r="Y37">
        <f t="shared" si="10"/>
        <v>3342.1259918463256</v>
      </c>
      <c r="Z37">
        <f t="shared" si="10"/>
        <v>4254.1386433685466</v>
      </c>
      <c r="AA37">
        <f t="shared" si="10"/>
        <v>1683.4929177708823</v>
      </c>
    </row>
    <row r="38" spans="1:27">
      <c r="A38" s="91" t="s">
        <v>157</v>
      </c>
      <c r="B38" s="91" t="s">
        <v>156</v>
      </c>
      <c r="C38" s="91">
        <f>1/2*(0.002378*(1-0.0000068756*C36)^4.2561)*(C37*1.668)^2</f>
        <v>187.33556139045533</v>
      </c>
      <c r="D38" s="91"/>
      <c r="H38">
        <v>18</v>
      </c>
      <c r="I38" s="89">
        <f t="shared" si="1"/>
        <v>0.16782097460564105</v>
      </c>
      <c r="J38" s="89">
        <f t="shared" si="2"/>
        <v>0.21640510266265145</v>
      </c>
      <c r="K38" s="89">
        <f t="shared" si="3"/>
        <v>0.21815291356390623</v>
      </c>
      <c r="L38" s="89">
        <f t="shared" si="4"/>
        <v>0.2382117293973158</v>
      </c>
      <c r="M38" s="89">
        <f t="shared" si="5"/>
        <v>8.2182380606467223E-2</v>
      </c>
      <c r="O38">
        <v>18</v>
      </c>
      <c r="P38">
        <f t="shared" si="6"/>
        <v>0.13936858862223331</v>
      </c>
      <c r="Q38">
        <f t="shared" si="7"/>
        <v>0.2109706729187808</v>
      </c>
      <c r="R38">
        <f t="shared" si="8"/>
        <v>0.18116724526641917</v>
      </c>
      <c r="S38">
        <f t="shared" si="11"/>
        <v>0.21932803593963768</v>
      </c>
      <c r="T38">
        <f t="shared" si="9"/>
        <v>8.9020657837679151E-2</v>
      </c>
      <c r="V38">
        <v>18</v>
      </c>
      <c r="W38">
        <f t="shared" si="10"/>
        <v>2630.5821102446539</v>
      </c>
      <c r="X38">
        <f t="shared" si="10"/>
        <v>3982.0714513419875</v>
      </c>
      <c r="Y38">
        <f t="shared" si="10"/>
        <v>3419.531754403662</v>
      </c>
      <c r="Z38">
        <f t="shared" si="10"/>
        <v>4139.8166783606612</v>
      </c>
      <c r="AA38">
        <f t="shared" si="10"/>
        <v>1680.2649166861941</v>
      </c>
    </row>
    <row r="39" spans="1:27">
      <c r="H39">
        <v>18.5</v>
      </c>
      <c r="I39" s="89">
        <f t="shared" si="1"/>
        <v>0.16475737767616605</v>
      </c>
      <c r="J39" s="89">
        <f t="shared" si="2"/>
        <v>0.21371946875147144</v>
      </c>
      <c r="K39" s="89">
        <f t="shared" si="3"/>
        <v>0.22309110213512581</v>
      </c>
      <c r="L39" s="89">
        <f t="shared" si="4"/>
        <v>0.23199511078682156</v>
      </c>
      <c r="M39" s="89">
        <f t="shared" si="5"/>
        <v>8.2030942576182472E-2</v>
      </c>
      <c r="O39">
        <v>18.5</v>
      </c>
      <c r="P39">
        <f t="shared" si="6"/>
        <v>0.13682439424383894</v>
      </c>
      <c r="Q39">
        <f t="shared" si="7"/>
        <v>0.20835248145063234</v>
      </c>
      <c r="R39">
        <f t="shared" si="8"/>
        <v>0.18526821281912564</v>
      </c>
      <c r="S39">
        <f t="shared" si="11"/>
        <v>0.21360422564081169</v>
      </c>
      <c r="T39">
        <f t="shared" si="9"/>
        <v>8.885661886754824E-2</v>
      </c>
      <c r="V39">
        <v>18.5</v>
      </c>
      <c r="W39">
        <f t="shared" si="10"/>
        <v>2582.5604413524597</v>
      </c>
      <c r="X39">
        <f t="shared" si="10"/>
        <v>3932.6530873806855</v>
      </c>
      <c r="Y39">
        <f t="shared" si="10"/>
        <v>3496.9375169609966</v>
      </c>
      <c r="Z39">
        <f t="shared" si="10"/>
        <v>4031.7797589703205</v>
      </c>
      <c r="AA39">
        <f t="shared" si="10"/>
        <v>1677.1686811249731</v>
      </c>
    </row>
    <row r="40" spans="1:27">
      <c r="A40" s="348" t="s">
        <v>1151</v>
      </c>
      <c r="B40" s="348"/>
      <c r="C40" s="348"/>
      <c r="D40" s="348"/>
      <c r="H40">
        <v>19</v>
      </c>
      <c r="I40" s="89">
        <f t="shared" si="1"/>
        <v>0.16189429297745295</v>
      </c>
      <c r="J40" s="89">
        <f t="shared" si="2"/>
        <v>0.21118795663972245</v>
      </c>
      <c r="K40" s="89">
        <f t="shared" si="3"/>
        <v>0.22802929070634542</v>
      </c>
      <c r="L40" s="89">
        <f t="shared" si="4"/>
        <v>0.22611159239217091</v>
      </c>
      <c r="M40" s="89">
        <f t="shared" si="5"/>
        <v>8.1885522399978677E-2</v>
      </c>
      <c r="O40">
        <v>19</v>
      </c>
      <c r="P40">
        <f t="shared" si="6"/>
        <v>0.13444671723115792</v>
      </c>
      <c r="Q40">
        <f t="shared" si="7"/>
        <v>0.20588454142913348</v>
      </c>
      <c r="R40">
        <f t="shared" si="8"/>
        <v>0.18936918037183217</v>
      </c>
      <c r="S40">
        <f t="shared" si="11"/>
        <v>0.20818710979526425</v>
      </c>
      <c r="T40">
        <f t="shared" si="9"/>
        <v>8.8699098488447495E-2</v>
      </c>
      <c r="V40">
        <v>19</v>
      </c>
      <c r="W40">
        <f t="shared" si="10"/>
        <v>2537.6817877381059</v>
      </c>
      <c r="X40">
        <f t="shared" si="10"/>
        <v>3886.0707194748943</v>
      </c>
      <c r="Y40">
        <f t="shared" si="10"/>
        <v>3574.3432795183321</v>
      </c>
      <c r="Z40">
        <f t="shared" si="10"/>
        <v>3929.5316973856129</v>
      </c>
      <c r="AA40">
        <f t="shared" si="10"/>
        <v>1674.1954839694465</v>
      </c>
    </row>
    <row r="41" spans="1:27">
      <c r="A41" s="90" t="s">
        <v>861</v>
      </c>
      <c r="B41" s="90" t="s">
        <v>860</v>
      </c>
      <c r="C41" s="90" t="s">
        <v>191</v>
      </c>
      <c r="D41" s="90" t="s">
        <v>192</v>
      </c>
      <c r="H41">
        <v>19.5</v>
      </c>
      <c r="I41" s="89">
        <f t="shared" si="1"/>
        <v>0.15921629649175081</v>
      </c>
      <c r="J41" s="89">
        <f t="shared" si="2"/>
        <v>0.20879871080437132</v>
      </c>
      <c r="K41" s="89">
        <f t="shared" si="3"/>
        <v>0.23296747927756506</v>
      </c>
      <c r="L41" s="89">
        <f t="shared" si="4"/>
        <v>0.22053555111983747</v>
      </c>
      <c r="M41" s="89">
        <f t="shared" si="5"/>
        <v>8.1745731790217754E-2</v>
      </c>
      <c r="O41">
        <v>19.5</v>
      </c>
      <c r="P41">
        <f t="shared" si="6"/>
        <v>0.13222274855605848</v>
      </c>
      <c r="Q41">
        <f t="shared" si="7"/>
        <v>0.20355529505069578</v>
      </c>
      <c r="R41">
        <f t="shared" si="8"/>
        <v>0.19347014792453873</v>
      </c>
      <c r="S41">
        <f t="shared" si="11"/>
        <v>0.20305309652197398</v>
      </c>
      <c r="T41">
        <f t="shared" si="9"/>
        <v>8.8547676103885073E-2</v>
      </c>
      <c r="V41">
        <v>19.5</v>
      </c>
      <c r="W41">
        <f t="shared" si="10"/>
        <v>2495.7043789956037</v>
      </c>
      <c r="X41">
        <f t="shared" si="10"/>
        <v>3842.1061940818827</v>
      </c>
      <c r="Y41">
        <f t="shared" si="10"/>
        <v>3651.7490420756685</v>
      </c>
      <c r="Z41">
        <f t="shared" si="10"/>
        <v>3832.6271968522587</v>
      </c>
      <c r="AA41">
        <f t="shared" si="10"/>
        <v>1671.3373864608307</v>
      </c>
    </row>
    <row r="42" spans="1:27">
      <c r="A42" s="91" t="s">
        <v>1152</v>
      </c>
      <c r="B42" s="91" t="s">
        <v>871</v>
      </c>
      <c r="C42" s="93">
        <v>20000</v>
      </c>
      <c r="D42" s="91" t="s">
        <v>66</v>
      </c>
      <c r="H42">
        <v>20</v>
      </c>
      <c r="I42" s="89">
        <f t="shared" si="1"/>
        <v>0.15670950660308386</v>
      </c>
      <c r="J42" s="89">
        <f t="shared" si="2"/>
        <v>0.20654106127468816</v>
      </c>
      <c r="K42" s="89">
        <f t="shared" si="3"/>
        <v>0.23790566784878467</v>
      </c>
      <c r="L42" s="89">
        <f t="shared" si="4"/>
        <v>0.21524392618564744</v>
      </c>
      <c r="M42" s="89">
        <f t="shared" si="5"/>
        <v>8.161121665235832E-2</v>
      </c>
      <c r="O42">
        <v>20</v>
      </c>
      <c r="P42">
        <f t="shared" si="6"/>
        <v>0.13014096009322199</v>
      </c>
      <c r="Q42">
        <f t="shared" si="7"/>
        <v>0.20135434029208957</v>
      </c>
      <c r="R42">
        <f t="shared" si="8"/>
        <v>0.19757111547724526</v>
      </c>
      <c r="S42">
        <f t="shared" si="11"/>
        <v>0.19818095312802159</v>
      </c>
      <c r="T42">
        <f t="shared" si="9"/>
        <v>8.8401968155624081E-2</v>
      </c>
      <c r="V42">
        <v>20</v>
      </c>
      <c r="W42">
        <f t="shared" si="10"/>
        <v>2456.4106217595649</v>
      </c>
      <c r="X42">
        <f t="shared" si="10"/>
        <v>3800.5631730131904</v>
      </c>
      <c r="Y42">
        <f t="shared" si="10"/>
        <v>3729.1548046330045</v>
      </c>
      <c r="Z42">
        <f t="shared" si="10"/>
        <v>3740.6654902914074</v>
      </c>
      <c r="AA42">
        <f t="shared" si="10"/>
        <v>1668.5871489374044</v>
      </c>
    </row>
    <row r="43" spans="1:27">
      <c r="A43" s="94" t="s">
        <v>1145</v>
      </c>
      <c r="B43" s="91" t="s">
        <v>530</v>
      </c>
      <c r="C43" s="91">
        <f>0.002378*(1-0.0000068756*C42)^4.2561</f>
        <v>1.2669820284852995E-3</v>
      </c>
      <c r="D43" s="91"/>
      <c r="H43">
        <v>20.5</v>
      </c>
      <c r="I43" s="89">
        <f t="shared" si="1"/>
        <v>0.15436139599947385</v>
      </c>
      <c r="J43" s="89">
        <f t="shared" si="2"/>
        <v>0.20440537905269734</v>
      </c>
      <c r="K43" s="89">
        <f t="shared" si="3"/>
        <v>0.24284385642000428</v>
      </c>
      <c r="L43" s="89">
        <f t="shared" si="4"/>
        <v>0.21021590663802933</v>
      </c>
      <c r="M43" s="89">
        <f t="shared" si="5"/>
        <v>8.1481653308478591E-2</v>
      </c>
      <c r="O43">
        <v>20.5</v>
      </c>
      <c r="P43">
        <f t="shared" si="6"/>
        <v>0.12819094841248285</v>
      </c>
      <c r="Q43">
        <f t="shared" si="7"/>
        <v>0.19927228996162</v>
      </c>
      <c r="R43">
        <f t="shared" si="8"/>
        <v>0.20167208302995177</v>
      </c>
      <c r="S43">
        <f t="shared" si="11"/>
        <v>0.19355151840272372</v>
      </c>
      <c r="T43">
        <f t="shared" si="9"/>
        <v>8.8261624032970165E-2</v>
      </c>
      <c r="V43">
        <v>20.5</v>
      </c>
      <c r="W43">
        <f t="shared" si="10"/>
        <v>2419.6041512856136</v>
      </c>
      <c r="X43">
        <f t="shared" si="10"/>
        <v>3761.2644730255774</v>
      </c>
      <c r="Y43">
        <f t="shared" si="10"/>
        <v>3806.5605671903395</v>
      </c>
      <c r="Z43">
        <f t="shared" si="10"/>
        <v>3653.2849098514102</v>
      </c>
      <c r="AA43">
        <f t="shared" si="10"/>
        <v>1665.9381536223118</v>
      </c>
    </row>
    <row r="44" spans="1:27">
      <c r="H44">
        <v>21</v>
      </c>
      <c r="I44" s="89">
        <f t="shared" si="1"/>
        <v>0.15216063044627393</v>
      </c>
      <c r="J44" s="89">
        <f t="shared" si="2"/>
        <v>0.20238295218784941</v>
      </c>
      <c r="K44" s="89">
        <f t="shared" si="3"/>
        <v>0.24778204499122392</v>
      </c>
      <c r="L44" s="89">
        <f t="shared" si="4"/>
        <v>0.20543266352079942</v>
      </c>
      <c r="M44" s="89">
        <f t="shared" si="5"/>
        <v>8.1356745218382084E-2</v>
      </c>
      <c r="O44">
        <v>21</v>
      </c>
      <c r="P44">
        <f t="shared" si="6"/>
        <v>0.12636330088654843</v>
      </c>
      <c r="Q44">
        <f t="shared" si="7"/>
        <v>0.19730065088584864</v>
      </c>
      <c r="R44">
        <f t="shared" si="8"/>
        <v>0.20577305058265835</v>
      </c>
      <c r="S44">
        <f t="shared" si="11"/>
        <v>0.18914745601260513</v>
      </c>
      <c r="T44">
        <f t="shared" si="9"/>
        <v>8.8126322521045325E-2</v>
      </c>
      <c r="V44">
        <v>21</v>
      </c>
      <c r="W44">
        <f t="shared" si="10"/>
        <v>2385.1073042336016</v>
      </c>
      <c r="X44">
        <f t="shared" si="10"/>
        <v>3724.0497854703931</v>
      </c>
      <c r="Y44">
        <f t="shared" si="10"/>
        <v>3883.9663297476764</v>
      </c>
      <c r="Z44">
        <f t="shared" si="10"/>
        <v>3570.1582322379218</v>
      </c>
      <c r="AA44">
        <f t="shared" si="10"/>
        <v>1663.3843375847305</v>
      </c>
    </row>
    <row r="45" spans="1:27">
      <c r="H45">
        <v>21.5</v>
      </c>
      <c r="I45" s="89">
        <f t="shared" si="1"/>
        <v>0.15009693005624605</v>
      </c>
      <c r="J45" s="89">
        <f t="shared" si="2"/>
        <v>0.20046587914359945</v>
      </c>
      <c r="K45" s="89">
        <f t="shared" si="3"/>
        <v>0.2527202335624435</v>
      </c>
      <c r="L45" s="89">
        <f t="shared" si="4"/>
        <v>0.20087711940858186</v>
      </c>
      <c r="M45" s="89">
        <f t="shared" si="5"/>
        <v>8.1236220122616443E-2</v>
      </c>
      <c r="O45">
        <v>21.5</v>
      </c>
      <c r="P45">
        <f t="shared" si="6"/>
        <v>0.12464948048136248</v>
      </c>
      <c r="Q45">
        <f t="shared" si="7"/>
        <v>0.19543171995398265</v>
      </c>
      <c r="R45">
        <f t="shared" si="8"/>
        <v>0.20987401813536485</v>
      </c>
      <c r="S45">
        <f t="shared" si="11"/>
        <v>0.18495304230637427</v>
      </c>
      <c r="T45">
        <f t="shared" si="9"/>
        <v>8.7995768706081209E-2</v>
      </c>
      <c r="V45">
        <v>21.5</v>
      </c>
      <c r="W45">
        <f t="shared" si="10"/>
        <v>2352.7589440857168</v>
      </c>
      <c r="X45">
        <f t="shared" si="10"/>
        <v>3688.7737141314224</v>
      </c>
      <c r="Y45">
        <f t="shared" si="10"/>
        <v>3961.3720923050114</v>
      </c>
      <c r="Z45">
        <f t="shared" si="10"/>
        <v>3490.9886735328146</v>
      </c>
      <c r="AA45">
        <f t="shared" si="10"/>
        <v>1660.9201343272828</v>
      </c>
    </row>
    <row r="46" spans="1:27">
      <c r="H46">
        <v>22</v>
      </c>
      <c r="I46" s="89">
        <f t="shared" si="1"/>
        <v>0.14816094947735592</v>
      </c>
      <c r="J46" s="89">
        <f t="shared" si="2"/>
        <v>0.19864697670490669</v>
      </c>
      <c r="K46" s="89">
        <f t="shared" si="3"/>
        <v>0.25765842213366313</v>
      </c>
      <c r="L46" s="89">
        <f t="shared" si="4"/>
        <v>0.19653374936921666</v>
      </c>
      <c r="M46" s="89">
        <f t="shared" si="5"/>
        <v>8.1119827544709783E-2</v>
      </c>
      <c r="O46">
        <v>22</v>
      </c>
      <c r="P46">
        <f t="shared" si="6"/>
        <v>0.12304172625687412</v>
      </c>
      <c r="Q46">
        <f t="shared" si="7"/>
        <v>0.1936584943380284</v>
      </c>
      <c r="R46">
        <f t="shared" si="8"/>
        <v>0.21397498568807138</v>
      </c>
      <c r="S46">
        <f t="shared" si="11"/>
        <v>0.18095398305558422</v>
      </c>
      <c r="T46">
        <f t="shared" si="9"/>
        <v>8.7869691269820388E-2</v>
      </c>
      <c r="V46">
        <v>22</v>
      </c>
      <c r="W46">
        <f t="shared" si="10"/>
        <v>2322.412583098499</v>
      </c>
      <c r="X46">
        <f t="shared" si="10"/>
        <v>3655.3040806302861</v>
      </c>
      <c r="Y46">
        <f t="shared" si="10"/>
        <v>4038.7778548623473</v>
      </c>
      <c r="Z46">
        <f t="shared" si="10"/>
        <v>3415.5064301741522</v>
      </c>
      <c r="AA46">
        <f t="shared" si="10"/>
        <v>1658.5404227178599</v>
      </c>
    </row>
    <row r="47" spans="1:27">
      <c r="H47">
        <v>22.5</v>
      </c>
      <c r="I47" s="89">
        <f t="shared" si="1"/>
        <v>0.1463441740555276</v>
      </c>
      <c r="J47" s="89">
        <f t="shared" si="2"/>
        <v>0.19691970016473409</v>
      </c>
      <c r="K47" s="89">
        <f t="shared" si="3"/>
        <v>0.26259661070488272</v>
      </c>
      <c r="L47" s="89">
        <f t="shared" si="4"/>
        <v>0.19238840846451366</v>
      </c>
      <c r="M47" s="89">
        <f t="shared" si="5"/>
        <v>8.100733660043917E-2</v>
      </c>
      <c r="O47">
        <v>22.5</v>
      </c>
      <c r="P47">
        <f t="shared" si="6"/>
        <v>0.12153296713437012</v>
      </c>
      <c r="Q47">
        <f t="shared" si="7"/>
        <v>0.19197459368359188</v>
      </c>
      <c r="R47">
        <f t="shared" si="8"/>
        <v>0.21807595324077789</v>
      </c>
      <c r="S47">
        <f t="shared" si="11"/>
        <v>0.1771372546298722</v>
      </c>
      <c r="T47">
        <f t="shared" si="9"/>
        <v>8.7747840116497097E-2</v>
      </c>
      <c r="V47">
        <v>22.5</v>
      </c>
      <c r="W47">
        <f t="shared" si="10"/>
        <v>2293.9347546612362</v>
      </c>
      <c r="X47">
        <f t="shared" si="10"/>
        <v>3623.5204557777965</v>
      </c>
      <c r="Y47">
        <f t="shared" si="10"/>
        <v>4116.1836174196824</v>
      </c>
      <c r="Z47">
        <f t="shared" si="10"/>
        <v>3343.4656811388377</v>
      </c>
      <c r="AA47">
        <f t="shared" si="10"/>
        <v>1656.2404821988828</v>
      </c>
    </row>
    <row r="48" spans="1:27">
      <c r="H48">
        <v>23</v>
      </c>
      <c r="I48" s="89">
        <f t="shared" si="1"/>
        <v>0.14463882954138749</v>
      </c>
      <c r="J48" s="89">
        <f t="shared" si="2"/>
        <v>0.1952780739210041</v>
      </c>
      <c r="K48" s="89">
        <f t="shared" si="3"/>
        <v>0.26753479927610235</v>
      </c>
      <c r="L48" s="89">
        <f t="shared" si="4"/>
        <v>0.18842818175090795</v>
      </c>
      <c r="M48" s="89">
        <f t="shared" si="5"/>
        <v>8.0898534070502001E-2</v>
      </c>
      <c r="O48">
        <v>23</v>
      </c>
      <c r="P48">
        <f t="shared" si="6"/>
        <v>0.1201167469115471</v>
      </c>
      <c r="Q48">
        <f t="shared" si="7"/>
        <v>0.19037419244970447</v>
      </c>
      <c r="R48">
        <f t="shared" si="8"/>
        <v>0.22217692079348444</v>
      </c>
      <c r="S48">
        <f t="shared" si="11"/>
        <v>0.17349096588847235</v>
      </c>
      <c r="T48">
        <f t="shared" si="9"/>
        <v>8.7629984285138421E-2</v>
      </c>
      <c r="V48">
        <v>23</v>
      </c>
      <c r="W48">
        <f t="shared" si="10"/>
        <v>2267.2035979554516</v>
      </c>
      <c r="X48">
        <f t="shared" si="10"/>
        <v>3593.3128824881719</v>
      </c>
      <c r="Y48">
        <f t="shared" si="10"/>
        <v>4193.5893799770192</v>
      </c>
      <c r="Z48">
        <f t="shared" si="10"/>
        <v>3274.6419811449155</v>
      </c>
      <c r="AA48">
        <f t="shared" si="10"/>
        <v>1654.0159533819876</v>
      </c>
    </row>
    <row r="49" spans="8:27">
      <c r="H49">
        <v>23.5</v>
      </c>
      <c r="I49" s="89">
        <f t="shared" si="1"/>
        <v>0.14303780332380661</v>
      </c>
      <c r="J49" s="89">
        <f t="shared" si="2"/>
        <v>0.1937166309335184</v>
      </c>
      <c r="K49" s="89">
        <f t="shared" si="3"/>
        <v>0.27247298784732199</v>
      </c>
      <c r="L49" s="89">
        <f t="shared" si="4"/>
        <v>0.18464125342896778</v>
      </c>
      <c r="M49" s="89">
        <f t="shared" si="5"/>
        <v>8.0793222699961836E-2</v>
      </c>
      <c r="O49">
        <v>23.5</v>
      </c>
      <c r="P49">
        <f t="shared" si="6"/>
        <v>0.11878715885012765</v>
      </c>
      <c r="Q49">
        <f t="shared" si="7"/>
        <v>0.18885196088611836</v>
      </c>
      <c r="R49">
        <f t="shared" si="8"/>
        <v>0.22627788834619098</v>
      </c>
      <c r="S49">
        <f t="shared" si="11"/>
        <v>0.1700042377025987</v>
      </c>
      <c r="T49">
        <f t="shared" si="9"/>
        <v>8.7515910107509462E-2</v>
      </c>
      <c r="V49">
        <v>23.5</v>
      </c>
      <c r="W49">
        <f t="shared" si="10"/>
        <v>2242.1076232961595</v>
      </c>
      <c r="X49">
        <f t="shared" si="10"/>
        <v>3564.5807617254841</v>
      </c>
      <c r="Y49">
        <f t="shared" si="10"/>
        <v>4270.9951425343543</v>
      </c>
      <c r="Z49">
        <f t="shared" si="10"/>
        <v>3208.8299866365505</v>
      </c>
      <c r="AA49">
        <f t="shared" si="10"/>
        <v>1651.862803279241</v>
      </c>
    </row>
    <row r="50" spans="8:27">
      <c r="H50">
        <v>24</v>
      </c>
      <c r="I50" s="89">
        <f t="shared" si="1"/>
        <v>0.14153457550924994</v>
      </c>
      <c r="J50" s="89">
        <f t="shared" si="2"/>
        <v>0.1922303597487616</v>
      </c>
      <c r="K50" s="89">
        <f t="shared" si="3"/>
        <v>0.27741117641854157</v>
      </c>
      <c r="L50" s="89">
        <f t="shared" si="4"/>
        <v>0.18101679234921408</v>
      </c>
      <c r="M50" s="89">
        <f t="shared" si="5"/>
        <v>8.0691219693594302E-2</v>
      </c>
      <c r="O50">
        <v>24</v>
      </c>
      <c r="P50">
        <f t="shared" si="6"/>
        <v>0.11753878844002395</v>
      </c>
      <c r="Q50">
        <f t="shared" si="7"/>
        <v>0.18740301338843973</v>
      </c>
      <c r="R50">
        <f t="shared" si="8"/>
        <v>0.23037885589889748</v>
      </c>
      <c r="S50">
        <f t="shared" si="11"/>
        <v>0.16666709753753092</v>
      </c>
      <c r="T50">
        <f t="shared" si="9"/>
        <v>8.7405419578259147E-2</v>
      </c>
      <c r="V50">
        <v>24</v>
      </c>
      <c r="W50">
        <f t="shared" si="10"/>
        <v>2218.5446318054519</v>
      </c>
      <c r="X50">
        <f t="shared" si="10"/>
        <v>3537.2318777067999</v>
      </c>
      <c r="Y50">
        <f t="shared" si="10"/>
        <v>4348.4009050916902</v>
      </c>
      <c r="Z50">
        <f t="shared" si="10"/>
        <v>3145.841466020896</v>
      </c>
      <c r="AA50">
        <f t="shared" si="10"/>
        <v>1649.7772945396414</v>
      </c>
    </row>
    <row r="51" spans="8:27">
      <c r="H51">
        <v>24.5</v>
      </c>
      <c r="I51" s="89">
        <f t="shared" si="1"/>
        <v>0.14012315844038947</v>
      </c>
      <c r="J51" s="89">
        <f t="shared" si="2"/>
        <v>0.19081465801146469</v>
      </c>
      <c r="K51" s="89">
        <f t="shared" si="3"/>
        <v>0.28234936498976121</v>
      </c>
      <c r="L51" s="89">
        <f t="shared" si="4"/>
        <v>0.17754485153763538</v>
      </c>
      <c r="M51" s="89">
        <f t="shared" si="5"/>
        <v>8.0592355381009353E-2</v>
      </c>
      <c r="O51">
        <v>24.5</v>
      </c>
      <c r="P51">
        <f t="shared" si="6"/>
        <v>0.11636666317197179</v>
      </c>
      <c r="Q51">
        <f t="shared" si="7"/>
        <v>0.1860228631771233</v>
      </c>
      <c r="R51">
        <f t="shared" si="8"/>
        <v>0.23447982345160406</v>
      </c>
      <c r="S51">
        <f t="shared" si="11"/>
        <v>0.16347038694301555</v>
      </c>
      <c r="T51">
        <f t="shared" si="9"/>
        <v>8.7298328908969283E-2</v>
      </c>
      <c r="V51">
        <v>24.5</v>
      </c>
      <c r="W51">
        <f t="shared" si="10"/>
        <v>2196.4207673709675</v>
      </c>
      <c r="X51">
        <f t="shared" si="10"/>
        <v>3511.1815424682022</v>
      </c>
      <c r="Y51">
        <f t="shared" si="10"/>
        <v>4425.8066676490271</v>
      </c>
      <c r="Z51">
        <f t="shared" si="10"/>
        <v>3085.5035535494185</v>
      </c>
      <c r="AA51">
        <f t="shared" si="10"/>
        <v>1647.7559581567953</v>
      </c>
    </row>
    <row r="52" spans="8:27">
      <c r="H52">
        <v>25</v>
      </c>
      <c r="I52" s="89">
        <f t="shared" si="1"/>
        <v>0.13879804347248351</v>
      </c>
      <c r="J52" s="89">
        <f t="shared" si="2"/>
        <v>0.18946529155477998</v>
      </c>
      <c r="K52" s="89">
        <f t="shared" si="3"/>
        <v>0.28728755356098085</v>
      </c>
      <c r="L52" s="89">
        <f t="shared" si="4"/>
        <v>0.17421627977814125</v>
      </c>
      <c r="M52" s="89">
        <f t="shared" si="5"/>
        <v>8.0496472029365149E-2</v>
      </c>
      <c r="O52">
        <v>25</v>
      </c>
      <c r="P52">
        <f t="shared" si="6"/>
        <v>0.11526620833744811</v>
      </c>
      <c r="Q52">
        <f t="shared" si="7"/>
        <v>0.18470738241498719</v>
      </c>
      <c r="R52">
        <f t="shared" si="8"/>
        <v>0.23858079100431059</v>
      </c>
      <c r="S52">
        <f t="shared" si="11"/>
        <v>0.16040568014481951</v>
      </c>
      <c r="T52">
        <f t="shared" si="9"/>
        <v>8.7194467242075954E-2</v>
      </c>
      <c r="V52">
        <v>25</v>
      </c>
      <c r="W52">
        <f t="shared" si="10"/>
        <v>2175.6496823693328</v>
      </c>
      <c r="X52">
        <f t="shared" si="10"/>
        <v>3486.3518430828831</v>
      </c>
      <c r="Y52">
        <f t="shared" si="10"/>
        <v>4503.2124302063621</v>
      </c>
      <c r="Z52">
        <f t="shared" si="10"/>
        <v>3027.6572127334684</v>
      </c>
      <c r="AA52">
        <f t="shared" si="10"/>
        <v>1645.7955691941836</v>
      </c>
    </row>
    <row r="53" spans="8:27">
      <c r="H53">
        <v>25.5</v>
      </c>
      <c r="I53" s="89">
        <f t="shared" si="1"/>
        <v>0.13755415401135818</v>
      </c>
      <c r="J53" s="89">
        <f t="shared" si="2"/>
        <v>0.1881783583033774</v>
      </c>
      <c r="K53" s="89">
        <f t="shared" si="3"/>
        <v>0.29222574213220043</v>
      </c>
      <c r="L53" s="89">
        <f t="shared" si="4"/>
        <v>0.17102264359707961</v>
      </c>
      <c r="M53" s="89">
        <f t="shared" si="5"/>
        <v>8.0403422784767503E-2</v>
      </c>
      <c r="O53">
        <v>25.5</v>
      </c>
      <c r="P53">
        <f t="shared" si="6"/>
        <v>0.11423320802859828</v>
      </c>
      <c r="Q53">
        <f t="shared" si="7"/>
        <v>0.18345276701678562</v>
      </c>
      <c r="R53">
        <f t="shared" si="8"/>
        <v>0.2426817585570171</v>
      </c>
      <c r="S53">
        <f t="shared" si="11"/>
        <v>0.15746521221374749</v>
      </c>
      <c r="T53">
        <f t="shared" si="9"/>
        <v>8.7093675504184509E-2</v>
      </c>
      <c r="V53">
        <v>25.5</v>
      </c>
      <c r="W53">
        <f t="shared" si="10"/>
        <v>2156.1518015397924</v>
      </c>
      <c r="X53">
        <f t="shared" si="10"/>
        <v>3462.6709774418287</v>
      </c>
      <c r="Y53">
        <f t="shared" si="10"/>
        <v>4580.6181927636981</v>
      </c>
      <c r="Z53">
        <f t="shared" si="10"/>
        <v>2972.1558805344839</v>
      </c>
      <c r="AA53">
        <f t="shared" si="10"/>
        <v>1643.8931251414826</v>
      </c>
    </row>
    <row r="54" spans="8:27">
      <c r="H54">
        <v>26</v>
      </c>
      <c r="I54" s="89">
        <f t="shared" si="1"/>
        <v>0.13638680397008388</v>
      </c>
      <c r="J54" s="89">
        <f t="shared" si="2"/>
        <v>0.18695025634156756</v>
      </c>
      <c r="K54" s="89">
        <f t="shared" si="3"/>
        <v>0.29716393070342006</v>
      </c>
      <c r="L54" s="89">
        <f t="shared" si="4"/>
        <v>0.16795615824954091</v>
      </c>
      <c r="M54" s="89">
        <f t="shared" si="5"/>
        <v>8.0313070726189859E-2</v>
      </c>
      <c r="O54">
        <v>26</v>
      </c>
      <c r="P54">
        <f t="shared" si="6"/>
        <v>0.1132637706381719</v>
      </c>
      <c r="Q54">
        <f t="shared" si="7"/>
        <v>0.1822555055192146</v>
      </c>
      <c r="R54">
        <f t="shared" si="8"/>
        <v>0.24678272610972363</v>
      </c>
      <c r="S54">
        <f t="shared" si="11"/>
        <v>0.15464181552285003</v>
      </c>
      <c r="T54">
        <f t="shared" si="9"/>
        <v>8.6995805381267485E-2</v>
      </c>
      <c r="V54">
        <v>26</v>
      </c>
      <c r="W54">
        <f t="shared" si="10"/>
        <v>2137.8536707954945</v>
      </c>
      <c r="X54">
        <f t="shared" si="10"/>
        <v>3440.0726666751757</v>
      </c>
      <c r="Y54">
        <f t="shared" si="10"/>
        <v>4658.0239553210331</v>
      </c>
      <c r="Z54">
        <f t="shared" si="10"/>
        <v>2918.8642679937943</v>
      </c>
      <c r="AA54">
        <f t="shared" si="10"/>
        <v>1642.0458265714237</v>
      </c>
    </row>
    <row r="55" spans="8:27">
      <c r="H55">
        <v>26.5</v>
      </c>
      <c r="I55" s="89">
        <f t="shared" si="1"/>
        <v>0.13529166092866898</v>
      </c>
      <c r="J55" s="89">
        <f t="shared" si="2"/>
        <v>0.1857776555963547</v>
      </c>
      <c r="K55" s="89">
        <f t="shared" si="3"/>
        <v>0.30210211927463965</v>
      </c>
      <c r="L55" s="89">
        <f t="shared" si="4"/>
        <v>0.16500962651853326</v>
      </c>
      <c r="M55" s="89">
        <f t="shared" si="5"/>
        <v>8.0225288018046584E-2</v>
      </c>
      <c r="O55">
        <v>26.5</v>
      </c>
      <c r="P55">
        <f t="shared" si="6"/>
        <v>0.11235429826512608</v>
      </c>
      <c r="Q55">
        <f t="shared" si="7"/>
        <v>0.18111235147506868</v>
      </c>
      <c r="R55">
        <f t="shared" si="8"/>
        <v>0.25088369366243013</v>
      </c>
      <c r="S55">
        <f t="shared" si="11"/>
        <v>0.15192886339815498</v>
      </c>
      <c r="T55">
        <f t="shared" si="9"/>
        <v>8.6900718400724677E-2</v>
      </c>
      <c r="V55">
        <v>26.5</v>
      </c>
      <c r="W55">
        <f t="shared" ref="W55:AA86" si="12">P55*$AD$2</f>
        <v>2120.6873797542548</v>
      </c>
      <c r="X55">
        <f t="shared" si="12"/>
        <v>3418.4956340919216</v>
      </c>
      <c r="Y55">
        <f t="shared" si="12"/>
        <v>4735.429717878369</v>
      </c>
      <c r="Z55">
        <f t="shared" si="12"/>
        <v>2867.6572966401754</v>
      </c>
      <c r="AA55">
        <f t="shared" si="12"/>
        <v>1640.2510598136782</v>
      </c>
    </row>
    <row r="56" spans="8:27">
      <c r="H56">
        <v>27</v>
      </c>
      <c r="I56" s="89">
        <f t="shared" si="1"/>
        <v>0.1342647133871214</v>
      </c>
      <c r="J56" s="89">
        <f t="shared" si="2"/>
        <v>0.1846574726668167</v>
      </c>
      <c r="K56" s="89">
        <f t="shared" si="3"/>
        <v>0.30704030784585928</v>
      </c>
      <c r="L56" s="89">
        <f t="shared" si="4"/>
        <v>0.16217638431424941</v>
      </c>
      <c r="M56" s="89">
        <f t="shared" si="5"/>
        <v>8.0139955149488462E-2</v>
      </c>
      <c r="O56">
        <v>27</v>
      </c>
      <c r="P56">
        <f t="shared" si="6"/>
        <v>0.11150145951960645</v>
      </c>
      <c r="Q56">
        <f t="shared" si="7"/>
        <v>0.18002029891471311</v>
      </c>
      <c r="R56">
        <f t="shared" si="8"/>
        <v>0.25498466121513669</v>
      </c>
      <c r="S56">
        <f t="shared" si="11"/>
        <v>0.14932022003042889</v>
      </c>
      <c r="T56">
        <f t="shared" si="9"/>
        <v>8.6808285107381727E-2</v>
      </c>
      <c r="V56">
        <v>27</v>
      </c>
      <c r="W56">
        <f t="shared" si="12"/>
        <v>2104.5900484325716</v>
      </c>
      <c r="X56">
        <f t="shared" si="12"/>
        <v>3397.8831420152101</v>
      </c>
      <c r="Y56">
        <f t="shared" si="12"/>
        <v>4812.835480435705</v>
      </c>
      <c r="Z56">
        <f t="shared" si="12"/>
        <v>2818.4191530743451</v>
      </c>
      <c r="AA56">
        <f t="shared" si="12"/>
        <v>1638.5063814018301</v>
      </c>
    </row>
    <row r="57" spans="8:27">
      <c r="H57">
        <v>27.5</v>
      </c>
      <c r="I57" s="89">
        <f t="shared" si="1"/>
        <v>0.13330224159090281</v>
      </c>
      <c r="J57" s="89">
        <f t="shared" si="2"/>
        <v>0.18358684839937134</v>
      </c>
      <c r="K57" s="89">
        <f t="shared" si="3"/>
        <v>0.31197849641707887</v>
      </c>
      <c r="L57" s="89">
        <f t="shared" si="4"/>
        <v>0.15945025220795897</v>
      </c>
      <c r="M57" s="89">
        <f t="shared" si="5"/>
        <v>8.0056960250123113E-2</v>
      </c>
      <c r="O57">
        <v>27.5</v>
      </c>
      <c r="P57">
        <f t="shared" si="6"/>
        <v>0.11070216529465692</v>
      </c>
      <c r="Q57">
        <f t="shared" si="7"/>
        <v>0.17897656048448657</v>
      </c>
      <c r="R57">
        <f t="shared" si="8"/>
        <v>0.25908562876784319</v>
      </c>
      <c r="S57">
        <f t="shared" si="11"/>
        <v>0.14681019585110985</v>
      </c>
      <c r="T57">
        <f t="shared" si="9"/>
        <v>8.6718384322272399E-2</v>
      </c>
      <c r="V57">
        <v>27.5</v>
      </c>
      <c r="W57">
        <f t="shared" si="12"/>
        <v>2089.5033699366491</v>
      </c>
      <c r="X57">
        <f t="shared" si="12"/>
        <v>3378.182579144684</v>
      </c>
      <c r="Y57">
        <f t="shared" si="12"/>
        <v>4890.24124299304</v>
      </c>
      <c r="Z57">
        <f t="shared" si="12"/>
        <v>2771.0424466896984</v>
      </c>
      <c r="AA57">
        <f t="shared" si="12"/>
        <v>1636.8095040828916</v>
      </c>
    </row>
    <row r="58" spans="8:27">
      <c r="H58">
        <v>28</v>
      </c>
      <c r="I58" s="89">
        <f t="shared" si="1"/>
        <v>0.13240079148222778</v>
      </c>
      <c r="J58" s="89">
        <f t="shared" si="2"/>
        <v>0.1825631278656922</v>
      </c>
      <c r="K58" s="89">
        <f t="shared" si="3"/>
        <v>0.3169166849882985</v>
      </c>
      <c r="L58" s="89">
        <f t="shared" si="4"/>
        <v>0.15682549215869798</v>
      </c>
      <c r="M58" s="89">
        <f t="shared" si="5"/>
        <v>7.997619847324916E-2</v>
      </c>
      <c r="O58">
        <v>28</v>
      </c>
      <c r="P58">
        <f t="shared" si="6"/>
        <v>0.10995354713381841</v>
      </c>
      <c r="Q58">
        <f t="shared" si="7"/>
        <v>0.17797854792741793</v>
      </c>
      <c r="R58">
        <f t="shared" si="8"/>
        <v>0.26318659632054975</v>
      </c>
      <c r="S58">
        <f t="shared" si="11"/>
        <v>0.1443935076893903</v>
      </c>
      <c r="T58">
        <f t="shared" si="9"/>
        <v>8.6630902474552671E-2</v>
      </c>
      <c r="V58">
        <v>28</v>
      </c>
      <c r="W58">
        <f t="shared" si="12"/>
        <v>2075.3732021508226</v>
      </c>
      <c r="X58">
        <f t="shared" si="12"/>
        <v>3359.3450921300137</v>
      </c>
      <c r="Y58">
        <f t="shared" si="12"/>
        <v>4967.6470055503769</v>
      </c>
      <c r="Z58">
        <f t="shared" si="12"/>
        <v>2725.4274576372418</v>
      </c>
      <c r="AA58">
        <f t="shared" si="12"/>
        <v>1635.1582842071816</v>
      </c>
    </row>
    <row r="59" spans="8:27">
      <c r="H59">
        <v>28.5</v>
      </c>
      <c r="I59" s="89">
        <f t="shared" si="1"/>
        <v>0.13155715139333085</v>
      </c>
      <c r="J59" s="89">
        <f t="shared" si="2"/>
        <v>0.18158384244821266</v>
      </c>
      <c r="K59" s="89">
        <f t="shared" si="3"/>
        <v>0.32185487355951814</v>
      </c>
      <c r="L59" s="89">
        <f t="shared" si="4"/>
        <v>0.15429676879504386</v>
      </c>
      <c r="M59" s="89">
        <f t="shared" si="5"/>
        <v>7.9897571438870219E-2</v>
      </c>
      <c r="O59">
        <v>28.5</v>
      </c>
      <c r="P59">
        <f t="shared" si="6"/>
        <v>0.10925293787582196</v>
      </c>
      <c r="Q59">
        <f t="shared" si="7"/>
        <v>0.17702385461860407</v>
      </c>
      <c r="R59">
        <f t="shared" si="8"/>
        <v>0.26728756387325631</v>
      </c>
      <c r="S59">
        <f t="shared" si="11"/>
        <v>0.1420652431232913</v>
      </c>
      <c r="T59">
        <f t="shared" si="9"/>
        <v>8.6545732998168728E-2</v>
      </c>
      <c r="V59">
        <v>28.5</v>
      </c>
      <c r="W59">
        <f t="shared" si="12"/>
        <v>2062.1492024061395</v>
      </c>
      <c r="X59">
        <f t="shared" si="12"/>
        <v>3341.3252559261518</v>
      </c>
      <c r="Y59">
        <f t="shared" si="12"/>
        <v>5045.0527681077128</v>
      </c>
      <c r="Z59">
        <f t="shared" si="12"/>
        <v>2681.4814639521232</v>
      </c>
      <c r="AA59">
        <f t="shared" si="12"/>
        <v>1633.5507103404348</v>
      </c>
    </row>
    <row r="60" spans="8:27">
      <c r="H60">
        <v>29</v>
      </c>
      <c r="I60" s="89">
        <f t="shared" si="1"/>
        <v>0.13076833115077521</v>
      </c>
      <c r="J60" s="89">
        <f t="shared" si="2"/>
        <v>0.1806466937788534</v>
      </c>
      <c r="K60" s="89">
        <f t="shared" si="3"/>
        <v>0.32679306213073772</v>
      </c>
      <c r="L60" s="89">
        <f t="shared" si="4"/>
        <v>0.15185911470222385</v>
      </c>
      <c r="M60" s="89">
        <f t="shared" si="5"/>
        <v>7.9820986729759805E-2</v>
      </c>
      <c r="O60">
        <v>29</v>
      </c>
      <c r="P60">
        <f t="shared" si="6"/>
        <v>0.10859785430155501</v>
      </c>
      <c r="Q60">
        <f t="shared" si="7"/>
        <v>0.17611023990727318</v>
      </c>
      <c r="R60">
        <f t="shared" si="8"/>
        <v>0.27138853142596275</v>
      </c>
      <c r="S60">
        <f t="shared" si="11"/>
        <v>0.13982082851855665</v>
      </c>
      <c r="T60">
        <f t="shared" si="9"/>
        <v>8.6462775785990084E-2</v>
      </c>
      <c r="V60">
        <v>29</v>
      </c>
      <c r="W60">
        <f t="shared" si="12"/>
        <v>2049.7844999418508</v>
      </c>
      <c r="X60">
        <f t="shared" si="12"/>
        <v>3324.0807782497814</v>
      </c>
      <c r="Y60">
        <f t="shared" si="12"/>
        <v>5122.458530665047</v>
      </c>
      <c r="Z60">
        <f t="shared" si="12"/>
        <v>2639.1181382877567</v>
      </c>
      <c r="AA60">
        <f t="shared" si="12"/>
        <v>1631.9848929605628</v>
      </c>
    </row>
    <row r="61" spans="8:27">
      <c r="H61">
        <v>29.5</v>
      </c>
      <c r="I61" s="89">
        <f t="shared" si="1"/>
        <v>0.13003154330474695</v>
      </c>
      <c r="J61" s="89">
        <f t="shared" si="2"/>
        <v>0.17974953931109991</v>
      </c>
      <c r="K61" s="89">
        <f t="shared" si="3"/>
        <v>0.33173125070195736</v>
      </c>
      <c r="L61" s="89">
        <f t="shared" si="4"/>
        <v>0.14950789923934804</v>
      </c>
      <c r="M61" s="89">
        <f t="shared" si="5"/>
        <v>7.9746357434706899E-2</v>
      </c>
      <c r="O61">
        <v>29.5</v>
      </c>
      <c r="P61">
        <f t="shared" si="6"/>
        <v>0.10798598154574321</v>
      </c>
      <c r="Q61">
        <f t="shared" si="7"/>
        <v>0.17523561505118052</v>
      </c>
      <c r="R61">
        <f t="shared" si="8"/>
        <v>0.27548949897866937</v>
      </c>
      <c r="S61">
        <f t="shared" si="11"/>
        <v>0.13765600031782879</v>
      </c>
      <c r="T61">
        <f t="shared" si="9"/>
        <v>8.6381936695049344E-2</v>
      </c>
      <c r="V61">
        <v>29.5</v>
      </c>
      <c r="W61">
        <f t="shared" si="12"/>
        <v>2038.2354016759032</v>
      </c>
      <c r="X61">
        <f t="shared" si="12"/>
        <v>3307.5722340910324</v>
      </c>
      <c r="Y61">
        <f t="shared" si="12"/>
        <v>5199.8642932223847</v>
      </c>
      <c r="Z61">
        <f t="shared" si="12"/>
        <v>2598.2570059990185</v>
      </c>
      <c r="AA61">
        <f t="shared" si="12"/>
        <v>1630.4590551190563</v>
      </c>
    </row>
    <row r="62" spans="8:27">
      <c r="H62">
        <v>30</v>
      </c>
      <c r="I62" s="89">
        <f t="shared" si="1"/>
        <v>0.12934418623541963</v>
      </c>
      <c r="J62" s="89">
        <f t="shared" si="2"/>
        <v>0.17889037933487176</v>
      </c>
      <c r="K62" s="89">
        <f t="shared" si="3"/>
        <v>0.33666943927317694</v>
      </c>
      <c r="L62" s="89">
        <f t="shared" si="4"/>
        <v>0.14723880047491925</v>
      </c>
      <c r="M62" s="89">
        <f t="shared" si="5"/>
        <v>7.9673601733809385E-2</v>
      </c>
      <c r="O62">
        <v>30</v>
      </c>
      <c r="P62">
        <f t="shared" si="6"/>
        <v>0.10741515906746378</v>
      </c>
      <c r="Q62">
        <f t="shared" si="7"/>
        <v>0.17439803055756395</v>
      </c>
      <c r="R62">
        <f t="shared" si="8"/>
        <v>0.27959046653137587</v>
      </c>
      <c r="S62">
        <f t="shared" si="11"/>
        <v>0.13556677920090746</v>
      </c>
      <c r="T62">
        <f t="shared" si="9"/>
        <v>8.6303127097328486E-2</v>
      </c>
      <c r="V62">
        <v>30</v>
      </c>
      <c r="W62">
        <f t="shared" si="12"/>
        <v>2027.4611273983789</v>
      </c>
      <c r="X62">
        <f t="shared" si="12"/>
        <v>3291.7628267740197</v>
      </c>
      <c r="Y62">
        <f t="shared" si="12"/>
        <v>5277.2700557797198</v>
      </c>
      <c r="Z62">
        <f t="shared" si="12"/>
        <v>2558.8229574171282</v>
      </c>
      <c r="AA62">
        <f t="shared" si="12"/>
        <v>1628.9715239620753</v>
      </c>
    </row>
    <row r="63" spans="8:27">
      <c r="H63">
        <v>30.5</v>
      </c>
      <c r="I63" s="89">
        <f t="shared" si="1"/>
        <v>0.12870382892098833</v>
      </c>
      <c r="J63" s="89">
        <f t="shared" si="2"/>
        <v>0.17806734526861867</v>
      </c>
      <c r="K63" s="89">
        <f t="shared" si="3"/>
        <v>0.34160762784439663</v>
      </c>
      <c r="L63" s="89">
        <f t="shared" si="4"/>
        <v>0.14504777988278436</v>
      </c>
      <c r="M63" s="89">
        <f t="shared" si="5"/>
        <v>7.9602642521315603E-2</v>
      </c>
      <c r="O63">
        <v>30.5</v>
      </c>
      <c r="P63">
        <f t="shared" si="6"/>
        <v>0.10688336800060858</v>
      </c>
      <c r="Q63">
        <f t="shared" si="7"/>
        <v>0.1735956647692527</v>
      </c>
      <c r="R63">
        <f t="shared" si="8"/>
        <v>0.28369143408408248</v>
      </c>
      <c r="S63">
        <f t="shared" si="11"/>
        <v>0.13354944678662181</v>
      </c>
      <c r="T63">
        <f t="shared" si="9"/>
        <v>8.6226263471217576E-2</v>
      </c>
      <c r="V63">
        <v>30.5</v>
      </c>
      <c r="W63">
        <f t="shared" si="12"/>
        <v>2017.423571011487</v>
      </c>
      <c r="X63">
        <f t="shared" si="12"/>
        <v>3276.6181725196448</v>
      </c>
      <c r="Y63">
        <f t="shared" si="12"/>
        <v>5354.6758183370566</v>
      </c>
      <c r="Z63">
        <f t="shared" si="12"/>
        <v>2520.7458080974866</v>
      </c>
      <c r="AA63">
        <f t="shared" si="12"/>
        <v>1627.5207230192318</v>
      </c>
    </row>
    <row r="64" spans="8:27">
      <c r="H64">
        <v>31</v>
      </c>
      <c r="I64" s="89">
        <f t="shared" si="1"/>
        <v>0.12810819717976452</v>
      </c>
      <c r="J64" s="89">
        <f t="shared" si="2"/>
        <v>0.1772786890844385</v>
      </c>
      <c r="K64" s="89">
        <f t="shared" si="3"/>
        <v>0.34654581641561621</v>
      </c>
      <c r="L64" s="89">
        <f t="shared" si="4"/>
        <v>0.1429310594868646</v>
      </c>
      <c r="M64" s="89">
        <f t="shared" si="5"/>
        <v>7.9533407062061703E-2</v>
      </c>
      <c r="O64">
        <v>31</v>
      </c>
      <c r="P64">
        <f t="shared" si="6"/>
        <v>0.10638871972849578</v>
      </c>
      <c r="Q64">
        <f t="shared" si="7"/>
        <v>0.17282681355534479</v>
      </c>
      <c r="R64">
        <f t="shared" si="8"/>
        <v>0.28779240163678899</v>
      </c>
      <c r="S64">
        <f t="shared" si="11"/>
        <v>0.13160052458936042</v>
      </c>
      <c r="T64">
        <f t="shared" si="9"/>
        <v>8.6151267029364792E-2</v>
      </c>
      <c r="V64">
        <v>31</v>
      </c>
      <c r="W64">
        <f t="shared" si="12"/>
        <v>2008.087084875358</v>
      </c>
      <c r="X64">
        <f t="shared" si="12"/>
        <v>3262.1061058571331</v>
      </c>
      <c r="Y64">
        <f t="shared" si="12"/>
        <v>5432.0815808943917</v>
      </c>
      <c r="Z64">
        <f t="shared" si="12"/>
        <v>2483.9599016241777</v>
      </c>
      <c r="AA64">
        <f t="shared" si="12"/>
        <v>1626.1051651792604</v>
      </c>
    </row>
    <row r="65" spans="8:27">
      <c r="H65">
        <v>31.5</v>
      </c>
      <c r="I65" s="89">
        <f t="shared" si="1"/>
        <v>0.12755516122254787</v>
      </c>
      <c r="J65" s="89">
        <f t="shared" si="2"/>
        <v>0.17652277374032788</v>
      </c>
      <c r="K65" s="89">
        <f t="shared" si="3"/>
        <v>0.35148400498683585</v>
      </c>
      <c r="L65" s="89">
        <f t="shared" si="4"/>
        <v>0.1408851011825783</v>
      </c>
      <c r="M65" s="89">
        <f t="shared" si="5"/>
        <v>7.9465826678024015E-2</v>
      </c>
      <c r="O65">
        <v>31.5</v>
      </c>
      <c r="P65">
        <f t="shared" si="6"/>
        <v>0.10592944554661388</v>
      </c>
      <c r="Q65">
        <f t="shared" si="7"/>
        <v>0.17208988098372582</v>
      </c>
      <c r="R65">
        <f t="shared" si="8"/>
        <v>0.29189336918949549</v>
      </c>
      <c r="S65">
        <f t="shared" si="11"/>
        <v>0.12971675497974117</v>
      </c>
      <c r="T65">
        <f t="shared" si="9"/>
        <v>8.6078063379147293E-2</v>
      </c>
      <c r="V65">
        <v>31.5</v>
      </c>
      <c r="W65">
        <f t="shared" si="12"/>
        <v>1999.418284692337</v>
      </c>
      <c r="X65">
        <f t="shared" si="12"/>
        <v>3248.1965035678249</v>
      </c>
      <c r="Y65">
        <f t="shared" si="12"/>
        <v>5509.4873434517276</v>
      </c>
      <c r="Z65">
        <f t="shared" si="12"/>
        <v>2448.4037502426145</v>
      </c>
      <c r="AA65">
        <f t="shared" si="12"/>
        <v>1624.7234462814051</v>
      </c>
    </row>
    <row r="66" spans="8:27">
      <c r="H66">
        <v>32</v>
      </c>
      <c r="I66" s="89">
        <f t="shared" si="1"/>
        <v>0.12704272437196298</v>
      </c>
      <c r="J66" s="89">
        <f t="shared" si="2"/>
        <v>0.17579806450940849</v>
      </c>
      <c r="K66" s="89">
        <f t="shared" si="3"/>
        <v>0.35642219355805543</v>
      </c>
      <c r="L66" s="89">
        <f t="shared" si="4"/>
        <v>0.13890658799688019</v>
      </c>
      <c r="M66" s="89">
        <f t="shared" si="5"/>
        <v>7.9399836461915965E-2</v>
      </c>
      <c r="O66">
        <v>32</v>
      </c>
      <c r="P66">
        <f t="shared" si="6"/>
        <v>0.10550388729448322</v>
      </c>
      <c r="Q66">
        <f t="shared" si="7"/>
        <v>0.17138337086803854</v>
      </c>
      <c r="R66">
        <f t="shared" si="8"/>
        <v>0.29599433674220199</v>
      </c>
      <c r="S66">
        <f t="shared" si="11"/>
        <v>0.12789508393021842</v>
      </c>
      <c r="T66">
        <f t="shared" si="9"/>
        <v>8.6006582212436886E-2</v>
      </c>
      <c r="V66">
        <v>32</v>
      </c>
      <c r="W66">
        <f t="shared" si="12"/>
        <v>1991.3858726833707</v>
      </c>
      <c r="X66">
        <f t="shared" si="12"/>
        <v>3234.8611251342272</v>
      </c>
      <c r="Y66">
        <f t="shared" si="12"/>
        <v>5586.8931060090626</v>
      </c>
      <c r="Z66">
        <f t="shared" si="12"/>
        <v>2414.0197091828727</v>
      </c>
      <c r="AA66">
        <f t="shared" si="12"/>
        <v>1623.3742392597462</v>
      </c>
    </row>
    <row r="67" spans="8:27">
      <c r="H67">
        <v>32.5</v>
      </c>
      <c r="I67" s="89">
        <f t="shared" si="1"/>
        <v>0.12656901282308841</v>
      </c>
      <c r="J67" s="89">
        <f t="shared" si="2"/>
        <v>0.17510312110953308</v>
      </c>
      <c r="K67" s="89">
        <f t="shared" si="3"/>
        <v>0.36136038212927502</v>
      </c>
      <c r="L67" s="89">
        <f t="shared" si="4"/>
        <v>0.13699240707814309</v>
      </c>
      <c r="M67" s="89">
        <f t="shared" si="5"/>
        <v>7.9335375015114298E-2</v>
      </c>
      <c r="O67">
        <v>32.5</v>
      </c>
      <c r="P67">
        <f t="shared" si="6"/>
        <v>0.10511048885226917</v>
      </c>
      <c r="Q67">
        <f t="shared" si="7"/>
        <v>0.17070587909493218</v>
      </c>
      <c r="R67">
        <f t="shared" si="8"/>
        <v>0.30009530429490855</v>
      </c>
      <c r="S67">
        <f t="shared" ref="S67:S86" si="13">(L67*$C$37*1.688)/(550)</f>
        <v>0.12613264535340302</v>
      </c>
      <c r="T67">
        <f t="shared" si="9"/>
        <v>8.5936757021719518E-2</v>
      </c>
      <c r="V67">
        <v>32.5</v>
      </c>
      <c r="W67">
        <f t="shared" si="12"/>
        <v>1983.9604770865806</v>
      </c>
      <c r="X67">
        <f t="shared" si="12"/>
        <v>3222.0734679168449</v>
      </c>
      <c r="Y67">
        <f t="shared" si="12"/>
        <v>5664.2988685663986</v>
      </c>
      <c r="Z67">
        <f t="shared" si="12"/>
        <v>2380.7536810454822</v>
      </c>
      <c r="AA67">
        <f t="shared" si="12"/>
        <v>1622.056288784956</v>
      </c>
    </row>
    <row r="68" spans="8:27">
      <c r="H68">
        <v>33</v>
      </c>
      <c r="I68" s="89">
        <f t="shared" ref="I68:I86" si="14">$C$15*(($C$5/H68)+$C$8*($C$14/$C$15)^2*(H68))</f>
        <v>0.1261322663349374</v>
      </c>
      <c r="J68" s="89">
        <f t="shared" ref="J68:J86" si="15">($C$21/$C$22)+($C$23/H68)*$C$5+($C$8/$C$23)*H68</f>
        <v>0.1744365905483814</v>
      </c>
      <c r="K68" s="89">
        <f t="shared" ref="K68:K86" si="16">((1.21*H68)/(32.2*$C$31*$C$29*$C$28))+$C$32+0.605*($C$30-($C$32*$C$29))/$C$29</f>
        <v>0.36629857070049465</v>
      </c>
      <c r="L68" s="89">
        <f t="shared" ref="L68:L86" si="17">$C$38*$C$5*(1/H68)+$C$8*(1/$C$38)*H68</f>
        <v>0.13513963423241418</v>
      </c>
      <c r="M68" s="89">
        <f t="shared" ref="M68:M86" si="18">(1.667/SQRT(((2/$C$43)*H68)*SQRT($C$8/(3*$C$5))))+(4*SQRT(($C$8*$C$5)/3))</f>
        <v>7.9272384207509219E-2</v>
      </c>
      <c r="O68">
        <v>33</v>
      </c>
      <c r="P68">
        <f t="shared" ref="P68:P86" si="19">(I68*$C$13*1.688)/(0.85*550)</f>
        <v>0.10474778841043016</v>
      </c>
      <c r="Q68">
        <f t="shared" ref="Q68:Q86" si="20">(J68*$C$22*1.688)/(0.85*550)</f>
        <v>0.17005608664883487</v>
      </c>
      <c r="R68">
        <f t="shared" ref="R68:R86" si="21">(K68*$C$13*1.688)/(0.85*550)</f>
        <v>0.30419627184761505</v>
      </c>
      <c r="S68">
        <f t="shared" si="13"/>
        <v>0.12442674686417191</v>
      </c>
      <c r="T68">
        <f t="shared" ref="T68:T86" si="22">(M68*$C$37*1.688)/(0.85*550)</f>
        <v>8.5868524839962934E-2</v>
      </c>
      <c r="V68">
        <v>33</v>
      </c>
      <c r="W68">
        <f t="shared" si="12"/>
        <v>1977.1145062468693</v>
      </c>
      <c r="X68">
        <f t="shared" si="12"/>
        <v>3209.8086354967581</v>
      </c>
      <c r="Y68">
        <f t="shared" si="12"/>
        <v>5741.7046311237345</v>
      </c>
      <c r="Z68">
        <f t="shared" si="12"/>
        <v>2348.5548470612448</v>
      </c>
      <c r="AA68">
        <f t="shared" si="12"/>
        <v>1620.7684063543004</v>
      </c>
    </row>
    <row r="69" spans="8:27">
      <c r="H69">
        <v>33.5</v>
      </c>
      <c r="I69" s="89">
        <f t="shared" si="14"/>
        <v>0.12573082975553715</v>
      </c>
      <c r="J69" s="89">
        <f t="shared" si="15"/>
        <v>0.17379720060929421</v>
      </c>
      <c r="K69" s="89">
        <f t="shared" si="16"/>
        <v>0.37123675927171429</v>
      </c>
      <c r="L69" s="89">
        <f t="shared" si="17"/>
        <v>0.1333455198444842</v>
      </c>
      <c r="M69" s="89">
        <f t="shared" si="18"/>
        <v>7.9210808957143414E-2</v>
      </c>
      <c r="O69">
        <v>33.5</v>
      </c>
      <c r="P69">
        <f t="shared" si="19"/>
        <v>0.10441441143163581</v>
      </c>
      <c r="Q69">
        <f t="shared" si="20"/>
        <v>0.16943275326137311</v>
      </c>
      <c r="R69">
        <f t="shared" si="21"/>
        <v>0.30829723940032161</v>
      </c>
      <c r="S69">
        <f t="shared" si="13"/>
        <v>0.12277485681681237</v>
      </c>
      <c r="T69">
        <f t="shared" si="22"/>
        <v>8.5801826001919615E-2</v>
      </c>
      <c r="V69">
        <v>33.5</v>
      </c>
      <c r="W69">
        <f t="shared" si="12"/>
        <v>1970.822015772126</v>
      </c>
      <c r="X69">
        <f t="shared" si="12"/>
        <v>3198.0432178084175</v>
      </c>
      <c r="Y69">
        <f t="shared" si="12"/>
        <v>5819.1103936810705</v>
      </c>
      <c r="Z69">
        <f t="shared" si="12"/>
        <v>2317.3754224173335</v>
      </c>
      <c r="AA69">
        <f t="shared" si="12"/>
        <v>1619.5094657862328</v>
      </c>
    </row>
    <row r="70" spans="8:27">
      <c r="H70">
        <v>34</v>
      </c>
      <c r="I70" s="89">
        <f t="shared" si="14"/>
        <v>0.12536314529479578</v>
      </c>
      <c r="J70" s="89">
        <f t="shared" si="15"/>
        <v>0.1731837539118864</v>
      </c>
      <c r="K70" s="89">
        <f t="shared" si="16"/>
        <v>0.37617494784293393</v>
      </c>
      <c r="L70" s="89">
        <f t="shared" si="17"/>
        <v>0.13160747604121495</v>
      </c>
      <c r="M70" s="89">
        <f t="shared" si="18"/>
        <v>7.9150597027741326E-2</v>
      </c>
      <c r="O70">
        <v>34</v>
      </c>
      <c r="P70">
        <f t="shared" si="19"/>
        <v>0.10410906423369308</v>
      </c>
      <c r="Q70">
        <f t="shared" si="20"/>
        <v>0.16883471162113656</v>
      </c>
      <c r="R70">
        <f t="shared" si="21"/>
        <v>0.31239820695302817</v>
      </c>
      <c r="S70">
        <f t="shared" si="13"/>
        <v>0.12117459248594772</v>
      </c>
      <c r="T70">
        <f t="shared" si="22"/>
        <v>8.5736603924808988E-2</v>
      </c>
      <c r="V70">
        <v>34</v>
      </c>
      <c r="W70">
        <f t="shared" si="12"/>
        <v>1965.058587410957</v>
      </c>
      <c r="X70">
        <f t="shared" si="12"/>
        <v>3186.7551818489524</v>
      </c>
      <c r="Y70">
        <f t="shared" si="12"/>
        <v>5896.5161562384064</v>
      </c>
      <c r="Z70">
        <f t="shared" si="12"/>
        <v>2287.1704331722631</v>
      </c>
      <c r="AA70">
        <f t="shared" si="12"/>
        <v>1618.2783990807698</v>
      </c>
    </row>
    <row r="71" spans="8:27">
      <c r="H71">
        <v>34.5</v>
      </c>
      <c r="I71" s="89">
        <f t="shared" si="14"/>
        <v>0.12502774546929329</v>
      </c>
      <c r="J71" s="89">
        <f t="shared" si="15"/>
        <v>0.17259512248912828</v>
      </c>
      <c r="K71" s="89">
        <f t="shared" si="16"/>
        <v>0.38111313641415351</v>
      </c>
      <c r="L71" s="89">
        <f t="shared" si="17"/>
        <v>0.12992306497109943</v>
      </c>
      <c r="M71" s="89">
        <f t="shared" si="18"/>
        <v>7.9091698842436955E-2</v>
      </c>
      <c r="O71">
        <v>34.5</v>
      </c>
      <c r="P71">
        <f t="shared" si="19"/>
        <v>0.10383052813047793</v>
      </c>
      <c r="Q71">
        <f t="shared" si="20"/>
        <v>0.16826086208694141</v>
      </c>
      <c r="R71">
        <f t="shared" si="21"/>
        <v>0.31649917450573467</v>
      </c>
      <c r="S71">
        <f t="shared" si="13"/>
        <v>0.11962370927520864</v>
      </c>
      <c r="T71">
        <f t="shared" si="22"/>
        <v>8.5672804906545622E-2</v>
      </c>
      <c r="V71">
        <v>34.5</v>
      </c>
      <c r="W71">
        <f t="shared" si="12"/>
        <v>1959.8012184627707</v>
      </c>
      <c r="X71">
        <f t="shared" si="12"/>
        <v>3175.923771891019</v>
      </c>
      <c r="Y71">
        <f t="shared" si="12"/>
        <v>5973.9219187957415</v>
      </c>
      <c r="Z71">
        <f t="shared" si="12"/>
        <v>2257.8975125695633</v>
      </c>
      <c r="AA71">
        <f t="shared" si="12"/>
        <v>1617.0741926110486</v>
      </c>
    </row>
    <row r="72" spans="8:27">
      <c r="H72">
        <v>35</v>
      </c>
      <c r="I72" s="89">
        <f t="shared" si="14"/>
        <v>0.1247232466518052</v>
      </c>
      <c r="J72" s="89">
        <f t="shared" si="15"/>
        <v>0.17203024282924928</v>
      </c>
      <c r="K72" s="89">
        <f t="shared" si="16"/>
        <v>0.38605132498537315</v>
      </c>
      <c r="L72" s="89">
        <f t="shared" si="17"/>
        <v>0.12828998808843106</v>
      </c>
      <c r="M72" s="89">
        <f t="shared" si="18"/>
        <v>7.9034067312190731E-2</v>
      </c>
      <c r="O72">
        <v>35</v>
      </c>
      <c r="P72">
        <f t="shared" si="19"/>
        <v>0.10357765407507348</v>
      </c>
      <c r="Q72">
        <f t="shared" si="20"/>
        <v>0.16771016785424309</v>
      </c>
      <c r="R72">
        <f t="shared" si="21"/>
        <v>0.32060014205844117</v>
      </c>
      <c r="S72">
        <f t="shared" si="13"/>
        <v>0.11812009085087544</v>
      </c>
      <c r="T72">
        <f t="shared" si="22"/>
        <v>8.5610377939878898E-2</v>
      </c>
      <c r="V72">
        <v>35</v>
      </c>
      <c r="W72">
        <f t="shared" si="12"/>
        <v>1955.028220667012</v>
      </c>
      <c r="X72">
        <f t="shared" si="12"/>
        <v>3165.5294182488383</v>
      </c>
      <c r="Y72">
        <f t="shared" si="12"/>
        <v>6051.3276813530774</v>
      </c>
      <c r="Z72">
        <f t="shared" si="12"/>
        <v>2229.5167148102737</v>
      </c>
      <c r="AA72">
        <f t="shared" si="12"/>
        <v>1615.8958836152142</v>
      </c>
    </row>
    <row r="73" spans="8:27">
      <c r="H73">
        <v>35.5</v>
      </c>
      <c r="I73" s="89">
        <f t="shared" si="14"/>
        <v>0.12444834316593652</v>
      </c>
      <c r="J73" s="89">
        <f t="shared" si="15"/>
        <v>0.17148811133663472</v>
      </c>
      <c r="K73" s="89">
        <f t="shared" si="16"/>
        <v>0.39098951355659273</v>
      </c>
      <c r="L73" s="89">
        <f t="shared" si="17"/>
        <v>0.12670607634303602</v>
      </c>
      <c r="M73" s="89">
        <f t="shared" si="18"/>
        <v>7.8977657677545721E-2</v>
      </c>
      <c r="O73">
        <v>35.5</v>
      </c>
      <c r="P73">
        <f t="shared" si="19"/>
        <v>0.10334935775560042</v>
      </c>
      <c r="Q73">
        <f t="shared" si="20"/>
        <v>0.1671816505300206</v>
      </c>
      <c r="R73">
        <f t="shared" si="21"/>
        <v>0.32470110961114768</v>
      </c>
      <c r="S73">
        <f t="shared" si="13"/>
        <v>0.11666174010929718</v>
      </c>
      <c r="T73">
        <f t="shared" si="22"/>
        <v>8.5549274540982143E-2</v>
      </c>
      <c r="V73">
        <v>35.5</v>
      </c>
      <c r="W73">
        <f t="shared" si="12"/>
        <v>1950.7191276369579</v>
      </c>
      <c r="X73">
        <f t="shared" si="12"/>
        <v>3155.5536537541388</v>
      </c>
      <c r="Y73">
        <f t="shared" si="12"/>
        <v>6128.7334439104125</v>
      </c>
      <c r="Z73">
        <f t="shared" si="12"/>
        <v>2201.9903445629843</v>
      </c>
      <c r="AA73">
        <f t="shared" si="12"/>
        <v>1614.742556961038</v>
      </c>
    </row>
    <row r="74" spans="8:27">
      <c r="H74">
        <v>36</v>
      </c>
      <c r="I74" s="89">
        <f t="shared" si="14"/>
        <v>0.12420180187286976</v>
      </c>
      <c r="J74" s="89">
        <f t="shared" si="15"/>
        <v>0.17096778017098194</v>
      </c>
      <c r="K74" s="89">
        <f t="shared" si="16"/>
        <v>0.39592770212781242</v>
      </c>
      <c r="L74" s="89">
        <f t="shared" si="17"/>
        <v>0.1251692811875279</v>
      </c>
      <c r="M74" s="89">
        <f t="shared" si="18"/>
        <v>7.8922427362514647E-2</v>
      </c>
      <c r="O74">
        <v>36</v>
      </c>
      <c r="P74">
        <f t="shared" si="19"/>
        <v>0.10314461509972823</v>
      </c>
      <c r="Q74">
        <f t="shared" si="20"/>
        <v>0.16667438607642079</v>
      </c>
      <c r="R74">
        <f t="shared" si="21"/>
        <v>0.32880207716385434</v>
      </c>
      <c r="S74">
        <f t="shared" si="13"/>
        <v>0.11524677089702567</v>
      </c>
      <c r="T74">
        <f t="shared" si="22"/>
        <v>8.5489448591181641E-2</v>
      </c>
      <c r="V74">
        <v>36</v>
      </c>
      <c r="W74">
        <f t="shared" si="12"/>
        <v>1946.8546100073704</v>
      </c>
      <c r="X74">
        <f t="shared" si="12"/>
        <v>3145.9790371924423</v>
      </c>
      <c r="Y74">
        <f t="shared" si="12"/>
        <v>6206.1392064677511</v>
      </c>
      <c r="Z74">
        <f t="shared" si="12"/>
        <v>2175.2828006813597</v>
      </c>
      <c r="AA74">
        <f t="shared" si="12"/>
        <v>1613.6133421585535</v>
      </c>
    </row>
    <row r="75" spans="8:27">
      <c r="H75">
        <v>36.5</v>
      </c>
      <c r="I75" s="89">
        <f t="shared" si="14"/>
        <v>0.12398245720303774</v>
      </c>
      <c r="J75" s="89">
        <f t="shared" si="15"/>
        <v>0.17046835342844316</v>
      </c>
      <c r="K75" s="89">
        <f t="shared" si="16"/>
        <v>0.400865890699032</v>
      </c>
      <c r="L75" s="89">
        <f t="shared" si="17"/>
        <v>0.1236776663236922</v>
      </c>
      <c r="M75" s="89">
        <f t="shared" si="18"/>
        <v>7.8868335839513914E-2</v>
      </c>
      <c r="O75">
        <v>36.5</v>
      </c>
      <c r="P75">
        <f t="shared" si="19"/>
        <v>0.10296245814867887</v>
      </c>
      <c r="Q75">
        <f t="shared" si="20"/>
        <v>0.16618750108780159</v>
      </c>
      <c r="R75">
        <f t="shared" si="21"/>
        <v>0.33290304471656079</v>
      </c>
      <c r="S75">
        <f t="shared" si="13"/>
        <v>0.11387340041148679</v>
      </c>
      <c r="T75">
        <f t="shared" si="22"/>
        <v>8.5430856190652063E-2</v>
      </c>
      <c r="V75">
        <v>36.5</v>
      </c>
      <c r="W75">
        <f t="shared" si="12"/>
        <v>1943.4163975563135</v>
      </c>
      <c r="X75">
        <f t="shared" si="12"/>
        <v>3136.7890830322549</v>
      </c>
      <c r="Y75">
        <f t="shared" si="12"/>
        <v>6283.5449690250853</v>
      </c>
      <c r="Z75">
        <f t="shared" si="12"/>
        <v>2149.3604327668131</v>
      </c>
      <c r="AA75">
        <f t="shared" si="12"/>
        <v>1612.5074105985577</v>
      </c>
    </row>
    <row r="76" spans="8:27">
      <c r="H76">
        <v>37</v>
      </c>
      <c r="I76" s="89">
        <f t="shared" si="14"/>
        <v>0.12378920659063364</v>
      </c>
      <c r="J76" s="89">
        <f t="shared" si="15"/>
        <v>0.16998898363240569</v>
      </c>
      <c r="K76" s="89">
        <f t="shared" si="16"/>
        <v>0.40580407927025158</v>
      </c>
      <c r="L76" s="89">
        <f t="shared" si="17"/>
        <v>0.12222940011808271</v>
      </c>
      <c r="M76" s="89">
        <f t="shared" si="18"/>
        <v>7.8815344504370777E-2</v>
      </c>
      <c r="O76">
        <v>37</v>
      </c>
      <c r="P76">
        <f t="shared" si="19"/>
        <v>0.10280197126577027</v>
      </c>
      <c r="Q76">
        <f t="shared" si="20"/>
        <v>0.16572016936963682</v>
      </c>
      <c r="R76">
        <f t="shared" si="21"/>
        <v>0.33700401226926735</v>
      </c>
      <c r="S76">
        <f t="shared" si="13"/>
        <v>0.11253994221781288</v>
      </c>
      <c r="T76">
        <f t="shared" si="22"/>
        <v>8.5373455523023223E-2</v>
      </c>
      <c r="V76">
        <v>37</v>
      </c>
      <c r="W76">
        <f t="shared" si="12"/>
        <v>1940.3872076414139</v>
      </c>
      <c r="X76">
        <f t="shared" si="12"/>
        <v>3127.9681968518948</v>
      </c>
      <c r="Y76">
        <f t="shared" si="12"/>
        <v>6360.9507315824212</v>
      </c>
      <c r="Z76">
        <f t="shared" si="12"/>
        <v>2124.1914093612181</v>
      </c>
      <c r="AA76">
        <f t="shared" si="12"/>
        <v>1611.4239729970634</v>
      </c>
    </row>
    <row r="77" spans="8:27">
      <c r="H77">
        <v>37.5</v>
      </c>
      <c r="I77" s="89">
        <f t="shared" si="14"/>
        <v>0.12362100627336035</v>
      </c>
      <c r="J77" s="89">
        <f t="shared" si="15"/>
        <v>0.16952886850500945</v>
      </c>
      <c r="K77" s="89">
        <f t="shared" si="16"/>
        <v>0.41074226784147122</v>
      </c>
      <c r="L77" s="89">
        <f t="shared" si="17"/>
        <v>0.12082274862437041</v>
      </c>
      <c r="M77" s="89">
        <f t="shared" si="18"/>
        <v>7.8763416560527877E-2</v>
      </c>
      <c r="O77">
        <v>37.5</v>
      </c>
      <c r="P77">
        <f t="shared" si="19"/>
        <v>0.10266228764827684</v>
      </c>
      <c r="Q77">
        <f t="shared" si="20"/>
        <v>0.16527160879110828</v>
      </c>
      <c r="R77">
        <f t="shared" si="21"/>
        <v>0.34110497982197385</v>
      </c>
      <c r="S77">
        <f t="shared" si="13"/>
        <v>0.11124479982432942</v>
      </c>
      <c r="T77">
        <f t="shared" si="22"/>
        <v>8.531720672994933E-2</v>
      </c>
      <c r="V77">
        <v>37.5</v>
      </c>
      <c r="W77">
        <f t="shared" si="12"/>
        <v>1937.7506793612254</v>
      </c>
      <c r="X77">
        <f t="shared" si="12"/>
        <v>3119.5016159321685</v>
      </c>
      <c r="Y77">
        <f t="shared" si="12"/>
        <v>6438.3564941397563</v>
      </c>
      <c r="Z77">
        <f t="shared" si="12"/>
        <v>2099.7455966842176</v>
      </c>
      <c r="AA77">
        <f t="shared" si="12"/>
        <v>1610.3622770277937</v>
      </c>
    </row>
    <row r="78" spans="8:27">
      <c r="H78">
        <v>38</v>
      </c>
      <c r="I78" s="89">
        <f t="shared" si="14"/>
        <v>0.12347686742377845</v>
      </c>
      <c r="J78" s="89">
        <f t="shared" si="15"/>
        <v>0.16908724799354496</v>
      </c>
      <c r="K78" s="89">
        <f t="shared" si="16"/>
        <v>0.4156804564126908</v>
      </c>
      <c r="L78" s="89">
        <f t="shared" si="17"/>
        <v>0.11945606915655933</v>
      </c>
      <c r="M78" s="89">
        <f t="shared" si="18"/>
        <v>7.8712516911655719E-2</v>
      </c>
      <c r="O78">
        <v>38</v>
      </c>
      <c r="P78">
        <f t="shared" si="19"/>
        <v>0.10254258611466897</v>
      </c>
      <c r="Q78">
        <f t="shared" si="20"/>
        <v>0.16484107838617765</v>
      </c>
      <c r="R78">
        <f t="shared" si="21"/>
        <v>0.34520594737468041</v>
      </c>
      <c r="S78">
        <f t="shared" si="13"/>
        <v>0.10998646076523937</v>
      </c>
      <c r="T78">
        <f t="shared" si="22"/>
        <v>8.526207179478601E-2</v>
      </c>
      <c r="V78">
        <v>38</v>
      </c>
      <c r="W78">
        <f t="shared" si="12"/>
        <v>1935.491312914377</v>
      </c>
      <c r="X78">
        <f t="shared" si="12"/>
        <v>3111.3753545391032</v>
      </c>
      <c r="Y78">
        <f t="shared" si="12"/>
        <v>6515.7622566970931</v>
      </c>
      <c r="Z78">
        <f t="shared" si="12"/>
        <v>2075.9944469438929</v>
      </c>
      <c r="AA78">
        <f t="shared" si="12"/>
        <v>1609.3216051265858</v>
      </c>
    </row>
    <row r="79" spans="8:27">
      <c r="H79">
        <v>38.5</v>
      </c>
      <c r="I79" s="89">
        <f t="shared" si="14"/>
        <v>0.12335585258210782</v>
      </c>
      <c r="J79" s="89">
        <f t="shared" si="15"/>
        <v>0.16866340152856027</v>
      </c>
      <c r="K79" s="89">
        <f t="shared" si="16"/>
        <v>0.42061864498391049</v>
      </c>
      <c r="L79" s="89">
        <f t="shared" si="17"/>
        <v>0.11812780436299102</v>
      </c>
      <c r="M79" s="89">
        <f t="shared" si="18"/>
        <v>7.8662612061961026E-2</v>
      </c>
      <c r="O79">
        <v>38.5</v>
      </c>
      <c r="P79">
        <f t="shared" si="19"/>
        <v>0.10244208814219795</v>
      </c>
      <c r="Q79">
        <f t="shared" si="20"/>
        <v>0.16442787568054892</v>
      </c>
      <c r="R79">
        <f t="shared" si="21"/>
        <v>0.34930691492738697</v>
      </c>
      <c r="S79">
        <f t="shared" si="13"/>
        <v>0.10876349114439755</v>
      </c>
      <c r="T79">
        <f t="shared" si="22"/>
        <v>8.5208014434603338E-2</v>
      </c>
      <c r="V79">
        <v>38.5</v>
      </c>
      <c r="W79">
        <f t="shared" si="12"/>
        <v>1933.5944136839862</v>
      </c>
      <c r="X79">
        <f t="shared" si="12"/>
        <v>3103.5761534703611</v>
      </c>
      <c r="Y79">
        <f t="shared" si="12"/>
        <v>6593.1680192544291</v>
      </c>
      <c r="Z79">
        <f t="shared" si="12"/>
        <v>2052.9108953505038</v>
      </c>
      <c r="AA79">
        <f t="shared" si="12"/>
        <v>1608.3012724531379</v>
      </c>
    </row>
    <row r="80" spans="8:27">
      <c r="H80">
        <v>39</v>
      </c>
      <c r="I80" s="89">
        <f t="shared" si="14"/>
        <v>0.12325707236342877</v>
      </c>
      <c r="J80" s="89">
        <f t="shared" si="15"/>
        <v>0.16825664549288316</v>
      </c>
      <c r="K80" s="89">
        <f t="shared" si="16"/>
        <v>0.42555683355513008</v>
      </c>
      <c r="L80" s="89">
        <f t="shared" si="17"/>
        <v>0.11683647675619456</v>
      </c>
      <c r="M80" s="89">
        <f t="shared" si="18"/>
        <v>7.8613670023547577E-2</v>
      </c>
      <c r="O80">
        <v>39</v>
      </c>
      <c r="P80">
        <f t="shared" si="19"/>
        <v>0.10236005513235846</v>
      </c>
      <c r="Q80">
        <f t="shared" si="20"/>
        <v>0.16403133422424904</v>
      </c>
      <c r="R80">
        <f t="shared" si="21"/>
        <v>0.35340788248009347</v>
      </c>
      <c r="S80">
        <f t="shared" si="13"/>
        <v>0.1075745305987944</v>
      </c>
      <c r="T80">
        <f t="shared" si="22"/>
        <v>8.5154999999838499E-2</v>
      </c>
      <c r="V80">
        <v>39</v>
      </c>
      <c r="W80">
        <f t="shared" si="12"/>
        <v>1932.046040623266</v>
      </c>
      <c r="X80">
        <f t="shared" si="12"/>
        <v>3096.0914334827007</v>
      </c>
      <c r="Y80">
        <f t="shared" si="12"/>
        <v>6670.5737818117641</v>
      </c>
      <c r="Z80">
        <f t="shared" si="12"/>
        <v>2030.4692650522443</v>
      </c>
      <c r="AA80">
        <f t="shared" si="12"/>
        <v>1607.3006249969517</v>
      </c>
    </row>
    <row r="81" spans="8:27">
      <c r="H81">
        <v>39.5</v>
      </c>
      <c r="I81" s="89">
        <f t="shared" si="14"/>
        <v>0.12317968241496945</v>
      </c>
      <c r="J81" s="89">
        <f t="shared" si="15"/>
        <v>0.16786633088286895</v>
      </c>
      <c r="K81" s="89">
        <f t="shared" si="16"/>
        <v>0.43049502212634971</v>
      </c>
      <c r="L81" s="89">
        <f t="shared" si="17"/>
        <v>0.1155806836581913</v>
      </c>
      <c r="M81" s="89">
        <f t="shared" si="18"/>
        <v>7.8565660230247414E-2</v>
      </c>
      <c r="O81">
        <v>39.5</v>
      </c>
      <c r="P81">
        <f t="shared" si="19"/>
        <v>0.10229578588403793</v>
      </c>
      <c r="Q81">
        <f t="shared" si="20"/>
        <v>0.16365082131160716</v>
      </c>
      <c r="R81">
        <f t="shared" si="21"/>
        <v>0.35750885003279997</v>
      </c>
      <c r="S81">
        <f t="shared" si="13"/>
        <v>0.10641828764456013</v>
      </c>
      <c r="T81">
        <f t="shared" si="22"/>
        <v>8.5102995380956781E-2</v>
      </c>
      <c r="V81">
        <v>39.5</v>
      </c>
      <c r="W81">
        <f t="shared" si="12"/>
        <v>1930.8329585612159</v>
      </c>
      <c r="X81">
        <f t="shared" si="12"/>
        <v>3088.9092522565852</v>
      </c>
      <c r="Y81">
        <f t="shared" si="12"/>
        <v>6747.9795443690991</v>
      </c>
      <c r="Z81">
        <f t="shared" si="12"/>
        <v>2008.6451792910725</v>
      </c>
      <c r="AA81">
        <f t="shared" si="12"/>
        <v>1606.3190378155593</v>
      </c>
    </row>
    <row r="82" spans="8:27">
      <c r="H82">
        <v>40</v>
      </c>
      <c r="I82" s="89">
        <f t="shared" si="14"/>
        <v>0.12312288060159665</v>
      </c>
      <c r="J82" s="89">
        <f t="shared" si="15"/>
        <v>0.16749184114505536</v>
      </c>
      <c r="K82" s="89">
        <f t="shared" si="16"/>
        <v>0.4354332106975693</v>
      </c>
      <c r="L82" s="89">
        <f t="shared" si="17"/>
        <v>0.11435909252490149</v>
      </c>
      <c r="M82" s="89">
        <f t="shared" si="18"/>
        <v>7.8518553457394932E-2</v>
      </c>
      <c r="O82">
        <v>40</v>
      </c>
      <c r="P82">
        <f t="shared" si="19"/>
        <v>0.10224861425617943</v>
      </c>
      <c r="Q82">
        <f t="shared" si="20"/>
        <v>0.16328573587223622</v>
      </c>
      <c r="R82">
        <f t="shared" si="21"/>
        <v>0.36160981758550653</v>
      </c>
      <c r="S82">
        <f t="shared" si="13"/>
        <v>0.10529353537201838</v>
      </c>
      <c r="T82">
        <f t="shared" si="22"/>
        <v>8.5051968921550355E-2</v>
      </c>
      <c r="V82">
        <v>40</v>
      </c>
      <c r="W82">
        <f t="shared" si="12"/>
        <v>1929.9425940853866</v>
      </c>
      <c r="X82">
        <f t="shared" si="12"/>
        <v>3082.0182645884584</v>
      </c>
      <c r="Y82">
        <f t="shared" si="12"/>
        <v>6825.385306926436</v>
      </c>
      <c r="Z82">
        <f t="shared" si="12"/>
        <v>1987.4154801468469</v>
      </c>
      <c r="AA82">
        <f t="shared" si="12"/>
        <v>1605.3559133942629</v>
      </c>
    </row>
    <row r="83" spans="8:27">
      <c r="H83">
        <v>40.5</v>
      </c>
      <c r="I83" s="89">
        <f t="shared" si="14"/>
        <v>0.12308590439978863</v>
      </c>
      <c r="J83" s="89">
        <f t="shared" si="15"/>
        <v>0.16713259017306456</v>
      </c>
      <c r="K83" s="89">
        <f t="shared" si="16"/>
        <v>0.44037139926878888</v>
      </c>
      <c r="L83" s="89">
        <f t="shared" si="17"/>
        <v>0.11317043661689127</v>
      </c>
      <c r="M83" s="89">
        <f t="shared" si="18"/>
        <v>7.8472321747065546E-2</v>
      </c>
      <c r="O83">
        <v>40.5</v>
      </c>
      <c r="P83">
        <f t="shared" si="19"/>
        <v>0.1022179070035806</v>
      </c>
      <c r="Q83">
        <f t="shared" si="20"/>
        <v>0.16293550651823721</v>
      </c>
      <c r="R83">
        <f t="shared" si="21"/>
        <v>0.36571078513821298</v>
      </c>
      <c r="S83">
        <f t="shared" si="13"/>
        <v>0.10419910745962496</v>
      </c>
      <c r="T83">
        <f t="shared" si="22"/>
        <v>8.5001890337356126E-2</v>
      </c>
      <c r="V83">
        <v>40.5</v>
      </c>
      <c r="W83">
        <f t="shared" si="12"/>
        <v>1929.3629946925839</v>
      </c>
      <c r="X83">
        <f t="shared" si="12"/>
        <v>3075.4076855317276</v>
      </c>
      <c r="Y83">
        <f t="shared" si="12"/>
        <v>6902.7910694837701</v>
      </c>
      <c r="Z83">
        <f t="shared" si="12"/>
        <v>1966.7581533004211</v>
      </c>
      <c r="AA83">
        <f t="shared" si="12"/>
        <v>1604.4106801175969</v>
      </c>
    </row>
    <row r="84" spans="8:27">
      <c r="H84">
        <v>41</v>
      </c>
      <c r="I84" s="89">
        <f t="shared" si="14"/>
        <v>0.12306802848229302</v>
      </c>
      <c r="J84" s="89">
        <f t="shared" si="15"/>
        <v>0.16678802045107374</v>
      </c>
      <c r="K84" s="89">
        <f t="shared" si="16"/>
        <v>0.44530958784000851</v>
      </c>
      <c r="L84" s="89">
        <f t="shared" si="17"/>
        <v>0.11201351098689438</v>
      </c>
      <c r="M84" s="89">
        <f t="shared" si="18"/>
        <v>7.8426938338344368E-2</v>
      </c>
      <c r="O84">
        <v>41</v>
      </c>
      <c r="P84">
        <f t="shared" si="19"/>
        <v>0.10220306177104907</v>
      </c>
      <c r="Q84">
        <f t="shared" si="20"/>
        <v>0.16259958973429167</v>
      </c>
      <c r="R84">
        <f t="shared" si="21"/>
        <v>0.36981175269091959</v>
      </c>
      <c r="S84">
        <f t="shared" si="13"/>
        <v>0.10313389447956967</v>
      </c>
      <c r="T84">
        <f t="shared" si="22"/>
        <v>8.4952730640722118E-2</v>
      </c>
      <c r="V84">
        <v>41</v>
      </c>
      <c r="W84">
        <f t="shared" si="12"/>
        <v>1929.0827909285513</v>
      </c>
      <c r="X84">
        <f t="shared" si="12"/>
        <v>3069.0672562347554</v>
      </c>
      <c r="Y84">
        <f t="shared" si="12"/>
        <v>6980.196832041107</v>
      </c>
      <c r="Z84">
        <f t="shared" si="12"/>
        <v>1946.6522583018775</v>
      </c>
      <c r="AA84">
        <f t="shared" si="12"/>
        <v>1603.48279084363</v>
      </c>
    </row>
    <row r="85" spans="8:27">
      <c r="H85">
        <v>41.5</v>
      </c>
      <c r="I85" s="89">
        <f t="shared" si="14"/>
        <v>0.12306856247738769</v>
      </c>
      <c r="J85" s="89">
        <f t="shared" si="15"/>
        <v>0.16645760133149254</v>
      </c>
      <c r="K85" s="89">
        <f t="shared" si="16"/>
        <v>0.45024777641122815</v>
      </c>
      <c r="L85" s="89">
        <f t="shared" si="17"/>
        <v>0.1108871687573922</v>
      </c>
      <c r="M85" s="89">
        <f t="shared" si="18"/>
        <v>7.8382377602229741E-2</v>
      </c>
      <c r="O85">
        <v>41.5</v>
      </c>
      <c r="P85">
        <f t="shared" si="19"/>
        <v>0.10220350523255828</v>
      </c>
      <c r="Q85">
        <f t="shared" si="20"/>
        <v>0.16227746819859046</v>
      </c>
      <c r="R85">
        <f t="shared" si="21"/>
        <v>0.3739127202436261</v>
      </c>
      <c r="S85">
        <f t="shared" si="13"/>
        <v>0.10209684047044257</v>
      </c>
      <c r="T85">
        <f t="shared" si="22"/>
        <v>8.4904462070094416E-2</v>
      </c>
      <c r="V85">
        <v>41.5</v>
      </c>
      <c r="W85">
        <f t="shared" si="12"/>
        <v>1929.0911612645375</v>
      </c>
      <c r="X85">
        <f t="shared" si="12"/>
        <v>3062.9872122483948</v>
      </c>
      <c r="Y85">
        <f t="shared" si="12"/>
        <v>7057.6025945984429</v>
      </c>
      <c r="Z85">
        <f t="shared" si="12"/>
        <v>1927.0778638796035</v>
      </c>
      <c r="AA85">
        <f t="shared" si="12"/>
        <v>1602.5717215730322</v>
      </c>
    </row>
    <row r="86" spans="8:27">
      <c r="H86">
        <v>42</v>
      </c>
      <c r="I86" s="89">
        <f t="shared" si="14"/>
        <v>0.12308684888819441</v>
      </c>
      <c r="J86" s="89">
        <f t="shared" si="15"/>
        <v>0.16614082743566352</v>
      </c>
      <c r="K86" s="89">
        <f t="shared" si="16"/>
        <v>0.45518596498244779</v>
      </c>
      <c r="L86" s="89">
        <f t="shared" si="17"/>
        <v>0.10979031766408137</v>
      </c>
      <c r="M86" s="89">
        <f t="shared" si="18"/>
        <v>7.8338614980812071E-2</v>
      </c>
      <c r="O86">
        <v>42</v>
      </c>
      <c r="P86">
        <f t="shared" si="19"/>
        <v>0.10221869136332107</v>
      </c>
      <c r="Q86">
        <f t="shared" si="20"/>
        <v>0.1619686492236963</v>
      </c>
      <c r="R86">
        <f t="shared" si="21"/>
        <v>0.37801368779633265</v>
      </c>
      <c r="S86">
        <f t="shared" si="13"/>
        <v>0.10108693975471054</v>
      </c>
      <c r="T86">
        <f t="shared" si="22"/>
        <v>8.4857058024135262E-2</v>
      </c>
      <c r="V86">
        <v>42</v>
      </c>
      <c r="W86">
        <f t="shared" si="12"/>
        <v>1929.3777994826851</v>
      </c>
      <c r="X86">
        <f t="shared" si="12"/>
        <v>3057.1582540972677</v>
      </c>
      <c r="Y86">
        <f t="shared" si="12"/>
        <v>7135.0083571557789</v>
      </c>
      <c r="Z86">
        <f t="shared" si="12"/>
        <v>1908.0159878701616</v>
      </c>
      <c r="AA86">
        <f t="shared" si="12"/>
        <v>1601.6769702055531</v>
      </c>
    </row>
  </sheetData>
  <mergeCells count="12">
    <mergeCell ref="V1:V2"/>
    <mergeCell ref="W1:AA1"/>
    <mergeCell ref="A40:D40"/>
    <mergeCell ref="H1:H2"/>
    <mergeCell ref="I1:M1"/>
    <mergeCell ref="O1:O2"/>
    <mergeCell ref="P1:T1"/>
    <mergeCell ref="A3:D3"/>
    <mergeCell ref="A10:D10"/>
    <mergeCell ref="A17:D17"/>
    <mergeCell ref="A25:D25"/>
    <mergeCell ref="A34:D34"/>
  </mergeCell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BD577-BC26-40A3-94EF-CFD4469F0E79}">
  <sheetPr codeName="Sheet2"/>
  <dimension ref="A1:K94"/>
  <sheetViews>
    <sheetView topLeftCell="A45" zoomScale="80" zoomScaleNormal="80" workbookViewId="0">
      <selection activeCell="B74" sqref="B74"/>
    </sheetView>
  </sheetViews>
  <sheetFormatPr defaultColWidth="8.42578125" defaultRowHeight="15"/>
  <cols>
    <col min="1" max="1" width="27" customWidth="1"/>
    <col min="2" max="2" width="14.42578125" customWidth="1"/>
    <col min="4" max="4" width="12.42578125" customWidth="1"/>
    <col min="5" max="5" width="37.42578125" customWidth="1"/>
  </cols>
  <sheetData>
    <row r="1" spans="1:11">
      <c r="A1" s="309" t="s">
        <v>1153</v>
      </c>
      <c r="B1" s="309"/>
      <c r="C1" s="309"/>
      <c r="D1" s="309"/>
      <c r="E1" s="309"/>
      <c r="F1" s="309"/>
      <c r="G1" s="309"/>
      <c r="H1" s="309"/>
      <c r="I1" s="309"/>
      <c r="J1" s="309"/>
      <c r="K1" s="309"/>
    </row>
    <row r="3" spans="1:11">
      <c r="A3" s="309" t="s">
        <v>1154</v>
      </c>
      <c r="B3" s="309"/>
      <c r="C3" s="309"/>
      <c r="D3" s="309"/>
      <c r="E3" s="309"/>
      <c r="F3" s="309"/>
      <c r="G3" s="309"/>
      <c r="H3" s="309"/>
      <c r="I3" s="309"/>
      <c r="J3" s="309"/>
      <c r="K3" s="309"/>
    </row>
    <row r="4" spans="1:11">
      <c r="A4" s="7" t="s">
        <v>7</v>
      </c>
      <c r="B4" s="7" t="s">
        <v>8</v>
      </c>
      <c r="C4" s="7" t="s">
        <v>9</v>
      </c>
      <c r="D4" s="7" t="s">
        <v>10</v>
      </c>
      <c r="E4" s="7" t="s">
        <v>11</v>
      </c>
      <c r="F4" s="5" t="s">
        <v>874</v>
      </c>
    </row>
    <row r="5" spans="1:11" ht="17.100000000000001">
      <c r="A5" t="s">
        <v>1155</v>
      </c>
      <c r="B5" s="9" t="s">
        <v>1156</v>
      </c>
      <c r="C5" s="5"/>
      <c r="F5" s="6" t="s">
        <v>1157</v>
      </c>
    </row>
    <row r="6" spans="1:11">
      <c r="A6" t="s">
        <v>308</v>
      </c>
      <c r="B6" s="9" t="s">
        <v>309</v>
      </c>
      <c r="C6" s="5">
        <v>8</v>
      </c>
    </row>
    <row r="7" spans="1:11">
      <c r="A7" t="s">
        <v>1158</v>
      </c>
      <c r="B7" s="10" t="s">
        <v>1159</v>
      </c>
      <c r="C7" s="5"/>
    </row>
    <row r="8" spans="1:11">
      <c r="A8" t="s">
        <v>1160</v>
      </c>
      <c r="B8" s="9" t="s">
        <v>1161</v>
      </c>
      <c r="C8" s="5">
        <f>General!C7</f>
        <v>18875</v>
      </c>
      <c r="D8" t="s">
        <v>1162</v>
      </c>
    </row>
    <row r="9" spans="1:11">
      <c r="B9" s="9"/>
    </row>
    <row r="10" spans="1:11">
      <c r="A10" t="s">
        <v>1163</v>
      </c>
      <c r="B10" s="9" t="s">
        <v>153</v>
      </c>
      <c r="C10" s="6"/>
    </row>
    <row r="11" spans="1:11">
      <c r="A11" t="s">
        <v>154</v>
      </c>
      <c r="B11" s="9" t="s">
        <v>155</v>
      </c>
      <c r="C11" s="6"/>
    </row>
    <row r="13" spans="1:11">
      <c r="A13" s="309" t="s">
        <v>1164</v>
      </c>
      <c r="B13" s="309"/>
      <c r="C13" s="309"/>
      <c r="D13" s="309"/>
      <c r="E13" s="309"/>
      <c r="F13" s="309"/>
      <c r="G13" s="309"/>
      <c r="H13" s="309"/>
      <c r="I13" s="309"/>
      <c r="J13" s="309"/>
      <c r="K13" s="309"/>
    </row>
    <row r="14" spans="1:11">
      <c r="A14" s="8" t="s">
        <v>7</v>
      </c>
      <c r="B14" s="8" t="s">
        <v>8</v>
      </c>
      <c r="C14" s="8" t="s">
        <v>9</v>
      </c>
      <c r="D14" s="8" t="s">
        <v>10</v>
      </c>
      <c r="E14" s="8" t="s">
        <v>1165</v>
      </c>
      <c r="F14" s="8"/>
      <c r="G14" s="8"/>
      <c r="H14" s="8"/>
      <c r="I14" s="8"/>
      <c r="J14" s="8"/>
      <c r="K14" s="8"/>
    </row>
    <row r="15" spans="1:11" ht="17.100000000000001">
      <c r="A15" t="s">
        <v>1166</v>
      </c>
      <c r="B15" s="9" t="s">
        <v>1167</v>
      </c>
      <c r="C15" s="5"/>
      <c r="D15" t="s">
        <v>221</v>
      </c>
    </row>
    <row r="16" spans="1:11" ht="17.100000000000001">
      <c r="A16" t="s">
        <v>1168</v>
      </c>
      <c r="B16" s="9" t="s">
        <v>181</v>
      </c>
      <c r="C16" s="5"/>
      <c r="D16" t="s">
        <v>596</v>
      </c>
    </row>
    <row r="17" spans="1:11" ht="17.100000000000001">
      <c r="A17" t="s">
        <v>1169</v>
      </c>
      <c r="B17" s="9" t="s">
        <v>1170</v>
      </c>
      <c r="C17" s="5"/>
      <c r="D17" t="s">
        <v>66</v>
      </c>
    </row>
    <row r="18" spans="1:11">
      <c r="B18" s="9"/>
    </row>
    <row r="19" spans="1:11" ht="17.100000000000001">
      <c r="A19" t="s">
        <v>1168</v>
      </c>
      <c r="B19" s="9" t="s">
        <v>181</v>
      </c>
      <c r="C19" s="6"/>
      <c r="D19" t="s">
        <v>183</v>
      </c>
    </row>
    <row r="20" spans="1:11">
      <c r="A20" t="s">
        <v>1171</v>
      </c>
      <c r="B20" s="9" t="s">
        <v>1172</v>
      </c>
      <c r="C20" s="6"/>
      <c r="D20" t="s">
        <v>319</v>
      </c>
    </row>
    <row r="21" spans="1:11" ht="17.100000000000001">
      <c r="A21" t="s">
        <v>1173</v>
      </c>
      <c r="B21" s="9" t="s">
        <v>1174</v>
      </c>
      <c r="C21" s="6"/>
      <c r="D21" t="s">
        <v>158</v>
      </c>
    </row>
    <row r="22" spans="1:11">
      <c r="A22" t="s">
        <v>1175</v>
      </c>
      <c r="B22" s="9" t="s">
        <v>1176</v>
      </c>
      <c r="C22" s="6"/>
    </row>
    <row r="24" spans="1:11">
      <c r="A24" s="309" t="s">
        <v>1177</v>
      </c>
      <c r="B24" s="309"/>
      <c r="C24" s="309"/>
      <c r="D24" s="309"/>
      <c r="E24" s="309"/>
      <c r="F24" s="309"/>
      <c r="G24" s="309"/>
      <c r="H24" s="309"/>
      <c r="I24" s="309"/>
      <c r="J24" s="309"/>
      <c r="K24" s="309"/>
    </row>
    <row r="25" spans="1:11">
      <c r="A25" s="7" t="s">
        <v>860</v>
      </c>
      <c r="B25" s="7" t="s">
        <v>861</v>
      </c>
      <c r="C25" s="7" t="s">
        <v>191</v>
      </c>
      <c r="D25" s="7" t="s">
        <v>192</v>
      </c>
      <c r="E25" s="7" t="s">
        <v>1178</v>
      </c>
    </row>
    <row r="26" spans="1:11" ht="17.100000000000001">
      <c r="A26" t="s">
        <v>1179</v>
      </c>
      <c r="B26" s="9" t="s">
        <v>1180</v>
      </c>
      <c r="C26" s="5"/>
      <c r="D26" t="s">
        <v>173</v>
      </c>
    </row>
    <row r="27" spans="1:11" ht="17.100000000000001">
      <c r="A27" t="s">
        <v>1181</v>
      </c>
      <c r="B27" s="9" t="s">
        <v>1182</v>
      </c>
      <c r="C27" s="5"/>
      <c r="D27" t="s">
        <v>1183</v>
      </c>
    </row>
    <row r="28" spans="1:11">
      <c r="B28" s="9"/>
    </row>
    <row r="29" spans="1:11" ht="17.100000000000001">
      <c r="A29" t="s">
        <v>1184</v>
      </c>
      <c r="B29" s="9" t="s">
        <v>1180</v>
      </c>
      <c r="C29" s="6"/>
      <c r="D29" t="s">
        <v>183</v>
      </c>
    </row>
    <row r="30" spans="1:11" ht="17.100000000000001">
      <c r="A30" t="s">
        <v>1181</v>
      </c>
      <c r="B30" s="9" t="s">
        <v>1182</v>
      </c>
      <c r="C30" s="6"/>
      <c r="D30" t="s">
        <v>1185</v>
      </c>
    </row>
    <row r="31" spans="1:11" ht="17.100000000000001">
      <c r="A31" t="s">
        <v>1186</v>
      </c>
      <c r="B31" s="9" t="s">
        <v>1187</v>
      </c>
      <c r="C31" s="6"/>
      <c r="D31" t="s">
        <v>1188</v>
      </c>
    </row>
    <row r="32" spans="1:11">
      <c r="A32" t="s">
        <v>1189</v>
      </c>
      <c r="B32" s="9" t="s">
        <v>1115</v>
      </c>
      <c r="C32" s="6"/>
    </row>
    <row r="34" spans="1:11">
      <c r="A34" s="309" t="s">
        <v>1190</v>
      </c>
      <c r="B34" s="309"/>
      <c r="C34" s="309"/>
      <c r="D34" s="309"/>
      <c r="E34" s="309"/>
      <c r="F34" s="309"/>
      <c r="G34" s="309"/>
      <c r="H34" s="309"/>
      <c r="I34" s="309"/>
      <c r="J34" s="309"/>
      <c r="K34" s="309"/>
    </row>
    <row r="35" spans="1:11">
      <c r="A35" s="7" t="s">
        <v>860</v>
      </c>
      <c r="B35" s="7" t="s">
        <v>861</v>
      </c>
      <c r="C35" s="7" t="s">
        <v>191</v>
      </c>
      <c r="D35" s="7" t="s">
        <v>367</v>
      </c>
      <c r="E35" s="7" t="s">
        <v>193</v>
      </c>
    </row>
    <row r="36" spans="1:11" ht="17.100000000000001">
      <c r="A36" t="s">
        <v>1191</v>
      </c>
      <c r="B36" s="9" t="s">
        <v>1192</v>
      </c>
      <c r="C36" s="5"/>
    </row>
    <row r="37" spans="1:11" ht="17.100000000000001">
      <c r="A37" t="s">
        <v>1193</v>
      </c>
      <c r="B37" s="9" t="s">
        <v>1194</v>
      </c>
      <c r="C37" s="5"/>
    </row>
    <row r="38" spans="1:11" ht="17.100000000000001">
      <c r="A38" t="s">
        <v>1195</v>
      </c>
      <c r="B38" s="9" t="s">
        <v>1196</v>
      </c>
      <c r="C38" s="5"/>
      <c r="D38" t="s">
        <v>173</v>
      </c>
    </row>
    <row r="39" spans="1:11" ht="17.100000000000001">
      <c r="A39" t="s">
        <v>1197</v>
      </c>
      <c r="B39" s="9" t="s">
        <v>1198</v>
      </c>
      <c r="C39" s="5"/>
      <c r="D39" t="s">
        <v>66</v>
      </c>
    </row>
    <row r="40" spans="1:11">
      <c r="A40" t="s">
        <v>1199</v>
      </c>
      <c r="B40" s="10" t="s">
        <v>1159</v>
      </c>
      <c r="C40" s="5"/>
    </row>
    <row r="41" spans="1:11">
      <c r="B41" s="9"/>
    </row>
    <row r="42" spans="1:11" ht="17.100000000000001">
      <c r="B42" s="9" t="s">
        <v>1196</v>
      </c>
      <c r="C42" s="6"/>
      <c r="D42" t="s">
        <v>183</v>
      </c>
    </row>
    <row r="43" spans="1:11" ht="17.100000000000001">
      <c r="A43" t="s">
        <v>1200</v>
      </c>
      <c r="B43" s="9" t="s">
        <v>1201</v>
      </c>
      <c r="C43" s="6"/>
      <c r="D43" t="s">
        <v>183</v>
      </c>
    </row>
    <row r="44" spans="1:11">
      <c r="A44" t="s">
        <v>1202</v>
      </c>
      <c r="B44" s="9" t="s">
        <v>157</v>
      </c>
      <c r="C44" s="6"/>
      <c r="D44" t="s">
        <v>158</v>
      </c>
    </row>
    <row r="45" spans="1:11">
      <c r="A45" t="s">
        <v>1203</v>
      </c>
      <c r="B45" s="10" t="s">
        <v>1204</v>
      </c>
      <c r="C45" s="6"/>
    </row>
    <row r="46" spans="1:11">
      <c r="A46" t="s">
        <v>1189</v>
      </c>
      <c r="B46" s="9" t="s">
        <v>1115</v>
      </c>
      <c r="C46" s="6"/>
    </row>
    <row r="47" spans="1:11">
      <c r="B47" s="9"/>
    </row>
    <row r="48" spans="1:11">
      <c r="A48" s="309" t="s">
        <v>1205</v>
      </c>
      <c r="B48" s="309"/>
      <c r="C48" s="309"/>
      <c r="D48" s="309"/>
      <c r="E48" s="309"/>
      <c r="F48" s="309"/>
      <c r="G48" s="309"/>
      <c r="H48" s="309"/>
      <c r="I48" s="309"/>
      <c r="J48" s="309"/>
      <c r="K48" s="309"/>
    </row>
    <row r="49" spans="1:11">
      <c r="A49" s="7" t="s">
        <v>860</v>
      </c>
      <c r="B49" s="7" t="s">
        <v>861</v>
      </c>
      <c r="C49" s="7" t="s">
        <v>191</v>
      </c>
      <c r="D49" s="7" t="s">
        <v>862</v>
      </c>
      <c r="E49" s="7" t="s">
        <v>193</v>
      </c>
    </row>
    <row r="50" spans="1:11">
      <c r="A50" t="s">
        <v>1206</v>
      </c>
      <c r="B50" s="9" t="s">
        <v>249</v>
      </c>
      <c r="C50" s="5"/>
      <c r="D50" t="s">
        <v>596</v>
      </c>
    </row>
    <row r="51" spans="1:11">
      <c r="A51" t="s">
        <v>1207</v>
      </c>
      <c r="B51" s="9" t="s">
        <v>1208</v>
      </c>
      <c r="C51" s="5"/>
      <c r="D51" t="s">
        <v>66</v>
      </c>
    </row>
    <row r="52" spans="1:11">
      <c r="B52" s="9"/>
    </row>
    <row r="53" spans="1:11">
      <c r="A53" t="s">
        <v>1206</v>
      </c>
      <c r="B53" s="9" t="s">
        <v>249</v>
      </c>
      <c r="C53" s="6"/>
      <c r="D53" t="s">
        <v>183</v>
      </c>
    </row>
    <row r="54" spans="1:11">
      <c r="A54" t="s">
        <v>1209</v>
      </c>
      <c r="B54" s="10" t="s">
        <v>1145</v>
      </c>
      <c r="C54" s="6"/>
      <c r="D54" t="s">
        <v>319</v>
      </c>
    </row>
    <row r="55" spans="1:11">
      <c r="A55" t="s">
        <v>1210</v>
      </c>
      <c r="B55" s="9" t="s">
        <v>157</v>
      </c>
      <c r="C55" s="6"/>
      <c r="D55" t="s">
        <v>1188</v>
      </c>
    </row>
    <row r="56" spans="1:11">
      <c r="A56" t="s">
        <v>1211</v>
      </c>
      <c r="B56" s="9" t="s">
        <v>1115</v>
      </c>
      <c r="C56" s="6"/>
    </row>
    <row r="57" spans="1:11">
      <c r="B57" s="9"/>
    </row>
    <row r="58" spans="1:11">
      <c r="B58" s="9"/>
    </row>
    <row r="59" spans="1:11">
      <c r="A59" s="309" t="s">
        <v>1212</v>
      </c>
      <c r="B59" s="309"/>
      <c r="C59" s="309"/>
      <c r="D59" s="309"/>
      <c r="E59" s="309"/>
      <c r="F59" s="309"/>
      <c r="G59" s="309"/>
      <c r="H59" s="309"/>
      <c r="I59" s="309"/>
      <c r="J59" s="309"/>
      <c r="K59" s="309"/>
    </row>
    <row r="60" spans="1:11">
      <c r="A60" s="7" t="s">
        <v>860</v>
      </c>
      <c r="B60" s="7" t="s">
        <v>861</v>
      </c>
      <c r="C60" s="7" t="s">
        <v>191</v>
      </c>
      <c r="D60" s="7" t="s">
        <v>192</v>
      </c>
      <c r="E60" s="7" t="s">
        <v>193</v>
      </c>
    </row>
    <row r="61" spans="1:11" ht="17.100000000000001">
      <c r="A61" t="s">
        <v>1213</v>
      </c>
      <c r="B61" s="9" t="s">
        <v>1214</v>
      </c>
      <c r="C61" s="6"/>
    </row>
    <row r="62" spans="1:11" ht="17.100000000000001">
      <c r="A62" t="s">
        <v>1215</v>
      </c>
      <c r="B62" s="9" t="s">
        <v>1216</v>
      </c>
      <c r="C62" s="6"/>
      <c r="D62" t="s">
        <v>1162</v>
      </c>
    </row>
    <row r="63" spans="1:11" ht="17.100000000000001">
      <c r="A63" t="s">
        <v>1217</v>
      </c>
      <c r="B63" s="9" t="s">
        <v>1218</v>
      </c>
      <c r="C63" s="6"/>
      <c r="D63" t="s">
        <v>384</v>
      </c>
    </row>
    <row r="65" spans="1:11">
      <c r="A65" s="309" t="s">
        <v>1219</v>
      </c>
      <c r="B65" s="309"/>
      <c r="C65" s="309"/>
      <c r="D65" s="309"/>
      <c r="E65" s="309"/>
      <c r="F65" s="309"/>
      <c r="G65" s="309"/>
      <c r="H65" s="309"/>
      <c r="I65" s="309"/>
      <c r="J65" s="309"/>
      <c r="K65" s="309"/>
    </row>
    <row r="66" spans="1:11">
      <c r="A66" s="7" t="s">
        <v>860</v>
      </c>
      <c r="B66" s="7" t="s">
        <v>861</v>
      </c>
      <c r="C66" s="7" t="s">
        <v>191</v>
      </c>
      <c r="D66" s="7" t="s">
        <v>192</v>
      </c>
      <c r="E66" s="7" t="s">
        <v>193</v>
      </c>
    </row>
    <row r="67" spans="1:11">
      <c r="A67" t="s">
        <v>1220</v>
      </c>
      <c r="B67" s="9" t="s">
        <v>1221</v>
      </c>
      <c r="C67" s="5">
        <v>26.3</v>
      </c>
      <c r="D67" t="s">
        <v>1222</v>
      </c>
      <c r="E67" t="s">
        <v>1223</v>
      </c>
    </row>
    <row r="68" spans="1:11">
      <c r="A68" t="s">
        <v>1224</v>
      </c>
      <c r="B68" s="9" t="s">
        <v>1176</v>
      </c>
      <c r="C68" s="6"/>
      <c r="E68" t="s">
        <v>1225</v>
      </c>
    </row>
    <row r="69" spans="1:11" ht="17.100000000000001">
      <c r="A69" t="s">
        <v>1226</v>
      </c>
      <c r="B69" s="9" t="s">
        <v>1227</v>
      </c>
      <c r="C69" s="6"/>
      <c r="D69" t="s">
        <v>384</v>
      </c>
      <c r="E69" t="s">
        <v>1225</v>
      </c>
    </row>
    <row r="70" spans="1:11" ht="17.100000000000001">
      <c r="A70" t="s">
        <v>1228</v>
      </c>
      <c r="B70" s="9" t="s">
        <v>1229</v>
      </c>
      <c r="C70" s="6"/>
      <c r="D70" t="s">
        <v>196</v>
      </c>
      <c r="E70" t="s">
        <v>1230</v>
      </c>
    </row>
    <row r="71" spans="1:11">
      <c r="B71" s="9"/>
    </row>
    <row r="72" spans="1:11">
      <c r="A72" s="7" t="s">
        <v>1231</v>
      </c>
      <c r="B72" s="9"/>
    </row>
    <row r="73" spans="1:11" ht="17.100000000000001">
      <c r="A73" t="s">
        <v>1232</v>
      </c>
      <c r="B73" s="9" t="s">
        <v>163</v>
      </c>
      <c r="C73" s="5"/>
      <c r="E73" t="s">
        <v>1233</v>
      </c>
    </row>
    <row r="74" spans="1:11" ht="17.100000000000001">
      <c r="A74" t="s">
        <v>1234</v>
      </c>
      <c r="B74" s="9" t="s">
        <v>1235</v>
      </c>
      <c r="C74" s="6"/>
      <c r="D74" t="s">
        <v>173</v>
      </c>
    </row>
    <row r="75" spans="1:11" ht="17.100000000000001">
      <c r="A75" t="s">
        <v>1236</v>
      </c>
      <c r="B75" s="9" t="s">
        <v>163</v>
      </c>
      <c r="C75" s="6"/>
    </row>
    <row r="76" spans="1:11">
      <c r="B76" s="9"/>
    </row>
    <row r="77" spans="1:11">
      <c r="A77" s="7" t="s">
        <v>1237</v>
      </c>
      <c r="B77" s="9"/>
    </row>
    <row r="78" spans="1:11" ht="17.100000000000001">
      <c r="A78" t="s">
        <v>524</v>
      </c>
      <c r="B78" s="9" t="s">
        <v>1238</v>
      </c>
      <c r="C78" s="5"/>
      <c r="D78" t="s">
        <v>1239</v>
      </c>
    </row>
    <row r="79" spans="1:11" ht="17.100000000000001">
      <c r="A79" t="s">
        <v>504</v>
      </c>
      <c r="B79" s="9" t="s">
        <v>1240</v>
      </c>
      <c r="C79" s="5"/>
      <c r="D79" t="s">
        <v>1162</v>
      </c>
    </row>
    <row r="80" spans="1:11" ht="17.100000000000001">
      <c r="A80" t="s">
        <v>1241</v>
      </c>
      <c r="B80" s="9" t="s">
        <v>1242</v>
      </c>
      <c r="C80" s="5"/>
      <c r="D80" t="s">
        <v>601</v>
      </c>
    </row>
    <row r="81" spans="1:11" ht="17.100000000000001">
      <c r="A81" t="s">
        <v>1243</v>
      </c>
      <c r="B81" s="9" t="s">
        <v>1244</v>
      </c>
      <c r="C81" s="5"/>
      <c r="D81" t="s">
        <v>596</v>
      </c>
    </row>
    <row r="82" spans="1:11" ht="17.100000000000001">
      <c r="A82" t="s">
        <v>1245</v>
      </c>
      <c r="B82" s="9" t="s">
        <v>1246</v>
      </c>
      <c r="C82" s="6"/>
      <c r="D82" t="s">
        <v>173</v>
      </c>
    </row>
    <row r="83" spans="1:11" ht="17.100000000000001">
      <c r="A83" t="s">
        <v>1247</v>
      </c>
      <c r="B83" s="9" t="s">
        <v>1240</v>
      </c>
      <c r="C83" s="6"/>
      <c r="D83" t="s">
        <v>1162</v>
      </c>
    </row>
    <row r="84" spans="1:11" ht="17.100000000000001">
      <c r="A84" t="s">
        <v>1243</v>
      </c>
      <c r="B84" s="9" t="s">
        <v>1244</v>
      </c>
      <c r="C84" s="6"/>
      <c r="D84" t="s">
        <v>1248</v>
      </c>
    </row>
    <row r="85" spans="1:11" ht="17.100000000000001">
      <c r="A85" t="s">
        <v>594</v>
      </c>
      <c r="B85" s="9" t="s">
        <v>1249</v>
      </c>
      <c r="C85" s="6"/>
      <c r="D85" t="s">
        <v>1250</v>
      </c>
    </row>
    <row r="86" spans="1:11" ht="17.100000000000001">
      <c r="A86" t="s">
        <v>1251</v>
      </c>
      <c r="B86" s="9" t="s">
        <v>1252</v>
      </c>
      <c r="C86" s="6"/>
    </row>
    <row r="87" spans="1:11">
      <c r="B87" s="9"/>
    </row>
    <row r="88" spans="1:11">
      <c r="A88" s="7" t="s">
        <v>1253</v>
      </c>
      <c r="B88" s="9"/>
    </row>
    <row r="89" spans="1:11" ht="17.100000000000001">
      <c r="A89" t="s">
        <v>1254</v>
      </c>
      <c r="B89" s="9" t="s">
        <v>1255</v>
      </c>
      <c r="C89" s="6"/>
    </row>
    <row r="90" spans="1:11" ht="17.100000000000001">
      <c r="A90" t="s">
        <v>1256</v>
      </c>
      <c r="B90" s="9" t="s">
        <v>1246</v>
      </c>
      <c r="C90" s="6"/>
      <c r="D90" t="s">
        <v>173</v>
      </c>
    </row>
    <row r="94" spans="1:11">
      <c r="A94" s="309" t="s">
        <v>1257</v>
      </c>
      <c r="B94" s="309"/>
      <c r="C94" s="309"/>
      <c r="D94" s="309"/>
      <c r="E94" s="309"/>
      <c r="F94" s="309"/>
      <c r="G94" s="309"/>
      <c r="H94" s="309"/>
      <c r="I94" s="309"/>
      <c r="J94" s="309"/>
      <c r="K94" s="309"/>
    </row>
  </sheetData>
  <mergeCells count="9">
    <mergeCell ref="A94:K94"/>
    <mergeCell ref="A65:K65"/>
    <mergeCell ref="A1:K1"/>
    <mergeCell ref="A3:K3"/>
    <mergeCell ref="A13:K13"/>
    <mergeCell ref="A24:K24"/>
    <mergeCell ref="A34:K34"/>
    <mergeCell ref="A59:K59"/>
    <mergeCell ref="A48:K48"/>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78E74-8436-4BEC-A83B-74DC5D50FB69}">
  <sheetPr codeName="Sheet4"/>
  <dimension ref="A1:K23"/>
  <sheetViews>
    <sheetView zoomScale="70" zoomScaleNormal="70" workbookViewId="0">
      <selection activeCell="C21" sqref="C21"/>
    </sheetView>
  </sheetViews>
  <sheetFormatPr defaultColWidth="8.42578125" defaultRowHeight="15"/>
  <cols>
    <col min="1" max="1" width="19.42578125" customWidth="1"/>
    <col min="2" max="2" width="8.42578125" style="9"/>
    <col min="5" max="5" width="21.42578125" customWidth="1"/>
  </cols>
  <sheetData>
    <row r="1" spans="1:11">
      <c r="A1" s="309" t="s">
        <v>1258</v>
      </c>
      <c r="B1" s="309"/>
      <c r="C1" s="309"/>
      <c r="D1" s="309"/>
      <c r="E1" s="309"/>
      <c r="F1" s="309"/>
      <c r="G1" s="309"/>
      <c r="H1" s="309"/>
      <c r="I1" s="309"/>
      <c r="J1" s="309"/>
      <c r="K1" s="309"/>
    </row>
    <row r="3" spans="1:11">
      <c r="A3" s="7" t="s">
        <v>7</v>
      </c>
      <c r="B3" s="17" t="s">
        <v>8</v>
      </c>
      <c r="C3" s="7" t="s">
        <v>9</v>
      </c>
      <c r="D3" s="7" t="s">
        <v>1259</v>
      </c>
      <c r="E3" s="7" t="s">
        <v>11</v>
      </c>
    </row>
    <row r="4" spans="1:11">
      <c r="A4" t="s">
        <v>1260</v>
      </c>
      <c r="B4" s="9" t="s">
        <v>1261</v>
      </c>
      <c r="C4" s="5">
        <v>0.8</v>
      </c>
    </row>
    <row r="5" spans="1:11">
      <c r="A5" t="s">
        <v>1262</v>
      </c>
      <c r="B5" s="9" t="s">
        <v>1263</v>
      </c>
      <c r="C5" s="5">
        <v>7.0000000000000007E-2</v>
      </c>
    </row>
    <row r="6" spans="1:11">
      <c r="A6" t="s">
        <v>64</v>
      </c>
      <c r="B6" s="9" t="s">
        <v>1264</v>
      </c>
      <c r="C6" s="47">
        <f>General!C38</f>
        <v>7.3642512077294677</v>
      </c>
      <c r="D6" t="s">
        <v>66</v>
      </c>
    </row>
    <row r="7" spans="1:11">
      <c r="A7" t="s">
        <v>1265</v>
      </c>
      <c r="B7" s="9" t="s">
        <v>1266</v>
      </c>
      <c r="C7" s="6">
        <f>General!C39</f>
        <v>69</v>
      </c>
      <c r="D7" t="s">
        <v>66</v>
      </c>
    </row>
    <row r="8" spans="1:11">
      <c r="A8" t="s">
        <v>1267</v>
      </c>
      <c r="B8" s="9" t="s">
        <v>1268</v>
      </c>
      <c r="C8" s="6">
        <f>General!C23</f>
        <v>476.1</v>
      </c>
      <c r="D8" t="s">
        <v>196</v>
      </c>
    </row>
    <row r="9" spans="1:11">
      <c r="A9" t="s">
        <v>1269</v>
      </c>
      <c r="B9" s="9" t="s">
        <v>1270</v>
      </c>
      <c r="C9" s="47">
        <f>General!C48</f>
        <v>4.1594516540385147</v>
      </c>
    </row>
    <row r="10" spans="1:11">
      <c r="C10" s="69"/>
    </row>
    <row r="11" spans="1:11">
      <c r="A11" t="s">
        <v>1271</v>
      </c>
      <c r="B11" s="9" t="s">
        <v>1272</v>
      </c>
      <c r="C11" s="6">
        <v>9.8000000000000007</v>
      </c>
      <c r="D11" t="s">
        <v>66</v>
      </c>
    </row>
    <row r="12" spans="1:11">
      <c r="A12" t="s">
        <v>1273</v>
      </c>
      <c r="B12" s="9" t="s">
        <v>1274</v>
      </c>
      <c r="C12" s="6">
        <v>1.5</v>
      </c>
      <c r="D12" t="s">
        <v>66</v>
      </c>
    </row>
    <row r="14" spans="1:11">
      <c r="A14" t="s">
        <v>1275</v>
      </c>
      <c r="B14" s="9" t="s">
        <v>1276</v>
      </c>
      <c r="C14" s="6">
        <f>SQRT(2*C8*(C4*C6+C5*C7)/(PI()*(C11+C12)))</f>
        <v>16.958041730950004</v>
      </c>
      <c r="D14" t="s">
        <v>66</v>
      </c>
    </row>
    <row r="15" spans="1:11">
      <c r="A15" t="s">
        <v>1277</v>
      </c>
      <c r="B15" s="9" t="s">
        <v>1278</v>
      </c>
      <c r="C15" s="6">
        <f>(C4*C8*C6)/C14</f>
        <v>165.40211685414147</v>
      </c>
      <c r="D15" t="s">
        <v>196</v>
      </c>
    </row>
    <row r="16" spans="1:11">
      <c r="A16" t="s">
        <v>1279</v>
      </c>
      <c r="B16" s="9" t="s">
        <v>1280</v>
      </c>
      <c r="C16" s="6">
        <f>(C5*C8*C7)/C14</f>
        <v>135.60309831076097</v>
      </c>
      <c r="D16" t="s">
        <v>196</v>
      </c>
    </row>
    <row r="18" spans="1:5">
      <c r="A18" t="s">
        <v>103</v>
      </c>
      <c r="B18" s="9" t="s">
        <v>1281</v>
      </c>
      <c r="C18" s="47">
        <f>SQRT(C$9*C15)</f>
        <v>26.229413042049387</v>
      </c>
    </row>
    <row r="19" spans="1:5">
      <c r="A19" t="s">
        <v>1282</v>
      </c>
      <c r="B19" s="9" t="s">
        <v>1283</v>
      </c>
      <c r="C19" s="47">
        <f>SQRT(C$9*C16)</f>
        <v>23.749411183468151</v>
      </c>
    </row>
    <row r="20" spans="1:5">
      <c r="A20" t="s">
        <v>1284</v>
      </c>
      <c r="B20" s="9" t="s">
        <v>1264</v>
      </c>
      <c r="C20" s="47">
        <f>C18/C$9</f>
        <v>6.3059785817158378</v>
      </c>
    </row>
    <row r="21" spans="1:5">
      <c r="A21" t="s">
        <v>1285</v>
      </c>
      <c r="B21" s="9" t="s">
        <v>1264</v>
      </c>
      <c r="C21" s="47">
        <f>C19/C$9</f>
        <v>5.709745696986106</v>
      </c>
    </row>
    <row r="23" spans="1:5">
      <c r="A23" t="s">
        <v>1286</v>
      </c>
      <c r="B23" s="9" t="s">
        <v>1287</v>
      </c>
      <c r="C23" s="6">
        <f>C18/COS(RADIANS(45))</f>
        <v>37.093991657151982</v>
      </c>
      <c r="D23" t="s">
        <v>66</v>
      </c>
      <c r="E23" t="s">
        <v>1288</v>
      </c>
    </row>
  </sheetData>
  <mergeCells count="1">
    <mergeCell ref="A1:K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44C10-E416-46F6-8F4D-D2D07B6AF26F}">
  <dimension ref="A1:I18"/>
  <sheetViews>
    <sheetView topLeftCell="A3" workbookViewId="0">
      <selection activeCell="A3" sqref="A3:I3"/>
    </sheetView>
  </sheetViews>
  <sheetFormatPr defaultColWidth="8.42578125" defaultRowHeight="15"/>
  <cols>
    <col min="1" max="1" width="13.42578125" customWidth="1"/>
    <col min="2" max="9" width="10.42578125" customWidth="1"/>
  </cols>
  <sheetData>
    <row r="1" spans="1:9">
      <c r="A1" s="309" t="s">
        <v>1289</v>
      </c>
      <c r="B1" s="309"/>
      <c r="C1" s="309"/>
      <c r="D1" s="309"/>
      <c r="E1" s="309"/>
      <c r="F1" s="309"/>
      <c r="G1" s="309"/>
      <c r="H1" s="309"/>
      <c r="I1" s="309"/>
    </row>
    <row r="2" spans="1:9">
      <c r="I2" t="s">
        <v>1290</v>
      </c>
    </row>
    <row r="3" spans="1:9">
      <c r="A3" s="309" t="s">
        <v>1291</v>
      </c>
      <c r="B3" s="309"/>
      <c r="C3" s="309"/>
      <c r="D3" s="309"/>
      <c r="E3" s="309"/>
      <c r="F3" s="309"/>
      <c r="G3" s="309"/>
      <c r="H3" s="309"/>
      <c r="I3" s="309"/>
    </row>
    <row r="4" spans="1:9" ht="17.100000000000001">
      <c r="A4" s="55" t="s">
        <v>1292</v>
      </c>
      <c r="B4" s="48" t="s">
        <v>618</v>
      </c>
      <c r="C4" s="48" t="s">
        <v>619</v>
      </c>
      <c r="D4" s="48" t="s">
        <v>620</v>
      </c>
      <c r="E4" s="48" t="s">
        <v>621</v>
      </c>
      <c r="F4" s="48" t="s">
        <v>622</v>
      </c>
      <c r="G4" s="48" t="s">
        <v>742</v>
      </c>
      <c r="H4" s="48" t="s">
        <v>624</v>
      </c>
      <c r="I4" s="218" t="s">
        <v>169</v>
      </c>
    </row>
    <row r="5" spans="1:9">
      <c r="A5" s="13">
        <v>1412</v>
      </c>
      <c r="B5" s="49">
        <v>-0.8</v>
      </c>
      <c r="C5" s="51">
        <v>-0.25</v>
      </c>
      <c r="D5" s="51">
        <v>0.108</v>
      </c>
      <c r="E5" s="51">
        <v>0.25</v>
      </c>
      <c r="F5" s="49">
        <v>9</v>
      </c>
      <c r="G5" s="50">
        <v>1.58</v>
      </c>
      <c r="H5" s="49"/>
      <c r="I5" s="5"/>
    </row>
    <row r="6" spans="1:9">
      <c r="A6" s="13">
        <v>2415</v>
      </c>
      <c r="B6" s="49">
        <v>-2</v>
      </c>
      <c r="C6" s="51">
        <v>-4.9000000000000002E-2</v>
      </c>
      <c r="D6" s="51">
        <v>0.106</v>
      </c>
      <c r="E6" s="51">
        <v>0.246</v>
      </c>
      <c r="F6" s="49">
        <v>16.399999999999999</v>
      </c>
      <c r="G6" s="50">
        <v>1.63</v>
      </c>
      <c r="H6" s="49"/>
      <c r="I6" s="5"/>
    </row>
    <row r="7" spans="1:9">
      <c r="A7" s="13">
        <v>2424</v>
      </c>
      <c r="B7" s="49">
        <v>-1.8</v>
      </c>
      <c r="C7" s="51">
        <v>-0.04</v>
      </c>
      <c r="D7" s="51">
        <v>9.8000000000000004E-2</v>
      </c>
      <c r="E7" s="51">
        <v>0.23100000000000001</v>
      </c>
      <c r="F7" s="49">
        <v>16</v>
      </c>
      <c r="G7" s="50">
        <v>1.29</v>
      </c>
      <c r="H7" s="49"/>
      <c r="I7" s="5"/>
    </row>
    <row r="8" spans="1:9">
      <c r="A8" s="13">
        <v>4415</v>
      </c>
      <c r="B8" s="49">
        <v>-4.3</v>
      </c>
      <c r="C8" s="51">
        <v>-9.2999999999999999E-2</v>
      </c>
      <c r="D8" s="51">
        <v>0.105</v>
      </c>
      <c r="E8" s="51">
        <v>0.245</v>
      </c>
      <c r="F8" s="49">
        <v>15</v>
      </c>
      <c r="G8" s="50">
        <v>1.64</v>
      </c>
      <c r="H8" s="49"/>
      <c r="I8" s="5">
        <v>0.48</v>
      </c>
    </row>
    <row r="9" spans="1:9">
      <c r="A9" s="13">
        <v>23012</v>
      </c>
      <c r="B9" s="49">
        <v>-1.4</v>
      </c>
      <c r="C9" s="51">
        <v>-1.4E-2</v>
      </c>
      <c r="D9" s="51">
        <v>0.107</v>
      </c>
      <c r="E9" s="51">
        <v>0.247</v>
      </c>
      <c r="F9" s="49">
        <v>18</v>
      </c>
      <c r="G9" s="50">
        <v>1.79</v>
      </c>
      <c r="H9" s="49"/>
      <c r="I9" s="5"/>
    </row>
    <row r="10" spans="1:9">
      <c r="A10" s="56" t="s">
        <v>1293</v>
      </c>
      <c r="B10" s="49"/>
      <c r="C10" s="51"/>
      <c r="D10" s="51"/>
      <c r="E10" s="51"/>
      <c r="F10" s="49"/>
      <c r="G10" s="50"/>
      <c r="H10" s="49"/>
      <c r="I10" s="5"/>
    </row>
    <row r="11" spans="1:9">
      <c r="A11" s="56" t="s">
        <v>1294</v>
      </c>
      <c r="B11" s="49"/>
      <c r="C11" s="51"/>
      <c r="D11" s="51"/>
      <c r="E11" s="51"/>
      <c r="F11" s="49"/>
      <c r="G11" s="50"/>
      <c r="H11" s="49"/>
      <c r="I11" s="5"/>
    </row>
    <row r="12" spans="1:9">
      <c r="A12" s="56" t="s">
        <v>746</v>
      </c>
      <c r="B12" s="49">
        <v>24</v>
      </c>
      <c r="C12" s="51"/>
      <c r="D12" s="51"/>
      <c r="E12" s="51"/>
      <c r="F12" s="49"/>
      <c r="G12" s="50">
        <v>1.7509999999999999</v>
      </c>
      <c r="H12" s="49"/>
      <c r="I12" s="5">
        <v>0.28000000000000003</v>
      </c>
    </row>
    <row r="13" spans="1:9">
      <c r="A13" s="68" t="s">
        <v>743</v>
      </c>
      <c r="B13" s="52">
        <v>0</v>
      </c>
      <c r="C13" s="53">
        <v>-3.0000000000000001E-3</v>
      </c>
      <c r="D13" s="53">
        <v>0.10100000000000001</v>
      </c>
      <c r="E13" s="53">
        <v>0.25</v>
      </c>
      <c r="F13" s="52">
        <v>14</v>
      </c>
      <c r="G13" s="54">
        <v>1.33</v>
      </c>
      <c r="H13" s="52"/>
      <c r="I13" s="5">
        <v>0</v>
      </c>
    </row>
    <row r="15" spans="1:9">
      <c r="A15" s="309" t="s">
        <v>1295</v>
      </c>
      <c r="B15" s="309"/>
      <c r="C15" s="309"/>
      <c r="D15" s="309"/>
      <c r="E15" s="309"/>
      <c r="F15" s="309"/>
      <c r="G15" s="309"/>
      <c r="H15" s="309"/>
      <c r="I15" s="309"/>
    </row>
    <row r="16" spans="1:9">
      <c r="A16" s="62"/>
      <c r="B16" s="61" t="s">
        <v>1296</v>
      </c>
    </row>
    <row r="17" spans="1:4">
      <c r="A17" s="62" t="s">
        <v>1297</v>
      </c>
      <c r="B17">
        <v>4415</v>
      </c>
      <c r="D17" t="s">
        <v>1298</v>
      </c>
    </row>
    <row r="18" spans="1:4">
      <c r="A18" s="62" t="s">
        <v>1299</v>
      </c>
      <c r="B18" s="60" t="s">
        <v>743</v>
      </c>
      <c r="D18" t="s">
        <v>1300</v>
      </c>
    </row>
  </sheetData>
  <mergeCells count="3">
    <mergeCell ref="A1:I1"/>
    <mergeCell ref="A3:I3"/>
    <mergeCell ref="A15:I15"/>
  </mergeCells>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83F6A-66A3-214F-B813-B072B14C92C4}">
  <dimension ref="C13:F21"/>
  <sheetViews>
    <sheetView workbookViewId="0">
      <selection activeCell="C13" sqref="C13"/>
    </sheetView>
  </sheetViews>
  <sheetFormatPr defaultColWidth="11.42578125" defaultRowHeight="15"/>
  <cols>
    <col min="3" max="3" width="32.42578125" bestFit="1" customWidth="1"/>
    <col min="5" max="5" width="11" bestFit="1" customWidth="1"/>
    <col min="6" max="6" width="13.42578125" bestFit="1" customWidth="1"/>
  </cols>
  <sheetData>
    <row r="13" spans="3:6">
      <c r="C13" s="312" t="s">
        <v>1301</v>
      </c>
      <c r="D13" s="312"/>
      <c r="E13" s="312"/>
      <c r="F13" s="312"/>
    </row>
    <row r="14" spans="3:6">
      <c r="C14" s="224" t="s">
        <v>1302</v>
      </c>
      <c r="D14" s="224" t="s">
        <v>1303</v>
      </c>
      <c r="E14" s="224" t="s">
        <v>1304</v>
      </c>
      <c r="F14" s="224" t="s">
        <v>280</v>
      </c>
    </row>
    <row r="15" spans="3:6">
      <c r="C15" s="224" t="s">
        <v>1305</v>
      </c>
      <c r="D15" s="225">
        <v>400</v>
      </c>
      <c r="E15" s="224">
        <v>62.85</v>
      </c>
      <c r="F15" s="226">
        <v>25140</v>
      </c>
    </row>
    <row r="16" spans="3:6">
      <c r="C16" s="224" t="s">
        <v>1306</v>
      </c>
      <c r="D16" s="224">
        <v>500</v>
      </c>
      <c r="E16" s="227">
        <v>45</v>
      </c>
      <c r="F16" s="226">
        <v>22500</v>
      </c>
    </row>
    <row r="17" spans="3:6">
      <c r="C17" s="224" t="s">
        <v>1307</v>
      </c>
      <c r="D17" s="224">
        <v>6000</v>
      </c>
      <c r="E17" s="227">
        <v>40</v>
      </c>
      <c r="F17" s="226">
        <v>240000</v>
      </c>
    </row>
    <row r="18" spans="3:6">
      <c r="C18" s="224" t="s">
        <v>1308</v>
      </c>
      <c r="D18" s="224"/>
      <c r="E18" s="224"/>
      <c r="F18" s="228">
        <v>250000</v>
      </c>
    </row>
    <row r="19" spans="3:6">
      <c r="C19" s="224" t="s">
        <v>1309</v>
      </c>
      <c r="D19" s="224"/>
      <c r="E19" s="224"/>
      <c r="F19" s="226">
        <v>2208839</v>
      </c>
    </row>
    <row r="20" spans="3:6">
      <c r="C20" s="224" t="s">
        <v>1310</v>
      </c>
      <c r="D20" s="224"/>
      <c r="E20" s="224"/>
      <c r="F20" s="226">
        <v>3500000</v>
      </c>
    </row>
    <row r="21" spans="3:6">
      <c r="C21" s="224" t="s">
        <v>1311</v>
      </c>
      <c r="D21" s="224"/>
      <c r="E21" s="224"/>
      <c r="F21" s="226">
        <v>91000</v>
      </c>
    </row>
  </sheetData>
  <mergeCells count="1">
    <mergeCell ref="C13:F1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0AE87-552B-4852-990B-781D02F94BA0}">
  <sheetPr codeName="Sheet3"/>
  <dimension ref="A1:AS91"/>
  <sheetViews>
    <sheetView topLeftCell="D72" workbookViewId="0">
      <selection activeCell="R90" sqref="R90"/>
    </sheetView>
  </sheetViews>
  <sheetFormatPr defaultColWidth="8.42578125" defaultRowHeight="15"/>
  <cols>
    <col min="1" max="1" width="26.42578125" customWidth="1"/>
    <col min="5" max="5" width="8.42578125" customWidth="1"/>
    <col min="13" max="13" width="20.42578125" customWidth="1"/>
    <col min="14" max="28" width="10.42578125" customWidth="1"/>
    <col min="29" max="29" width="13.42578125" customWidth="1"/>
    <col min="30" max="37" width="10.42578125" customWidth="1"/>
  </cols>
  <sheetData>
    <row r="1" spans="1:23">
      <c r="A1" s="309" t="s">
        <v>1312</v>
      </c>
      <c r="B1" s="309"/>
      <c r="C1" s="309"/>
      <c r="D1" s="309"/>
      <c r="E1" s="309"/>
      <c r="F1" s="309"/>
      <c r="G1" s="309"/>
      <c r="H1" s="309"/>
      <c r="I1" s="309"/>
      <c r="J1" s="309"/>
      <c r="K1" s="309"/>
    </row>
    <row r="3" spans="1:23">
      <c r="A3" s="309" t="s">
        <v>1313</v>
      </c>
      <c r="B3" s="309"/>
      <c r="C3" s="309"/>
      <c r="D3" s="309"/>
      <c r="E3" s="309"/>
      <c r="F3" s="309"/>
      <c r="G3" s="309"/>
      <c r="H3" s="309"/>
      <c r="I3" s="309"/>
      <c r="J3" s="309"/>
      <c r="K3" s="309"/>
      <c r="M3" s="309" t="s">
        <v>1314</v>
      </c>
      <c r="N3" s="309"/>
      <c r="O3" s="309"/>
      <c r="P3" s="309"/>
      <c r="Q3" s="309"/>
      <c r="R3" s="309"/>
      <c r="S3" s="309"/>
      <c r="T3" s="7"/>
      <c r="U3" s="7" t="s">
        <v>1315</v>
      </c>
      <c r="V3" s="7"/>
      <c r="W3" s="7"/>
    </row>
    <row r="4" spans="1:23" ht="17.100000000000001">
      <c r="B4" s="20" t="s">
        <v>30</v>
      </c>
      <c r="C4" s="20" t="s">
        <v>27</v>
      </c>
      <c r="D4" s="20" t="s">
        <v>18</v>
      </c>
      <c r="E4" s="20" t="s">
        <v>24</v>
      </c>
      <c r="F4" s="20" t="s">
        <v>13</v>
      </c>
      <c r="G4" s="20" t="s">
        <v>33</v>
      </c>
      <c r="H4" s="20" t="s">
        <v>1316</v>
      </c>
      <c r="I4" s="20" t="s">
        <v>1317</v>
      </c>
      <c r="M4" s="7" t="s">
        <v>1318</v>
      </c>
      <c r="N4" s="7" t="s">
        <v>1319</v>
      </c>
      <c r="O4" s="7" t="s">
        <v>1320</v>
      </c>
      <c r="P4" s="7" t="s">
        <v>1321</v>
      </c>
      <c r="Q4" s="7" t="s">
        <v>1322</v>
      </c>
      <c r="R4" s="7" t="s">
        <v>1323</v>
      </c>
      <c r="S4" s="7"/>
      <c r="U4" t="s">
        <v>1324</v>
      </c>
    </row>
    <row r="5" spans="1:23" ht="17.100000000000001">
      <c r="B5" s="20" t="s">
        <v>1325</v>
      </c>
      <c r="C5" s="20" t="s">
        <v>1325</v>
      </c>
      <c r="D5" s="20" t="s">
        <v>1325</v>
      </c>
      <c r="E5" s="20" t="s">
        <v>1325</v>
      </c>
      <c r="F5" s="20" t="s">
        <v>1325</v>
      </c>
      <c r="G5" s="20" t="s">
        <v>1325</v>
      </c>
      <c r="H5" s="20"/>
      <c r="I5" s="20"/>
      <c r="M5" t="s">
        <v>1326</v>
      </c>
      <c r="N5" t="s">
        <v>1327</v>
      </c>
      <c r="O5" t="s">
        <v>1328</v>
      </c>
      <c r="P5">
        <v>0.1004</v>
      </c>
      <c r="Q5" t="s">
        <v>1329</v>
      </c>
      <c r="R5" t="s">
        <v>1330</v>
      </c>
      <c r="U5" t="s">
        <v>1331</v>
      </c>
    </row>
    <row r="6" spans="1:23">
      <c r="A6" s="13" t="s">
        <v>1332</v>
      </c>
      <c r="B6" s="21"/>
      <c r="C6" s="21">
        <f>4925-B6</f>
        <v>4925</v>
      </c>
      <c r="D6" s="21">
        <v>10085</v>
      </c>
      <c r="E6" s="21">
        <v>3752</v>
      </c>
      <c r="F6" s="21">
        <v>14900</v>
      </c>
      <c r="G6" s="21">
        <f t="shared" ref="G6:G13" si="0">F6-D6</f>
        <v>4815</v>
      </c>
      <c r="H6" s="14">
        <f>D6/F6</f>
        <v>0.6768456375838926</v>
      </c>
      <c r="I6" s="14">
        <f t="shared" ref="I6:I13" si="1">E6/F6</f>
        <v>0.25181208053691273</v>
      </c>
      <c r="M6" t="s">
        <v>1333</v>
      </c>
      <c r="N6" t="s">
        <v>1334</v>
      </c>
      <c r="O6" t="s">
        <v>1335</v>
      </c>
      <c r="P6">
        <v>9.7500000000000003E-2</v>
      </c>
      <c r="Q6" t="s">
        <v>1330</v>
      </c>
      <c r="R6" t="s">
        <v>1330</v>
      </c>
      <c r="U6" t="s">
        <v>1299</v>
      </c>
    </row>
    <row r="7" spans="1:23">
      <c r="A7" s="13" t="s">
        <v>1336</v>
      </c>
      <c r="B7" s="21"/>
      <c r="C7" s="21">
        <f>2860-B7</f>
        <v>2860</v>
      </c>
      <c r="D7" s="21">
        <v>3860</v>
      </c>
      <c r="E7" s="21">
        <v>2224</v>
      </c>
      <c r="F7" s="21">
        <v>8944</v>
      </c>
      <c r="G7" s="21">
        <f t="shared" si="0"/>
        <v>5084</v>
      </c>
      <c r="H7" s="14">
        <f t="shared" ref="H7:H13" si="2">D7/F7</f>
        <v>0.43157423971377462</v>
      </c>
      <c r="I7" s="14">
        <f t="shared" si="1"/>
        <v>0.24865831842576028</v>
      </c>
      <c r="M7" t="s">
        <v>1337</v>
      </c>
      <c r="N7" t="s">
        <v>1338</v>
      </c>
      <c r="O7" t="s">
        <v>1339</v>
      </c>
      <c r="P7">
        <v>0.10150000000000001</v>
      </c>
      <c r="Q7" t="s">
        <v>1329</v>
      </c>
      <c r="R7" t="s">
        <v>1340</v>
      </c>
    </row>
    <row r="8" spans="1:23">
      <c r="A8" s="13" t="s">
        <v>1341</v>
      </c>
      <c r="B8" s="21"/>
      <c r="C8" s="21">
        <f>2236-B8</f>
        <v>2236</v>
      </c>
      <c r="D8" s="21">
        <v>6803</v>
      </c>
      <c r="E8" s="21">
        <v>988</v>
      </c>
      <c r="F8" s="21">
        <v>10450</v>
      </c>
      <c r="G8" s="21">
        <f t="shared" si="0"/>
        <v>3647</v>
      </c>
      <c r="H8" s="14">
        <f t="shared" si="2"/>
        <v>0.65100478468899525</v>
      </c>
      <c r="I8" s="14">
        <f t="shared" si="1"/>
        <v>9.4545454545454544E-2</v>
      </c>
    </row>
    <row r="9" spans="1:23">
      <c r="A9" s="13" t="s">
        <v>1342</v>
      </c>
      <c r="B9" s="21"/>
      <c r="C9" s="21">
        <f>1521-B9</f>
        <v>1521</v>
      </c>
      <c r="D9" s="21">
        <v>8800</v>
      </c>
      <c r="E9" s="21">
        <v>3233</v>
      </c>
      <c r="F9" s="21">
        <v>11100</v>
      </c>
      <c r="G9" s="21">
        <f t="shared" si="0"/>
        <v>2300</v>
      </c>
      <c r="H9" s="14">
        <f t="shared" si="2"/>
        <v>0.7927927927927928</v>
      </c>
      <c r="I9" s="14">
        <f t="shared" si="1"/>
        <v>0.29126126126126128</v>
      </c>
      <c r="M9" s="7" t="s">
        <v>1318</v>
      </c>
      <c r="N9" s="7" t="s">
        <v>1343</v>
      </c>
      <c r="O9" s="7" t="s">
        <v>1344</v>
      </c>
      <c r="P9" s="7" t="s">
        <v>1322</v>
      </c>
      <c r="Q9" s="7" t="s">
        <v>1323</v>
      </c>
      <c r="R9" s="7" t="s">
        <v>1345</v>
      </c>
      <c r="S9" s="7" t="s">
        <v>1346</v>
      </c>
    </row>
    <row r="10" spans="1:23">
      <c r="A10" s="13" t="s">
        <v>1347</v>
      </c>
      <c r="B10" s="21"/>
      <c r="C10" s="21">
        <f>5070-B10</f>
        <v>5070</v>
      </c>
      <c r="D10" s="21">
        <v>9590</v>
      </c>
      <c r="E10" s="21">
        <v>2536</v>
      </c>
      <c r="F10" s="21">
        <v>16535</v>
      </c>
      <c r="G10" s="21">
        <f t="shared" si="0"/>
        <v>6945</v>
      </c>
      <c r="H10" s="14">
        <f>D10/F10</f>
        <v>0.57998185666767466</v>
      </c>
      <c r="I10" s="14">
        <f t="shared" si="1"/>
        <v>0.15337163592379802</v>
      </c>
      <c r="M10" t="s">
        <v>1326</v>
      </c>
      <c r="N10">
        <v>470</v>
      </c>
      <c r="O10">
        <v>2.78</v>
      </c>
      <c r="P10" t="s">
        <v>1329</v>
      </c>
      <c r="Q10" t="s">
        <v>1330</v>
      </c>
      <c r="R10" t="s">
        <v>1348</v>
      </c>
      <c r="S10" t="s">
        <v>1349</v>
      </c>
    </row>
    <row r="11" spans="1:23">
      <c r="A11" s="13" t="s">
        <v>1350</v>
      </c>
      <c r="B11" s="21"/>
      <c r="C11" s="21">
        <f>2416-B11</f>
        <v>2416</v>
      </c>
      <c r="D11" s="21">
        <v>11583</v>
      </c>
      <c r="E11" s="21">
        <v>5353</v>
      </c>
      <c r="F11" s="21">
        <v>17968</v>
      </c>
      <c r="G11" s="21">
        <f t="shared" si="0"/>
        <v>6385</v>
      </c>
      <c r="H11" s="14">
        <f>D11/F11</f>
        <v>0.64464603739982196</v>
      </c>
      <c r="I11" s="14">
        <f t="shared" si="1"/>
        <v>0.29791852181656275</v>
      </c>
      <c r="M11" t="s">
        <v>1333</v>
      </c>
      <c r="N11">
        <v>310</v>
      </c>
      <c r="O11">
        <v>2.7</v>
      </c>
      <c r="P11" t="s">
        <v>1330</v>
      </c>
      <c r="Q11" t="s">
        <v>1330</v>
      </c>
      <c r="R11" t="s">
        <v>1348</v>
      </c>
      <c r="S11" t="s">
        <v>1351</v>
      </c>
    </row>
    <row r="12" spans="1:23">
      <c r="A12" s="13" t="s">
        <v>1352</v>
      </c>
      <c r="B12" s="21"/>
      <c r="C12" s="21">
        <f>2300-B12</f>
        <v>2300</v>
      </c>
      <c r="D12" s="21">
        <v>12800</v>
      </c>
      <c r="E12" s="21">
        <v>6740</v>
      </c>
      <c r="F12" s="21">
        <v>20200</v>
      </c>
      <c r="G12" s="21">
        <f t="shared" si="0"/>
        <v>7400</v>
      </c>
      <c r="H12" s="14">
        <f t="shared" si="2"/>
        <v>0.63366336633663367</v>
      </c>
      <c r="I12" s="14">
        <f t="shared" si="1"/>
        <v>0.33366336633663368</v>
      </c>
      <c r="M12" t="s">
        <v>1337</v>
      </c>
      <c r="N12">
        <v>570</v>
      </c>
      <c r="O12">
        <v>2.81</v>
      </c>
      <c r="P12" t="s">
        <v>1329</v>
      </c>
      <c r="Q12" t="s">
        <v>1340</v>
      </c>
      <c r="R12" t="s">
        <v>1348</v>
      </c>
      <c r="S12" t="s">
        <v>1353</v>
      </c>
    </row>
    <row r="13" spans="1:23">
      <c r="A13" s="13" t="s">
        <v>1354</v>
      </c>
      <c r="B13" s="21"/>
      <c r="C13" s="21">
        <f>8047-B13</f>
        <v>8047</v>
      </c>
      <c r="D13" s="21">
        <v>20768</v>
      </c>
      <c r="E13" s="21">
        <v>8011</v>
      </c>
      <c r="F13" s="21">
        <v>34524</v>
      </c>
      <c r="G13" s="21">
        <f t="shared" si="0"/>
        <v>13756</v>
      </c>
      <c r="H13" s="14">
        <f t="shared" si="2"/>
        <v>0.60155254315838258</v>
      </c>
      <c r="I13" s="14">
        <f t="shared" si="1"/>
        <v>0.23204147839184336</v>
      </c>
      <c r="M13" t="s">
        <v>1355</v>
      </c>
      <c r="N13">
        <v>1240</v>
      </c>
      <c r="O13">
        <v>1.6</v>
      </c>
      <c r="P13" t="s">
        <v>1340</v>
      </c>
      <c r="Q13" t="s">
        <v>1340</v>
      </c>
      <c r="R13" t="s">
        <v>1356</v>
      </c>
    </row>
    <row r="14" spans="1:23">
      <c r="A14" s="15" t="s">
        <v>1357</v>
      </c>
      <c r="B14" s="14" t="e">
        <f>AVERAGE(B6:B13)</f>
        <v>#DIV/0!</v>
      </c>
      <c r="C14" s="14">
        <f t="shared" ref="C14:E14" si="3">AVERAGE(C6:C13)</f>
        <v>3671.875</v>
      </c>
      <c r="D14" s="14">
        <f t="shared" si="3"/>
        <v>10536.125</v>
      </c>
      <c r="E14" s="14">
        <f t="shared" si="3"/>
        <v>4104.625</v>
      </c>
      <c r="F14" s="14">
        <f>AVERAGE(F6:F13)</f>
        <v>16827.625</v>
      </c>
      <c r="G14" s="14">
        <f>AVERAGE(G6:G13)</f>
        <v>6291.5</v>
      </c>
      <c r="H14" s="14">
        <f>AVERAGE(H6:H13)</f>
        <v>0.62650765729274593</v>
      </c>
      <c r="I14" s="14">
        <f>AVERAGE(I6:I13)</f>
        <v>0.23790901465477834</v>
      </c>
    </row>
    <row r="16" spans="1:23">
      <c r="A16" s="309" t="s">
        <v>1358</v>
      </c>
      <c r="B16" s="309"/>
      <c r="C16" s="309"/>
      <c r="D16" s="309"/>
      <c r="E16" s="309"/>
      <c r="F16" s="309"/>
      <c r="G16" s="309"/>
      <c r="H16" s="309"/>
      <c r="I16" s="309"/>
      <c r="J16" s="309"/>
      <c r="K16" s="309"/>
      <c r="M16" s="310" t="s">
        <v>6</v>
      </c>
      <c r="N16" s="310"/>
      <c r="O16" s="310"/>
      <c r="P16" s="310"/>
      <c r="Q16" s="310"/>
      <c r="R16" s="310"/>
      <c r="S16" s="310"/>
      <c r="T16" s="310"/>
      <c r="U16" s="310"/>
      <c r="V16" s="310"/>
      <c r="W16" s="310"/>
    </row>
    <row r="17" spans="1:44">
      <c r="A17" s="7" t="s">
        <v>7</v>
      </c>
      <c r="B17" s="7" t="s">
        <v>8</v>
      </c>
      <c r="C17" s="7" t="s">
        <v>9</v>
      </c>
      <c r="D17" s="7" t="s">
        <v>10</v>
      </c>
      <c r="E17" s="7" t="s">
        <v>11</v>
      </c>
      <c r="M17" s="22" t="s">
        <v>7</v>
      </c>
      <c r="N17" s="22" t="s">
        <v>8</v>
      </c>
      <c r="O17" s="22" t="s">
        <v>9</v>
      </c>
      <c r="P17" s="22" t="s">
        <v>10</v>
      </c>
      <c r="Q17" s="22" t="s">
        <v>11</v>
      </c>
      <c r="R17" s="22"/>
    </row>
    <row r="18" spans="1:44" ht="17.100000000000001">
      <c r="A18" t="s">
        <v>1359</v>
      </c>
      <c r="B18" s="9" t="s">
        <v>1316</v>
      </c>
      <c r="C18" s="6">
        <f>H14</f>
        <v>0.62650765729274593</v>
      </c>
      <c r="E18" t="s">
        <v>1360</v>
      </c>
      <c r="M18" t="s">
        <v>12</v>
      </c>
      <c r="N18" s="9" t="s">
        <v>13</v>
      </c>
      <c r="O18" s="76">
        <f>General!C7</f>
        <v>18875</v>
      </c>
      <c r="P18" t="s">
        <v>14</v>
      </c>
      <c r="Q18" t="s">
        <v>15</v>
      </c>
      <c r="R18" t="s">
        <v>16</v>
      </c>
    </row>
    <row r="19" spans="1:44" ht="17.100000000000001">
      <c r="A19" t="s">
        <v>1361</v>
      </c>
      <c r="B19" s="9" t="s">
        <v>1317</v>
      </c>
      <c r="C19" s="6">
        <f>I14</f>
        <v>0.23790901465477834</v>
      </c>
      <c r="E19" t="s">
        <v>1360</v>
      </c>
      <c r="M19" t="s">
        <v>17</v>
      </c>
      <c r="N19" s="9" t="s">
        <v>18</v>
      </c>
      <c r="O19" s="6">
        <f>General!C8</f>
        <v>10875</v>
      </c>
      <c r="P19" t="s">
        <v>14</v>
      </c>
      <c r="Q19" t="s">
        <v>1362</v>
      </c>
    </row>
    <row r="20" spans="1:44" ht="17.100000000000001">
      <c r="A20" t="s">
        <v>1363</v>
      </c>
      <c r="B20" s="9" t="s">
        <v>30</v>
      </c>
      <c r="C20" s="6">
        <f>General!C14</f>
        <v>570</v>
      </c>
      <c r="D20" t="s">
        <v>1325</v>
      </c>
      <c r="E20" t="s">
        <v>1364</v>
      </c>
      <c r="M20" t="s">
        <v>20</v>
      </c>
      <c r="N20" s="59" t="s">
        <v>1365</v>
      </c>
      <c r="O20" s="76">
        <f>General!C9</f>
        <v>6800</v>
      </c>
      <c r="P20" t="s">
        <v>14</v>
      </c>
    </row>
    <row r="21" spans="1:44" ht="17.100000000000001">
      <c r="A21" t="s">
        <v>1366</v>
      </c>
      <c r="B21" s="9" t="s">
        <v>27</v>
      </c>
      <c r="C21" s="6">
        <f>General!C13</f>
        <v>4130</v>
      </c>
      <c r="D21" t="s">
        <v>1325</v>
      </c>
      <c r="E21" t="s">
        <v>1364</v>
      </c>
      <c r="M21" t="s">
        <v>21</v>
      </c>
      <c r="N21" s="59" t="s">
        <v>1367</v>
      </c>
      <c r="O21" s="76">
        <f>General!C10</f>
        <v>2100</v>
      </c>
      <c r="P21" t="s">
        <v>14</v>
      </c>
    </row>
    <row r="22" spans="1:44" ht="17.100000000000001">
      <c r="A22" t="s">
        <v>346</v>
      </c>
      <c r="B22" s="9" t="s">
        <v>24</v>
      </c>
      <c r="C22" s="6">
        <f>General!C12</f>
        <v>3300</v>
      </c>
      <c r="D22" t="s">
        <v>1325</v>
      </c>
      <c r="E22" s="7" t="s">
        <v>1368</v>
      </c>
      <c r="M22" t="s">
        <v>22</v>
      </c>
      <c r="N22" s="59" t="s">
        <v>1369</v>
      </c>
      <c r="O22" s="76">
        <f>General!C11</f>
        <v>520.31792800000005</v>
      </c>
      <c r="P22" t="s">
        <v>14</v>
      </c>
    </row>
    <row r="23" spans="1:44" ht="17.100000000000001">
      <c r="A23" t="s">
        <v>1370</v>
      </c>
      <c r="B23" s="9" t="s">
        <v>33</v>
      </c>
      <c r="C23" s="6">
        <f>SUM(C20:C22)</f>
        <v>8000</v>
      </c>
      <c r="D23" t="s">
        <v>1325</v>
      </c>
      <c r="E23" s="7" t="s">
        <v>1368</v>
      </c>
      <c r="M23" t="s">
        <v>23</v>
      </c>
      <c r="N23" s="9" t="s">
        <v>24</v>
      </c>
      <c r="O23" s="76">
        <f>General!C12</f>
        <v>3300</v>
      </c>
      <c r="P23" t="s">
        <v>14</v>
      </c>
      <c r="Q23" t="s">
        <v>25</v>
      </c>
    </row>
    <row r="24" spans="1:44" ht="17.100000000000001">
      <c r="B24" s="9"/>
      <c r="M24" t="s">
        <v>26</v>
      </c>
      <c r="N24" s="9" t="s">
        <v>27</v>
      </c>
      <c r="O24" s="76">
        <f>General!C13-O25</f>
        <v>3030</v>
      </c>
      <c r="P24" t="s">
        <v>14</v>
      </c>
      <c r="Q24" t="s">
        <v>1371</v>
      </c>
    </row>
    <row r="25" spans="1:44" ht="17.100000000000001">
      <c r="A25" t="s">
        <v>1372</v>
      </c>
      <c r="B25" s="9" t="s">
        <v>13</v>
      </c>
      <c r="C25" s="6">
        <f>C22/C19</f>
        <v>13870.848924276861</v>
      </c>
      <c r="D25" t="s">
        <v>1325</v>
      </c>
      <c r="E25" t="s">
        <v>1373</v>
      </c>
      <c r="M25" t="s">
        <v>1374</v>
      </c>
      <c r="N25" s="59" t="s">
        <v>1375</v>
      </c>
      <c r="O25" s="6">
        <f>('Performance Electrical'!C6*2.2)</f>
        <v>1100</v>
      </c>
    </row>
    <row r="26" spans="1:44" ht="17.100000000000001">
      <c r="A26" t="s">
        <v>1376</v>
      </c>
      <c r="B26" s="9" t="s">
        <v>18</v>
      </c>
      <c r="C26" s="6">
        <f>C25*C18</f>
        <v>8690.1930642103016</v>
      </c>
      <c r="D26" t="s">
        <v>1325</v>
      </c>
      <c r="E26" t="s">
        <v>1377</v>
      </c>
      <c r="M26" t="s">
        <v>29</v>
      </c>
      <c r="N26" s="9" t="s">
        <v>30</v>
      </c>
      <c r="O26" s="6">
        <f>General!C14</f>
        <v>570</v>
      </c>
      <c r="P26" t="s">
        <v>14</v>
      </c>
      <c r="Q26" t="s">
        <v>31</v>
      </c>
    </row>
    <row r="27" spans="1:44" ht="17.100000000000001">
      <c r="M27" t="s">
        <v>1370</v>
      </c>
      <c r="N27" s="9" t="s">
        <v>33</v>
      </c>
      <c r="O27" s="6">
        <f>O26+O23+O24</f>
        <v>6900</v>
      </c>
      <c r="P27" t="s">
        <v>14</v>
      </c>
      <c r="Q27" t="s">
        <v>15</v>
      </c>
    </row>
    <row r="28" spans="1:44">
      <c r="N28" s="9"/>
    </row>
    <row r="29" spans="1:44">
      <c r="A29" s="309" t="s">
        <v>1378</v>
      </c>
      <c r="B29" s="309"/>
      <c r="C29" s="309"/>
      <c r="D29" s="309"/>
      <c r="E29" s="309"/>
      <c r="F29" s="309"/>
      <c r="G29" s="309"/>
      <c r="H29" s="309"/>
      <c r="I29" s="309"/>
      <c r="J29" s="309"/>
      <c r="K29" s="309"/>
      <c r="M29" s="310" t="s">
        <v>444</v>
      </c>
      <c r="N29" s="310"/>
      <c r="O29" s="310"/>
      <c r="P29" s="310"/>
      <c r="Q29" s="310"/>
      <c r="R29" s="310"/>
      <c r="S29" s="310"/>
      <c r="T29" s="310"/>
      <c r="U29" s="310"/>
      <c r="V29" s="310"/>
      <c r="W29" s="310"/>
      <c r="AA29" s="7" t="s">
        <v>1379</v>
      </c>
      <c r="AC29" s="7" t="s">
        <v>1380</v>
      </c>
      <c r="AD29" s="7" t="s">
        <v>1381</v>
      </c>
      <c r="AL29" s="7" t="s">
        <v>280</v>
      </c>
      <c r="AM29" s="211" t="s">
        <v>1382</v>
      </c>
    </row>
    <row r="30" spans="1:44">
      <c r="A30" s="7" t="s">
        <v>7</v>
      </c>
      <c r="B30" s="7" t="s">
        <v>8</v>
      </c>
      <c r="C30" s="7" t="s">
        <v>9</v>
      </c>
      <c r="D30" s="7" t="s">
        <v>10</v>
      </c>
      <c r="E30" s="7" t="s">
        <v>11</v>
      </c>
      <c r="M30" s="22" t="s">
        <v>1383</v>
      </c>
      <c r="N30" s="69">
        <f t="shared" ref="N30:Z30" si="4">N31*N32</f>
        <v>0</v>
      </c>
      <c r="O30" s="69">
        <f t="shared" si="4"/>
        <v>463.63636363636363</v>
      </c>
      <c r="P30" s="69">
        <f t="shared" si="4"/>
        <v>1545.4545454545453</v>
      </c>
      <c r="Q30" s="69">
        <f t="shared" si="4"/>
        <v>4945.454545454545</v>
      </c>
      <c r="R30" s="69">
        <f t="shared" si="4"/>
        <v>6757.575757575758</v>
      </c>
      <c r="S30" s="69">
        <f t="shared" si="4"/>
        <v>12669.090909090908</v>
      </c>
      <c r="T30" s="69">
        <f t="shared" si="4"/>
        <v>10860.60606060606</v>
      </c>
      <c r="U30" s="69">
        <f t="shared" si="4"/>
        <v>7985.454545454545</v>
      </c>
      <c r="V30" s="69">
        <f t="shared" si="4"/>
        <v>8290.636363636364</v>
      </c>
      <c r="W30" s="69">
        <f t="shared" si="4"/>
        <v>10133</v>
      </c>
      <c r="X30" s="69">
        <f t="shared" si="4"/>
        <v>14575.363636363634</v>
      </c>
      <c r="Y30" s="69">
        <f t="shared" si="4"/>
        <v>13817.727272727272</v>
      </c>
      <c r="Z30" s="69">
        <f t="shared" si="4"/>
        <v>89450.900461090903</v>
      </c>
      <c r="AA30" s="69"/>
      <c r="AB30" s="69">
        <f>AB31*AB32</f>
        <v>95747.909090909088</v>
      </c>
      <c r="AE30" s="69">
        <f t="shared" ref="AE30:AM30" si="5">AE31*AE32</f>
        <v>23544.818181818177</v>
      </c>
      <c r="AF30" s="69">
        <f t="shared" si="5"/>
        <v>21187.181818181816</v>
      </c>
      <c r="AG30" s="69">
        <f t="shared" si="5"/>
        <v>23029.545454545452</v>
      </c>
      <c r="AH30" s="69">
        <f t="shared" si="5"/>
        <v>24411.31818181818</v>
      </c>
      <c r="AI30" s="69">
        <f t="shared" si="5"/>
        <v>40218.181818181816</v>
      </c>
      <c r="AJ30" s="69">
        <f t="shared" si="5"/>
        <v>42372.727272727272</v>
      </c>
      <c r="AK30" s="69">
        <f t="shared" si="5"/>
        <v>81727.272727272721</v>
      </c>
      <c r="AL30" s="69">
        <f t="shared" si="5"/>
        <v>58893.939393939392</v>
      </c>
      <c r="AM30" s="69">
        <f t="shared" si="5"/>
        <v>58109.090909090904</v>
      </c>
      <c r="AN30" s="117">
        <f>SUM(N30:AM30)</f>
        <v>650736.88530957594</v>
      </c>
      <c r="AO30" s="47">
        <f>AN30/AO32</f>
        <v>36.892666886390138</v>
      </c>
      <c r="AP30" s="6" t="s">
        <v>66</v>
      </c>
      <c r="AQ30" s="262">
        <f>AO30/AM31</f>
        <v>0.54253921891750201</v>
      </c>
      <c r="AR30" s="6" t="s">
        <v>357</v>
      </c>
    </row>
    <row r="31" spans="1:44">
      <c r="A31" t="s">
        <v>1384</v>
      </c>
      <c r="B31" s="9" t="s">
        <v>800</v>
      </c>
      <c r="C31" s="5">
        <v>0.96</v>
      </c>
      <c r="E31" t="s">
        <v>1385</v>
      </c>
      <c r="M31" s="22" t="s">
        <v>446</v>
      </c>
      <c r="N31" s="5">
        <v>0</v>
      </c>
      <c r="O31" s="5">
        <v>3</v>
      </c>
      <c r="P31" s="5">
        <v>5</v>
      </c>
      <c r="Q31" s="5">
        <v>8</v>
      </c>
      <c r="R31" s="5">
        <v>10</v>
      </c>
      <c r="S31" s="5">
        <v>12</v>
      </c>
      <c r="T31" s="5">
        <v>14</v>
      </c>
      <c r="U31" s="5">
        <v>16</v>
      </c>
      <c r="V31" s="5">
        <v>18</v>
      </c>
      <c r="W31" s="5">
        <v>22</v>
      </c>
      <c r="X31" s="5">
        <v>26</v>
      </c>
      <c r="Y31" s="5">
        <v>30</v>
      </c>
      <c r="Z31" s="5">
        <v>34</v>
      </c>
      <c r="AA31" s="230">
        <f>AO30</f>
        <v>36.892666886390138</v>
      </c>
      <c r="AB31" s="5">
        <v>38</v>
      </c>
      <c r="AC31" s="230">
        <f>O78</f>
        <v>39.094159713945174</v>
      </c>
      <c r="AD31" s="230">
        <f>'Stability and Control'!C178</f>
        <v>40.685496002737118</v>
      </c>
      <c r="AE31" s="5">
        <v>42</v>
      </c>
      <c r="AF31" s="5">
        <v>46</v>
      </c>
      <c r="AG31" s="5">
        <v>50</v>
      </c>
      <c r="AH31" s="5">
        <v>53</v>
      </c>
      <c r="AI31" s="5">
        <v>56</v>
      </c>
      <c r="AJ31" s="5">
        <v>59</v>
      </c>
      <c r="AK31" s="5">
        <v>62</v>
      </c>
      <c r="AL31" s="5">
        <v>65</v>
      </c>
      <c r="AM31" s="5">
        <v>68</v>
      </c>
      <c r="AN31" s="5">
        <v>69</v>
      </c>
      <c r="AO31" s="69"/>
      <c r="AP31" s="69"/>
      <c r="AQ31" s="263"/>
      <c r="AR31" s="69"/>
    </row>
    <row r="32" spans="1:44">
      <c r="A32" t="s">
        <v>1386</v>
      </c>
      <c r="B32" s="9" t="s">
        <v>1387</v>
      </c>
      <c r="C32" s="5">
        <v>-0.05</v>
      </c>
      <c r="E32" t="s">
        <v>1385</v>
      </c>
      <c r="M32" s="22" t="s">
        <v>1388</v>
      </c>
      <c r="N32" s="5">
        <v>0</v>
      </c>
      <c r="O32" s="5">
        <f>$O$20/44</f>
        <v>154.54545454545453</v>
      </c>
      <c r="P32" s="5">
        <f>$O$20/22</f>
        <v>309.09090909090907</v>
      </c>
      <c r="Q32" s="5">
        <f>2*$O$20/22</f>
        <v>618.18181818181813</v>
      </c>
      <c r="R32" s="5">
        <f>$O$20/22+O$25/3</f>
        <v>675.75757575757575</v>
      </c>
      <c r="S32" s="5">
        <f>$O$20/22+O$25/3+2*O$26/3</f>
        <v>1055.7575757575758</v>
      </c>
      <c r="T32" s="5">
        <f>$O$20/22+O$25/3+100</f>
        <v>775.75757575757575</v>
      </c>
      <c r="U32" s="5">
        <f>$O$20/22+O26/3</f>
        <v>499.09090909090907</v>
      </c>
      <c r="V32" s="5">
        <f>$O$20/22+$O$24/20</f>
        <v>460.59090909090907</v>
      </c>
      <c r="W32" s="5">
        <f>$O$20/22+$O$24/20</f>
        <v>460.59090909090907</v>
      </c>
      <c r="X32" s="5">
        <f>$O$20/22+$O$24/20+100</f>
        <v>560.59090909090901</v>
      </c>
      <c r="Y32" s="5">
        <f>$O$20/22+O$24/20</f>
        <v>460.59090909090907</v>
      </c>
      <c r="Z32" s="5">
        <f>$O$20/22+O$23/2+O$24/20+O22</f>
        <v>2630.9088370909089</v>
      </c>
      <c r="AA32" s="5">
        <f>AVERAGE(Z32,AB32)</f>
        <v>2575.2953276363633</v>
      </c>
      <c r="AB32" s="5">
        <f>2*$O$20/22+O$24/20+100+O23/2</f>
        <v>2519.681818181818</v>
      </c>
      <c r="AC32" s="5">
        <f>AVERAGE(AB32,AD32)</f>
        <v>2029.9090909090908</v>
      </c>
      <c r="AD32" s="5">
        <f>AVERAGE(AE32,AB32)</f>
        <v>1540.1363636363635</v>
      </c>
      <c r="AE32" s="5">
        <f>$O$20/22+O$24/20+100</f>
        <v>560.59090909090901</v>
      </c>
      <c r="AF32" s="5">
        <f>$O$20/22+O$24/20</f>
        <v>460.59090909090907</v>
      </c>
      <c r="AG32" s="5">
        <f>$O$20/22+$O$24/20</f>
        <v>460.59090909090907</v>
      </c>
      <c r="AH32" s="5">
        <f>$O$20/22+$O$24/20</f>
        <v>460.59090909090907</v>
      </c>
      <c r="AI32" s="5">
        <f>2*$O$20/22+100</f>
        <v>718.18181818181813</v>
      </c>
      <c r="AJ32" s="5">
        <f>2*$O$20/22+100</f>
        <v>718.18181818181813</v>
      </c>
      <c r="AK32" s="5">
        <f>2*$O$20/22+$O$21/3</f>
        <v>1318.181818181818</v>
      </c>
      <c r="AL32" s="5">
        <f>$O$20/33+$O$21/3</f>
        <v>906.06060606060601</v>
      </c>
      <c r="AM32" s="5">
        <f>$O$20/44+$O$21/3</f>
        <v>854.5454545454545</v>
      </c>
      <c r="AN32" s="5">
        <v>0</v>
      </c>
      <c r="AO32">
        <f>SUM(N32:Z32,AB32, AE32, AF32:AM32)</f>
        <v>17638.651261333333</v>
      </c>
      <c r="AR32" s="263"/>
    </row>
    <row r="33" spans="1:45" ht="17.100000000000001">
      <c r="A33" t="s">
        <v>1389</v>
      </c>
      <c r="B33" s="9" t="s">
        <v>1390</v>
      </c>
      <c r="C33" s="63">
        <v>1</v>
      </c>
      <c r="E33" t="s">
        <v>1385</v>
      </c>
      <c r="M33" s="22" t="s">
        <v>1391</v>
      </c>
      <c r="N33" s="5">
        <v>0</v>
      </c>
      <c r="O33" s="5">
        <f>$O$20/44</f>
        <v>154.54545454545453</v>
      </c>
      <c r="P33" s="5">
        <f>$O$20/22</f>
        <v>309.09090909090907</v>
      </c>
      <c r="Q33" s="5">
        <f>2*$O$20/22</f>
        <v>618.18181818181813</v>
      </c>
      <c r="R33" s="5">
        <f>$O$20/22+O$25/3</f>
        <v>675.75757575757575</v>
      </c>
      <c r="S33" s="5">
        <f>$O$20/22+O$25/3+2*O$26/3</f>
        <v>1055.7575757575758</v>
      </c>
      <c r="T33" s="5">
        <f>$O$20/22++O$25/3+100</f>
        <v>775.75757575757575</v>
      </c>
      <c r="U33" s="5">
        <f>$O$20/22</f>
        <v>309.09090909090907</v>
      </c>
      <c r="V33" s="5">
        <f>$O$20/22</f>
        <v>309.09090909090907</v>
      </c>
      <c r="W33" s="5">
        <f>$O$20/22</f>
        <v>309.09090909090907</v>
      </c>
      <c r="X33" s="5">
        <f>$O$20/22+100</f>
        <v>409.09090909090907</v>
      </c>
      <c r="Y33" s="5">
        <f>$O$20/22</f>
        <v>309.09090909090907</v>
      </c>
      <c r="Z33" s="5">
        <f>$O$20/22+O$23/2</f>
        <v>1959.090909090909</v>
      </c>
      <c r="AA33" s="5">
        <f>AVERAGE(Z33,AB33)</f>
        <v>1959.090909090909</v>
      </c>
      <c r="AB33" s="5">
        <f>$O$20/22+O23/2</f>
        <v>1959.090909090909</v>
      </c>
      <c r="AC33" s="5">
        <f>AVERAGE(AB33,AA33)</f>
        <v>1959.090909090909</v>
      </c>
      <c r="AD33" s="5">
        <f>AE33</f>
        <v>309.09090909090907</v>
      </c>
      <c r="AE33" s="5">
        <f>$O$20/22</f>
        <v>309.09090909090907</v>
      </c>
      <c r="AF33" s="5">
        <f>$O$20/22</f>
        <v>309.09090909090907</v>
      </c>
      <c r="AG33" s="5">
        <f t="shared" ref="AG33:AH33" si="6">$O$20/22</f>
        <v>309.09090909090907</v>
      </c>
      <c r="AH33" s="5">
        <f t="shared" si="6"/>
        <v>309.09090909090907</v>
      </c>
      <c r="AI33" s="5">
        <f>2*$O$20/22</f>
        <v>618.18181818181813</v>
      </c>
      <c r="AJ33" s="5">
        <f>2*$O$20/22+100</f>
        <v>718.18181818181813</v>
      </c>
      <c r="AK33" s="5">
        <f>2*$O$20/22+$O$21/3</f>
        <v>1318.181818181818</v>
      </c>
      <c r="AL33" s="5">
        <f>$O$20/33+$O$21/3</f>
        <v>906.06060606060601</v>
      </c>
      <c r="AM33" s="5">
        <f>$O$20/44+$O$21/3</f>
        <v>854.5454545454545</v>
      </c>
      <c r="AN33" s="5">
        <v>0</v>
      </c>
      <c r="AO33">
        <f>SUM(N33:Z33,AB33, AE33, AF33:AM33)</f>
        <v>14804.242424242426</v>
      </c>
      <c r="AR33" s="263"/>
    </row>
    <row r="34" spans="1:45">
      <c r="B34" s="9"/>
      <c r="N34">
        <f t="shared" ref="N34:AM34" si="7">N31*N33</f>
        <v>0</v>
      </c>
      <c r="O34">
        <f t="shared" si="7"/>
        <v>463.63636363636363</v>
      </c>
      <c r="P34">
        <f t="shared" si="7"/>
        <v>1545.4545454545453</v>
      </c>
      <c r="Q34">
        <f t="shared" si="7"/>
        <v>4945.454545454545</v>
      </c>
      <c r="R34">
        <f t="shared" si="7"/>
        <v>6757.575757575758</v>
      </c>
      <c r="S34">
        <f t="shared" si="7"/>
        <v>12669.090909090908</v>
      </c>
      <c r="T34">
        <f t="shared" si="7"/>
        <v>10860.60606060606</v>
      </c>
      <c r="U34">
        <f t="shared" si="7"/>
        <v>4945.454545454545</v>
      </c>
      <c r="V34">
        <f t="shared" si="7"/>
        <v>5563.6363636363631</v>
      </c>
      <c r="W34">
        <f t="shared" si="7"/>
        <v>6799.9999999999991</v>
      </c>
      <c r="X34">
        <f t="shared" si="7"/>
        <v>10636.363636363636</v>
      </c>
      <c r="Y34">
        <f t="shared" si="7"/>
        <v>9272.7272727272721</v>
      </c>
      <c r="Z34">
        <f t="shared" si="7"/>
        <v>66609.090909090912</v>
      </c>
      <c r="AA34" s="212"/>
      <c r="AB34">
        <f>AB31*AB33</f>
        <v>74445.454545454544</v>
      </c>
      <c r="AC34" s="212"/>
      <c r="AD34" s="212"/>
      <c r="AE34">
        <f t="shared" si="7"/>
        <v>12981.81818181818</v>
      </c>
      <c r="AF34">
        <f t="shared" si="7"/>
        <v>14218.181818181816</v>
      </c>
      <c r="AG34">
        <f t="shared" si="7"/>
        <v>15454.545454545454</v>
      </c>
      <c r="AH34">
        <f t="shared" si="7"/>
        <v>16381.81818181818</v>
      </c>
      <c r="AI34">
        <f t="shared" si="7"/>
        <v>34618.181818181816</v>
      </c>
      <c r="AJ34">
        <f t="shared" si="7"/>
        <v>42372.727272727272</v>
      </c>
      <c r="AK34">
        <f t="shared" si="7"/>
        <v>81727.272727272721</v>
      </c>
      <c r="AL34">
        <f t="shared" si="7"/>
        <v>58893.939393939392</v>
      </c>
      <c r="AM34">
        <f t="shared" si="7"/>
        <v>58109.090909090904</v>
      </c>
      <c r="AN34">
        <v>0</v>
      </c>
      <c r="AO34">
        <f>SUM(N34:Z34,AB34:AM34)</f>
        <v>550272.12121212122</v>
      </c>
      <c r="AP34" s="69">
        <f>AO34/AO33</f>
        <v>37.169893969787523</v>
      </c>
      <c r="AQ34" t="s">
        <v>66</v>
      </c>
      <c r="AR34" s="263">
        <f>AP34/AM31</f>
        <v>0.54661608779099302</v>
      </c>
      <c r="AS34" s="6" t="s">
        <v>357</v>
      </c>
    </row>
    <row r="35" spans="1:45" ht="17.100000000000001">
      <c r="A35" t="s">
        <v>1359</v>
      </c>
      <c r="B35" s="9" t="s">
        <v>1316</v>
      </c>
      <c r="C35" s="64">
        <f>C31*C42^(C32*C33)</f>
        <v>0.58678213777895427</v>
      </c>
      <c r="M35" s="22" t="s">
        <v>447</v>
      </c>
      <c r="N35" s="5">
        <v>0</v>
      </c>
      <c r="O35" s="5">
        <v>2.5</v>
      </c>
      <c r="P35" s="5">
        <v>3.29</v>
      </c>
      <c r="Q35" s="5">
        <v>4.3150000000000004</v>
      </c>
      <c r="R35" s="5">
        <v>4.8819999999999997</v>
      </c>
      <c r="S35" s="5">
        <v>6.5170000000000003</v>
      </c>
      <c r="T35" s="5">
        <v>7.5540000000000003</v>
      </c>
      <c r="U35" s="5">
        <v>8.141</v>
      </c>
      <c r="V35" s="5">
        <v>8.33</v>
      </c>
      <c r="W35" s="5">
        <v>8.33</v>
      </c>
      <c r="X35" s="5">
        <v>8.33</v>
      </c>
      <c r="Y35" s="5">
        <v>8.33</v>
      </c>
      <c r="Z35" s="5">
        <v>8.33</v>
      </c>
      <c r="AA35" s="212"/>
      <c r="AB35" s="5">
        <v>8.33</v>
      </c>
      <c r="AC35" s="212"/>
      <c r="AD35" s="212"/>
      <c r="AE35" s="5">
        <v>8.33</v>
      </c>
      <c r="AF35" s="5">
        <v>8.33</v>
      </c>
      <c r="AG35" s="5">
        <v>8.33</v>
      </c>
      <c r="AH35" s="5">
        <v>7.8460000000000001</v>
      </c>
      <c r="AI35" s="5">
        <v>7.016</v>
      </c>
      <c r="AJ35" s="5">
        <v>6.0679999999999996</v>
      </c>
      <c r="AK35" s="5">
        <v>5</v>
      </c>
      <c r="AL35" s="5">
        <v>3.8119999999999998</v>
      </c>
      <c r="AM35" s="5">
        <v>2.5</v>
      </c>
    </row>
    <row r="36" spans="1:45" ht="17.100000000000001">
      <c r="A36" t="s">
        <v>1361</v>
      </c>
      <c r="B36" s="9" t="s">
        <v>1317</v>
      </c>
      <c r="C36" s="64">
        <f>C39/C42</f>
        <v>0.17483443708609273</v>
      </c>
      <c r="E36" s="7" t="s">
        <v>1368</v>
      </c>
      <c r="M36" s="22" t="s">
        <v>476</v>
      </c>
      <c r="N36" s="5">
        <f t="shared" ref="N36:Z36" si="8">N35/2+N39</f>
        <v>-0.16500000000000004</v>
      </c>
      <c r="O36" s="5">
        <f t="shared" si="8"/>
        <v>1.6179999999999999</v>
      </c>
      <c r="P36" s="5">
        <f t="shared" si="8"/>
        <v>2.3109999999999999</v>
      </c>
      <c r="Q36" s="5">
        <f t="shared" si="8"/>
        <v>3.2015000000000002</v>
      </c>
      <c r="R36" s="5">
        <f t="shared" si="8"/>
        <v>3.702</v>
      </c>
      <c r="S36" s="5">
        <f t="shared" si="8"/>
        <v>5.2844999999999995</v>
      </c>
      <c r="T36" s="5">
        <f t="shared" si="8"/>
        <v>6.2850000000000001</v>
      </c>
      <c r="U36" s="5">
        <f t="shared" si="8"/>
        <v>6.8494999999999999</v>
      </c>
      <c r="V36" s="5">
        <f t="shared" si="8"/>
        <v>7.0329999999999995</v>
      </c>
      <c r="W36" s="5">
        <f t="shared" si="8"/>
        <v>7.0329999999999995</v>
      </c>
      <c r="X36" s="5">
        <f t="shared" si="8"/>
        <v>7.0329999999999995</v>
      </c>
      <c r="Y36" s="5">
        <f t="shared" si="8"/>
        <v>7.0329999999999995</v>
      </c>
      <c r="Z36" s="5">
        <f t="shared" si="8"/>
        <v>7.0329999999999995</v>
      </c>
      <c r="AA36" s="212"/>
      <c r="AB36" s="5">
        <f>AB35/2+AB39</f>
        <v>7.0329999999999995</v>
      </c>
      <c r="AC36" s="212"/>
      <c r="AD36" s="212"/>
      <c r="AE36" s="5">
        <f t="shared" ref="AE36:AM36" si="9">AE35/2+AE39</f>
        <v>7.0329999999999995</v>
      </c>
      <c r="AF36" s="5">
        <f t="shared" si="9"/>
        <v>7.0329999999999995</v>
      </c>
      <c r="AG36" s="5">
        <f t="shared" si="9"/>
        <v>7.0329999999999995</v>
      </c>
      <c r="AH36" s="5">
        <f t="shared" si="9"/>
        <v>7.0229999999999997</v>
      </c>
      <c r="AI36" s="5">
        <f t="shared" si="9"/>
        <v>6.9630000000000001</v>
      </c>
      <c r="AJ36" s="5">
        <f t="shared" si="9"/>
        <v>6.85</v>
      </c>
      <c r="AK36" s="5">
        <f t="shared" si="9"/>
        <v>6.6859999999999999</v>
      </c>
      <c r="AL36" s="5">
        <f t="shared" si="9"/>
        <v>6.47</v>
      </c>
      <c r="AM36" s="5">
        <f t="shared" si="9"/>
        <v>6.2010000000000005</v>
      </c>
    </row>
    <row r="37" spans="1:45" ht="17.100000000000001">
      <c r="A37" t="s">
        <v>1363</v>
      </c>
      <c r="B37" s="9" t="s">
        <v>30</v>
      </c>
      <c r="C37" s="6">
        <f>General!C14</f>
        <v>570</v>
      </c>
      <c r="D37" t="s">
        <v>1325</v>
      </c>
      <c r="E37" t="s">
        <v>1364</v>
      </c>
      <c r="M37" s="22" t="s">
        <v>477</v>
      </c>
      <c r="N37" s="5">
        <f t="shared" ref="N37:Z37" si="10">-N35/2+N39</f>
        <v>-0.16500000000000004</v>
      </c>
      <c r="O37" s="5">
        <f t="shared" si="10"/>
        <v>-0.88200000000000001</v>
      </c>
      <c r="P37" s="5">
        <f t="shared" si="10"/>
        <v>-0.97900000000000009</v>
      </c>
      <c r="Q37" s="5">
        <f t="shared" si="10"/>
        <v>-1.1135000000000002</v>
      </c>
      <c r="R37" s="5">
        <f t="shared" si="10"/>
        <v>-1.1799999999999997</v>
      </c>
      <c r="S37" s="5">
        <f t="shared" si="10"/>
        <v>-1.2325000000000004</v>
      </c>
      <c r="T37" s="5">
        <f t="shared" si="10"/>
        <v>-1.2690000000000001</v>
      </c>
      <c r="U37" s="5">
        <f t="shared" si="10"/>
        <v>-1.2915000000000001</v>
      </c>
      <c r="V37" s="5">
        <f t="shared" si="10"/>
        <v>-1.2970000000000002</v>
      </c>
      <c r="W37" s="5">
        <f t="shared" si="10"/>
        <v>-1.2970000000000002</v>
      </c>
      <c r="X37" s="5">
        <f t="shared" si="10"/>
        <v>-1.2970000000000002</v>
      </c>
      <c r="Y37" s="5">
        <f t="shared" si="10"/>
        <v>-1.2970000000000002</v>
      </c>
      <c r="Z37" s="5">
        <f t="shared" si="10"/>
        <v>-1.2970000000000002</v>
      </c>
      <c r="AA37" s="212"/>
      <c r="AB37" s="5">
        <f>-AB35/2+AB39</f>
        <v>-1.2970000000000002</v>
      </c>
      <c r="AC37" s="212"/>
      <c r="AD37" s="212"/>
      <c r="AE37" s="5">
        <f t="shared" ref="AE37:AM37" si="11">-AE35/2+AE39</f>
        <v>-1.2970000000000002</v>
      </c>
      <c r="AF37" s="5">
        <f t="shared" si="11"/>
        <v>-1.2970000000000002</v>
      </c>
      <c r="AG37" s="5">
        <f t="shared" si="11"/>
        <v>-1.2970000000000002</v>
      </c>
      <c r="AH37" s="5">
        <f t="shared" si="11"/>
        <v>-0.82299999999999995</v>
      </c>
      <c r="AI37" s="5">
        <f t="shared" si="11"/>
        <v>-5.2999999999999936E-2</v>
      </c>
      <c r="AJ37" s="5">
        <f t="shared" si="11"/>
        <v>0.78200000000000003</v>
      </c>
      <c r="AK37" s="5">
        <f t="shared" si="11"/>
        <v>1.6859999999999999</v>
      </c>
      <c r="AL37" s="5">
        <f t="shared" si="11"/>
        <v>2.6580000000000004</v>
      </c>
      <c r="AM37" s="5">
        <f t="shared" si="11"/>
        <v>3.7010000000000005</v>
      </c>
    </row>
    <row r="38" spans="1:45" ht="17.100000000000001">
      <c r="A38" t="s">
        <v>1366</v>
      </c>
      <c r="B38" s="9" t="s">
        <v>27</v>
      </c>
      <c r="C38" s="6">
        <f>General!C13</f>
        <v>4130</v>
      </c>
      <c r="D38" t="s">
        <v>1325</v>
      </c>
      <c r="E38" t="s">
        <v>1364</v>
      </c>
      <c r="N38" s="170">
        <v>-0.53300000000000003</v>
      </c>
      <c r="O38" s="170">
        <v>0</v>
      </c>
      <c r="P38" s="170">
        <v>0.29799999999999999</v>
      </c>
      <c r="Q38" s="170">
        <v>0.67600000000000005</v>
      </c>
      <c r="R38" s="170">
        <v>0.89300000000000002</v>
      </c>
      <c r="S38" s="170">
        <v>1.6579999999999999</v>
      </c>
      <c r="T38" s="170">
        <v>2.14</v>
      </c>
      <c r="U38" s="170">
        <v>2.411</v>
      </c>
      <c r="V38" s="170">
        <v>2.5</v>
      </c>
      <c r="W38" s="170">
        <v>2.5</v>
      </c>
      <c r="X38" s="170">
        <v>2.5</v>
      </c>
      <c r="Y38" s="170">
        <v>2.5</v>
      </c>
      <c r="Z38" s="170">
        <v>2.5</v>
      </c>
      <c r="AA38" s="212"/>
      <c r="AB38" s="170">
        <v>2.5</v>
      </c>
      <c r="AC38" s="212"/>
      <c r="AD38" s="212"/>
      <c r="AE38" s="170">
        <v>2.5</v>
      </c>
      <c r="AF38" s="170">
        <v>2.5</v>
      </c>
      <c r="AG38" s="170">
        <v>2.5</v>
      </c>
      <c r="AH38" s="170">
        <v>2.7320000000000002</v>
      </c>
      <c r="AI38" s="170">
        <v>3.0870000000000002</v>
      </c>
      <c r="AJ38" s="170">
        <v>3.448</v>
      </c>
      <c r="AK38" s="170">
        <v>3.8180000000000001</v>
      </c>
      <c r="AL38" s="170">
        <v>4.1959999999999997</v>
      </c>
      <c r="AM38" s="170">
        <v>4.5830000000000002</v>
      </c>
    </row>
    <row r="39" spans="1:45" ht="17.100000000000001">
      <c r="A39" t="s">
        <v>346</v>
      </c>
      <c r="B39" s="9" t="s">
        <v>24</v>
      </c>
      <c r="C39" s="6">
        <f>General!C12</f>
        <v>3300</v>
      </c>
      <c r="D39" t="s">
        <v>1325</v>
      </c>
      <c r="E39" s="7" t="s">
        <v>1368</v>
      </c>
      <c r="M39" s="22" t="s">
        <v>449</v>
      </c>
      <c r="N39" s="5">
        <f t="shared" ref="N39:Z39" si="12">N38+0.368</f>
        <v>-0.16500000000000004</v>
      </c>
      <c r="O39" s="5">
        <f t="shared" si="12"/>
        <v>0.36799999999999999</v>
      </c>
      <c r="P39" s="5">
        <f t="shared" si="12"/>
        <v>0.66599999999999993</v>
      </c>
      <c r="Q39" s="5">
        <f t="shared" si="12"/>
        <v>1.044</v>
      </c>
      <c r="R39" s="5">
        <f t="shared" si="12"/>
        <v>1.2610000000000001</v>
      </c>
      <c r="S39" s="5">
        <f t="shared" si="12"/>
        <v>2.0259999999999998</v>
      </c>
      <c r="T39" s="5">
        <f t="shared" si="12"/>
        <v>2.508</v>
      </c>
      <c r="U39" s="5">
        <f t="shared" si="12"/>
        <v>2.7789999999999999</v>
      </c>
      <c r="V39" s="5">
        <f t="shared" si="12"/>
        <v>2.8679999999999999</v>
      </c>
      <c r="W39" s="5">
        <f t="shared" si="12"/>
        <v>2.8679999999999999</v>
      </c>
      <c r="X39" s="5">
        <f t="shared" si="12"/>
        <v>2.8679999999999999</v>
      </c>
      <c r="Y39" s="5">
        <f t="shared" si="12"/>
        <v>2.8679999999999999</v>
      </c>
      <c r="Z39" s="5">
        <f t="shared" si="12"/>
        <v>2.8679999999999999</v>
      </c>
      <c r="AA39" s="212"/>
      <c r="AB39" s="5">
        <f>AB38+0.368</f>
        <v>2.8679999999999999</v>
      </c>
      <c r="AC39" s="212"/>
      <c r="AD39" s="212"/>
      <c r="AE39" s="5">
        <f t="shared" ref="AE39:AM39" si="13">AE38+0.368</f>
        <v>2.8679999999999999</v>
      </c>
      <c r="AF39" s="5">
        <f t="shared" si="13"/>
        <v>2.8679999999999999</v>
      </c>
      <c r="AG39" s="5">
        <f t="shared" si="13"/>
        <v>2.8679999999999999</v>
      </c>
      <c r="AH39" s="5">
        <f t="shared" si="13"/>
        <v>3.1</v>
      </c>
      <c r="AI39" s="5">
        <f t="shared" si="13"/>
        <v>3.4550000000000001</v>
      </c>
      <c r="AJ39" s="5">
        <f t="shared" si="13"/>
        <v>3.8159999999999998</v>
      </c>
      <c r="AK39" s="5">
        <f t="shared" si="13"/>
        <v>4.1859999999999999</v>
      </c>
      <c r="AL39" s="5">
        <f t="shared" si="13"/>
        <v>4.5640000000000001</v>
      </c>
      <c r="AM39" s="5">
        <f t="shared" si="13"/>
        <v>4.9510000000000005</v>
      </c>
    </row>
    <row r="40" spans="1:45" ht="17.100000000000001">
      <c r="A40" t="s">
        <v>1370</v>
      </c>
      <c r="B40" s="9" t="s">
        <v>33</v>
      </c>
      <c r="C40" s="6">
        <f>SUM(C37:C39)</f>
        <v>8000</v>
      </c>
      <c r="D40" t="s">
        <v>1325</v>
      </c>
      <c r="E40" s="7" t="s">
        <v>1368</v>
      </c>
      <c r="M40" s="22" t="s">
        <v>482</v>
      </c>
      <c r="Z40">
        <v>0</v>
      </c>
      <c r="AA40" s="212"/>
      <c r="AB40">
        <v>0</v>
      </c>
      <c r="AC40" s="212"/>
      <c r="AD40" s="212"/>
      <c r="AE40">
        <v>0</v>
      </c>
      <c r="AF40">
        <v>0</v>
      </c>
      <c r="AL40">
        <v>6</v>
      </c>
      <c r="AM40">
        <v>6</v>
      </c>
    </row>
    <row r="41" spans="1:45">
      <c r="R41" t="s">
        <v>483</v>
      </c>
      <c r="Z41" t="s">
        <v>484</v>
      </c>
      <c r="AA41" s="212"/>
      <c r="AC41" s="212"/>
      <c r="AD41" s="212"/>
      <c r="AF41" t="s">
        <v>485</v>
      </c>
      <c r="AL41" t="s">
        <v>486</v>
      </c>
    </row>
    <row r="42" spans="1:45" ht="17.100000000000001">
      <c r="A42" t="s">
        <v>1392</v>
      </c>
      <c r="B42" s="9" t="s">
        <v>13</v>
      </c>
      <c r="C42" s="6">
        <f>General!C7</f>
        <v>18875</v>
      </c>
      <c r="D42" t="s">
        <v>1325</v>
      </c>
      <c r="E42" t="s">
        <v>1393</v>
      </c>
      <c r="AA42" s="212">
        <v>3000</v>
      </c>
      <c r="AC42" s="212"/>
      <c r="AD42" s="212"/>
    </row>
    <row r="43" spans="1:45" ht="17.100000000000001">
      <c r="A43" t="s">
        <v>1376</v>
      </c>
      <c r="B43" s="9" t="s">
        <v>18</v>
      </c>
      <c r="C43" s="6">
        <f>C42*C35</f>
        <v>11075.512850577761</v>
      </c>
      <c r="D43" t="s">
        <v>1325</v>
      </c>
      <c r="AA43" s="212"/>
      <c r="AC43" s="212"/>
      <c r="AD43" s="212">
        <v>3000</v>
      </c>
    </row>
    <row r="44" spans="1:45">
      <c r="AA44" s="212"/>
      <c r="AC44" s="212">
        <v>3000</v>
      </c>
      <c r="AD44" s="212"/>
    </row>
    <row r="45" spans="1:45">
      <c r="A45" s="359" t="s">
        <v>1394</v>
      </c>
      <c r="B45" s="359"/>
      <c r="C45" s="359"/>
      <c r="D45" s="359"/>
      <c r="E45" s="359"/>
      <c r="F45" s="359"/>
      <c r="G45" s="359"/>
      <c r="H45" s="359"/>
      <c r="I45" s="359"/>
      <c r="J45" s="359"/>
      <c r="K45" s="359"/>
    </row>
    <row r="46" spans="1:45">
      <c r="A46" s="323" t="s">
        <v>269</v>
      </c>
      <c r="B46" s="324"/>
      <c r="C46" s="324"/>
      <c r="D46" s="324"/>
      <c r="E46" s="324"/>
      <c r="F46" s="324"/>
      <c r="G46" s="324"/>
      <c r="H46" s="324"/>
      <c r="I46" s="324"/>
      <c r="J46" s="324"/>
      <c r="K46" s="324"/>
      <c r="L46" s="324"/>
      <c r="M46" s="324"/>
      <c r="N46" s="357"/>
      <c r="O46" s="357"/>
      <c r="P46" s="358"/>
    </row>
    <row r="47" spans="1:45">
      <c r="A47" s="133" t="s">
        <v>273</v>
      </c>
      <c r="B47" s="313" t="s">
        <v>274</v>
      </c>
      <c r="C47" s="312"/>
      <c r="D47" s="313" t="s">
        <v>275</v>
      </c>
      <c r="E47" s="322"/>
      <c r="F47" s="312" t="s">
        <v>276</v>
      </c>
      <c r="G47" s="328"/>
      <c r="H47" s="312" t="s">
        <v>277</v>
      </c>
      <c r="I47" s="312"/>
      <c r="J47" s="313" t="s">
        <v>278</v>
      </c>
      <c r="K47" s="328"/>
      <c r="L47" s="312" t="s">
        <v>279</v>
      </c>
      <c r="M47" s="312"/>
      <c r="N47" s="312" t="s">
        <v>280</v>
      </c>
      <c r="O47" s="312"/>
      <c r="P47" s="322"/>
      <c r="Q47" s="355" t="s">
        <v>290</v>
      </c>
    </row>
    <row r="48" spans="1:45">
      <c r="A48" s="251" t="s">
        <v>284</v>
      </c>
      <c r="B48" s="252" t="s">
        <v>285</v>
      </c>
      <c r="C48" s="253" t="s">
        <v>286</v>
      </c>
      <c r="D48" s="252" t="s">
        <v>285</v>
      </c>
      <c r="E48" s="254" t="s">
        <v>286</v>
      </c>
      <c r="F48" s="252" t="s">
        <v>199</v>
      </c>
      <c r="G48" s="253" t="s">
        <v>287</v>
      </c>
      <c r="H48" s="252" t="s">
        <v>199</v>
      </c>
      <c r="I48" s="253" t="s">
        <v>287</v>
      </c>
      <c r="J48" s="252" t="s">
        <v>199</v>
      </c>
      <c r="K48" s="253" t="s">
        <v>287</v>
      </c>
      <c r="L48" s="252" t="s">
        <v>199</v>
      </c>
      <c r="M48" s="255" t="s">
        <v>287</v>
      </c>
      <c r="N48" s="253" t="s">
        <v>289</v>
      </c>
      <c r="O48" s="252" t="s">
        <v>288</v>
      </c>
      <c r="P48" s="252" t="s">
        <v>199</v>
      </c>
      <c r="Q48" s="356"/>
    </row>
    <row r="49" spans="1:17">
      <c r="A49" s="110">
        <v>1</v>
      </c>
      <c r="B49" s="43">
        <f t="shared" ref="B49:B64" si="14">$O$19</f>
        <v>10875</v>
      </c>
      <c r="C49" s="103">
        <v>40</v>
      </c>
      <c r="D49">
        <f t="shared" ref="D49:D64" si="15">$C$37</f>
        <v>570</v>
      </c>
      <c r="E49" s="62">
        <v>20</v>
      </c>
      <c r="F49">
        <f>190*6</f>
        <v>1140</v>
      </c>
      <c r="G49" s="103">
        <v>30</v>
      </c>
      <c r="H49">
        <f>190*6</f>
        <v>1140</v>
      </c>
      <c r="I49" s="103">
        <v>40</v>
      </c>
      <c r="J49">
        <f>SUM($C$44,$C$46)</f>
        <v>0</v>
      </c>
      <c r="K49" s="103">
        <v>40</v>
      </c>
      <c r="L49">
        <f>$C$39</f>
        <v>3300</v>
      </c>
      <c r="M49" s="135">
        <v>37</v>
      </c>
      <c r="N49" s="126">
        <f t="shared" ref="N49:N64" si="16">O49/P49</f>
        <v>38.079295154185019</v>
      </c>
      <c r="O49">
        <f t="shared" ref="O49:O64" si="17">B49*C49+D49*E49+F49*G49+H49*I49+J49*K49+L49*M49</f>
        <v>648300</v>
      </c>
      <c r="P49" s="62">
        <f>B49+D49+F49+H49+J49+L49</f>
        <v>17025</v>
      </c>
      <c r="Q49" s="301">
        <f>(N49-Geometry!$C$58-'Stability and Control'!$C$90)/7.36</f>
        <v>6.7006264102472693E-2</v>
      </c>
    </row>
    <row r="50" spans="1:17">
      <c r="A50" s="110">
        <v>2</v>
      </c>
      <c r="B50" s="43">
        <f t="shared" si="14"/>
        <v>10875</v>
      </c>
      <c r="C50" s="103">
        <v>40</v>
      </c>
      <c r="D50">
        <f t="shared" si="15"/>
        <v>570</v>
      </c>
      <c r="E50" s="62">
        <v>20</v>
      </c>
      <c r="F50">
        <f>190*6</f>
        <v>1140</v>
      </c>
      <c r="G50" s="103">
        <v>30</v>
      </c>
      <c r="H50">
        <v>1140</v>
      </c>
      <c r="I50" s="103">
        <v>40</v>
      </c>
      <c r="J50">
        <f>SUM($C$44,$C$46)</f>
        <v>0</v>
      </c>
      <c r="K50" s="103">
        <v>20</v>
      </c>
      <c r="L50">
        <v>0</v>
      </c>
      <c r="M50" s="135">
        <v>37</v>
      </c>
      <c r="N50" s="126">
        <f t="shared" si="16"/>
        <v>38.338797814207652</v>
      </c>
      <c r="O50">
        <f t="shared" si="17"/>
        <v>526200</v>
      </c>
      <c r="P50" s="62">
        <f t="shared" ref="P50:P64" si="18">B50+D50+F50+H50+J50+L50</f>
        <v>13725</v>
      </c>
      <c r="Q50" s="301">
        <f>(N50-Geometry!$C$58-'Stability and Control'!$C$90)/7.36</f>
        <v>0.10226477769250439</v>
      </c>
    </row>
    <row r="51" spans="1:17">
      <c r="A51" s="110">
        <v>3</v>
      </c>
      <c r="B51" s="43">
        <f t="shared" si="14"/>
        <v>10875</v>
      </c>
      <c r="C51" s="103">
        <v>40</v>
      </c>
      <c r="D51">
        <f t="shared" si="15"/>
        <v>570</v>
      </c>
      <c r="E51" s="62">
        <v>20</v>
      </c>
      <c r="F51">
        <v>1140</v>
      </c>
      <c r="G51" s="103">
        <v>30</v>
      </c>
      <c r="H51">
        <v>0</v>
      </c>
      <c r="I51" s="103">
        <v>40</v>
      </c>
      <c r="J51">
        <f>SUM($C$44,$C$46)</f>
        <v>0</v>
      </c>
      <c r="K51" s="103">
        <v>20</v>
      </c>
      <c r="L51">
        <f>$C$39</f>
        <v>3300</v>
      </c>
      <c r="M51" s="135">
        <v>37</v>
      </c>
      <c r="N51" s="126">
        <f t="shared" si="16"/>
        <v>37.941454202077431</v>
      </c>
      <c r="O51">
        <f t="shared" si="17"/>
        <v>602700</v>
      </c>
      <c r="P51" s="62">
        <f t="shared" si="18"/>
        <v>15885</v>
      </c>
      <c r="Q51" s="301">
        <f>(N51-Geometry!$C$58-'Stability and Control'!$C$90)/7.36</f>
        <v>4.8277873870463443E-2</v>
      </c>
    </row>
    <row r="52" spans="1:17">
      <c r="A52" s="110">
        <v>4</v>
      </c>
      <c r="B52" s="43">
        <f t="shared" si="14"/>
        <v>10875</v>
      </c>
      <c r="C52" s="103">
        <v>40</v>
      </c>
      <c r="D52">
        <f t="shared" si="15"/>
        <v>570</v>
      </c>
      <c r="E52" s="62">
        <v>20</v>
      </c>
      <c r="F52">
        <v>1140</v>
      </c>
      <c r="G52" s="103">
        <v>30</v>
      </c>
      <c r="H52">
        <v>0</v>
      </c>
      <c r="I52" s="103">
        <v>40</v>
      </c>
      <c r="J52">
        <f>SUM($C$44,$C$46)</f>
        <v>0</v>
      </c>
      <c r="K52" s="103">
        <v>20</v>
      </c>
      <c r="L52">
        <v>0</v>
      </c>
      <c r="M52" s="135">
        <v>37</v>
      </c>
      <c r="N52" s="126">
        <f t="shared" si="16"/>
        <v>38.188319427890349</v>
      </c>
      <c r="O52">
        <f t="shared" si="17"/>
        <v>480600</v>
      </c>
      <c r="P52" s="62">
        <f t="shared" si="18"/>
        <v>12585</v>
      </c>
      <c r="Q52" s="301">
        <f>(N52-Geometry!$C$58-'Stability and Control'!$C$90)/7.36</f>
        <v>8.1819344768957761E-2</v>
      </c>
    </row>
    <row r="53" spans="1:17">
      <c r="A53" s="110">
        <v>5</v>
      </c>
      <c r="B53" s="43">
        <f t="shared" si="14"/>
        <v>10875</v>
      </c>
      <c r="C53" s="103">
        <v>40</v>
      </c>
      <c r="D53">
        <f t="shared" si="15"/>
        <v>570</v>
      </c>
      <c r="E53" s="62">
        <v>20</v>
      </c>
      <c r="F53">
        <v>1140</v>
      </c>
      <c r="G53" s="103">
        <v>30</v>
      </c>
      <c r="H53">
        <v>0</v>
      </c>
      <c r="I53" s="103">
        <v>40</v>
      </c>
      <c r="J53">
        <v>1000</v>
      </c>
      <c r="K53" s="103">
        <v>20</v>
      </c>
      <c r="L53">
        <f>$C$39</f>
        <v>3300</v>
      </c>
      <c r="M53" s="135">
        <v>37</v>
      </c>
      <c r="N53" s="126">
        <f t="shared" si="16"/>
        <v>36.878886585726974</v>
      </c>
      <c r="O53">
        <f t="shared" si="17"/>
        <v>622700</v>
      </c>
      <c r="P53" s="62">
        <f t="shared" si="18"/>
        <v>16885</v>
      </c>
      <c r="Q53" s="301">
        <f>(N53-Geometry!$C$58-'Stability and Control'!$C$90)/7.36</f>
        <v>-9.6092726177152921E-2</v>
      </c>
    </row>
    <row r="54" spans="1:17">
      <c r="A54" s="110">
        <v>6</v>
      </c>
      <c r="B54" s="43">
        <f t="shared" si="14"/>
        <v>10875</v>
      </c>
      <c r="C54" s="103">
        <v>40</v>
      </c>
      <c r="D54">
        <f t="shared" si="15"/>
        <v>570</v>
      </c>
      <c r="E54" s="62">
        <v>20</v>
      </c>
      <c r="F54">
        <v>1140</v>
      </c>
      <c r="G54" s="103">
        <v>30</v>
      </c>
      <c r="H54">
        <v>0</v>
      </c>
      <c r="I54" s="103">
        <v>40</v>
      </c>
      <c r="J54">
        <v>1000</v>
      </c>
      <c r="K54" s="103">
        <v>20</v>
      </c>
      <c r="L54">
        <v>0</v>
      </c>
      <c r="M54" s="135">
        <v>37</v>
      </c>
      <c r="N54" s="126">
        <f t="shared" si="16"/>
        <v>36.849466323150537</v>
      </c>
      <c r="O54">
        <f t="shared" si="17"/>
        <v>500600</v>
      </c>
      <c r="P54" s="62">
        <f t="shared" si="18"/>
        <v>13585</v>
      </c>
      <c r="Q54" s="301">
        <f>(N54-Geometry!$C$58-'Stability and Control'!$C$90)/7.36</f>
        <v>-0.10009004446199492</v>
      </c>
    </row>
    <row r="55" spans="1:17">
      <c r="A55" s="110">
        <v>7</v>
      </c>
      <c r="B55" s="43">
        <f t="shared" si="14"/>
        <v>10875</v>
      </c>
      <c r="C55" s="103">
        <v>40</v>
      </c>
      <c r="D55">
        <f t="shared" si="15"/>
        <v>570</v>
      </c>
      <c r="E55" s="62">
        <v>20</v>
      </c>
      <c r="F55">
        <v>1140</v>
      </c>
      <c r="G55" s="103">
        <v>30</v>
      </c>
      <c r="H55">
        <v>1140</v>
      </c>
      <c r="I55" s="103">
        <v>40</v>
      </c>
      <c r="J55">
        <v>1000</v>
      </c>
      <c r="K55" s="103">
        <v>20</v>
      </c>
      <c r="L55">
        <f>$C$39</f>
        <v>3300</v>
      </c>
      <c r="M55" s="135">
        <v>37</v>
      </c>
      <c r="N55" s="126">
        <f t="shared" si="16"/>
        <v>37.076282940360613</v>
      </c>
      <c r="O55">
        <f t="shared" si="17"/>
        <v>668300</v>
      </c>
      <c r="P55" s="62">
        <f t="shared" si="18"/>
        <v>18025</v>
      </c>
      <c r="Q55" s="301">
        <f>(N55-Geometry!$C$58-'Stability and Control'!$C$90)/7.36</f>
        <v>-6.9272569297582381E-2</v>
      </c>
    </row>
    <row r="56" spans="1:17">
      <c r="A56" s="110">
        <v>8</v>
      </c>
      <c r="B56" s="43">
        <f t="shared" si="14"/>
        <v>10875</v>
      </c>
      <c r="C56" s="103">
        <v>40</v>
      </c>
      <c r="D56">
        <f t="shared" si="15"/>
        <v>570</v>
      </c>
      <c r="E56" s="62">
        <v>20</v>
      </c>
      <c r="F56">
        <v>1140</v>
      </c>
      <c r="G56" s="103">
        <v>30</v>
      </c>
      <c r="H56">
        <v>1140</v>
      </c>
      <c r="I56" s="103">
        <v>40</v>
      </c>
      <c r="J56">
        <v>1000</v>
      </c>
      <c r="K56" s="103">
        <v>20</v>
      </c>
      <c r="L56">
        <v>0</v>
      </c>
      <c r="M56" s="135">
        <v>37</v>
      </c>
      <c r="N56" s="126">
        <f t="shared" si="16"/>
        <v>37.093378607809846</v>
      </c>
      <c r="O56">
        <f t="shared" si="17"/>
        <v>546200</v>
      </c>
      <c r="P56" s="62">
        <f t="shared" si="18"/>
        <v>14725</v>
      </c>
      <c r="Q56" s="301">
        <f>(N56-Geometry!$C$58-'Stability and Control'!$C$90)/7.36</f>
        <v>-6.694978839415397E-2</v>
      </c>
    </row>
    <row r="57" spans="1:17">
      <c r="A57" s="110">
        <v>9</v>
      </c>
      <c r="B57" s="43">
        <f t="shared" si="14"/>
        <v>10875</v>
      </c>
      <c r="C57" s="103">
        <v>40</v>
      </c>
      <c r="D57">
        <f t="shared" si="15"/>
        <v>570</v>
      </c>
      <c r="E57" s="62">
        <v>20</v>
      </c>
      <c r="F57">
        <v>0</v>
      </c>
      <c r="G57" s="103">
        <v>30</v>
      </c>
      <c r="H57">
        <v>1140</v>
      </c>
      <c r="I57" s="103">
        <v>40</v>
      </c>
      <c r="J57">
        <f>SUM($C$44,$C$46)</f>
        <v>0</v>
      </c>
      <c r="K57" s="103">
        <v>20</v>
      </c>
      <c r="L57">
        <f>$C$39</f>
        <v>3300</v>
      </c>
      <c r="M57" s="135">
        <v>37</v>
      </c>
      <c r="N57" s="126">
        <f t="shared" si="16"/>
        <v>38.659112370160528</v>
      </c>
      <c r="O57">
        <f t="shared" si="17"/>
        <v>614100</v>
      </c>
      <c r="P57" s="62">
        <f t="shared" si="18"/>
        <v>15885</v>
      </c>
      <c r="Q57" s="301">
        <f>(N57-Geometry!$C$58-'Stability and Control'!$C$90)/7.36</f>
        <v>0.14578577714262347</v>
      </c>
    </row>
    <row r="58" spans="1:17">
      <c r="A58" s="110">
        <v>10</v>
      </c>
      <c r="B58" s="43">
        <f t="shared" si="14"/>
        <v>10875</v>
      </c>
      <c r="C58" s="103">
        <v>40</v>
      </c>
      <c r="D58">
        <f t="shared" si="15"/>
        <v>570</v>
      </c>
      <c r="E58" s="62">
        <v>20</v>
      </c>
      <c r="F58">
        <v>0</v>
      </c>
      <c r="G58" s="103">
        <v>30</v>
      </c>
      <c r="H58">
        <v>1140</v>
      </c>
      <c r="I58" s="103">
        <v>40</v>
      </c>
      <c r="J58">
        <f>SUM($C$44,$C$46)</f>
        <v>0</v>
      </c>
      <c r="K58" s="103">
        <v>20</v>
      </c>
      <c r="L58">
        <v>0</v>
      </c>
      <c r="M58" s="135">
        <v>37</v>
      </c>
      <c r="N58" s="126">
        <f t="shared" si="16"/>
        <v>39.094159713945174</v>
      </c>
      <c r="O58">
        <f t="shared" si="17"/>
        <v>492000</v>
      </c>
      <c r="P58" s="62">
        <f t="shared" si="18"/>
        <v>12585</v>
      </c>
      <c r="Q58" s="301">
        <f>(N58-Geometry!$C$58-'Stability and Control'!$C$90)/7.36</f>
        <v>0.20489547059162427</v>
      </c>
    </row>
    <row r="59" spans="1:17">
      <c r="A59" s="110">
        <v>11</v>
      </c>
      <c r="B59" s="43">
        <f t="shared" si="14"/>
        <v>10875</v>
      </c>
      <c r="C59" s="103">
        <v>40</v>
      </c>
      <c r="D59">
        <f t="shared" si="15"/>
        <v>570</v>
      </c>
      <c r="E59" s="62">
        <v>20</v>
      </c>
      <c r="F59">
        <v>0</v>
      </c>
      <c r="G59" s="103">
        <v>30</v>
      </c>
      <c r="H59">
        <v>1140</v>
      </c>
      <c r="I59" s="103">
        <v>40</v>
      </c>
      <c r="J59">
        <v>1000</v>
      </c>
      <c r="K59" s="103">
        <v>20</v>
      </c>
      <c r="L59">
        <f>$C$39</f>
        <v>3300</v>
      </c>
      <c r="M59" s="135">
        <v>37</v>
      </c>
      <c r="N59" s="126">
        <f t="shared" si="16"/>
        <v>37.554042049156052</v>
      </c>
      <c r="O59">
        <f t="shared" si="17"/>
        <v>634100</v>
      </c>
      <c r="P59" s="62">
        <f t="shared" si="18"/>
        <v>16885</v>
      </c>
      <c r="Q59" s="301">
        <f>(N59-Geometry!$C$58-'Stability and Control'!$C$90)/7.36</f>
        <v>-4.3596469068977106E-3</v>
      </c>
    </row>
    <row r="60" spans="1:17">
      <c r="A60" s="110">
        <v>12</v>
      </c>
      <c r="B60" s="43">
        <f t="shared" si="14"/>
        <v>10875</v>
      </c>
      <c r="C60" s="103">
        <v>40</v>
      </c>
      <c r="D60">
        <f t="shared" si="15"/>
        <v>570</v>
      </c>
      <c r="E60" s="62">
        <v>20</v>
      </c>
      <c r="F60">
        <v>0</v>
      </c>
      <c r="G60" s="103">
        <v>30</v>
      </c>
      <c r="H60">
        <v>1140</v>
      </c>
      <c r="I60" s="103">
        <v>40</v>
      </c>
      <c r="J60">
        <v>1000</v>
      </c>
      <c r="K60" s="103">
        <v>20</v>
      </c>
      <c r="L60">
        <v>0</v>
      </c>
      <c r="M60" s="135">
        <v>37</v>
      </c>
      <c r="N60" s="126">
        <f t="shared" si="16"/>
        <v>37.68862716231137</v>
      </c>
      <c r="O60">
        <f t="shared" si="17"/>
        <v>512000</v>
      </c>
      <c r="P60" s="62">
        <f t="shared" si="18"/>
        <v>13585</v>
      </c>
      <c r="Q60" s="301">
        <f>(N60-Geometry!$C$58-'Stability and Control'!$C$90)/7.36</f>
        <v>1.392637390224869E-2</v>
      </c>
    </row>
    <row r="61" spans="1:17">
      <c r="A61" s="110">
        <v>13</v>
      </c>
      <c r="B61" s="43">
        <f t="shared" si="14"/>
        <v>10875</v>
      </c>
      <c r="C61" s="103">
        <v>40</v>
      </c>
      <c r="D61">
        <f t="shared" si="15"/>
        <v>570</v>
      </c>
      <c r="E61" s="62">
        <v>20</v>
      </c>
      <c r="F61">
        <v>0</v>
      </c>
      <c r="G61" s="103">
        <v>30</v>
      </c>
      <c r="H61">
        <v>0</v>
      </c>
      <c r="I61" s="103">
        <v>40</v>
      </c>
      <c r="J61">
        <f>SUM($C$44,$C$46)</f>
        <v>0</v>
      </c>
      <c r="K61" s="103">
        <v>20</v>
      </c>
      <c r="L61">
        <f>$C$39</f>
        <v>3300</v>
      </c>
      <c r="M61" s="135">
        <v>37</v>
      </c>
      <c r="N61" s="126">
        <f t="shared" si="16"/>
        <v>38.555442522889116</v>
      </c>
      <c r="O61">
        <f t="shared" si="17"/>
        <v>568500</v>
      </c>
      <c r="P61" s="62">
        <f t="shared" si="18"/>
        <v>14745</v>
      </c>
      <c r="Q61" s="301">
        <f>(N61-Geometry!$C$58-'Stability and Control'!$C$90)/7.36</f>
        <v>0.13170020006770333</v>
      </c>
    </row>
    <row r="62" spans="1:17">
      <c r="A62" s="110">
        <v>14</v>
      </c>
      <c r="B62" s="43">
        <f t="shared" si="14"/>
        <v>10875</v>
      </c>
      <c r="C62" s="103">
        <v>40</v>
      </c>
      <c r="D62">
        <f t="shared" si="15"/>
        <v>570</v>
      </c>
      <c r="E62" s="62">
        <v>20</v>
      </c>
      <c r="F62">
        <v>0</v>
      </c>
      <c r="G62" s="103">
        <v>30</v>
      </c>
      <c r="H62">
        <v>0</v>
      </c>
      <c r="I62" s="103">
        <v>40</v>
      </c>
      <c r="J62">
        <f>SUM($C$44,$C$46)</f>
        <v>0</v>
      </c>
      <c r="K62" s="103">
        <v>20</v>
      </c>
      <c r="L62">
        <v>0</v>
      </c>
      <c r="M62" s="135">
        <v>37</v>
      </c>
      <c r="N62" s="126">
        <f t="shared" si="16"/>
        <v>39.003931847968545</v>
      </c>
      <c r="O62">
        <f t="shared" si="17"/>
        <v>446400</v>
      </c>
      <c r="P62" s="62">
        <f t="shared" si="18"/>
        <v>11445</v>
      </c>
      <c r="Q62" s="301">
        <f>(N62-Geometry!$C$58-'Stability and Control'!$C$90)/7.36</f>
        <v>0.19263624967088658</v>
      </c>
    </row>
    <row r="63" spans="1:17">
      <c r="A63" s="110">
        <v>15</v>
      </c>
      <c r="B63" s="43">
        <f t="shared" si="14"/>
        <v>10875</v>
      </c>
      <c r="C63" s="103">
        <v>40</v>
      </c>
      <c r="D63">
        <f t="shared" si="15"/>
        <v>570</v>
      </c>
      <c r="E63" s="62">
        <v>20</v>
      </c>
      <c r="F63">
        <v>0</v>
      </c>
      <c r="G63" s="103">
        <v>30</v>
      </c>
      <c r="H63">
        <v>0</v>
      </c>
      <c r="I63" s="103">
        <v>40</v>
      </c>
      <c r="J63">
        <v>1000</v>
      </c>
      <c r="K63" s="103">
        <v>20</v>
      </c>
      <c r="L63">
        <f>$C$39</f>
        <v>3300</v>
      </c>
      <c r="M63" s="135">
        <v>37</v>
      </c>
      <c r="N63" s="126">
        <f t="shared" si="16"/>
        <v>37.376945061924424</v>
      </c>
      <c r="O63">
        <f t="shared" si="17"/>
        <v>588500</v>
      </c>
      <c r="P63" s="62">
        <f t="shared" si="18"/>
        <v>15745</v>
      </c>
      <c r="Q63" s="301">
        <f>(N63-Geometry!$C$58-'Stability and Control'!$C$90)/7.36</f>
        <v>-2.8421737563368986E-2</v>
      </c>
    </row>
    <row r="64" spans="1:17">
      <c r="A64" s="231">
        <v>16</v>
      </c>
      <c r="B64" s="261">
        <f t="shared" si="14"/>
        <v>10875</v>
      </c>
      <c r="C64" s="232">
        <v>40</v>
      </c>
      <c r="D64" s="129">
        <f t="shared" si="15"/>
        <v>570</v>
      </c>
      <c r="E64" s="121">
        <v>20</v>
      </c>
      <c r="F64" s="129">
        <v>0</v>
      </c>
      <c r="G64" s="232">
        <v>30</v>
      </c>
      <c r="H64" s="233">
        <v>0</v>
      </c>
      <c r="I64" s="232">
        <v>40</v>
      </c>
      <c r="J64" s="129">
        <v>1000</v>
      </c>
      <c r="K64" s="232">
        <v>20</v>
      </c>
      <c r="L64" s="129">
        <v>0</v>
      </c>
      <c r="M64" s="137">
        <v>37</v>
      </c>
      <c r="N64" s="234">
        <f t="shared" si="16"/>
        <v>37.476898352752109</v>
      </c>
      <c r="O64" s="129">
        <f t="shared" si="17"/>
        <v>466400</v>
      </c>
      <c r="P64" s="121">
        <f t="shared" si="18"/>
        <v>12445</v>
      </c>
      <c r="Q64" s="302">
        <f>(N64-Geometry!$C$58-'Stability and Control'!$C$90)/7.36</f>
        <v>-1.4841127396563989E-2</v>
      </c>
    </row>
    <row r="65" spans="1:35">
      <c r="A65" s="186" t="s">
        <v>1395</v>
      </c>
      <c r="B65" s="220" t="s">
        <v>1396</v>
      </c>
      <c r="C65" s="185">
        <f>General!C27</f>
        <v>10</v>
      </c>
      <c r="D65" s="219" t="s">
        <v>59</v>
      </c>
      <c r="E65" s="185" t="s">
        <v>1397</v>
      </c>
      <c r="F65" s="185"/>
      <c r="G65" s="185"/>
      <c r="H65" s="185"/>
      <c r="I65" s="185"/>
      <c r="J65" s="185"/>
      <c r="K65" s="185"/>
      <c r="N65" s="69">
        <f>'Stability and Control'!C$178</f>
        <v>40.685496002737118</v>
      </c>
      <c r="P65">
        <v>0</v>
      </c>
    </row>
    <row r="66" spans="1:35" ht="17.100000000000001">
      <c r="A66" s="188" t="s">
        <v>1398</v>
      </c>
      <c r="B66" s="189" t="s">
        <v>1399</v>
      </c>
      <c r="C66" s="184"/>
      <c r="D66" s="184" t="s">
        <v>1400</v>
      </c>
      <c r="E66" s="184" t="s">
        <v>1401</v>
      </c>
      <c r="F66" s="185"/>
      <c r="G66" s="185"/>
      <c r="H66" s="185"/>
      <c r="I66" s="185"/>
      <c r="J66" s="185"/>
      <c r="K66" s="185"/>
      <c r="N66" s="69">
        <f>'Stability and Control'!C$178</f>
        <v>40.685496002737118</v>
      </c>
      <c r="P66">
        <v>10000</v>
      </c>
    </row>
    <row r="67" spans="1:35">
      <c r="A67" s="185"/>
      <c r="B67" s="185"/>
      <c r="C67" s="185"/>
      <c r="D67" s="185"/>
      <c r="E67" s="185"/>
      <c r="F67" s="185"/>
      <c r="G67" s="185"/>
      <c r="H67" s="185"/>
      <c r="I67" s="185"/>
      <c r="J67" s="185"/>
      <c r="K67" s="185"/>
      <c r="N67" s="69">
        <f>'Stability and Control'!C$178</f>
        <v>40.685496002737118</v>
      </c>
      <c r="P67">
        <v>20000</v>
      </c>
    </row>
    <row r="68" spans="1:35">
      <c r="A68" s="184" t="s">
        <v>1402</v>
      </c>
      <c r="B68" s="185"/>
      <c r="C68" s="185"/>
      <c r="D68" s="185"/>
      <c r="E68" s="185"/>
      <c r="F68" s="185"/>
      <c r="G68" s="185"/>
      <c r="H68" s="185"/>
      <c r="I68" s="185"/>
      <c r="J68" s="185"/>
      <c r="K68" s="185"/>
    </row>
    <row r="69" spans="1:35" ht="17.100000000000001">
      <c r="A69" s="186" t="s">
        <v>89</v>
      </c>
      <c r="B69" s="187" t="s">
        <v>1403</v>
      </c>
      <c r="C69" s="185">
        <f>General!C48</f>
        <v>4.1594516540385147</v>
      </c>
      <c r="D69" s="185"/>
      <c r="E69" s="185" t="s">
        <v>1397</v>
      </c>
      <c r="F69" s="185"/>
      <c r="G69" s="185"/>
      <c r="H69" s="185"/>
      <c r="I69" s="185"/>
      <c r="J69" s="185"/>
      <c r="K69" s="185"/>
    </row>
    <row r="70" spans="1:35" ht="18">
      <c r="A70" s="186" t="s">
        <v>1404</v>
      </c>
      <c r="B70" s="187" t="s">
        <v>1405</v>
      </c>
      <c r="C70" s="185">
        <f>General!C47</f>
        <v>108.18733752154175</v>
      </c>
      <c r="D70" s="185" t="s">
        <v>1406</v>
      </c>
      <c r="E70" s="185" t="s">
        <v>1397</v>
      </c>
      <c r="F70" s="185"/>
      <c r="G70" s="185"/>
      <c r="H70" s="185"/>
      <c r="I70" s="185"/>
      <c r="J70" s="185"/>
      <c r="K70" s="185"/>
    </row>
    <row r="71" spans="1:35" ht="17.100000000000001">
      <c r="A71" s="186" t="s">
        <v>103</v>
      </c>
      <c r="B71" s="187" t="s">
        <v>1407</v>
      </c>
      <c r="C71" s="185">
        <f>General!C56</f>
        <v>21.213203435596423</v>
      </c>
      <c r="D71" s="185" t="s">
        <v>66</v>
      </c>
      <c r="E71" s="185" t="s">
        <v>1397</v>
      </c>
      <c r="F71" s="185"/>
      <c r="G71" s="185"/>
      <c r="H71" s="185"/>
      <c r="I71" s="185"/>
      <c r="J71" s="185"/>
      <c r="K71" s="185"/>
    </row>
    <row r="72" spans="1:35">
      <c r="A72" s="186" t="s">
        <v>1408</v>
      </c>
      <c r="B72" s="220" t="s">
        <v>1409</v>
      </c>
      <c r="C72" s="185">
        <f>General!C49</f>
        <v>0.72881355932203384</v>
      </c>
      <c r="D72" s="185"/>
      <c r="E72" s="185" t="s">
        <v>1397</v>
      </c>
      <c r="F72" s="185"/>
      <c r="G72" s="185"/>
      <c r="H72" s="185"/>
      <c r="I72" s="185"/>
      <c r="J72" s="185"/>
      <c r="K72" s="185"/>
    </row>
    <row r="73" spans="1:35">
      <c r="A73" s="186" t="s">
        <v>115</v>
      </c>
      <c r="B73" s="187" t="s">
        <v>50</v>
      </c>
      <c r="C73" s="185">
        <f>General!C50</f>
        <v>9</v>
      </c>
      <c r="D73" s="185"/>
      <c r="E73" s="185" t="s">
        <v>1397</v>
      </c>
      <c r="F73" s="185"/>
      <c r="G73" s="185"/>
      <c r="H73" s="185"/>
      <c r="I73" s="185"/>
      <c r="J73" s="185"/>
      <c r="K73" s="185"/>
    </row>
    <row r="74" spans="1:35">
      <c r="A74" s="186" t="s">
        <v>1410</v>
      </c>
      <c r="B74" s="220" t="s">
        <v>1411</v>
      </c>
      <c r="C74" s="185">
        <f>General!C51</f>
        <v>30</v>
      </c>
      <c r="D74" s="219" t="s">
        <v>59</v>
      </c>
      <c r="E74" s="185" t="s">
        <v>1397</v>
      </c>
      <c r="F74" s="185"/>
      <c r="G74" s="185"/>
      <c r="H74" s="185"/>
      <c r="I74" s="185"/>
      <c r="J74" s="185"/>
      <c r="K74" s="185"/>
    </row>
    <row r="75" spans="1:35" s="7" customFormat="1" ht="17.100000000000001">
      <c r="A75" s="184" t="s">
        <v>1412</v>
      </c>
      <c r="B75" s="189" t="s">
        <v>1413</v>
      </c>
      <c r="C75" s="184"/>
      <c r="D75" s="184" t="s">
        <v>1400</v>
      </c>
      <c r="E75" s="184" t="s">
        <v>1401</v>
      </c>
      <c r="F75" s="184"/>
      <c r="G75" s="184"/>
      <c r="H75" s="184"/>
      <c r="I75" s="184"/>
      <c r="J75" s="184"/>
      <c r="K75" s="184"/>
    </row>
    <row r="76" spans="1:35" ht="15.95" thickBot="1">
      <c r="A76" s="185"/>
      <c r="B76" s="185"/>
      <c r="C76" s="185"/>
      <c r="D76" s="185"/>
      <c r="E76" s="185"/>
      <c r="F76" s="185"/>
      <c r="G76" s="185"/>
      <c r="H76" s="185"/>
      <c r="I76" s="185"/>
      <c r="J76" s="185"/>
      <c r="K76" s="185"/>
      <c r="R76">
        <v>0</v>
      </c>
      <c r="S76">
        <v>4</v>
      </c>
      <c r="T76">
        <v>8</v>
      </c>
      <c r="U76">
        <v>12</v>
      </c>
      <c r="V76">
        <v>16</v>
      </c>
      <c r="W76">
        <v>20</v>
      </c>
      <c r="X76">
        <v>24</v>
      </c>
      <c r="Y76">
        <v>28</v>
      </c>
      <c r="Z76">
        <v>32</v>
      </c>
      <c r="AA76">
        <v>36</v>
      </c>
      <c r="AB76">
        <v>40</v>
      </c>
      <c r="AC76">
        <v>44</v>
      </c>
      <c r="AD76">
        <v>48</v>
      </c>
      <c r="AE76">
        <v>52</v>
      </c>
      <c r="AF76">
        <v>56</v>
      </c>
      <c r="AG76">
        <v>60</v>
      </c>
      <c r="AH76">
        <v>64</v>
      </c>
      <c r="AI76">
        <v>68</v>
      </c>
    </row>
    <row r="77" spans="1:35">
      <c r="A77" s="184" t="s">
        <v>1414</v>
      </c>
      <c r="B77" s="185"/>
      <c r="C77" s="185"/>
      <c r="D77" s="185"/>
      <c r="E77" s="185"/>
      <c r="F77" s="185"/>
      <c r="G77" s="185"/>
      <c r="H77" s="185"/>
      <c r="I77" s="185"/>
      <c r="J77" s="185"/>
      <c r="K77" s="185"/>
      <c r="N77" s="258" t="s">
        <v>1379</v>
      </c>
      <c r="O77" s="256">
        <f>MIN(N49:N64)</f>
        <v>36.849466323150537</v>
      </c>
      <c r="P77" t="s">
        <v>66</v>
      </c>
    </row>
    <row r="78" spans="1:35" ht="18" thickBot="1">
      <c r="A78" s="186" t="s">
        <v>111</v>
      </c>
      <c r="B78" s="187" t="s">
        <v>1415</v>
      </c>
      <c r="C78" s="185">
        <f>General!C63</f>
        <v>4.1594516540385147</v>
      </c>
      <c r="D78" s="185"/>
      <c r="E78" s="185" t="s">
        <v>1397</v>
      </c>
      <c r="F78" s="185"/>
      <c r="G78" s="185"/>
      <c r="H78" s="185"/>
      <c r="I78" s="185"/>
      <c r="J78" s="185"/>
      <c r="K78" s="185"/>
      <c r="N78" s="259" t="s">
        <v>1380</v>
      </c>
      <c r="O78" s="257">
        <f>MAX(N49:N64)</f>
        <v>39.094159713945174</v>
      </c>
      <c r="P78" t="s">
        <v>66</v>
      </c>
    </row>
    <row r="79" spans="1:35" ht="18">
      <c r="A79" s="186" t="s">
        <v>1416</v>
      </c>
      <c r="B79" s="187" t="s">
        <v>1417</v>
      </c>
      <c r="C79" s="185">
        <f>General!C62</f>
        <v>54.093668760770875</v>
      </c>
      <c r="D79" s="185" t="s">
        <v>1406</v>
      </c>
      <c r="E79" s="185" t="s">
        <v>1397</v>
      </c>
      <c r="F79" s="185"/>
      <c r="G79" s="185"/>
      <c r="H79" s="185"/>
      <c r="I79" s="185"/>
      <c r="J79" s="185"/>
      <c r="K79" s="185"/>
    </row>
    <row r="80" spans="1:35" ht="17.100000000000001">
      <c r="A80" s="186" t="s">
        <v>1282</v>
      </c>
      <c r="B80" s="187" t="s">
        <v>1418</v>
      </c>
      <c r="C80" s="185">
        <f>General!C70</f>
        <v>10.606601717798211</v>
      </c>
      <c r="D80" s="185" t="s">
        <v>66</v>
      </c>
      <c r="E80" s="185" t="s">
        <v>1397</v>
      </c>
      <c r="F80" s="185"/>
      <c r="G80" s="185"/>
      <c r="H80" s="185"/>
      <c r="I80" s="185"/>
      <c r="J80" s="185"/>
      <c r="K80" s="185"/>
    </row>
    <row r="81" spans="1:11">
      <c r="A81" s="186" t="s">
        <v>1419</v>
      </c>
      <c r="B81" s="220" t="s">
        <v>1420</v>
      </c>
      <c r="C81" s="185">
        <f>General!C66</f>
        <v>30</v>
      </c>
      <c r="D81" s="185"/>
      <c r="E81" s="185" t="s">
        <v>1397</v>
      </c>
      <c r="F81" s="185"/>
      <c r="G81" s="185"/>
      <c r="H81" s="185"/>
      <c r="I81" s="185"/>
      <c r="J81" s="185"/>
      <c r="K81" s="185"/>
    </row>
    <row r="82" spans="1:11" ht="18">
      <c r="A82" s="186" t="s">
        <v>115</v>
      </c>
      <c r="B82" s="187" t="s">
        <v>50</v>
      </c>
      <c r="C82" s="185">
        <f>General!C65</f>
        <v>9</v>
      </c>
      <c r="D82" s="185"/>
      <c r="E82" s="296" t="s">
        <v>1421</v>
      </c>
      <c r="F82" s="185"/>
      <c r="G82" s="185"/>
      <c r="H82" s="185"/>
      <c r="I82" s="185"/>
      <c r="J82" s="185"/>
      <c r="K82" s="185"/>
    </row>
    <row r="83" spans="1:11">
      <c r="A83" s="186" t="s">
        <v>1422</v>
      </c>
      <c r="B83" s="220" t="s">
        <v>1423</v>
      </c>
      <c r="C83" s="185">
        <f>General!C66</f>
        <v>30</v>
      </c>
      <c r="D83" s="219" t="s">
        <v>59</v>
      </c>
      <c r="E83" s="185" t="s">
        <v>1397</v>
      </c>
      <c r="F83" s="185"/>
      <c r="G83" s="185"/>
      <c r="H83" s="185"/>
      <c r="I83" s="185"/>
      <c r="J83" s="185"/>
      <c r="K83" s="185"/>
    </row>
    <row r="84" spans="1:11" ht="17.100000000000001">
      <c r="A84" s="186" t="s">
        <v>1424</v>
      </c>
      <c r="B84" s="220" t="s">
        <v>1425</v>
      </c>
      <c r="C84" s="185"/>
      <c r="D84" s="219"/>
      <c r="E84" s="185"/>
      <c r="F84" s="185"/>
      <c r="G84" s="185"/>
      <c r="H84" s="185"/>
      <c r="I84" s="185"/>
      <c r="J84" s="185"/>
      <c r="K84" s="185"/>
    </row>
    <row r="85" spans="1:11" ht="17.100000000000001">
      <c r="A85" s="184" t="s">
        <v>1426</v>
      </c>
      <c r="B85" s="189" t="s">
        <v>1427</v>
      </c>
      <c r="C85" s="184"/>
      <c r="D85" s="184" t="s">
        <v>1400</v>
      </c>
      <c r="E85" s="184" t="s">
        <v>1401</v>
      </c>
      <c r="F85" s="184"/>
      <c r="G85" s="184"/>
      <c r="H85" s="184"/>
      <c r="I85" s="184"/>
      <c r="J85" s="184"/>
      <c r="K85" s="184"/>
    </row>
    <row r="86" spans="1:11">
      <c r="A86" s="185"/>
      <c r="B86" s="185"/>
      <c r="C86" s="185"/>
      <c r="D86" s="185"/>
      <c r="E86" s="185"/>
      <c r="F86" s="185"/>
      <c r="G86" s="185"/>
      <c r="H86" s="185"/>
      <c r="I86" s="185"/>
      <c r="J86" s="185"/>
      <c r="K86" s="185"/>
    </row>
    <row r="87" spans="1:11">
      <c r="A87" s="184" t="s">
        <v>1428</v>
      </c>
      <c r="B87" s="185"/>
      <c r="C87" s="185"/>
      <c r="D87" s="185"/>
      <c r="E87" s="185"/>
      <c r="F87" s="185"/>
      <c r="G87" s="185"/>
      <c r="H87" s="185"/>
      <c r="I87" s="185"/>
      <c r="J87" s="185"/>
      <c r="K87" s="185"/>
    </row>
    <row r="88" spans="1:11" ht="17.100000000000001">
      <c r="A88" s="186" t="s">
        <v>1429</v>
      </c>
      <c r="B88" s="185" t="s">
        <v>1430</v>
      </c>
      <c r="C88" s="185"/>
      <c r="D88" s="185" t="s">
        <v>1431</v>
      </c>
      <c r="E88" s="185"/>
      <c r="F88" s="185"/>
      <c r="G88" s="185"/>
      <c r="H88" s="185"/>
      <c r="I88" s="185"/>
      <c r="J88" s="185"/>
      <c r="K88" s="185"/>
    </row>
    <row r="89" spans="1:11" ht="18">
      <c r="A89" s="186" t="s">
        <v>1432</v>
      </c>
      <c r="B89" s="185" t="s">
        <v>1433</v>
      </c>
      <c r="C89" s="185"/>
      <c r="D89" s="185" t="s">
        <v>1434</v>
      </c>
      <c r="E89" s="185"/>
      <c r="F89" s="185"/>
      <c r="G89" s="185"/>
      <c r="H89" s="185"/>
      <c r="I89" s="185"/>
      <c r="J89" s="185"/>
      <c r="K89" s="185"/>
    </row>
    <row r="90" spans="1:11">
      <c r="A90" s="186" t="s">
        <v>1435</v>
      </c>
      <c r="B90" s="185"/>
      <c r="C90" s="185"/>
      <c r="D90" s="185"/>
      <c r="E90" s="185"/>
      <c r="F90" s="185"/>
      <c r="G90" s="185"/>
      <c r="H90" s="185"/>
      <c r="I90" s="185"/>
      <c r="J90" s="185"/>
      <c r="K90" s="185"/>
    </row>
    <row r="91" spans="1:11" s="7" customFormat="1" ht="17.100000000000001">
      <c r="A91" s="184" t="s">
        <v>1436</v>
      </c>
      <c r="B91" s="184" t="s">
        <v>1437</v>
      </c>
      <c r="C91" s="184"/>
      <c r="D91" s="184" t="s">
        <v>1400</v>
      </c>
      <c r="E91" s="184"/>
      <c r="F91" s="184"/>
      <c r="G91" s="184"/>
      <c r="H91" s="184"/>
      <c r="I91" s="184"/>
      <c r="J91" s="184"/>
      <c r="K91" s="184"/>
    </row>
  </sheetData>
  <mergeCells count="17">
    <mergeCell ref="A45:K45"/>
    <mergeCell ref="M3:S3"/>
    <mergeCell ref="M16:W16"/>
    <mergeCell ref="M29:W29"/>
    <mergeCell ref="A1:K1"/>
    <mergeCell ref="A3:K3"/>
    <mergeCell ref="A16:K16"/>
    <mergeCell ref="A29:K29"/>
    <mergeCell ref="Q47:Q48"/>
    <mergeCell ref="A46:P46"/>
    <mergeCell ref="B47:C47"/>
    <mergeCell ref="D47:E47"/>
    <mergeCell ref="F47:G47"/>
    <mergeCell ref="H47:I47"/>
    <mergeCell ref="J47:K47"/>
    <mergeCell ref="L47:M47"/>
    <mergeCell ref="N47:P47"/>
  </mergeCells>
  <phoneticPr fontId="4"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3EF1E-67CC-4E3B-9054-7185FD9CF469}">
  <dimension ref="A1:I265"/>
  <sheetViews>
    <sheetView topLeftCell="A166" zoomScale="70" zoomScaleNormal="70" workbookViewId="0">
      <selection activeCell="E178" sqref="E178"/>
    </sheetView>
  </sheetViews>
  <sheetFormatPr defaultColWidth="8.42578125" defaultRowHeight="15"/>
  <cols>
    <col min="1" max="1" width="28.42578125" customWidth="1"/>
    <col min="2" max="2" width="13.42578125" bestFit="1" customWidth="1"/>
    <col min="3" max="3" width="13.42578125" style="31" bestFit="1" customWidth="1"/>
    <col min="4" max="4" width="11.42578125" customWidth="1"/>
    <col min="5" max="5" width="52.42578125" customWidth="1"/>
    <col min="7" max="9" width="11.42578125" bestFit="1" customWidth="1"/>
  </cols>
  <sheetData>
    <row r="1" spans="1:9">
      <c r="A1" s="362" t="s">
        <v>1438</v>
      </c>
      <c r="B1" s="362"/>
      <c r="C1" s="362"/>
      <c r="D1" s="362"/>
      <c r="E1" s="362"/>
    </row>
    <row r="3" spans="1:9">
      <c r="A3" s="362" t="s">
        <v>1439</v>
      </c>
      <c r="B3" s="362"/>
      <c r="C3" s="362"/>
      <c r="D3" s="362"/>
      <c r="E3" s="362"/>
      <c r="G3" s="362" t="s">
        <v>1440</v>
      </c>
      <c r="H3" s="362"/>
      <c r="I3" s="362"/>
    </row>
    <row r="4" spans="1:9">
      <c r="A4" s="7" t="s">
        <v>860</v>
      </c>
      <c r="B4" s="7" t="s">
        <v>861</v>
      </c>
      <c r="C4" s="144" t="s">
        <v>191</v>
      </c>
      <c r="D4" s="7" t="s">
        <v>367</v>
      </c>
      <c r="E4" s="7" t="s">
        <v>1178</v>
      </c>
      <c r="G4" s="268" t="s">
        <v>1441</v>
      </c>
      <c r="H4" s="269">
        <f>C173</f>
        <v>0.24103036751228346</v>
      </c>
      <c r="I4" s="270" t="str">
        <f>IF(H4&gt;0, "BALANCED", "UNBALANCED")</f>
        <v>BALANCED</v>
      </c>
    </row>
    <row r="5" spans="1:9">
      <c r="A5" s="69" t="s">
        <v>1442</v>
      </c>
      <c r="B5" s="69" t="s">
        <v>1442</v>
      </c>
      <c r="C5" s="76">
        <f>General!C7</f>
        <v>18875</v>
      </c>
      <c r="D5" s="69" t="s">
        <v>14</v>
      </c>
      <c r="E5" s="69"/>
      <c r="G5" s="25" t="s">
        <v>1443</v>
      </c>
      <c r="H5" s="204">
        <f>C170</f>
        <v>-1.8285035186226165E-2</v>
      </c>
      <c r="I5" s="25" t="str">
        <f>E170</f>
        <v>STABLE</v>
      </c>
    </row>
    <row r="6" spans="1:9">
      <c r="A6" s="69" t="s">
        <v>871</v>
      </c>
      <c r="B6" s="69" t="s">
        <v>1444</v>
      </c>
      <c r="C6" s="76">
        <f>General!C108</f>
        <v>15000</v>
      </c>
      <c r="D6" s="69" t="s">
        <v>66</v>
      </c>
      <c r="E6" s="69"/>
      <c r="G6" s="25" t="s">
        <v>1445</v>
      </c>
      <c r="H6" s="204">
        <f>C208</f>
        <v>-7.8696974452581291E-3</v>
      </c>
      <c r="I6" s="25" t="str">
        <f>E208</f>
        <v>STABLE</v>
      </c>
    </row>
    <row r="7" spans="1:9">
      <c r="A7" s="69" t="s">
        <v>1057</v>
      </c>
      <c r="B7" s="69" t="s">
        <v>1057</v>
      </c>
      <c r="C7" s="47">
        <f>Drag!C7</f>
        <v>315.15837293915064</v>
      </c>
      <c r="D7" s="69" t="s">
        <v>596</v>
      </c>
      <c r="E7" s="69"/>
      <c r="G7" s="25" t="s">
        <v>1446</v>
      </c>
      <c r="H7" s="204">
        <f>C239</f>
        <v>2.3470481334407168E-3</v>
      </c>
      <c r="I7" s="204" t="str">
        <f>E239</f>
        <v>STABLE</v>
      </c>
    </row>
    <row r="8" spans="1:9">
      <c r="A8" s="69" t="s">
        <v>1057</v>
      </c>
      <c r="B8" s="69" t="s">
        <v>1057</v>
      </c>
      <c r="C8" s="47">
        <f>C7*1.69</f>
        <v>532.61765026716455</v>
      </c>
      <c r="D8" s="69" t="s">
        <v>183</v>
      </c>
      <c r="E8" s="69"/>
      <c r="G8" s="25" t="s">
        <v>1447</v>
      </c>
      <c r="H8" s="204">
        <f>C264</f>
        <v>-1.688489787705487E-3</v>
      </c>
      <c r="I8" s="204" t="str">
        <f>E264</f>
        <v>STABLE</v>
      </c>
    </row>
    <row r="9" spans="1:9">
      <c r="A9" s="69" t="s">
        <v>1448</v>
      </c>
      <c r="B9" s="69" t="s">
        <v>1448</v>
      </c>
      <c r="C9" s="47">
        <f>1.195*10^3</f>
        <v>1195</v>
      </c>
      <c r="D9" s="69" t="s">
        <v>158</v>
      </c>
      <c r="E9" s="69"/>
    </row>
    <row r="10" spans="1:9">
      <c r="A10" s="69" t="s">
        <v>1449</v>
      </c>
      <c r="B10" s="69" t="s">
        <v>1450</v>
      </c>
      <c r="C10" s="47">
        <v>465.2</v>
      </c>
      <c r="D10" s="69" t="s">
        <v>1451</v>
      </c>
      <c r="E10" s="69"/>
    </row>
    <row r="11" spans="1:9">
      <c r="A11" s="69" t="s">
        <v>1452</v>
      </c>
      <c r="B11" s="69" t="s">
        <v>587</v>
      </c>
      <c r="C11" s="47">
        <v>1716.46</v>
      </c>
      <c r="D11" s="69" t="s">
        <v>1453</v>
      </c>
      <c r="E11" s="69"/>
    </row>
    <row r="12" spans="1:9">
      <c r="A12" s="69" t="s">
        <v>530</v>
      </c>
      <c r="B12" s="69" t="s">
        <v>530</v>
      </c>
      <c r="C12" s="64">
        <f>C9/(C11*C10)</f>
        <v>1.4965613053777652E-3</v>
      </c>
      <c r="D12" s="69" t="s">
        <v>1454</v>
      </c>
      <c r="E12" s="69"/>
    </row>
    <row r="13" spans="1:9">
      <c r="A13" s="69" t="s">
        <v>1455</v>
      </c>
      <c r="B13" s="69" t="s">
        <v>1456</v>
      </c>
      <c r="C13" s="63">
        <f>C96</f>
        <v>0.25700737698947695</v>
      </c>
      <c r="D13" s="69"/>
      <c r="E13" s="69" t="s">
        <v>1457</v>
      </c>
    </row>
    <row r="14" spans="1:9">
      <c r="A14" s="69"/>
      <c r="B14" s="69" t="s">
        <v>1458</v>
      </c>
      <c r="C14" s="64">
        <f>0.2293*10^(-3)</f>
        <v>2.2930000000000002E-4</v>
      </c>
      <c r="D14" s="69" t="s">
        <v>894</v>
      </c>
      <c r="E14" s="69" t="s">
        <v>1459</v>
      </c>
    </row>
    <row r="15" spans="1:9">
      <c r="A15" s="69"/>
      <c r="B15" s="69" t="s">
        <v>614</v>
      </c>
      <c r="C15" s="47">
        <f>0.5*C12*C8^2</f>
        <v>212.27342390232107</v>
      </c>
      <c r="D15" s="69"/>
      <c r="E15" s="69"/>
    </row>
    <row r="16" spans="1:9">
      <c r="A16" s="69" t="s">
        <v>539</v>
      </c>
      <c r="B16" s="69" t="s">
        <v>1460</v>
      </c>
      <c r="C16" s="47">
        <f>SQRT(1.4*C11*C10)</f>
        <v>1057.3060431114541</v>
      </c>
      <c r="D16" s="69" t="s">
        <v>183</v>
      </c>
      <c r="E16" s="69"/>
    </row>
    <row r="17" spans="1:5">
      <c r="A17" s="69" t="s">
        <v>1461</v>
      </c>
      <c r="B17" s="69" t="s">
        <v>1461</v>
      </c>
      <c r="C17" s="47">
        <f>C8/C16</f>
        <v>0.50374974562688624</v>
      </c>
      <c r="D17" s="69"/>
      <c r="E17" s="69"/>
    </row>
    <row r="18" spans="1:5">
      <c r="A18" s="69" t="s">
        <v>1462</v>
      </c>
      <c r="B18" s="69" t="s">
        <v>1463</v>
      </c>
      <c r="C18" s="47">
        <f>SQRT(1-C17^2)</f>
        <v>0.86384963609464316</v>
      </c>
      <c r="D18" s="69"/>
      <c r="E18" s="69"/>
    </row>
    <row r="19" spans="1:5">
      <c r="A19" s="69"/>
      <c r="B19" s="69"/>
      <c r="C19" s="69"/>
      <c r="D19" s="69"/>
      <c r="E19" s="69"/>
    </row>
    <row r="20" spans="1:5">
      <c r="A20" s="69"/>
      <c r="B20" s="69"/>
      <c r="C20" s="69"/>
      <c r="D20" s="69"/>
      <c r="E20" s="69"/>
    </row>
    <row r="21" spans="1:5">
      <c r="A21" s="363" t="s">
        <v>1464</v>
      </c>
      <c r="B21" s="363"/>
      <c r="C21" s="363"/>
      <c r="D21" s="363"/>
      <c r="E21" s="363"/>
    </row>
    <row r="22" spans="1:5">
      <c r="A22" s="79" t="s">
        <v>860</v>
      </c>
      <c r="B22" s="79" t="s">
        <v>861</v>
      </c>
      <c r="C22" s="79" t="s">
        <v>191</v>
      </c>
      <c r="D22" s="79" t="s">
        <v>367</v>
      </c>
      <c r="E22" s="79" t="s">
        <v>1178</v>
      </c>
    </row>
    <row r="23" spans="1:5">
      <c r="A23" s="69"/>
      <c r="B23" s="69" t="s">
        <v>1465</v>
      </c>
      <c r="C23" s="47">
        <f>Geometry!C58</f>
        <v>35</v>
      </c>
      <c r="D23" s="69"/>
      <c r="E23" s="69" t="s">
        <v>1466</v>
      </c>
    </row>
    <row r="24" spans="1:5">
      <c r="A24" s="69"/>
      <c r="B24" s="69" t="s">
        <v>1467</v>
      </c>
      <c r="C24" s="63">
        <v>-1.97</v>
      </c>
      <c r="D24" s="69"/>
      <c r="E24" s="69" t="s">
        <v>1466</v>
      </c>
    </row>
    <row r="25" spans="1:5">
      <c r="A25" s="69"/>
      <c r="B25" s="69" t="s">
        <v>1468</v>
      </c>
      <c r="C25" s="63">
        <f>Geometry!C69</f>
        <v>-1.704884253767885</v>
      </c>
      <c r="D25" s="69"/>
      <c r="E25" s="69" t="s">
        <v>489</v>
      </c>
    </row>
    <row r="26" spans="1:5">
      <c r="A26" s="69"/>
      <c r="B26" s="69" t="s">
        <v>1469</v>
      </c>
      <c r="C26" s="47">
        <f>Geometry!C59</f>
        <v>59</v>
      </c>
      <c r="D26" s="69"/>
      <c r="E26" s="69" t="s">
        <v>1470</v>
      </c>
    </row>
    <row r="27" spans="1:5">
      <c r="A27" s="69"/>
      <c r="B27" s="69" t="s">
        <v>1471</v>
      </c>
      <c r="C27" s="63">
        <v>2.74</v>
      </c>
      <c r="D27" s="69"/>
      <c r="E27" s="69" t="s">
        <v>1470</v>
      </c>
    </row>
    <row r="28" spans="1:5">
      <c r="A28" s="69"/>
      <c r="B28" s="69" t="s">
        <v>1472</v>
      </c>
      <c r="C28" s="63">
        <f>Geometry!C70</f>
        <v>-5</v>
      </c>
      <c r="D28" s="69"/>
      <c r="E28" s="69" t="s">
        <v>492</v>
      </c>
    </row>
    <row r="29" spans="1:5">
      <c r="A29" s="69"/>
      <c r="B29" s="69" t="s">
        <v>1473</v>
      </c>
      <c r="C29" s="47">
        <f>C26</f>
        <v>59</v>
      </c>
      <c r="D29" s="69"/>
      <c r="E29" s="69" t="s">
        <v>1474</v>
      </c>
    </row>
    <row r="30" spans="1:5">
      <c r="A30" s="69"/>
      <c r="B30" s="69" t="s">
        <v>1475</v>
      </c>
      <c r="C30" s="47">
        <f>C27</f>
        <v>2.74</v>
      </c>
      <c r="D30" s="69"/>
      <c r="E30" s="69" t="s">
        <v>1474</v>
      </c>
    </row>
    <row r="31" spans="1:5">
      <c r="A31" s="69"/>
      <c r="B31" s="69" t="s">
        <v>1476</v>
      </c>
      <c r="C31" s="63">
        <v>9</v>
      </c>
      <c r="D31" s="69"/>
      <c r="E31" s="69" t="s">
        <v>1477</v>
      </c>
    </row>
    <row r="32" spans="1:5">
      <c r="A32" s="69"/>
      <c r="B32" s="69"/>
      <c r="C32" s="69"/>
      <c r="D32" s="69"/>
      <c r="E32" s="69"/>
    </row>
    <row r="33" spans="1:5">
      <c r="A33" s="69"/>
      <c r="B33" s="69"/>
      <c r="C33" s="69"/>
      <c r="D33" s="69"/>
      <c r="E33" s="69"/>
    </row>
    <row r="34" spans="1:5">
      <c r="A34" s="363" t="s">
        <v>1478</v>
      </c>
      <c r="B34" s="363"/>
      <c r="C34" s="363"/>
      <c r="D34" s="363"/>
      <c r="E34" s="363"/>
    </row>
    <row r="35" spans="1:5">
      <c r="A35" s="79" t="s">
        <v>860</v>
      </c>
      <c r="B35" s="79" t="s">
        <v>861</v>
      </c>
      <c r="C35" s="79" t="s">
        <v>191</v>
      </c>
      <c r="D35" s="79" t="s">
        <v>367</v>
      </c>
      <c r="E35" s="79" t="s">
        <v>1178</v>
      </c>
    </row>
    <row r="36" spans="1:5">
      <c r="A36" s="69" t="s">
        <v>1479</v>
      </c>
      <c r="B36" s="69" t="s">
        <v>1480</v>
      </c>
      <c r="C36" s="47">
        <f>Geometry!C18</f>
        <v>10</v>
      </c>
      <c r="D36" s="69"/>
      <c r="E36" s="69" t="s">
        <v>1481</v>
      </c>
    </row>
    <row r="37" spans="1:5">
      <c r="A37" s="69" t="s">
        <v>1482</v>
      </c>
      <c r="B37" s="69" t="s">
        <v>1483</v>
      </c>
      <c r="C37" s="47">
        <f>Geometry!C19</f>
        <v>3.8</v>
      </c>
      <c r="D37" s="69"/>
      <c r="E37" s="69" t="s">
        <v>1484</v>
      </c>
    </row>
    <row r="38" spans="1:5">
      <c r="A38" s="69" t="s">
        <v>1485</v>
      </c>
      <c r="B38" s="69"/>
      <c r="C38" s="47">
        <f>Geometry!C21/2</f>
        <v>34.5</v>
      </c>
      <c r="D38" s="69"/>
      <c r="E38" s="69" t="s">
        <v>1486</v>
      </c>
    </row>
    <row r="39" spans="1:5">
      <c r="A39" s="69" t="s">
        <v>1487</v>
      </c>
      <c r="B39" s="69"/>
      <c r="C39" s="47">
        <f>C38-Geometry!C64/2</f>
        <v>30.583334999999998</v>
      </c>
      <c r="D39" s="69"/>
      <c r="E39" s="69" t="s">
        <v>1488</v>
      </c>
    </row>
    <row r="40" spans="1:5">
      <c r="A40" s="69" t="s">
        <v>1489</v>
      </c>
      <c r="B40" s="69"/>
      <c r="C40" s="47">
        <f>Geometry!C9</f>
        <v>10</v>
      </c>
      <c r="D40" s="69" t="s">
        <v>490</v>
      </c>
      <c r="E40" s="69" t="s">
        <v>1490</v>
      </c>
    </row>
    <row r="41" spans="1:5">
      <c r="A41" s="69" t="s">
        <v>1491</v>
      </c>
      <c r="B41" s="69"/>
      <c r="C41" s="63">
        <v>0</v>
      </c>
      <c r="D41" s="69" t="s">
        <v>490</v>
      </c>
      <c r="E41" s="69" t="s">
        <v>1492</v>
      </c>
    </row>
    <row r="42" spans="1:5">
      <c r="A42" s="69" t="s">
        <v>1493</v>
      </c>
      <c r="B42" s="69"/>
      <c r="C42" s="63">
        <v>0</v>
      </c>
      <c r="D42" s="69" t="s">
        <v>490</v>
      </c>
      <c r="E42" s="69" t="s">
        <v>1494</v>
      </c>
    </row>
    <row r="43" spans="1:5">
      <c r="A43" s="69" t="s">
        <v>1495</v>
      </c>
      <c r="B43" s="238" t="s">
        <v>1496</v>
      </c>
      <c r="C43" s="47">
        <f>Geometry!C24</f>
        <v>3</v>
      </c>
      <c r="D43" s="69" t="s">
        <v>490</v>
      </c>
      <c r="E43" s="69" t="s">
        <v>1497</v>
      </c>
    </row>
    <row r="44" spans="1:5">
      <c r="A44" s="69"/>
      <c r="B44" s="69"/>
      <c r="C44" s="69"/>
      <c r="D44" s="69"/>
      <c r="E44" s="69"/>
    </row>
    <row r="45" spans="1:5">
      <c r="A45" s="69"/>
      <c r="B45" s="69"/>
      <c r="C45" s="69"/>
      <c r="D45" s="69"/>
      <c r="E45" s="69"/>
    </row>
    <row r="46" spans="1:5">
      <c r="A46" s="363" t="s">
        <v>1498</v>
      </c>
      <c r="B46" s="363"/>
      <c r="C46" s="363"/>
      <c r="D46" s="363"/>
      <c r="E46" s="363"/>
    </row>
    <row r="47" spans="1:5">
      <c r="A47" s="79" t="s">
        <v>860</v>
      </c>
      <c r="B47" s="79" t="s">
        <v>861</v>
      </c>
      <c r="C47" s="79" t="s">
        <v>191</v>
      </c>
      <c r="D47" s="79" t="s">
        <v>367</v>
      </c>
      <c r="E47" s="79" t="s">
        <v>1178</v>
      </c>
    </row>
    <row r="48" spans="1:5">
      <c r="A48" s="69" t="s">
        <v>1479</v>
      </c>
      <c r="B48" s="69" t="s">
        <v>1499</v>
      </c>
      <c r="C48" s="47">
        <f>General!C54</f>
        <v>5.9</v>
      </c>
      <c r="D48" s="69"/>
      <c r="E48" s="69"/>
    </row>
    <row r="49" spans="1:5">
      <c r="A49" s="69" t="s">
        <v>1482</v>
      </c>
      <c r="B49" s="69" t="s">
        <v>1500</v>
      </c>
      <c r="C49" s="47">
        <f>General!C55</f>
        <v>4.3</v>
      </c>
      <c r="D49" s="69"/>
      <c r="E49" s="69"/>
    </row>
    <row r="50" spans="1:5">
      <c r="A50" s="69" t="s">
        <v>1485</v>
      </c>
      <c r="B50" s="69" t="s">
        <v>1501</v>
      </c>
      <c r="C50" s="47">
        <f>Geometry!C38/2</f>
        <v>10.606601717798211</v>
      </c>
      <c r="D50" s="69"/>
      <c r="E50" s="69"/>
    </row>
    <row r="51" spans="1:5">
      <c r="A51" s="69" t="s">
        <v>1487</v>
      </c>
      <c r="B51" s="69" t="s">
        <v>1502</v>
      </c>
      <c r="C51" s="47"/>
      <c r="D51" s="69"/>
      <c r="E51" s="69"/>
    </row>
    <row r="52" spans="1:5">
      <c r="A52" s="69" t="s">
        <v>1489</v>
      </c>
      <c r="B52" s="69" t="s">
        <v>1503</v>
      </c>
      <c r="C52" s="47">
        <f>Geometry!C33</f>
        <v>30</v>
      </c>
      <c r="D52" s="69"/>
      <c r="E52" s="69"/>
    </row>
    <row r="53" spans="1:5">
      <c r="A53" s="69" t="s">
        <v>1491</v>
      </c>
      <c r="B53" s="69" t="s">
        <v>1504</v>
      </c>
      <c r="C53" s="47"/>
      <c r="D53" s="69"/>
      <c r="E53" s="69"/>
    </row>
    <row r="54" spans="1:5">
      <c r="A54" s="69" t="s">
        <v>1493</v>
      </c>
      <c r="B54" s="69" t="s">
        <v>1505</v>
      </c>
      <c r="C54" s="47"/>
      <c r="D54" s="69"/>
      <c r="E54" s="69"/>
    </row>
    <row r="55" spans="1:5">
      <c r="A55" s="69" t="s">
        <v>1495</v>
      </c>
      <c r="B55" s="69" t="s">
        <v>1506</v>
      </c>
      <c r="C55" s="47"/>
      <c r="D55" s="69"/>
      <c r="E55" s="69"/>
    </row>
    <row r="56" spans="1:5">
      <c r="A56" s="69"/>
      <c r="B56" s="69"/>
      <c r="C56" s="69"/>
      <c r="D56" s="69"/>
      <c r="E56" s="69"/>
    </row>
    <row r="57" spans="1:5">
      <c r="A57" s="69"/>
      <c r="B57" s="69"/>
      <c r="C57" s="69"/>
      <c r="D57" s="69"/>
      <c r="E57" s="69"/>
    </row>
    <row r="58" spans="1:5">
      <c r="A58" s="363" t="s">
        <v>1507</v>
      </c>
      <c r="B58" s="363"/>
      <c r="C58" s="363"/>
      <c r="D58" s="363"/>
      <c r="E58" s="363"/>
    </row>
    <row r="59" spans="1:5">
      <c r="A59" s="79" t="s">
        <v>860</v>
      </c>
      <c r="B59" s="79" t="s">
        <v>861</v>
      </c>
      <c r="C59" s="79" t="s">
        <v>191</v>
      </c>
      <c r="D59" s="79" t="s">
        <v>367</v>
      </c>
      <c r="E59" s="79" t="s">
        <v>1178</v>
      </c>
    </row>
    <row r="60" spans="1:5">
      <c r="A60" s="69" t="s">
        <v>1479</v>
      </c>
      <c r="B60" s="69" t="s">
        <v>1508</v>
      </c>
      <c r="C60" s="47">
        <f>General!C68</f>
        <v>5.9</v>
      </c>
      <c r="D60" s="69"/>
      <c r="E60" s="69"/>
    </row>
    <row r="61" spans="1:5">
      <c r="A61" s="69" t="s">
        <v>1482</v>
      </c>
      <c r="B61" s="69" t="s">
        <v>1509</v>
      </c>
      <c r="C61" s="47">
        <f>General!C69</f>
        <v>4.3</v>
      </c>
      <c r="D61" s="69"/>
      <c r="E61" s="69"/>
    </row>
    <row r="62" spans="1:5">
      <c r="A62" s="69" t="s">
        <v>1485</v>
      </c>
      <c r="B62" s="69" t="s">
        <v>1510</v>
      </c>
      <c r="C62" s="47">
        <f>General!C70/2</f>
        <v>5.3033008588991057</v>
      </c>
      <c r="D62" s="69"/>
      <c r="E62" s="69"/>
    </row>
    <row r="63" spans="1:5">
      <c r="A63" s="69" t="s">
        <v>1487</v>
      </c>
      <c r="B63" s="69" t="s">
        <v>1511</v>
      </c>
      <c r="C63" s="47"/>
      <c r="D63" s="69"/>
      <c r="E63" s="69"/>
    </row>
    <row r="64" spans="1:5">
      <c r="A64" s="69" t="s">
        <v>1489</v>
      </c>
      <c r="B64" s="69" t="s">
        <v>1512</v>
      </c>
      <c r="C64" s="47">
        <f>Geometry!C49</f>
        <v>30</v>
      </c>
      <c r="D64" s="69"/>
      <c r="E64" s="69"/>
    </row>
    <row r="65" spans="1:5">
      <c r="A65" s="69" t="s">
        <v>1491</v>
      </c>
      <c r="B65" s="69" t="s">
        <v>1513</v>
      </c>
      <c r="C65" s="47"/>
      <c r="D65" s="69"/>
      <c r="E65" s="69"/>
    </row>
    <row r="66" spans="1:5">
      <c r="A66" s="69"/>
      <c r="B66" s="69"/>
      <c r="C66" s="69"/>
      <c r="D66" s="69"/>
      <c r="E66" s="69"/>
    </row>
    <row r="67" spans="1:5">
      <c r="A67" s="69"/>
      <c r="B67" s="69"/>
      <c r="C67" s="69"/>
      <c r="D67" s="69"/>
      <c r="E67" s="69"/>
    </row>
    <row r="68" spans="1:5">
      <c r="A68" s="363" t="s">
        <v>1514</v>
      </c>
      <c r="B68" s="363"/>
      <c r="C68" s="363"/>
      <c r="D68" s="363"/>
      <c r="E68" s="363"/>
    </row>
    <row r="69" spans="1:5">
      <c r="A69" s="69"/>
      <c r="B69" s="69"/>
      <c r="C69" s="69"/>
      <c r="D69" s="69"/>
      <c r="E69" s="69"/>
    </row>
    <row r="70" spans="1:5">
      <c r="A70" s="364" t="s">
        <v>1297</v>
      </c>
      <c r="B70" s="364"/>
      <c r="C70" s="364"/>
      <c r="D70" s="364"/>
      <c r="E70" s="364"/>
    </row>
    <row r="71" spans="1:5">
      <c r="A71" s="79" t="s">
        <v>860</v>
      </c>
      <c r="B71" s="79" t="s">
        <v>861</v>
      </c>
      <c r="C71" s="79" t="s">
        <v>191</v>
      </c>
      <c r="D71" s="79" t="s">
        <v>367</v>
      </c>
      <c r="E71" s="79" t="s">
        <v>1178</v>
      </c>
    </row>
    <row r="72" spans="1:5">
      <c r="A72" s="69" t="s">
        <v>1479</v>
      </c>
      <c r="B72" s="69" t="s">
        <v>1515</v>
      </c>
      <c r="C72" s="47">
        <f>C36</f>
        <v>10</v>
      </c>
      <c r="D72" s="69"/>
      <c r="E72" s="69"/>
    </row>
    <row r="73" spans="1:5">
      <c r="A73" s="69" t="s">
        <v>1482</v>
      </c>
      <c r="B73" s="69" t="s">
        <v>1516</v>
      </c>
      <c r="C73" s="47">
        <f>C37</f>
        <v>3.8</v>
      </c>
      <c r="D73" s="69"/>
      <c r="E73" s="69"/>
    </row>
    <row r="74" spans="1:5">
      <c r="A74" s="69" t="s">
        <v>1517</v>
      </c>
      <c r="B74" s="238" t="s">
        <v>1518</v>
      </c>
      <c r="C74" s="47">
        <f>C40</f>
        <v>10</v>
      </c>
      <c r="D74" s="69"/>
      <c r="E74" s="69"/>
    </row>
    <row r="75" spans="1:5">
      <c r="A75" s="69" t="s">
        <v>478</v>
      </c>
      <c r="B75" s="238" t="s">
        <v>1496</v>
      </c>
      <c r="C75" s="47">
        <f>C43</f>
        <v>3</v>
      </c>
      <c r="D75" s="69"/>
      <c r="E75" s="69"/>
    </row>
    <row r="76" spans="1:5">
      <c r="A76" s="69" t="s">
        <v>1519</v>
      </c>
      <c r="B76" s="69" t="s">
        <v>1520</v>
      </c>
      <c r="C76" s="47">
        <f>C38*2</f>
        <v>69</v>
      </c>
      <c r="D76" s="69"/>
      <c r="E76" s="69"/>
    </row>
    <row r="77" spans="1:5">
      <c r="A77" s="69" t="s">
        <v>1521</v>
      </c>
      <c r="B77" s="69" t="s">
        <v>1522</v>
      </c>
      <c r="C77" s="47">
        <f>C25</f>
        <v>-1.704884253767885</v>
      </c>
      <c r="D77" s="69"/>
      <c r="E77" s="69"/>
    </row>
    <row r="78" spans="1:5">
      <c r="A78" s="69" t="s">
        <v>1523</v>
      </c>
      <c r="B78" s="69" t="s">
        <v>1524</v>
      </c>
      <c r="C78" s="63">
        <f>0.106</f>
        <v>0.106</v>
      </c>
      <c r="D78" s="69" t="s">
        <v>479</v>
      </c>
      <c r="E78" s="69"/>
    </row>
    <row r="79" spans="1:5">
      <c r="A79" s="69"/>
      <c r="B79" s="69" t="s">
        <v>1525</v>
      </c>
      <c r="C79" s="47">
        <f>DEGREES(C78)</f>
        <v>6.0733526283867256</v>
      </c>
      <c r="D79" s="69"/>
      <c r="E79" s="69"/>
    </row>
    <row r="80" spans="1:5">
      <c r="A80" s="69"/>
      <c r="B80" s="69" t="s">
        <v>155</v>
      </c>
      <c r="C80" s="47">
        <f>C79/(2*PI())</f>
        <v>0.96660409194790231</v>
      </c>
      <c r="D80" s="69"/>
      <c r="E80" s="69"/>
    </row>
    <row r="81" spans="1:5">
      <c r="A81" s="69" t="s">
        <v>1526</v>
      </c>
      <c r="B81" s="69" t="s">
        <v>1527</v>
      </c>
      <c r="C81" s="63">
        <v>0.245</v>
      </c>
      <c r="D81" s="69"/>
      <c r="E81" s="69"/>
    </row>
    <row r="82" spans="1:5">
      <c r="A82" s="69" t="s">
        <v>1528</v>
      </c>
      <c r="B82" s="69" t="s">
        <v>1529</v>
      </c>
      <c r="C82" s="63">
        <v>-9.2999999999999999E-2</v>
      </c>
      <c r="D82" s="69"/>
      <c r="E82" s="69" t="s">
        <v>1530</v>
      </c>
    </row>
    <row r="83" spans="1:5">
      <c r="A83" s="69" t="s">
        <v>308</v>
      </c>
      <c r="B83" s="69" t="s">
        <v>1531</v>
      </c>
      <c r="C83" s="47">
        <f>C76*2/(C72+C73)</f>
        <v>10</v>
      </c>
      <c r="D83" s="69"/>
      <c r="E83" s="69"/>
    </row>
    <row r="84" spans="1:5">
      <c r="A84" s="69" t="s">
        <v>904</v>
      </c>
      <c r="B84" s="238" t="s">
        <v>1532</v>
      </c>
      <c r="C84" s="47">
        <f>C73/C72</f>
        <v>0.38</v>
      </c>
      <c r="D84" s="69"/>
      <c r="E84" s="69"/>
    </row>
    <row r="85" spans="1:5">
      <c r="A85" s="69" t="s">
        <v>1533</v>
      </c>
      <c r="B85" s="238" t="s">
        <v>1534</v>
      </c>
      <c r="C85" s="47">
        <f>DEGREES(ATAN((TAN(RADIANS(C74))-(4*0.5*(1-C84))/(C83*(1+C84)))))</f>
        <v>4.9421816472223483</v>
      </c>
      <c r="D85" s="69" t="s">
        <v>479</v>
      </c>
      <c r="E85" s="69"/>
    </row>
    <row r="86" spans="1:5">
      <c r="A86" s="69" t="s">
        <v>1535</v>
      </c>
      <c r="B86" s="238" t="s">
        <v>1536</v>
      </c>
      <c r="C86" s="47">
        <f>2*PI()*C83/(2+SQRT((C18*C83/C80)^2*(1+((TAN(RADIANS(C85))^2)/(C18^2)))+4))</f>
        <v>5.6091854256705833</v>
      </c>
      <c r="D86" s="69" t="s">
        <v>167</v>
      </c>
      <c r="E86" s="69"/>
    </row>
    <row r="87" spans="1:5">
      <c r="A87" s="69"/>
      <c r="B87" s="238" t="s">
        <v>1537</v>
      </c>
      <c r="C87" s="47">
        <f>RADIANS(C86)</f>
        <v>9.7898754032831339E-2</v>
      </c>
      <c r="D87" s="69" t="s">
        <v>1538</v>
      </c>
      <c r="E87" s="69" t="s">
        <v>1539</v>
      </c>
    </row>
    <row r="88" spans="1:5">
      <c r="A88" s="69" t="s">
        <v>1540</v>
      </c>
      <c r="B88" s="69" t="s">
        <v>1541</v>
      </c>
      <c r="C88" s="47">
        <f>(2/3)*C72*((1+C84+C84^2)/(1+C84))</f>
        <v>7.3642512077294677</v>
      </c>
      <c r="D88" s="69" t="s">
        <v>66</v>
      </c>
      <c r="E88" s="69"/>
    </row>
    <row r="89" spans="1:5">
      <c r="A89" s="69" t="s">
        <v>1542</v>
      </c>
      <c r="B89" s="69" t="s">
        <v>1543</v>
      </c>
      <c r="C89" s="47">
        <f>(C76/6)*(1+2*C84)/(1+C84)</f>
        <v>14.666666666666666</v>
      </c>
      <c r="D89" s="69" t="s">
        <v>66</v>
      </c>
      <c r="E89" s="69"/>
    </row>
    <row r="90" spans="1:5">
      <c r="A90" s="69" t="s">
        <v>1544</v>
      </c>
      <c r="B90" s="69" t="s">
        <v>1545</v>
      </c>
      <c r="C90" s="47">
        <f>C89*TAN(RADIANS(C74))</f>
        <v>2.5861290503908196</v>
      </c>
      <c r="D90" s="69" t="s">
        <v>66</v>
      </c>
      <c r="E90" s="69"/>
    </row>
    <row r="91" spans="1:5">
      <c r="A91" s="69" t="s">
        <v>43</v>
      </c>
      <c r="B91" s="69" t="s">
        <v>1546</v>
      </c>
      <c r="C91" s="47">
        <f>C76^2/C83</f>
        <v>476.1</v>
      </c>
      <c r="D91" s="69" t="s">
        <v>196</v>
      </c>
      <c r="E91" s="69"/>
    </row>
    <row r="92" spans="1:5">
      <c r="A92" s="69"/>
      <c r="B92" s="69" t="s">
        <v>1547</v>
      </c>
      <c r="C92" s="63">
        <v>0.98499999999999999</v>
      </c>
      <c r="D92" s="69"/>
      <c r="E92" s="69" t="s">
        <v>1548</v>
      </c>
    </row>
    <row r="93" spans="1:5">
      <c r="A93" s="69"/>
      <c r="B93" s="69"/>
      <c r="C93" s="69"/>
      <c r="D93" s="69"/>
      <c r="E93" s="69"/>
    </row>
    <row r="94" spans="1:5">
      <c r="A94" s="69" t="s">
        <v>1549</v>
      </c>
      <c r="B94" s="69" t="s">
        <v>1550</v>
      </c>
      <c r="C94" s="47">
        <f>C95-C23</f>
        <v>1.8926668863901384</v>
      </c>
      <c r="D94" s="69" t="s">
        <v>66</v>
      </c>
      <c r="E94" s="69"/>
    </row>
    <row r="95" spans="1:5">
      <c r="A95" s="69" t="s">
        <v>1551</v>
      </c>
      <c r="B95" s="69" t="s">
        <v>289</v>
      </c>
      <c r="C95" s="63">
        <f>Weight!AO30</f>
        <v>36.892666886390138</v>
      </c>
      <c r="D95" s="69" t="s">
        <v>66</v>
      </c>
      <c r="E95" s="69"/>
    </row>
    <row r="96" spans="1:5">
      <c r="A96" s="69" t="s">
        <v>1552</v>
      </c>
      <c r="B96" s="69" t="s">
        <v>1553</v>
      </c>
      <c r="C96" s="47">
        <f>C94/C88</f>
        <v>0.25700737698947695</v>
      </c>
      <c r="D96" s="69" t="s">
        <v>1554</v>
      </c>
      <c r="E96" s="69" t="s">
        <v>1555</v>
      </c>
    </row>
    <row r="97" spans="1:5">
      <c r="A97" s="69"/>
      <c r="B97" s="69"/>
      <c r="C97" s="69"/>
      <c r="D97" s="69"/>
      <c r="E97" s="69"/>
    </row>
    <row r="98" spans="1:5">
      <c r="A98" s="364" t="s">
        <v>1556</v>
      </c>
      <c r="B98" s="364"/>
      <c r="C98" s="364"/>
      <c r="D98" s="364"/>
      <c r="E98" s="364"/>
    </row>
    <row r="99" spans="1:5">
      <c r="A99" s="79" t="s">
        <v>860</v>
      </c>
      <c r="B99" s="79" t="s">
        <v>861</v>
      </c>
      <c r="C99" s="79" t="s">
        <v>191</v>
      </c>
      <c r="D99" s="79" t="s">
        <v>367</v>
      </c>
      <c r="E99" s="79" t="s">
        <v>1178</v>
      </c>
    </row>
    <row r="100" spans="1:5">
      <c r="A100" s="69" t="s">
        <v>1557</v>
      </c>
      <c r="B100" s="69" t="s">
        <v>1558</v>
      </c>
      <c r="C100" s="47">
        <f>C48</f>
        <v>5.9</v>
      </c>
      <c r="D100" s="69" t="s">
        <v>66</v>
      </c>
      <c r="E100" s="69"/>
    </row>
    <row r="101" spans="1:5">
      <c r="A101" s="69" t="s">
        <v>1559</v>
      </c>
      <c r="B101" s="69" t="s">
        <v>1560</v>
      </c>
      <c r="C101" s="47">
        <f>C49</f>
        <v>4.3</v>
      </c>
      <c r="D101" s="69" t="s">
        <v>66</v>
      </c>
      <c r="E101" s="69"/>
    </row>
    <row r="102" spans="1:5">
      <c r="A102" s="69" t="s">
        <v>1517</v>
      </c>
      <c r="B102" s="69" t="s">
        <v>1561</v>
      </c>
      <c r="C102" s="47">
        <f>C52</f>
        <v>30</v>
      </c>
      <c r="D102" s="69" t="s">
        <v>490</v>
      </c>
      <c r="E102" s="69"/>
    </row>
    <row r="103" spans="1:5">
      <c r="A103" s="69" t="s">
        <v>1562</v>
      </c>
      <c r="B103" s="69" t="s">
        <v>1563</v>
      </c>
      <c r="C103" s="47">
        <f>C50*2</f>
        <v>21.213203435596423</v>
      </c>
      <c r="D103" s="69" t="s">
        <v>66</v>
      </c>
      <c r="E103" s="69"/>
    </row>
    <row r="104" spans="1:5">
      <c r="A104" s="69" t="s">
        <v>1564</v>
      </c>
      <c r="B104" s="69" t="s">
        <v>1565</v>
      </c>
      <c r="C104" s="47">
        <f>C28</f>
        <v>-5</v>
      </c>
      <c r="D104" s="69"/>
      <c r="E104" s="69"/>
    </row>
    <row r="105" spans="1:5">
      <c r="A105" s="69" t="s">
        <v>1566</v>
      </c>
      <c r="B105" s="69" t="s">
        <v>1567</v>
      </c>
      <c r="C105" s="63">
        <v>9.5960000000000004E-2</v>
      </c>
      <c r="D105" s="69" t="s">
        <v>304</v>
      </c>
      <c r="E105" s="69"/>
    </row>
    <row r="106" spans="1:5">
      <c r="A106" s="69" t="s">
        <v>1568</v>
      </c>
      <c r="B106" s="69" t="s">
        <v>1569</v>
      </c>
      <c r="C106" s="63">
        <v>9.9489999999999995E-2</v>
      </c>
      <c r="D106" s="69" t="s">
        <v>304</v>
      </c>
      <c r="E106" s="69"/>
    </row>
    <row r="107" spans="1:5">
      <c r="A107" s="69" t="s">
        <v>1570</v>
      </c>
      <c r="B107" s="69" t="s">
        <v>1571</v>
      </c>
      <c r="C107" s="63">
        <v>0.25</v>
      </c>
      <c r="D107" s="69"/>
      <c r="E107" s="69"/>
    </row>
    <row r="108" spans="1:5">
      <c r="A108" s="69"/>
      <c r="B108" s="69" t="s">
        <v>1572</v>
      </c>
      <c r="C108" s="63">
        <v>0.95</v>
      </c>
      <c r="D108" s="69"/>
      <c r="E108" s="69" t="s">
        <v>1573</v>
      </c>
    </row>
    <row r="109" spans="1:5">
      <c r="A109" s="69" t="s">
        <v>308</v>
      </c>
      <c r="B109" s="69" t="s">
        <v>1574</v>
      </c>
      <c r="C109" s="47">
        <f>C103*2/(C100+C101)</f>
        <v>4.1594516540385147</v>
      </c>
      <c r="D109" s="69"/>
      <c r="E109" s="69"/>
    </row>
    <row r="110" spans="1:5">
      <c r="A110" s="69" t="s">
        <v>1575</v>
      </c>
      <c r="B110" s="69" t="s">
        <v>1576</v>
      </c>
      <c r="C110" s="47">
        <f>C103^2/C109</f>
        <v>108.18733752154175</v>
      </c>
      <c r="D110" s="69" t="s">
        <v>196</v>
      </c>
      <c r="E110" s="69"/>
    </row>
    <row r="111" spans="1:5">
      <c r="A111" s="69" t="s">
        <v>1577</v>
      </c>
      <c r="B111" s="69" t="s">
        <v>1578</v>
      </c>
      <c r="C111" s="47">
        <f>C101/C100</f>
        <v>0.72881355932203384</v>
      </c>
      <c r="D111" s="69"/>
      <c r="E111" s="69"/>
    </row>
    <row r="112" spans="1:5">
      <c r="A112" s="69" t="s">
        <v>1579</v>
      </c>
      <c r="B112" s="69" t="s">
        <v>1580</v>
      </c>
      <c r="C112" s="47">
        <f>(2/3)*C100*((1+C111+C111^2)/(1+C111))</f>
        <v>5.1418300653594775</v>
      </c>
      <c r="D112" s="69"/>
      <c r="E112" s="69"/>
    </row>
    <row r="113" spans="1:5">
      <c r="A113" s="69" t="s">
        <v>1581</v>
      </c>
      <c r="B113" s="69" t="s">
        <v>1582</v>
      </c>
      <c r="C113" s="47">
        <f>(C103/6)*(1+2*C111)/(1+C111)</f>
        <v>5.0260040819632046</v>
      </c>
      <c r="D113" s="69" t="s">
        <v>66</v>
      </c>
      <c r="E113" s="69"/>
    </row>
    <row r="114" spans="1:5">
      <c r="A114" s="69" t="s">
        <v>1583</v>
      </c>
      <c r="B114" s="69" t="s">
        <v>1584</v>
      </c>
      <c r="C114" s="47">
        <f>C113*TAN(RADIANS(C102))</f>
        <v>2.9017648096696131</v>
      </c>
      <c r="D114" s="69" t="s">
        <v>66</v>
      </c>
      <c r="E114" s="69"/>
    </row>
    <row r="115" spans="1:5">
      <c r="A115" s="69"/>
      <c r="B115" s="69" t="s">
        <v>1585</v>
      </c>
      <c r="C115" s="47">
        <f>(C26+C114+C107*C112)-C95</f>
        <v>26.294555439619344</v>
      </c>
      <c r="D115" s="69"/>
      <c r="E115" s="69"/>
    </row>
    <row r="116" spans="1:5">
      <c r="A116" s="69"/>
      <c r="B116" s="69"/>
      <c r="C116" s="69"/>
      <c r="D116" s="69"/>
      <c r="E116" s="69"/>
    </row>
    <row r="117" spans="1:5">
      <c r="A117" s="364" t="s">
        <v>900</v>
      </c>
      <c r="B117" s="364"/>
      <c r="C117" s="364"/>
      <c r="D117" s="364"/>
      <c r="E117" s="364"/>
    </row>
    <row r="118" spans="1:5">
      <c r="A118" s="79" t="s">
        <v>860</v>
      </c>
      <c r="B118" s="79" t="s">
        <v>861</v>
      </c>
      <c r="C118" s="79" t="s">
        <v>191</v>
      </c>
      <c r="D118" s="79" t="s">
        <v>367</v>
      </c>
      <c r="E118" s="79" t="s">
        <v>1178</v>
      </c>
    </row>
    <row r="119" spans="1:5">
      <c r="A119" s="69" t="s">
        <v>1586</v>
      </c>
      <c r="B119" s="69" t="s">
        <v>1587</v>
      </c>
      <c r="C119" s="47"/>
      <c r="D119" s="69" t="s">
        <v>66</v>
      </c>
      <c r="E119" s="69" t="s">
        <v>1588</v>
      </c>
    </row>
    <row r="120" spans="1:5">
      <c r="A120" s="69" t="s">
        <v>1589</v>
      </c>
      <c r="B120" s="69" t="s">
        <v>1590</v>
      </c>
      <c r="C120" s="47">
        <f>C23+0.25*C72</f>
        <v>37.5</v>
      </c>
      <c r="D120" s="69" t="s">
        <v>66</v>
      </c>
      <c r="E120" s="69"/>
    </row>
    <row r="121" spans="1:5">
      <c r="A121" s="69" t="s">
        <v>1591</v>
      </c>
      <c r="B121" s="69" t="s">
        <v>1592</v>
      </c>
      <c r="C121" s="63">
        <f>Geometry!AJ3</f>
        <v>68</v>
      </c>
      <c r="D121" s="69" t="s">
        <v>66</v>
      </c>
      <c r="E121" s="69"/>
    </row>
    <row r="122" spans="1:5">
      <c r="A122" s="69" t="s">
        <v>1593</v>
      </c>
      <c r="B122" s="69" t="s">
        <v>1594</v>
      </c>
      <c r="C122" s="47">
        <f>MAX(_xlfn.ANCHORARRAY('S&amp;C Matrices'!B10))</f>
        <v>8.33</v>
      </c>
      <c r="D122" s="69" t="s">
        <v>66</v>
      </c>
      <c r="E122" s="69"/>
    </row>
    <row r="123" spans="1:5">
      <c r="A123" s="69" t="s">
        <v>1595</v>
      </c>
      <c r="B123" s="69" t="s">
        <v>1596</v>
      </c>
      <c r="C123" s="47">
        <f>0.002322*EXP(5.037*(C120/C121))</f>
        <v>3.7344522076979157E-2</v>
      </c>
      <c r="D123" s="69" t="s">
        <v>1538</v>
      </c>
      <c r="E123" s="69"/>
    </row>
    <row r="126" spans="1:5">
      <c r="A126" s="361" t="s">
        <v>1597</v>
      </c>
      <c r="B126" s="361"/>
      <c r="C126" s="361"/>
      <c r="D126" s="361"/>
      <c r="E126" s="361"/>
    </row>
    <row r="127" spans="1:5">
      <c r="A127" s="7" t="s">
        <v>860</v>
      </c>
      <c r="B127" s="7" t="s">
        <v>861</v>
      </c>
      <c r="C127" s="144" t="s">
        <v>191</v>
      </c>
      <c r="D127" s="7" t="s">
        <v>367</v>
      </c>
      <c r="E127" s="7" t="s">
        <v>1178</v>
      </c>
    </row>
    <row r="128" spans="1:5">
      <c r="A128" t="s">
        <v>1557</v>
      </c>
      <c r="B128" t="s">
        <v>1598</v>
      </c>
      <c r="C128" s="47">
        <f>C60</f>
        <v>5.9</v>
      </c>
      <c r="D128" t="s">
        <v>66</v>
      </c>
    </row>
    <row r="129" spans="1:5">
      <c r="A129" t="s">
        <v>1599</v>
      </c>
      <c r="B129" t="s">
        <v>1600</v>
      </c>
      <c r="C129" s="47">
        <f>C61</f>
        <v>4.3</v>
      </c>
      <c r="D129" t="s">
        <v>66</v>
      </c>
    </row>
    <row r="130" spans="1:5">
      <c r="A130" t="s">
        <v>904</v>
      </c>
      <c r="B130" s="11" t="s">
        <v>1601</v>
      </c>
      <c r="C130" s="47">
        <f>C129/C128</f>
        <v>0.72881355932203384</v>
      </c>
    </row>
    <row r="131" spans="1:5">
      <c r="A131" t="s">
        <v>1602</v>
      </c>
      <c r="B131" t="s">
        <v>1603</v>
      </c>
      <c r="C131" s="47">
        <f>C132-1.5</f>
        <v>9.1066017177982115</v>
      </c>
      <c r="D131" t="s">
        <v>66</v>
      </c>
    </row>
    <row r="132" spans="1:5">
      <c r="A132" t="s">
        <v>1604</v>
      </c>
      <c r="B132" t="s">
        <v>1605</v>
      </c>
      <c r="C132" s="63">
        <f>General!C70</f>
        <v>10.606601717798211</v>
      </c>
      <c r="D132" t="s">
        <v>66</v>
      </c>
    </row>
    <row r="133" spans="1:5">
      <c r="B133" t="s">
        <v>1606</v>
      </c>
      <c r="C133" s="47">
        <f>C132/(2*(C132-C131))</f>
        <v>3.5355339059327373</v>
      </c>
      <c r="E133" t="s">
        <v>1607</v>
      </c>
    </row>
    <row r="134" spans="1:5">
      <c r="A134" t="s">
        <v>1608</v>
      </c>
      <c r="B134" t="s">
        <v>1609</v>
      </c>
      <c r="C134" s="63">
        <v>1</v>
      </c>
      <c r="E134" t="s">
        <v>1610</v>
      </c>
    </row>
    <row r="135" spans="1:5">
      <c r="A135" t="s">
        <v>308</v>
      </c>
      <c r="B135" t="s">
        <v>1611</v>
      </c>
      <c r="C135" s="47">
        <f>2*C132/(C129+C128)</f>
        <v>2.0797258270192573</v>
      </c>
    </row>
    <row r="136" spans="1:5">
      <c r="A136" t="s">
        <v>1612</v>
      </c>
      <c r="B136" t="s">
        <v>1613</v>
      </c>
      <c r="C136" s="47">
        <v>2</v>
      </c>
      <c r="E136" t="s">
        <v>1614</v>
      </c>
    </row>
    <row r="137" spans="1:5">
      <c r="B137" t="s">
        <v>1615</v>
      </c>
      <c r="C137" s="63">
        <v>1.05</v>
      </c>
    </row>
    <row r="138" spans="1:5">
      <c r="B138" t="s">
        <v>1616</v>
      </c>
      <c r="C138" s="63">
        <v>0.92</v>
      </c>
      <c r="E138" t="s">
        <v>1617</v>
      </c>
    </row>
    <row r="139" spans="1:5">
      <c r="A139" t="s">
        <v>1608</v>
      </c>
      <c r="B139" t="s">
        <v>1618</v>
      </c>
      <c r="C139" s="63">
        <v>1.1200000000000001</v>
      </c>
      <c r="E139" t="s">
        <v>1619</v>
      </c>
    </row>
    <row r="140" spans="1:5">
      <c r="A140" t="s">
        <v>1620</v>
      </c>
      <c r="B140" t="s">
        <v>1621</v>
      </c>
      <c r="C140" s="47">
        <f>C135*C137*(1+C139*(C138-1))</f>
        <v>1.9880515125642486</v>
      </c>
    </row>
    <row r="141" spans="1:5">
      <c r="A141" t="s">
        <v>1579</v>
      </c>
      <c r="B141" t="s">
        <v>1622</v>
      </c>
      <c r="C141" s="47">
        <f>(2/3)*C128*((1+C130+C130^2)/(1+C130))</f>
        <v>5.1418300653594775</v>
      </c>
      <c r="D141" t="s">
        <v>66</v>
      </c>
    </row>
    <row r="142" spans="1:5">
      <c r="A142" t="s">
        <v>1542</v>
      </c>
      <c r="B142" t="s">
        <v>1623</v>
      </c>
      <c r="C142" s="47">
        <f>2*(C132/6)*(1+2*C130)/(1+C130)</f>
        <v>5.0260040819632046</v>
      </c>
      <c r="D142" t="s">
        <v>66</v>
      </c>
    </row>
    <row r="143" spans="1:5">
      <c r="A143" t="s">
        <v>1544</v>
      </c>
      <c r="B143" t="s">
        <v>1624</v>
      </c>
      <c r="C143" s="47">
        <f>C142*TAN(RADIANS(C102))</f>
        <v>2.9017648096696131</v>
      </c>
      <c r="D143" t="s">
        <v>66</v>
      </c>
    </row>
    <row r="144" spans="1:5">
      <c r="A144" t="s">
        <v>1625</v>
      </c>
      <c r="B144" s="11" t="s">
        <v>1626</v>
      </c>
      <c r="C144" s="47">
        <f>General!C29</f>
        <v>7.528633598871683</v>
      </c>
      <c r="D144" t="s">
        <v>479</v>
      </c>
    </row>
    <row r="145" spans="1:5">
      <c r="A145" t="s">
        <v>1627</v>
      </c>
      <c r="B145" s="11" t="s">
        <v>1628</v>
      </c>
      <c r="C145" s="47">
        <f>General!C31</f>
        <v>8.7233407294205534E-2</v>
      </c>
      <c r="D145" t="s">
        <v>479</v>
      </c>
    </row>
    <row r="146" spans="1:5">
      <c r="A146" t="s">
        <v>1629</v>
      </c>
      <c r="B146" s="11" t="s">
        <v>1630</v>
      </c>
      <c r="C146" s="47">
        <f>0.724+3.06*(General!C62/General!C23)/(1+COS(RADIANS(C144)))+0.4*0.5+0.009*C83</f>
        <v>1.1885885060604024</v>
      </c>
    </row>
    <row r="147" spans="1:5">
      <c r="A147" t="s">
        <v>1631</v>
      </c>
      <c r="B147" s="11" t="s">
        <v>1463</v>
      </c>
      <c r="C147" s="47">
        <v>1</v>
      </c>
      <c r="E147" t="s">
        <v>1632</v>
      </c>
    </row>
    <row r="148" spans="1:5">
      <c r="B148" s="11" t="s">
        <v>155</v>
      </c>
      <c r="C148" s="47">
        <v>1</v>
      </c>
      <c r="E148" t="s">
        <v>1632</v>
      </c>
    </row>
    <row r="149" spans="1:5">
      <c r="A149" t="s">
        <v>1633</v>
      </c>
      <c r="B149" s="11" t="s">
        <v>1634</v>
      </c>
      <c r="C149" s="47">
        <f>2*PI()*C140/(2+(C140^2*(1+TAN(RADIANS(C145))^2)+4)^0.5)</f>
        <v>2.5915592038370789</v>
      </c>
      <c r="D149" t="s">
        <v>167</v>
      </c>
    </row>
    <row r="150" spans="1:5">
      <c r="A150" t="s">
        <v>1635</v>
      </c>
      <c r="B150" s="11" t="s">
        <v>1636</v>
      </c>
      <c r="C150" s="64">
        <f>C151*PI()/180</f>
        <v>-6.1082708253868846E-3</v>
      </c>
      <c r="D150" t="s">
        <v>1538</v>
      </c>
    </row>
    <row r="151" spans="1:5">
      <c r="C151" s="47">
        <f>-C134*C149*C146*General!C62/General!C23</f>
        <v>-0.34997813841756031</v>
      </c>
      <c r="D151" t="s">
        <v>167</v>
      </c>
    </row>
    <row r="152" spans="1:5">
      <c r="A152" t="s">
        <v>1637</v>
      </c>
      <c r="B152" t="s">
        <v>1638</v>
      </c>
      <c r="C152" s="63">
        <f>Lift!B125</f>
        <v>0</v>
      </c>
      <c r="E152" t="s">
        <v>1639</v>
      </c>
    </row>
    <row r="154" spans="1:5">
      <c r="A154" s="361" t="s">
        <v>1640</v>
      </c>
      <c r="B154" s="361"/>
      <c r="C154" s="361"/>
      <c r="D154" s="361"/>
      <c r="E154" s="361"/>
    </row>
    <row r="155" spans="1:5">
      <c r="A155" t="s">
        <v>1641</v>
      </c>
      <c r="B155" t="s">
        <v>1642</v>
      </c>
      <c r="C155" s="64">
        <f>(2*C86)/(PI()*C92*C83)</f>
        <v>0.36252978160994537</v>
      </c>
    </row>
    <row r="157" spans="1:5">
      <c r="A157" s="360" t="s">
        <v>1643</v>
      </c>
      <c r="B157" s="360"/>
      <c r="C157" s="360"/>
      <c r="D157" s="360"/>
      <c r="E157" s="360"/>
    </row>
    <row r="158" spans="1:5">
      <c r="A158" s="7" t="s">
        <v>860</v>
      </c>
      <c r="B158" s="7" t="s">
        <v>861</v>
      </c>
      <c r="C158" s="144" t="s">
        <v>191</v>
      </c>
      <c r="D158" s="7" t="s">
        <v>367</v>
      </c>
      <c r="E158" s="7" t="s">
        <v>1178</v>
      </c>
    </row>
    <row r="159" spans="1:5">
      <c r="B159" t="s">
        <v>1644</v>
      </c>
      <c r="C159" s="75">
        <f>C78/C18</f>
        <v>0.12270654008631968</v>
      </c>
      <c r="E159" t="s">
        <v>1645</v>
      </c>
    </row>
    <row r="160" spans="1:5">
      <c r="A160" t="s">
        <v>1646</v>
      </c>
      <c r="B160" t="s">
        <v>1647</v>
      </c>
      <c r="C160" s="75">
        <f>C159*(C39-C152)</f>
        <v>3.7527752221508432</v>
      </c>
    </row>
    <row r="161" spans="1:5">
      <c r="B161" t="s">
        <v>1648</v>
      </c>
      <c r="C161" s="75">
        <f>C5/(0.5*C12*C8^2*C91)</f>
        <v>0.18676399441518679</v>
      </c>
    </row>
    <row r="162" spans="1:5">
      <c r="B162" t="s">
        <v>1649</v>
      </c>
      <c r="C162" s="75">
        <f>C87+C106*C108*(C110/C91)*(1-C155)</f>
        <v>0.11158994372544769</v>
      </c>
    </row>
    <row r="163" spans="1:5">
      <c r="B163" t="s">
        <v>1650</v>
      </c>
      <c r="C163" s="75">
        <f>C162*C77</f>
        <v>-0.19024793793636016</v>
      </c>
      <c r="E163" t="s">
        <v>1651</v>
      </c>
    </row>
    <row r="164" spans="1:5">
      <c r="B164" t="s">
        <v>1652</v>
      </c>
      <c r="C164" s="65">
        <f>(C161-(C160-C159*C77))/C162</f>
        <v>-33.831110131676112</v>
      </c>
      <c r="D164" t="s">
        <v>490</v>
      </c>
    </row>
    <row r="165" spans="1:5">
      <c r="B165" t="s">
        <v>1648</v>
      </c>
      <c r="C165" s="64">
        <f>C161+C163</f>
        <v>-3.4839435211733716E-3</v>
      </c>
    </row>
    <row r="167" spans="1:5">
      <c r="A167" s="360" t="s">
        <v>1653</v>
      </c>
      <c r="B167" s="360"/>
      <c r="C167" s="360"/>
      <c r="D167" s="360"/>
      <c r="E167" s="360"/>
    </row>
    <row r="168" spans="1:5">
      <c r="A168" s="7" t="s">
        <v>860</v>
      </c>
      <c r="B168" s="7" t="s">
        <v>861</v>
      </c>
      <c r="C168" s="144" t="s">
        <v>191</v>
      </c>
      <c r="D168" s="7" t="s">
        <v>367</v>
      </c>
      <c r="E168" s="7" t="s">
        <v>1178</v>
      </c>
    </row>
    <row r="169" spans="1:5">
      <c r="A169" t="s">
        <v>1654</v>
      </c>
      <c r="B169" t="s">
        <v>1655</v>
      </c>
      <c r="C169" s="64">
        <f>C123*C122^2*C121/(C91*C88)</f>
        <v>5.0257287525930762E-2</v>
      </c>
      <c r="D169" t="s">
        <v>304</v>
      </c>
      <c r="E169" s="7"/>
    </row>
    <row r="170" spans="1:5" ht="15.95" thickBot="1">
      <c r="A170" t="s">
        <v>1656</v>
      </c>
      <c r="B170" t="s">
        <v>1657</v>
      </c>
      <c r="C170" s="64">
        <f>C87*(C13-C81)+C169-C106*C108*(C110*C120/(C91*C88))*(1-C155)</f>
        <v>-1.8285035186226165E-2</v>
      </c>
      <c r="D170" t="s">
        <v>304</v>
      </c>
      <c r="E170" s="192" t="str">
        <f>IF(C170&lt;0, "STABLE", "UNSTABLE")</f>
        <v>STABLE</v>
      </c>
    </row>
    <row r="171" spans="1:5" ht="15.95" thickTop="1">
      <c r="B171" t="s">
        <v>1658</v>
      </c>
      <c r="C171" s="180">
        <v>0</v>
      </c>
      <c r="D171" t="s">
        <v>304</v>
      </c>
      <c r="E171" t="s">
        <v>1659</v>
      </c>
    </row>
    <row r="172" spans="1:5">
      <c r="B172" t="s">
        <v>1660</v>
      </c>
      <c r="C172" s="180">
        <f>'Airfoil Selection'!C8</f>
        <v>-9.2999999999999999E-2</v>
      </c>
      <c r="D172" t="s">
        <v>304</v>
      </c>
      <c r="E172" t="s">
        <v>1661</v>
      </c>
    </row>
    <row r="173" spans="1:5" ht="15.95" thickBot="1">
      <c r="B173" t="s">
        <v>1662</v>
      </c>
      <c r="C173" s="64">
        <f>C171+C172+C87*(C77-C152)*(C13-C81)-C106*C108*(C110*C115/(C91*C88))*(C104-C155*(C77-C152))</f>
        <v>0.24103036751228346</v>
      </c>
      <c r="D173" t="s">
        <v>304</v>
      </c>
      <c r="E173" s="192" t="str">
        <f>IF(C173&gt;0, "BALANCED", "UNBALANCED")</f>
        <v>BALANCED</v>
      </c>
    </row>
    <row r="174" spans="1:5" ht="15.95" thickTop="1">
      <c r="A174" t="s">
        <v>1663</v>
      </c>
      <c r="B174" t="s">
        <v>1664</v>
      </c>
      <c r="C174" s="6">
        <v>0</v>
      </c>
      <c r="D174" t="s">
        <v>304</v>
      </c>
      <c r="E174" t="s">
        <v>1665</v>
      </c>
    </row>
    <row r="175" spans="1:5">
      <c r="A175" t="s">
        <v>1666</v>
      </c>
      <c r="B175" t="s">
        <v>1657</v>
      </c>
      <c r="C175" s="229">
        <f>-C173/Lift!C37</f>
        <v>0.14137638199167687</v>
      </c>
      <c r="D175" t="s">
        <v>304</v>
      </c>
      <c r="E175" t="s">
        <v>1667</v>
      </c>
    </row>
    <row r="176" spans="1:5">
      <c r="A176" s="7" t="s">
        <v>1668</v>
      </c>
      <c r="B176" s="7" t="s">
        <v>1669</v>
      </c>
      <c r="C176" s="295">
        <f>-1*C170/C162</f>
        <v>0.16385916665765221</v>
      </c>
      <c r="D176" s="7" t="s">
        <v>1670</v>
      </c>
    </row>
    <row r="177" spans="1:8">
      <c r="A177" s="7" t="s">
        <v>1381</v>
      </c>
      <c r="B177" s="22" t="s">
        <v>1671</v>
      </c>
      <c r="C177" s="295">
        <f>C176+C96</f>
        <v>0.42086654364712917</v>
      </c>
      <c r="D177" s="7" t="s">
        <v>1670</v>
      </c>
      <c r="H177" s="263"/>
    </row>
    <row r="178" spans="1:8">
      <c r="B178" s="112"/>
      <c r="C178" s="47">
        <f>C177*C88+C90+Geometry!C58</f>
        <v>40.685496002737118</v>
      </c>
      <c r="D178" t="s">
        <v>66</v>
      </c>
      <c r="E178" t="s">
        <v>1672</v>
      </c>
      <c r="H178" s="263"/>
    </row>
    <row r="180" spans="1:8">
      <c r="A180" s="360" t="s">
        <v>1673</v>
      </c>
      <c r="B180" s="360"/>
      <c r="C180" s="360"/>
      <c r="D180" s="360"/>
      <c r="E180" s="360"/>
    </row>
    <row r="181" spans="1:8">
      <c r="A181" s="361" t="s">
        <v>1674</v>
      </c>
      <c r="B181" s="361"/>
      <c r="C181" s="361"/>
      <c r="D181" s="361"/>
      <c r="E181" s="361"/>
    </row>
    <row r="182" spans="1:8">
      <c r="A182" s="7" t="s">
        <v>860</v>
      </c>
      <c r="B182" s="7" t="s">
        <v>861</v>
      </c>
      <c r="C182" s="144" t="s">
        <v>191</v>
      </c>
      <c r="D182" s="7" t="s">
        <v>367</v>
      </c>
      <c r="E182" s="7" t="s">
        <v>1178</v>
      </c>
    </row>
    <row r="183" spans="1:8">
      <c r="B183" t="s">
        <v>1675</v>
      </c>
      <c r="C183" s="63">
        <f>4</f>
        <v>4</v>
      </c>
      <c r="D183" t="s">
        <v>66</v>
      </c>
      <c r="E183" t="s">
        <v>1676</v>
      </c>
    </row>
    <row r="184" spans="1:8">
      <c r="B184" t="s">
        <v>1677</v>
      </c>
      <c r="C184" s="63">
        <v>9.8000000000000007</v>
      </c>
      <c r="D184" t="s">
        <v>66</v>
      </c>
    </row>
    <row r="185" spans="1:8">
      <c r="B185" t="s">
        <v>1678</v>
      </c>
      <c r="C185" s="47">
        <f>C183/(C184/2)</f>
        <v>0.81632653061224481</v>
      </c>
      <c r="D185" t="s">
        <v>66</v>
      </c>
    </row>
    <row r="186" spans="1:8">
      <c r="A186" t="s">
        <v>1679</v>
      </c>
      <c r="B186" t="s">
        <v>1680</v>
      </c>
      <c r="C186" s="63">
        <v>1.4</v>
      </c>
      <c r="E186" t="s">
        <v>1681</v>
      </c>
    </row>
    <row r="187" spans="1:8">
      <c r="B187" t="s">
        <v>1682</v>
      </c>
      <c r="C187" s="47">
        <f>C121/C122</f>
        <v>8.1632653061224492</v>
      </c>
      <c r="E187" t="s">
        <v>1683</v>
      </c>
    </row>
    <row r="188" spans="1:8">
      <c r="B188" t="s">
        <v>1684</v>
      </c>
      <c r="C188" s="63">
        <v>0.75</v>
      </c>
      <c r="E188" t="s">
        <v>1685</v>
      </c>
    </row>
    <row r="189" spans="1:8">
      <c r="B189" t="s">
        <v>1686</v>
      </c>
      <c r="C189" s="63">
        <v>14</v>
      </c>
      <c r="D189" t="s">
        <v>66</v>
      </c>
      <c r="E189" t="s">
        <v>1687</v>
      </c>
    </row>
    <row r="190" spans="1:8">
      <c r="B190" t="s">
        <v>1688</v>
      </c>
      <c r="C190" s="47">
        <f>(0.378+0.527*(C189/C120))*C120</f>
        <v>21.553000000000004</v>
      </c>
      <c r="D190" t="s">
        <v>66</v>
      </c>
      <c r="E190" t="s">
        <v>1689</v>
      </c>
    </row>
    <row r="191" spans="1:8">
      <c r="B191" t="s">
        <v>1690</v>
      </c>
      <c r="C191" s="47">
        <f>PI()*2.45^2</f>
        <v>18.857409903172737</v>
      </c>
      <c r="D191" t="s">
        <v>196</v>
      </c>
      <c r="E191" t="s">
        <v>1691</v>
      </c>
    </row>
    <row r="192" spans="1:8">
      <c r="A192" t="s">
        <v>1692</v>
      </c>
      <c r="B192" t="s">
        <v>1693</v>
      </c>
      <c r="C192" s="64">
        <f>-(2/57.3)*C186*C188*(C191/C91)-0.0001*ABS(C75)</f>
        <v>-1.7516052582799068E-3</v>
      </c>
      <c r="D192" t="s">
        <v>304</v>
      </c>
    </row>
    <row r="194" spans="1:5">
      <c r="A194" s="361" t="s">
        <v>1694</v>
      </c>
      <c r="B194" s="361"/>
      <c r="C194" s="361"/>
      <c r="D194" s="361"/>
      <c r="E194" s="361"/>
    </row>
    <row r="195" spans="1:5">
      <c r="A195" s="7" t="s">
        <v>860</v>
      </c>
      <c r="B195" s="7" t="s">
        <v>861</v>
      </c>
      <c r="C195" s="144" t="s">
        <v>191</v>
      </c>
      <c r="D195" s="7" t="s">
        <v>367</v>
      </c>
      <c r="E195" s="7" t="s">
        <v>1178</v>
      </c>
    </row>
    <row r="196" spans="1:5">
      <c r="A196" t="s">
        <v>374</v>
      </c>
      <c r="B196" t="s">
        <v>1695</v>
      </c>
      <c r="C196" s="63">
        <f>Thrust!C25</f>
        <v>1340.4417364813405</v>
      </c>
    </row>
    <row r="197" spans="1:5">
      <c r="A197" t="s">
        <v>1696</v>
      </c>
      <c r="B197" t="s">
        <v>1697</v>
      </c>
      <c r="C197" s="63">
        <v>2</v>
      </c>
      <c r="E197" t="s">
        <v>1698</v>
      </c>
    </row>
    <row r="198" spans="1:5">
      <c r="A198" t="s">
        <v>1699</v>
      </c>
      <c r="B198" t="s">
        <v>1700</v>
      </c>
      <c r="C198" s="47">
        <f>Thrust!C158</f>
        <v>8.9</v>
      </c>
      <c r="D198" t="s">
        <v>66</v>
      </c>
      <c r="E198" t="s">
        <v>1701</v>
      </c>
    </row>
    <row r="199" spans="1:5">
      <c r="A199" t="s">
        <v>1702</v>
      </c>
      <c r="B199" t="s">
        <v>1703</v>
      </c>
      <c r="C199" s="47">
        <f>550*C196*C197/(C12*C8^3*C198^2)</f>
        <v>8.232266829813456E-2</v>
      </c>
    </row>
    <row r="200" spans="1:5">
      <c r="A200" t="s">
        <v>1704</v>
      </c>
      <c r="B200" t="s">
        <v>1705</v>
      </c>
      <c r="C200" s="47">
        <f>1+0.82*LOG10(1+C199)</f>
        <v>1.0281725386561882</v>
      </c>
    </row>
    <row r="201" spans="1:5">
      <c r="B201" t="s">
        <v>1706</v>
      </c>
      <c r="C201" s="47">
        <f>(29-14)*0.75+14</f>
        <v>25.25</v>
      </c>
      <c r="D201" t="s">
        <v>490</v>
      </c>
      <c r="E201" t="s">
        <v>1707</v>
      </c>
    </row>
    <row r="202" spans="1:5">
      <c r="A202" t="s">
        <v>1708</v>
      </c>
      <c r="B202" t="s">
        <v>1709</v>
      </c>
      <c r="C202" s="63">
        <v>8.2799999999999994</v>
      </c>
      <c r="D202" t="s">
        <v>490</v>
      </c>
    </row>
    <row r="203" spans="1:5">
      <c r="B203" t="s">
        <v>1710</v>
      </c>
      <c r="C203" s="47">
        <f>PI()*(C198/2)^2</f>
        <v>62.211388522711886</v>
      </c>
      <c r="D203" t="s">
        <v>196</v>
      </c>
    </row>
    <row r="204" spans="1:5">
      <c r="B204" t="s">
        <v>1711</v>
      </c>
      <c r="C204" s="63">
        <v>0.12</v>
      </c>
      <c r="D204" t="s">
        <v>167</v>
      </c>
      <c r="E204" t="s">
        <v>1712</v>
      </c>
    </row>
    <row r="205" spans="1:5">
      <c r="B205" t="s">
        <v>1711</v>
      </c>
      <c r="C205" s="180">
        <f>RADIANS(C204)</f>
        <v>2.0943951023931952E-3</v>
      </c>
      <c r="D205" t="s">
        <v>304</v>
      </c>
    </row>
    <row r="206" spans="1:5">
      <c r="A206" t="s">
        <v>1713</v>
      </c>
      <c r="B206" t="s">
        <v>1714</v>
      </c>
      <c r="C206" s="67">
        <f>-(C197/57.3)*C200*C205*(C203/C91)</f>
        <v>-9.8213615913384919E-6</v>
      </c>
      <c r="D206" t="s">
        <v>304</v>
      </c>
    </row>
    <row r="208" spans="1:5" ht="15.95" thickBot="1">
      <c r="A208" s="192" t="s">
        <v>1715</v>
      </c>
      <c r="B208" s="192" t="s">
        <v>1716</v>
      </c>
      <c r="C208" s="193">
        <f>C206+C192+C150</f>
        <v>-7.8696974452581291E-3</v>
      </c>
      <c r="D208" s="192" t="s">
        <v>304</v>
      </c>
      <c r="E208" s="192" t="str">
        <f>IF(C208&lt;0, "STABLE", "UNSTABLE")</f>
        <v>STABLE</v>
      </c>
    </row>
    <row r="209" spans="1:6" ht="15.95" thickTop="1"/>
    <row r="210" spans="1:6">
      <c r="A210" s="360" t="s">
        <v>1717</v>
      </c>
      <c r="B210" s="360"/>
      <c r="C210" s="360"/>
      <c r="D210" s="360"/>
      <c r="E210" s="360"/>
    </row>
    <row r="211" spans="1:6">
      <c r="A211" s="7" t="s">
        <v>860</v>
      </c>
      <c r="B211" s="7" t="s">
        <v>861</v>
      </c>
      <c r="C211" s="144" t="s">
        <v>191</v>
      </c>
      <c r="D211" s="7" t="s">
        <v>367</v>
      </c>
      <c r="E211" s="7" t="s">
        <v>1178</v>
      </c>
    </row>
    <row r="212" spans="1:6">
      <c r="A212" t="s">
        <v>1718</v>
      </c>
      <c r="B212" t="s">
        <v>1719</v>
      </c>
      <c r="C212" s="67">
        <f>-C165*(0.075/(57.3)^2)*C43</f>
        <v>2.3875054968157207E-7</v>
      </c>
      <c r="D212" t="s">
        <v>304</v>
      </c>
      <c r="E212" t="s">
        <v>1720</v>
      </c>
    </row>
    <row r="213" spans="1:6">
      <c r="A213" t="s">
        <v>1721</v>
      </c>
      <c r="B213" t="s">
        <v>1722</v>
      </c>
      <c r="C213" s="64">
        <f>General!C29</f>
        <v>7.528633598871683</v>
      </c>
      <c r="D213" t="s">
        <v>479</v>
      </c>
      <c r="E213" s="9"/>
      <c r="F213" s="148"/>
    </row>
    <row r="214" spans="1:6">
      <c r="B214" t="s">
        <v>1723</v>
      </c>
      <c r="C214" s="67">
        <f>(C165^2/57.3)*((1/4*PI()*C83))-(TAN(RADIANS(C213))/(PI()*C83*(C83+4*COS(RADIANS(C213)))))*(COS(RADIANS(C213)-C83/2-C83^2/(8*COS(RADIANS(C213)))-(6/C83)*(C13-C81)*SIN(RADIANS(C213))))</f>
        <v>-5.802707445472146E-5</v>
      </c>
      <c r="D214" t="s">
        <v>304</v>
      </c>
      <c r="E214" t="s">
        <v>1724</v>
      </c>
    </row>
    <row r="215" spans="1:6">
      <c r="A215" t="s">
        <v>1725</v>
      </c>
      <c r="B215" t="s">
        <v>850</v>
      </c>
      <c r="C215" s="64">
        <f>SQRT(1-(C17^2*COS(RADIANS(C213))^2))</f>
        <v>0.8663674013211784</v>
      </c>
    </row>
    <row r="216" spans="1:6">
      <c r="A216" t="s">
        <v>1726</v>
      </c>
      <c r="B216" t="s">
        <v>1727</v>
      </c>
      <c r="C216" s="64">
        <f>(C83+4*COS(RADIANS(C213)))/(C83*C215+4*COS(RADIANS(C213)))</f>
        <v>1.1058124686373398</v>
      </c>
      <c r="D216" t="s">
        <v>304</v>
      </c>
    </row>
    <row r="217" spans="1:6">
      <c r="A217" t="s">
        <v>1726</v>
      </c>
      <c r="B217" t="s">
        <v>1728</v>
      </c>
      <c r="C217" s="64">
        <f>(C83^2*C215^2+4*C83*C215*COS(RADIANS(C213))-8*COS(RADIANS(C213))^2)/(C83^2+4*C83*COS(RADIANS(C213))-8*COS(RADIANS(C213))^2)</f>
        <v>0.77054859533525588</v>
      </c>
      <c r="D217" t="s">
        <v>304</v>
      </c>
    </row>
    <row r="218" spans="1:6">
      <c r="A218" t="s">
        <v>1729</v>
      </c>
      <c r="B218" t="s">
        <v>1730</v>
      </c>
      <c r="C218" s="64">
        <f>C216*C217*C214</f>
        <v>-4.9443839838082719E-5</v>
      </c>
      <c r="D218" t="s">
        <v>304</v>
      </c>
      <c r="E218" t="s">
        <v>1731</v>
      </c>
    </row>
    <row r="220" spans="1:6">
      <c r="A220" s="361" t="s">
        <v>1732</v>
      </c>
      <c r="B220" s="361"/>
      <c r="C220" s="361"/>
      <c r="D220" s="361"/>
      <c r="E220" s="361"/>
    </row>
    <row r="221" spans="1:6">
      <c r="A221" s="7" t="s">
        <v>860</v>
      </c>
      <c r="B221" s="7" t="s">
        <v>861</v>
      </c>
      <c r="C221" s="144" t="s">
        <v>191</v>
      </c>
      <c r="D221" s="7" t="s">
        <v>367</v>
      </c>
      <c r="E221" s="7" t="s">
        <v>1178</v>
      </c>
    </row>
    <row r="222" spans="1:6">
      <c r="A222" t="s">
        <v>1733</v>
      </c>
      <c r="B222" t="s">
        <v>1734</v>
      </c>
      <c r="C222" s="64">
        <f>C95/C121</f>
        <v>0.54253921891750201</v>
      </c>
    </row>
    <row r="223" spans="1:6">
      <c r="B223" t="s">
        <v>1735</v>
      </c>
      <c r="C223" t="s">
        <v>1736</v>
      </c>
    </row>
    <row r="224" spans="1:6">
      <c r="A224" t="s">
        <v>1737</v>
      </c>
      <c r="B224" t="s">
        <v>1738</v>
      </c>
      <c r="C224" s="64">
        <f>SUM('S&amp;C Matrices'!B11:W11)</f>
        <v>459.81149999999997</v>
      </c>
      <c r="D224" t="s">
        <v>196</v>
      </c>
    </row>
    <row r="225" spans="1:5">
      <c r="A225" t="s">
        <v>1739</v>
      </c>
      <c r="B225" t="s">
        <v>1740</v>
      </c>
      <c r="C225" s="64">
        <f>C121^2/C224</f>
        <v>10.056294807763617</v>
      </c>
    </row>
    <row r="226" spans="1:5">
      <c r="B226" t="s">
        <v>1741</v>
      </c>
      <c r="C226" t="s">
        <v>1736</v>
      </c>
    </row>
    <row r="227" spans="1:5">
      <c r="B227" t="s">
        <v>1742</v>
      </c>
      <c r="C227" t="s">
        <v>1736</v>
      </c>
    </row>
    <row r="228" spans="1:5">
      <c r="A228" t="s">
        <v>1743</v>
      </c>
      <c r="B228" t="s">
        <v>1744</v>
      </c>
      <c r="C228" s="64">
        <f>SQRT(AVERAGE(Geometry!U4:V4)/AVERAGE(Geometry!AC4:AF4))</f>
        <v>1.0222758448930684</v>
      </c>
      <c r="E228" t="s">
        <v>1745</v>
      </c>
    </row>
    <row r="229" spans="1:5">
      <c r="A229" t="s">
        <v>1746</v>
      </c>
      <c r="B229" t="s">
        <v>1747</v>
      </c>
      <c r="C229" s="64">
        <f>MAX('S&amp;C Matrices'!B10:Y10)/C122</f>
        <v>1</v>
      </c>
    </row>
    <row r="230" spans="1:5">
      <c r="B230" t="s">
        <v>1748</v>
      </c>
      <c r="C230" s="180">
        <v>5.0000000000000001E-4</v>
      </c>
      <c r="D230" t="s">
        <v>304</v>
      </c>
      <c r="E230" t="s">
        <v>1749</v>
      </c>
    </row>
    <row r="231" spans="1:5">
      <c r="B231" t="s">
        <v>1750</v>
      </c>
      <c r="C231" s="66">
        <f>C8*C121/C14</f>
        <v>157950284.42288348</v>
      </c>
    </row>
    <row r="232" spans="1:5">
      <c r="B232" t="s">
        <v>1751</v>
      </c>
      <c r="C232" s="64">
        <f>0.205*LOG10(C231)-1.833</f>
        <v>-0.15230331548241316</v>
      </c>
      <c r="E232" t="s">
        <v>1752</v>
      </c>
    </row>
    <row r="233" spans="1:5">
      <c r="B233" t="s">
        <v>1753</v>
      </c>
      <c r="C233" s="64">
        <f>-C230*C232*(C224/C91)*(C121/C76)</f>
        <v>7.248044169858405E-5</v>
      </c>
    </row>
    <row r="234" spans="1:5">
      <c r="B234" t="s">
        <v>1754</v>
      </c>
      <c r="C234" s="64">
        <f>(C29+C143+C107*C141)-C95</f>
        <v>26.294555439619344</v>
      </c>
    </row>
    <row r="235" spans="1:5">
      <c r="B235" t="s">
        <v>1755</v>
      </c>
      <c r="C235" s="64">
        <f>-C150*C234/C76</f>
        <v>2.3277429834542731E-3</v>
      </c>
    </row>
    <row r="236" spans="1:5">
      <c r="B236" t="s">
        <v>1756</v>
      </c>
      <c r="C236" s="64">
        <f>C95-C31</f>
        <v>27.892666886390138</v>
      </c>
    </row>
    <row r="237" spans="1:5">
      <c r="B237" t="s">
        <v>1757</v>
      </c>
      <c r="C237" s="191">
        <f>C206*C236/C76</f>
        <v>-3.9702024237390012E-6</v>
      </c>
    </row>
    <row r="239" spans="1:5" ht="15.95" thickBot="1">
      <c r="A239" s="192" t="s">
        <v>1758</v>
      </c>
      <c r="B239" s="192" t="s">
        <v>1759</v>
      </c>
      <c r="C239" s="193">
        <f>C212+C218+C233+C235+C237</f>
        <v>2.3470481334407168E-3</v>
      </c>
      <c r="D239" s="192" t="s">
        <v>304</v>
      </c>
      <c r="E239" s="192" t="str">
        <f>IF(C239&gt;0, "STABLE", "UNSTABLE")</f>
        <v>STABLE</v>
      </c>
    </row>
    <row r="240" spans="1:5" ht="15.95" thickTop="1"/>
    <row r="241" spans="1:5">
      <c r="A241" s="360" t="s">
        <v>1760</v>
      </c>
      <c r="B241" s="360"/>
      <c r="C241" s="360"/>
      <c r="D241" s="360"/>
      <c r="E241" s="360"/>
    </row>
    <row r="242" spans="1:5">
      <c r="A242" s="7" t="s">
        <v>860</v>
      </c>
      <c r="B242" s="7" t="s">
        <v>861</v>
      </c>
      <c r="C242" s="144" t="s">
        <v>191</v>
      </c>
      <c r="D242" s="7" t="s">
        <v>367</v>
      </c>
      <c r="E242" s="7" t="s">
        <v>1178</v>
      </c>
    </row>
    <row r="243" spans="1:5">
      <c r="A243" t="s">
        <v>1761</v>
      </c>
      <c r="B243" t="s">
        <v>1762</v>
      </c>
      <c r="C243" s="200">
        <v>-5.0000000000000002E-5</v>
      </c>
      <c r="E243" t="s">
        <v>1763</v>
      </c>
    </row>
    <row r="244" spans="1:5">
      <c r="A244" t="s">
        <v>1764</v>
      </c>
      <c r="B244" t="s">
        <v>1765</v>
      </c>
      <c r="C244" s="64">
        <f>C17*COS(RADIANS(C85))</f>
        <v>0.50187687535810654</v>
      </c>
    </row>
    <row r="245" spans="1:5">
      <c r="A245" t="s">
        <v>1766</v>
      </c>
      <c r="B245" t="s">
        <v>1767</v>
      </c>
      <c r="C245" s="47">
        <f>C83/COS(RADIANS(C85))</f>
        <v>10.037317325438503</v>
      </c>
    </row>
    <row r="246" spans="1:5">
      <c r="A246" t="s">
        <v>1768</v>
      </c>
      <c r="B246" t="s">
        <v>1769</v>
      </c>
      <c r="C246" s="63">
        <v>1.1499999999999999</v>
      </c>
      <c r="E246" t="s">
        <v>1770</v>
      </c>
    </row>
    <row r="247" spans="1:5">
      <c r="B247" t="s">
        <v>1771</v>
      </c>
      <c r="C247" s="47">
        <f>C23+(1/2)*C72+(C76/2)*TAN(RADIANS(C85))</f>
        <v>42.983280834442041</v>
      </c>
      <c r="E247" t="s">
        <v>1772</v>
      </c>
    </row>
    <row r="248" spans="1:5">
      <c r="A248" t="s">
        <v>1773</v>
      </c>
      <c r="B248" t="s">
        <v>1774</v>
      </c>
      <c r="C248" s="64">
        <f>C247/C76</f>
        <v>0.62294609904988463</v>
      </c>
    </row>
    <row r="249" spans="1:5">
      <c r="B249" t="s">
        <v>1775</v>
      </c>
      <c r="C249" s="180">
        <v>0.92</v>
      </c>
      <c r="E249" t="s">
        <v>1776</v>
      </c>
    </row>
    <row r="250" spans="1:5">
      <c r="A250" t="s">
        <v>1777</v>
      </c>
      <c r="B250" t="s">
        <v>1778</v>
      </c>
      <c r="C250" s="239">
        <f>C165*C243*C246*C249</f>
        <v>1.8430061227007135E-7</v>
      </c>
    </row>
    <row r="251" spans="1:5">
      <c r="A251" t="s">
        <v>1779</v>
      </c>
      <c r="B251" t="s">
        <v>1780</v>
      </c>
      <c r="C251" s="202">
        <v>0</v>
      </c>
      <c r="E251" t="s">
        <v>1781</v>
      </c>
    </row>
    <row r="252" spans="1:5">
      <c r="A252" t="s">
        <v>1782</v>
      </c>
      <c r="B252" t="s">
        <v>1783</v>
      </c>
      <c r="C252" s="76">
        <f>C165*C251</f>
        <v>0</v>
      </c>
    </row>
    <row r="253" spans="1:5">
      <c r="B253" t="s">
        <v>1784</v>
      </c>
      <c r="C253" s="203">
        <v>-3.6999999999999998E-5</v>
      </c>
      <c r="D253" t="s">
        <v>1785</v>
      </c>
      <c r="E253" t="s">
        <v>1786</v>
      </c>
    </row>
    <row r="254" spans="1:5">
      <c r="A254" t="s">
        <v>1787</v>
      </c>
      <c r="B254" t="s">
        <v>1788</v>
      </c>
      <c r="C254" s="76">
        <f>C42*TAN(RADIANS(C213))*C253</f>
        <v>0</v>
      </c>
      <c r="D254" t="s">
        <v>304</v>
      </c>
      <c r="E254" t="s">
        <v>1789</v>
      </c>
    </row>
    <row r="255" spans="1:5">
      <c r="B255" t="s">
        <v>1790</v>
      </c>
      <c r="C255" s="200">
        <v>-2.5000000000000001E-4</v>
      </c>
      <c r="E255" t="s">
        <v>1791</v>
      </c>
    </row>
    <row r="256" spans="1:5">
      <c r="B256" t="s">
        <v>1792</v>
      </c>
      <c r="C256" s="63">
        <v>1.1000000000000001</v>
      </c>
      <c r="E256" t="s">
        <v>1793</v>
      </c>
    </row>
    <row r="257" spans="1:5">
      <c r="B257" t="s">
        <v>1794</v>
      </c>
      <c r="C257" s="47">
        <f>2*'S&amp;C Matrices'!B19</f>
        <v>8.1899838842428743</v>
      </c>
      <c r="E257" t="s">
        <v>1795</v>
      </c>
    </row>
    <row r="258" spans="1:5">
      <c r="A258" t="s">
        <v>1796</v>
      </c>
      <c r="B258" t="s">
        <v>1797</v>
      </c>
      <c r="C258" s="100">
        <f>C75*C255*C256-C75*(0.0005*SQRT(C83)*(C257/C76)^2)</f>
        <v>-8.9182810894653831E-4</v>
      </c>
      <c r="D258" t="s">
        <v>304</v>
      </c>
    </row>
    <row r="259" spans="1:5">
      <c r="B259" t="s">
        <v>1798</v>
      </c>
      <c r="C259" s="64">
        <f>-'S&amp;C Matrices'!B23</f>
        <v>0.45458482946195</v>
      </c>
    </row>
    <row r="260" spans="1:5">
      <c r="A260" t="s">
        <v>1799</v>
      </c>
      <c r="B260" t="s">
        <v>1800</v>
      </c>
      <c r="C260" s="100">
        <f>(1.2*SQRT(C83)/57.3)*(2*C257*C259/(C76^2))</f>
        <v>1.0357535337405448E-4</v>
      </c>
      <c r="D260" t="s">
        <v>304</v>
      </c>
    </row>
    <row r="261" spans="1:5">
      <c r="B261" t="s">
        <v>1801</v>
      </c>
      <c r="C261" s="47">
        <f>-C30*COS(RADIANS(C164))-(C29+C107-C95)*SIN(RADIANS(C164))</f>
        <v>10.171302768895931</v>
      </c>
    </row>
    <row r="262" spans="1:5">
      <c r="A262" t="s">
        <v>1802</v>
      </c>
      <c r="B262" t="s">
        <v>1803</v>
      </c>
      <c r="C262" s="64">
        <f>C150*C261/C76</f>
        <v>-9.0042133274527327E-4</v>
      </c>
      <c r="D262" t="s">
        <v>304</v>
      </c>
    </row>
    <row r="264" spans="1:5" ht="15.95" thickBot="1">
      <c r="A264" s="192" t="s">
        <v>1804</v>
      </c>
      <c r="B264" s="192" t="s">
        <v>1805</v>
      </c>
      <c r="C264" s="193">
        <f>C250+C252+C254+C258+C260+C262</f>
        <v>-1.688489787705487E-3</v>
      </c>
      <c r="D264" s="192" t="s">
        <v>304</v>
      </c>
      <c r="E264" s="192" t="str">
        <f>IF(C264&lt;0, "STABLE", "UNSTABLE")</f>
        <v>STABLE</v>
      </c>
    </row>
    <row r="265" spans="1:5" ht="15.95" thickTop="1"/>
  </sheetData>
  <mergeCells count="21">
    <mergeCell ref="G3:I3"/>
    <mergeCell ref="A154:E154"/>
    <mergeCell ref="A58:E58"/>
    <mergeCell ref="A98:E98"/>
    <mergeCell ref="A117:E117"/>
    <mergeCell ref="A126:E126"/>
    <mergeCell ref="A68:E68"/>
    <mergeCell ref="A70:E70"/>
    <mergeCell ref="A1:E1"/>
    <mergeCell ref="A3:E3"/>
    <mergeCell ref="A21:E21"/>
    <mergeCell ref="A34:E34"/>
    <mergeCell ref="A46:E46"/>
    <mergeCell ref="A157:E157"/>
    <mergeCell ref="A167:E167"/>
    <mergeCell ref="A180:E180"/>
    <mergeCell ref="A181:E181"/>
    <mergeCell ref="A241:E241"/>
    <mergeCell ref="A194:E194"/>
    <mergeCell ref="A210:E210"/>
    <mergeCell ref="A220:E220"/>
  </mergeCells>
  <pageMargins left="0.7" right="0.7" top="0.75" bottom="0.75" header="0.3" footer="0.3"/>
  <drawing r:id="rId1"/>
  <legacy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ECB31-2BB5-4708-B19D-4C3A4CD01AC5}">
  <dimension ref="A2:AE23"/>
  <sheetViews>
    <sheetView workbookViewId="0">
      <selection activeCell="A11" sqref="A11"/>
    </sheetView>
  </sheetViews>
  <sheetFormatPr defaultColWidth="8.42578125" defaultRowHeight="15"/>
  <cols>
    <col min="1" max="1" width="16" style="7" customWidth="1"/>
  </cols>
  <sheetData>
    <row r="2" spans="1:31">
      <c r="A2" s="362" t="s">
        <v>1806</v>
      </c>
      <c r="B2" s="362"/>
      <c r="C2" s="362"/>
      <c r="D2" s="362"/>
      <c r="E2" s="362"/>
      <c r="F2" s="362"/>
      <c r="G2" s="362"/>
      <c r="H2" s="362"/>
    </row>
    <row r="3" spans="1:31">
      <c r="A3" s="195" t="s">
        <v>1807</v>
      </c>
      <c r="B3" s="194">
        <f>Geometry!N3</f>
        <v>0</v>
      </c>
      <c r="C3" s="194">
        <f>Geometry!O3</f>
        <v>3</v>
      </c>
      <c r="D3" s="194">
        <f>Geometry!P3</f>
        <v>5</v>
      </c>
      <c r="E3" s="196">
        <f>Geometry!Q3</f>
        <v>8</v>
      </c>
      <c r="F3" s="194">
        <f>Geometry!R3</f>
        <v>10</v>
      </c>
      <c r="G3" s="194">
        <f>Geometry!S3</f>
        <v>12</v>
      </c>
      <c r="H3" s="194">
        <f>Geometry!T3</f>
        <v>14</v>
      </c>
      <c r="I3" s="194">
        <f>Geometry!U3</f>
        <v>16</v>
      </c>
      <c r="J3" s="194">
        <f>Geometry!V3</f>
        <v>18</v>
      </c>
      <c r="K3" s="194">
        <f>Geometry!W3</f>
        <v>22</v>
      </c>
      <c r="L3" s="194">
        <f>Geometry!X3</f>
        <v>26</v>
      </c>
      <c r="M3" s="194">
        <f>Geometry!Y3</f>
        <v>30</v>
      </c>
      <c r="N3" s="194">
        <f>Geometry!Z3</f>
        <v>34</v>
      </c>
      <c r="O3" s="194">
        <f>Geometry!AA3</f>
        <v>38</v>
      </c>
      <c r="P3" s="194">
        <f>Geometry!AB3</f>
        <v>42</v>
      </c>
      <c r="Q3" s="194">
        <f>Geometry!AC3</f>
        <v>46</v>
      </c>
      <c r="R3" s="194">
        <f>Geometry!AD3</f>
        <v>50</v>
      </c>
      <c r="S3" s="194">
        <f>Geometry!AE3</f>
        <v>53</v>
      </c>
      <c r="T3" s="194">
        <f>Geometry!AF3</f>
        <v>56</v>
      </c>
      <c r="U3" s="194">
        <f>Geometry!AG3</f>
        <v>59</v>
      </c>
      <c r="V3" s="198">
        <f>Geometry!AH3</f>
        <v>62</v>
      </c>
      <c r="W3" s="194">
        <f>Geometry!AI3</f>
        <v>65</v>
      </c>
      <c r="X3" s="194">
        <f>Geometry!AJ3</f>
        <v>68</v>
      </c>
      <c r="Y3">
        <f>Geometry!AK3</f>
        <v>0</v>
      </c>
      <c r="Z3">
        <f>Geometry!AL3</f>
        <v>0</v>
      </c>
      <c r="AA3">
        <f>Geometry!AM3</f>
        <v>0</v>
      </c>
      <c r="AB3">
        <f>Geometry!AN3</f>
        <v>0</v>
      </c>
      <c r="AC3">
        <f>Geometry!AO3</f>
        <v>0</v>
      </c>
      <c r="AD3">
        <f>Geometry!AP3</f>
        <v>0</v>
      </c>
      <c r="AE3">
        <f>Geometry!AQ3</f>
        <v>0</v>
      </c>
    </row>
    <row r="4" spans="1:31">
      <c r="A4" s="8" t="s">
        <v>1808</v>
      </c>
      <c r="B4" s="112">
        <f>Geometry!N8+0.5*Geometry!N4</f>
        <v>-0.53300000000000003</v>
      </c>
      <c r="C4" s="112">
        <f>Geometry!O8+0.5*Geometry!O4</f>
        <v>1.25</v>
      </c>
      <c r="D4" s="112">
        <f>Geometry!P8+0.5*Geometry!P4</f>
        <v>1.9430000000000001</v>
      </c>
      <c r="E4" s="197">
        <f>Geometry!Q8+0.5*Geometry!Q4</f>
        <v>2.8335000000000004</v>
      </c>
      <c r="F4" s="112">
        <f>Geometry!R8+0.5*Geometry!R4</f>
        <v>3.3339999999999996</v>
      </c>
      <c r="G4" s="112">
        <f>Geometry!S8+0.5*Geometry!S4</f>
        <v>4.9165000000000001</v>
      </c>
      <c r="H4" s="112">
        <f>Geometry!T8+0.5*Geometry!T4</f>
        <v>5.9169999999999998</v>
      </c>
      <c r="I4" s="112">
        <f>Geometry!U8+0.5*Geometry!U4</f>
        <v>6.4815000000000005</v>
      </c>
      <c r="J4" s="112">
        <f>Geometry!V8+0.5*Geometry!V4</f>
        <v>6.665</v>
      </c>
      <c r="K4" s="112">
        <f>Geometry!W8+0.5*Geometry!W4</f>
        <v>6.665</v>
      </c>
      <c r="L4" s="112">
        <f>Geometry!X8+0.5*Geometry!X4</f>
        <v>6.665</v>
      </c>
      <c r="M4" s="112">
        <f>Geometry!Y8+0.5*Geometry!Y4</f>
        <v>6.665</v>
      </c>
      <c r="N4" s="112">
        <f>Geometry!Z8+0.5*Geometry!Z4</f>
        <v>6.665</v>
      </c>
      <c r="O4" s="112">
        <f>Geometry!AA8+0.5*Geometry!AA4</f>
        <v>6.665</v>
      </c>
      <c r="P4" s="112">
        <f>Geometry!AB8+0.5*Geometry!AB4</f>
        <v>6.665</v>
      </c>
      <c r="Q4" s="112">
        <f>Geometry!AC8+0.5*Geometry!AC4</f>
        <v>6.665</v>
      </c>
      <c r="R4" s="112">
        <f>Geometry!AD8+0.5*Geometry!AD4</f>
        <v>6.665</v>
      </c>
      <c r="S4" s="112">
        <f>Geometry!AE8+0.5*Geometry!AE4</f>
        <v>6.6550000000000002</v>
      </c>
      <c r="T4" s="112">
        <f>Geometry!AF8+0.5*Geometry!AF4</f>
        <v>6.5950000000000006</v>
      </c>
      <c r="U4" s="112">
        <f>Geometry!AG8+0.5*Geometry!AG4</f>
        <v>6.4819999999999993</v>
      </c>
      <c r="V4" s="199">
        <f>Geometry!AH8+0.5*Geometry!AH4</f>
        <v>6.3179999999999996</v>
      </c>
      <c r="W4" s="112">
        <f>Geometry!AI8+0.5*Geometry!AI4</f>
        <v>6.1019999999999994</v>
      </c>
      <c r="X4" s="112">
        <f>Geometry!AJ8+0.5*Geometry!AJ4</f>
        <v>5.8330000000000002</v>
      </c>
      <c r="Y4">
        <f>Geometry!AK8+0.5*Geometry!AK4</f>
        <v>0</v>
      </c>
      <c r="Z4">
        <f>Geometry!AL8+0.5*Geometry!AL4</f>
        <v>0</v>
      </c>
      <c r="AA4">
        <f>Geometry!AM8+0.5*Geometry!AM4</f>
        <v>0</v>
      </c>
      <c r="AB4">
        <f>Geometry!AN8+0.5*Geometry!AN4</f>
        <v>0</v>
      </c>
      <c r="AC4">
        <f>Geometry!AO8+0.5*Geometry!AO4</f>
        <v>0</v>
      </c>
      <c r="AD4">
        <f>Geometry!AP8+0.5*Geometry!AP4</f>
        <v>0</v>
      </c>
      <c r="AE4">
        <f>Geometry!AQ8+0.5*Geometry!AQ4</f>
        <v>0</v>
      </c>
    </row>
    <row r="5" spans="1:31">
      <c r="A5" s="195" t="s">
        <v>1809</v>
      </c>
      <c r="B5" s="194">
        <f>Geometry!N8-0.5*Geometry!N4</f>
        <v>-0.53300000000000003</v>
      </c>
      <c r="C5" s="194">
        <f>Geometry!O8-0.5*Geometry!O4</f>
        <v>-1.25</v>
      </c>
      <c r="D5" s="194">
        <f>Geometry!P8-0.5*Geometry!P4</f>
        <v>-1.347</v>
      </c>
      <c r="E5" s="196">
        <f>Geometry!Q8-0.5*Geometry!Q4</f>
        <v>-1.4815</v>
      </c>
      <c r="F5" s="194">
        <f>Geometry!R8-0.5*Geometry!R4</f>
        <v>-1.5479999999999998</v>
      </c>
      <c r="G5" s="194">
        <f>Geometry!S8-0.5*Geometry!S4</f>
        <v>-1.6005000000000003</v>
      </c>
      <c r="H5" s="194">
        <f>Geometry!T8-0.5*Geometry!T4</f>
        <v>-1.637</v>
      </c>
      <c r="I5" s="194">
        <f>Geometry!U8-0.5*Geometry!U4</f>
        <v>-1.6595</v>
      </c>
      <c r="J5" s="194">
        <f>Geometry!V8-0.5*Geometry!V4</f>
        <v>-1.665</v>
      </c>
      <c r="K5" s="194">
        <f>Geometry!W8-0.5*Geometry!W4</f>
        <v>-1.665</v>
      </c>
      <c r="L5" s="194">
        <f>Geometry!X8-0.5*Geometry!X4</f>
        <v>-1.665</v>
      </c>
      <c r="M5" s="194">
        <f>Geometry!Y8-0.5*Geometry!Y4</f>
        <v>-1.665</v>
      </c>
      <c r="N5" s="194">
        <f>Geometry!Z8-0.5*Geometry!Z4</f>
        <v>-1.665</v>
      </c>
      <c r="O5" s="194">
        <f>Geometry!AA8-0.5*Geometry!AA4</f>
        <v>-1.665</v>
      </c>
      <c r="P5" s="194">
        <f>Geometry!AB8-0.5*Geometry!AB4</f>
        <v>-1.665</v>
      </c>
      <c r="Q5" s="194">
        <f>Geometry!AC8-0.5*Geometry!AC4</f>
        <v>-1.665</v>
      </c>
      <c r="R5" s="194">
        <f>Geometry!AD8-0.5*Geometry!AD4</f>
        <v>-1.665</v>
      </c>
      <c r="S5" s="194">
        <f>Geometry!AE8-0.5*Geometry!AE4</f>
        <v>-1.1909999999999998</v>
      </c>
      <c r="T5" s="194">
        <f>Geometry!AF8-0.5*Geometry!AF4</f>
        <v>-0.42099999999999982</v>
      </c>
      <c r="U5" s="194">
        <f>Geometry!AG8-0.5*Geometry!AG4</f>
        <v>0.41400000000000015</v>
      </c>
      <c r="V5" s="198">
        <f>Geometry!AH8-0.5*Geometry!AH4</f>
        <v>1.3180000000000001</v>
      </c>
      <c r="W5" s="194">
        <f>Geometry!AI8-0.5*Geometry!AI4</f>
        <v>2.29</v>
      </c>
      <c r="X5" s="194">
        <f>Geometry!AJ8-0.5*Geometry!AJ4</f>
        <v>3.3330000000000002</v>
      </c>
      <c r="Y5">
        <f>Geometry!AK8-0.5*Geometry!AK4</f>
        <v>0</v>
      </c>
      <c r="Z5">
        <f>Geometry!AL8-0.5*Geometry!AL4</f>
        <v>0</v>
      </c>
      <c r="AA5">
        <f>Geometry!AM8-0.5*Geometry!AM4</f>
        <v>0</v>
      </c>
      <c r="AB5">
        <f>Geometry!AN8-0.5*Geometry!AN4</f>
        <v>0</v>
      </c>
      <c r="AC5">
        <f>Geometry!AO8-0.5*Geometry!AO4</f>
        <v>0</v>
      </c>
      <c r="AD5">
        <f>Geometry!AP8-0.5*Geometry!AP4</f>
        <v>0</v>
      </c>
      <c r="AE5">
        <f>Geometry!AQ8-0.5*Geometry!AQ4</f>
        <v>0</v>
      </c>
    </row>
    <row r="6" spans="1:31">
      <c r="A6" s="8" t="s">
        <v>1810</v>
      </c>
      <c r="B6" s="112">
        <f>SQRT((Geometry!N4/2)^2+(Geometry!N7/2)^2)</f>
        <v>0</v>
      </c>
      <c r="C6" s="112">
        <f>SQRT((Geometry!O4/2)^2+(Geometry!O7/2)^2)</f>
        <v>1.9525624189766635</v>
      </c>
      <c r="D6" s="112">
        <f>SQRT((Geometry!P4/2)^2+(Geometry!P7/2)^2)</f>
        <v>2.5849682783353454</v>
      </c>
      <c r="E6" s="197">
        <f>SQRT((Geometry!Q4/2)^2+(Geometry!Q7/2)^2)</f>
        <v>3.4455897173052974</v>
      </c>
      <c r="F6" s="112">
        <f>SQRT((Geometry!R4/2)^2+(Geometry!R7/2)^2)</f>
        <v>3.9390167872198765</v>
      </c>
      <c r="G6" s="112">
        <f>SQRT((Geometry!S4/2)^2+(Geometry!S7/2)^2)</f>
        <v>4.7321257908048056</v>
      </c>
      <c r="H6" s="112">
        <f>SQRT((Geometry!T4/2)^2+(Geometry!T7/2)^2)</f>
        <v>5.2817225409898239</v>
      </c>
      <c r="I6" s="112">
        <f>SQRT((Geometry!U4/2)^2+(Geometry!U7/2)^2)</f>
        <v>5.6086533588732328</v>
      </c>
      <c r="J6" s="112">
        <f>SQRT((Geometry!V4/2)^2+(Geometry!V7/2)^2)</f>
        <v>5.7171843813191829</v>
      </c>
      <c r="K6" s="112">
        <f>SQRT((Geometry!W4/2)^2+(Geometry!W7/2)^2)</f>
        <v>5.8912602429361414</v>
      </c>
      <c r="L6" s="112">
        <f>SQRT((Geometry!X4/2)^2+(Geometry!X7/2)^2)</f>
        <v>5.8912602429361414</v>
      </c>
      <c r="M6" s="112">
        <f>SQRT((Geometry!Y4/2)^2+(Geometry!Y7/2)^2)</f>
        <v>5.8912602429361414</v>
      </c>
      <c r="N6" s="112">
        <f>SQRT((Geometry!Z4/2)^2+(Geometry!Z7/2)^2)</f>
        <v>5.8912602429361414</v>
      </c>
      <c r="O6" s="112">
        <f>SQRT((Geometry!AA4/2)^2+(Geometry!AA7/2)^2)</f>
        <v>5.8912602429361414</v>
      </c>
      <c r="P6" s="112">
        <f>SQRT((Geometry!AB4/2)^2+(Geometry!AB7/2)^2)</f>
        <v>5.8912602429361414</v>
      </c>
      <c r="Q6" s="112">
        <f>SQRT((Geometry!AC4/2)^2+(Geometry!AC7/2)^2)</f>
        <v>5.7171843813191829</v>
      </c>
      <c r="R6" s="112">
        <f>SQRT((Geometry!AD4/2)^2+(Geometry!AD7/2)^2)</f>
        <v>5.6980397725884648</v>
      </c>
      <c r="S6" s="112">
        <f>SQRT((Geometry!AE4/2)^2+(Geometry!AE7/2)^2)</f>
        <v>5.2904517056674853</v>
      </c>
      <c r="T6" s="112">
        <f>SQRT((Geometry!AF4/2)^2+(Geometry!AF7/2)^2)</f>
        <v>4.7157201199816772</v>
      </c>
      <c r="U6" s="112">
        <f>SQRT((Geometry!AG4/2)^2+(Geometry!AG7/2)^2)</f>
        <v>4.0767493177775842</v>
      </c>
      <c r="V6" s="199">
        <f>SQRT((Geometry!AH4/2)^2+(Geometry!AH7/2)^2)</f>
        <v>3.37211639775379</v>
      </c>
      <c r="W6" s="112">
        <f>SQRT((Geometry!AI4/2)^2+(Geometry!AI7/2)^2)</f>
        <v>2.6024642168529426</v>
      </c>
      <c r="X6" s="112">
        <f>SQRT((Geometry!AJ4/2)^2+(Geometry!AJ7/2)^2)</f>
        <v>1.7677669529663689</v>
      </c>
      <c r="Y6">
        <f>SQRT((Geometry!AK4/2)^2+(Geometry!AK7/2)^2)</f>
        <v>0</v>
      </c>
      <c r="Z6">
        <f>SQRT((Geometry!AL4/2)^2+(Geometry!AL7/2)^2)</f>
        <v>0</v>
      </c>
      <c r="AA6">
        <f>SQRT((Geometry!AM4/2)^2+(Geometry!AM7/2)^2)</f>
        <v>0</v>
      </c>
      <c r="AB6">
        <f>SQRT((Geometry!AN4/2)^2+(Geometry!AN7/2)^2)</f>
        <v>0</v>
      </c>
      <c r="AC6">
        <f>SQRT((Geometry!AO4/2)^2+(Geometry!AO7/2)^2)</f>
        <v>0</v>
      </c>
      <c r="AD6">
        <f>SQRT((Geometry!AP4/2)^2+(Geometry!AP7/2)^2)</f>
        <v>0</v>
      </c>
      <c r="AE6">
        <f>SQRT((Geometry!AQ4/2)^2+(Geometry!AQ7/2)^2)</f>
        <v>0</v>
      </c>
    </row>
    <row r="9" spans="1:31">
      <c r="A9" s="362" t="s">
        <v>1514</v>
      </c>
      <c r="B9" s="362"/>
      <c r="C9" s="362"/>
      <c r="D9" s="362"/>
      <c r="E9" s="362"/>
      <c r="F9" s="362"/>
      <c r="G9" s="362"/>
      <c r="H9" s="362"/>
    </row>
    <row r="10" spans="1:31">
      <c r="A10" s="7" t="s">
        <v>1587</v>
      </c>
      <c r="B10" cm="1">
        <f t="array" ref="B10:AE10">B4:AE4-B5:AE5</f>
        <v>0</v>
      </c>
      <c r="C10">
        <v>2.5</v>
      </c>
      <c r="D10">
        <v>3.29</v>
      </c>
      <c r="E10">
        <v>4.3150000000000004</v>
      </c>
      <c r="F10">
        <v>4.8819999999999997</v>
      </c>
      <c r="G10">
        <v>6.5170000000000003</v>
      </c>
      <c r="H10">
        <v>7.5540000000000003</v>
      </c>
      <c r="I10">
        <v>8.141</v>
      </c>
      <c r="J10">
        <v>8.33</v>
      </c>
      <c r="K10">
        <v>8.33</v>
      </c>
      <c r="L10">
        <v>8.33</v>
      </c>
      <c r="M10">
        <v>8.33</v>
      </c>
      <c r="N10">
        <v>8.33</v>
      </c>
      <c r="O10">
        <v>8.33</v>
      </c>
      <c r="P10">
        <v>8.33</v>
      </c>
      <c r="Q10">
        <v>8.33</v>
      </c>
      <c r="R10">
        <v>8.33</v>
      </c>
      <c r="S10">
        <v>7.8460000000000001</v>
      </c>
      <c r="T10">
        <v>7.016</v>
      </c>
      <c r="U10">
        <v>6.0679999999999996</v>
      </c>
      <c r="V10">
        <v>5</v>
      </c>
      <c r="W10">
        <v>3.8119999999999994</v>
      </c>
      <c r="X10">
        <v>2.5</v>
      </c>
      <c r="Y10">
        <v>0</v>
      </c>
      <c r="Z10">
        <v>0</v>
      </c>
      <c r="AA10">
        <v>0</v>
      </c>
      <c r="AB10">
        <v>0</v>
      </c>
      <c r="AC10">
        <v>0</v>
      </c>
      <c r="AD10">
        <v>0</v>
      </c>
      <c r="AE10">
        <v>0</v>
      </c>
    </row>
    <row r="11" spans="1:31">
      <c r="A11" s="7" t="s">
        <v>1735</v>
      </c>
      <c r="B11">
        <f t="shared" ref="B11:F11" si="0">0.5*(B10+C10)*(C3-B3)</f>
        <v>3.75</v>
      </c>
      <c r="C11">
        <f>0.5*(C10+D10)*(D3-C3)</f>
        <v>5.79</v>
      </c>
      <c r="D11">
        <f>0.5*(D10+E10)*(E3-D3)</f>
        <v>11.407500000000001</v>
      </c>
      <c r="E11">
        <f t="shared" si="0"/>
        <v>9.1969999999999992</v>
      </c>
      <c r="F11">
        <f t="shared" si="0"/>
        <v>11.399000000000001</v>
      </c>
      <c r="G11">
        <f t="shared" ref="G11:AD11" si="1">0.5*(G10+H10)*(H3-G3)</f>
        <v>14.071000000000002</v>
      </c>
      <c r="H11">
        <f t="shared" si="1"/>
        <v>15.695</v>
      </c>
      <c r="I11">
        <f t="shared" si="1"/>
        <v>16.471</v>
      </c>
      <c r="J11">
        <f t="shared" si="1"/>
        <v>33.32</v>
      </c>
      <c r="K11">
        <f t="shared" si="1"/>
        <v>33.32</v>
      </c>
      <c r="L11">
        <f t="shared" si="1"/>
        <v>33.32</v>
      </c>
      <c r="M11">
        <f t="shared" si="1"/>
        <v>33.32</v>
      </c>
      <c r="N11">
        <f t="shared" si="1"/>
        <v>33.32</v>
      </c>
      <c r="O11">
        <f t="shared" si="1"/>
        <v>33.32</v>
      </c>
      <c r="P11">
        <f t="shared" si="1"/>
        <v>33.32</v>
      </c>
      <c r="Q11">
        <f t="shared" si="1"/>
        <v>33.32</v>
      </c>
      <c r="R11">
        <f t="shared" si="1"/>
        <v>24.264000000000003</v>
      </c>
      <c r="S11">
        <f t="shared" si="1"/>
        <v>22.292999999999999</v>
      </c>
      <c r="T11">
        <f t="shared" si="1"/>
        <v>19.625999999999998</v>
      </c>
      <c r="U11">
        <f t="shared" si="1"/>
        <v>16.602</v>
      </c>
      <c r="V11">
        <f t="shared" si="1"/>
        <v>13.218</v>
      </c>
      <c r="W11">
        <f t="shared" si="1"/>
        <v>9.468</v>
      </c>
      <c r="X11">
        <f>0.5*(X10+Y10)*(Y3-X3)</f>
        <v>-85</v>
      </c>
      <c r="Y11">
        <f t="shared" si="1"/>
        <v>0</v>
      </c>
      <c r="Z11">
        <f t="shared" si="1"/>
        <v>0</v>
      </c>
      <c r="AA11">
        <f t="shared" si="1"/>
        <v>0</v>
      </c>
      <c r="AB11">
        <f t="shared" si="1"/>
        <v>0</v>
      </c>
      <c r="AC11">
        <f t="shared" si="1"/>
        <v>0</v>
      </c>
      <c r="AD11">
        <f t="shared" si="1"/>
        <v>0</v>
      </c>
    </row>
    <row r="14" spans="1:31">
      <c r="A14" s="7" t="s">
        <v>1741</v>
      </c>
      <c r="B14">
        <f>'Stability and Control'!C121/4</f>
        <v>17</v>
      </c>
      <c r="C14">
        <f>3*'Stability and Control'!C121/4</f>
        <v>51</v>
      </c>
    </row>
    <row r="15" spans="1:31">
      <c r="A15" s="7" t="s">
        <v>1742</v>
      </c>
      <c r="B15">
        <f>_xlfn.FORECAST.LINEAR(B14,_xlfn.ANCHORARRAY(B10),B3:AE3)</f>
        <v>4.197321405529526</v>
      </c>
      <c r="C15">
        <f>_xlfn.FORECAST.LINEAR(C14,_xlfn.ANCHORARRAY(B10),B3:AE3)</f>
        <v>6.9669520943395824</v>
      </c>
    </row>
    <row r="18" spans="1:2">
      <c r="A18" s="7" t="s">
        <v>1811</v>
      </c>
      <c r="B18">
        <f>'Stability and Control'!C23+'Stability and Control'!C90</f>
        <v>37.586129050390817</v>
      </c>
    </row>
    <row r="19" spans="1:2">
      <c r="A19" s="7" t="s">
        <v>1812</v>
      </c>
      <c r="B19">
        <f>_xlfn.FORECAST.LINEAR(B18,B6:AE6,B3:AE3)</f>
        <v>4.0949919421214371</v>
      </c>
    </row>
    <row r="22" spans="1:2">
      <c r="A22" s="7" t="s">
        <v>1813</v>
      </c>
      <c r="B22">
        <f>'Stability and Control'!C23+'Stability and Control'!C72/4</f>
        <v>37.5</v>
      </c>
    </row>
    <row r="23" spans="1:2">
      <c r="A23" s="7" t="s">
        <v>1814</v>
      </c>
      <c r="B23">
        <f>_xlfn.FORECAST.LINEAR(B22,B5:AE5,B3:AE3)</f>
        <v>-0.45458482946195</v>
      </c>
    </row>
  </sheetData>
  <mergeCells count="2">
    <mergeCell ref="A2:H2"/>
    <mergeCell ref="A9:H9"/>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76659-9550-1E48-A34E-A3C146E3898C}">
  <dimension ref="A1:AU361"/>
  <sheetViews>
    <sheetView topLeftCell="A2" zoomScaleNormal="100" workbookViewId="0">
      <selection activeCell="O162" sqref="O162"/>
    </sheetView>
  </sheetViews>
  <sheetFormatPr defaultColWidth="11.42578125" defaultRowHeight="15"/>
  <cols>
    <col min="1" max="1" width="30.42578125" bestFit="1" customWidth="1"/>
    <col min="3" max="3" width="12.42578125" bestFit="1" customWidth="1"/>
    <col min="4" max="5" width="11.42578125" customWidth="1"/>
    <col min="9" max="9" width="18.7109375" bestFit="1" customWidth="1"/>
    <col min="12" max="14" width="11.7109375" bestFit="1" customWidth="1"/>
    <col min="15" max="15" width="16.7109375" bestFit="1" customWidth="1"/>
    <col min="16" max="16" width="11.7109375" bestFit="1" customWidth="1"/>
    <col min="17" max="17" width="9.42578125" customWidth="1"/>
    <col min="18" max="18" width="17" bestFit="1" customWidth="1"/>
    <col min="19" max="25" width="11.7109375" bestFit="1" customWidth="1"/>
    <col min="28" max="28" width="11.7109375" bestFit="1" customWidth="1"/>
    <col min="30" max="35" width="11.7109375" bestFit="1" customWidth="1"/>
    <col min="38" max="38" width="11.7109375" bestFit="1" customWidth="1"/>
    <col min="40" max="45" width="11.7109375" bestFit="1" customWidth="1"/>
    <col min="47" max="47" width="12.140625" bestFit="1" customWidth="1"/>
  </cols>
  <sheetData>
    <row r="1" spans="1:5">
      <c r="A1" s="365" t="s">
        <v>1815</v>
      </c>
      <c r="B1" s="365"/>
      <c r="C1" s="365"/>
      <c r="D1" s="365"/>
      <c r="E1" s="265"/>
    </row>
    <row r="2" spans="1:5">
      <c r="A2" s="7" t="s">
        <v>1816</v>
      </c>
      <c r="B2" t="s">
        <v>1817</v>
      </c>
      <c r="C2" t="s">
        <v>1818</v>
      </c>
      <c r="D2" t="s">
        <v>193</v>
      </c>
    </row>
    <row r="3" spans="1:5">
      <c r="A3" t="s">
        <v>1819</v>
      </c>
      <c r="B3">
        <v>3600</v>
      </c>
      <c r="C3" t="s">
        <v>324</v>
      </c>
    </row>
    <row r="4" spans="1:5">
      <c r="A4" t="s">
        <v>594</v>
      </c>
      <c r="B4">
        <v>0.34</v>
      </c>
      <c r="C4" t="s">
        <v>1820</v>
      </c>
      <c r="D4" t="s">
        <v>1821</v>
      </c>
    </row>
    <row r="5" spans="1:5">
      <c r="A5" t="s">
        <v>1822</v>
      </c>
      <c r="B5">
        <v>0.47</v>
      </c>
      <c r="C5" t="s">
        <v>1820</v>
      </c>
      <c r="D5" t="s">
        <v>1821</v>
      </c>
    </row>
    <row r="6" spans="1:5">
      <c r="A6" t="s">
        <v>1823</v>
      </c>
      <c r="B6">
        <v>0.34</v>
      </c>
    </row>
    <row r="7" spans="1:5">
      <c r="A7" t="s">
        <v>1824</v>
      </c>
      <c r="B7">
        <v>4</v>
      </c>
    </row>
    <row r="8" spans="1:5">
      <c r="A8" s="7" t="s">
        <v>1825</v>
      </c>
    </row>
    <row r="9" spans="1:5">
      <c r="A9" t="s">
        <v>1826</v>
      </c>
      <c r="B9">
        <v>370</v>
      </c>
      <c r="C9" t="s">
        <v>1827</v>
      </c>
    </row>
    <row r="12" spans="1:5">
      <c r="A12" s="7" t="s">
        <v>1828</v>
      </c>
    </row>
    <row r="13" spans="1:5">
      <c r="A13" t="s">
        <v>1829</v>
      </c>
      <c r="B13">
        <v>500</v>
      </c>
      <c r="C13" t="s">
        <v>1830</v>
      </c>
    </row>
    <row r="14" spans="1:5">
      <c r="A14" t="s">
        <v>1831</v>
      </c>
      <c r="B14">
        <v>2</v>
      </c>
    </row>
    <row r="15" spans="1:5">
      <c r="A15" t="s">
        <v>1832</v>
      </c>
      <c r="B15">
        <v>5000</v>
      </c>
      <c r="C15" t="s">
        <v>1833</v>
      </c>
      <c r="D15" t="s">
        <v>1834</v>
      </c>
    </row>
    <row r="16" spans="1:5">
      <c r="A16" t="s">
        <v>1835</v>
      </c>
      <c r="B16">
        <v>3200</v>
      </c>
      <c r="C16" t="s">
        <v>1836</v>
      </c>
    </row>
    <row r="17" spans="1:9">
      <c r="A17" t="s">
        <v>1837</v>
      </c>
      <c r="B17">
        <v>220</v>
      </c>
      <c r="C17" t="s">
        <v>327</v>
      </c>
    </row>
    <row r="18" spans="1:9">
      <c r="A18" t="s">
        <v>1838</v>
      </c>
      <c r="B18">
        <v>5.75</v>
      </c>
    </row>
    <row r="19" spans="1:9">
      <c r="A19" t="s">
        <v>1839</v>
      </c>
      <c r="B19">
        <v>1341</v>
      </c>
      <c r="C19" t="s">
        <v>382</v>
      </c>
    </row>
    <row r="20" spans="1:9">
      <c r="A20" s="327" t="s">
        <v>364</v>
      </c>
      <c r="B20" s="327"/>
      <c r="C20" s="327"/>
      <c r="D20" s="327"/>
      <c r="E20" s="327"/>
      <c r="F20" s="327"/>
    </row>
    <row r="21" spans="1:9">
      <c r="A21" s="7" t="s">
        <v>365</v>
      </c>
      <c r="B21" s="7" t="s">
        <v>366</v>
      </c>
      <c r="C21" s="7" t="s">
        <v>191</v>
      </c>
      <c r="D21" s="7" t="s">
        <v>367</v>
      </c>
      <c r="E21" s="7"/>
    </row>
    <row r="22" spans="1:9">
      <c r="A22" s="221" t="s">
        <v>1840</v>
      </c>
      <c r="C22">
        <v>1000</v>
      </c>
      <c r="D22" t="s">
        <v>1830</v>
      </c>
      <c r="H22" t="s">
        <v>370</v>
      </c>
      <c r="I22">
        <v>3200</v>
      </c>
    </row>
    <row r="23" spans="1:9">
      <c r="A23" t="s">
        <v>368</v>
      </c>
      <c r="C23">
        <f>Drag!C99</f>
        <v>1932.0839843821918</v>
      </c>
      <c r="G23" t="s">
        <v>372</v>
      </c>
      <c r="H23" t="s">
        <v>373</v>
      </c>
      <c r="I23">
        <v>2200</v>
      </c>
    </row>
    <row r="24" spans="1:9">
      <c r="A24" t="s">
        <v>371</v>
      </c>
      <c r="F24">
        <v>420</v>
      </c>
      <c r="G24" t="s">
        <v>1057</v>
      </c>
    </row>
    <row r="25" spans="1:9">
      <c r="A25" t="s">
        <v>374</v>
      </c>
      <c r="C25">
        <f>(I22*I23)/5252</f>
        <v>1340.4417364813405</v>
      </c>
      <c r="D25" t="s">
        <v>382</v>
      </c>
    </row>
    <row r="26" spans="1:9">
      <c r="A26" s="7" t="s">
        <v>375</v>
      </c>
      <c r="B26" t="s">
        <v>377</v>
      </c>
      <c r="C26">
        <v>105</v>
      </c>
      <c r="F26">
        <f>C26/12</f>
        <v>8.75</v>
      </c>
      <c r="G26" t="s">
        <v>66</v>
      </c>
    </row>
    <row r="27" spans="1:9">
      <c r="A27" t="s">
        <v>379</v>
      </c>
      <c r="B27" t="s">
        <v>380</v>
      </c>
      <c r="C27">
        <v>0.85</v>
      </c>
    </row>
    <row r="28" spans="1:9">
      <c r="C28">
        <v>2739</v>
      </c>
    </row>
    <row r="29" spans="1:9">
      <c r="A29" t="s">
        <v>1841</v>
      </c>
      <c r="B29" t="s">
        <v>384</v>
      </c>
      <c r="D29" t="s">
        <v>382</v>
      </c>
      <c r="F29">
        <f>C28+C30</f>
        <v>4079.4417364813407</v>
      </c>
      <c r="G29" t="s">
        <v>385</v>
      </c>
    </row>
    <row r="30" spans="1:9">
      <c r="A30" t="s">
        <v>383</v>
      </c>
      <c r="B30" t="s">
        <v>387</v>
      </c>
      <c r="C30">
        <f>C25</f>
        <v>1340.4417364813405</v>
      </c>
      <c r="F30">
        <v>737550</v>
      </c>
      <c r="G30" t="s">
        <v>389</v>
      </c>
    </row>
    <row r="31" spans="1:9">
      <c r="A31" t="s">
        <v>386</v>
      </c>
      <c r="B31" t="s">
        <v>391</v>
      </c>
      <c r="C31">
        <f>C30*550</f>
        <v>737242.95506473724</v>
      </c>
    </row>
    <row r="32" spans="1:9">
      <c r="A32" t="s">
        <v>1842</v>
      </c>
      <c r="B32" t="s">
        <v>391</v>
      </c>
      <c r="C32">
        <f>C27*(C31/Drag!C8)</f>
        <v>1178.0865224071858</v>
      </c>
      <c r="D32" t="s">
        <v>327</v>
      </c>
      <c r="F32" t="e" vm="2">
        <v>#VALUE!</v>
      </c>
    </row>
    <row r="33" spans="1:45">
      <c r="A33" t="s">
        <v>1843</v>
      </c>
      <c r="C33">
        <v>2264.6999999999998</v>
      </c>
      <c r="D33" t="s">
        <v>327</v>
      </c>
    </row>
    <row r="34" spans="1:45">
      <c r="A34" t="s">
        <v>1844</v>
      </c>
    </row>
    <row r="35" spans="1:45">
      <c r="A35" s="7" t="s">
        <v>1845</v>
      </c>
      <c r="D35" t="s">
        <v>324</v>
      </c>
      <c r="G35" t="s">
        <v>1846</v>
      </c>
    </row>
    <row r="36" spans="1:45">
      <c r="A36" t="s">
        <v>1847</v>
      </c>
      <c r="C36">
        <f>C38+C33</f>
        <v>4288.5095238095237</v>
      </c>
    </row>
    <row r="37" spans="1:45">
      <c r="A37" t="s">
        <v>1848</v>
      </c>
      <c r="B37" t="s">
        <v>1849</v>
      </c>
    </row>
    <row r="38" spans="1:45">
      <c r="A38" t="s">
        <v>1850</v>
      </c>
      <c r="B38" t="s">
        <v>574</v>
      </c>
      <c r="C38">
        <f>(C27*1000*C22)/F24</f>
        <v>2023.8095238095239</v>
      </c>
    </row>
    <row r="39" spans="1:45">
      <c r="A39" t="s">
        <v>372</v>
      </c>
      <c r="B39" t="s">
        <v>1851</v>
      </c>
    </row>
    <row r="40" spans="1:45">
      <c r="A40" t="s">
        <v>1852</v>
      </c>
      <c r="B40" t="s">
        <v>1853</v>
      </c>
    </row>
    <row r="41" spans="1:45">
      <c r="A41" t="s">
        <v>1854</v>
      </c>
      <c r="B41" t="s">
        <v>1855</v>
      </c>
      <c r="C41">
        <v>3600</v>
      </c>
      <c r="D41" t="s">
        <v>324</v>
      </c>
    </row>
    <row r="43" spans="1:45">
      <c r="A43" t="s">
        <v>1856</v>
      </c>
      <c r="B43" t="s">
        <v>1857</v>
      </c>
      <c r="C43">
        <f>0.75*B3*((5+B7)/(4+B7))</f>
        <v>3037.5</v>
      </c>
      <c r="D43" t="s">
        <v>324</v>
      </c>
    </row>
    <row r="44" spans="1:45">
      <c r="A44" t="s">
        <v>1858</v>
      </c>
      <c r="B44" t="s">
        <v>1859</v>
      </c>
      <c r="C44">
        <f>B18*B19*((Drag!C11*1*(C158^2))/B19)^(1/3)</f>
        <v>2573.2845174158419</v>
      </c>
    </row>
    <row r="45" spans="1:45">
      <c r="A45" t="s">
        <v>1860</v>
      </c>
      <c r="B45" t="s">
        <v>1861</v>
      </c>
      <c r="C45">
        <f>C43+C44</f>
        <v>5610.7845174158419</v>
      </c>
    </row>
    <row r="46" spans="1:45">
      <c r="A46" s="7" t="s">
        <v>1862</v>
      </c>
      <c r="Q46" t="s">
        <v>1863</v>
      </c>
    </row>
    <row r="47" spans="1:45">
      <c r="A47" s="7" t="s">
        <v>1864</v>
      </c>
      <c r="B47" t="s">
        <v>1865</v>
      </c>
      <c r="I47" s="7" t="s">
        <v>1866</v>
      </c>
      <c r="L47" t="s">
        <v>1867</v>
      </c>
      <c r="M47" t="s">
        <v>1868</v>
      </c>
      <c r="N47" t="s">
        <v>372</v>
      </c>
      <c r="O47" t="s">
        <v>1869</v>
      </c>
      <c r="P47" t="s">
        <v>1870</v>
      </c>
      <c r="Q47" t="s">
        <v>1871</v>
      </c>
      <c r="S47" s="7" t="s">
        <v>958</v>
      </c>
      <c r="T47" t="s">
        <v>1867</v>
      </c>
      <c r="U47" t="s">
        <v>1868</v>
      </c>
      <c r="V47" t="s">
        <v>1869</v>
      </c>
      <c r="W47" t="s">
        <v>372</v>
      </c>
      <c r="X47" t="s">
        <v>1870</v>
      </c>
      <c r="Y47" t="s">
        <v>1871</v>
      </c>
      <c r="AA47" s="7" t="s">
        <v>1872</v>
      </c>
      <c r="AD47" t="s">
        <v>1867</v>
      </c>
      <c r="AE47" t="s">
        <v>1868</v>
      </c>
      <c r="AF47" t="s">
        <v>1869</v>
      </c>
      <c r="AG47" t="s">
        <v>372</v>
      </c>
      <c r="AH47" t="s">
        <v>1870</v>
      </c>
      <c r="AI47" t="s">
        <v>1871</v>
      </c>
      <c r="AK47" s="7" t="s">
        <v>1873</v>
      </c>
      <c r="AN47" t="s">
        <v>1867</v>
      </c>
      <c r="AO47" t="s">
        <v>1868</v>
      </c>
      <c r="AP47" t="s">
        <v>1869</v>
      </c>
      <c r="AQ47" t="s">
        <v>372</v>
      </c>
      <c r="AR47" t="s">
        <v>1870</v>
      </c>
      <c r="AS47" t="s">
        <v>1871</v>
      </c>
    </row>
    <row r="48" spans="1:45">
      <c r="A48" t="s">
        <v>1874</v>
      </c>
      <c r="B48" t="s">
        <v>1875</v>
      </c>
      <c r="C48">
        <v>2.3779999999999999E-3</v>
      </c>
      <c r="F48" t="s">
        <v>1863</v>
      </c>
      <c r="L48">
        <v>0</v>
      </c>
      <c r="M48" s="190">
        <v>1.0442</v>
      </c>
      <c r="N48" s="31">
        <f t="shared" ref="N48:N53" si="0">($I$52/$I$53)*(1+((1.4-1)/2)*L48^2)^(1.4/(1.4-1))</f>
        <v>0.83296323710831488</v>
      </c>
      <c r="O48" s="190">
        <f t="shared" ref="O48:O53" si="1">0.9616*(1+((1.4-1)/2)*L48^2)</f>
        <v>0.96160000000000001</v>
      </c>
      <c r="P48" s="31">
        <f t="shared" ref="P48:P53" si="2">$C$41*N48*(1-0.49*(SQRT(L48)))</f>
        <v>2998.6676535899337</v>
      </c>
      <c r="Q48" s="31">
        <f t="shared" ref="Q48:Q53" si="3">P48/$C$41</f>
        <v>0.83296323710831488</v>
      </c>
      <c r="T48">
        <v>0</v>
      </c>
      <c r="U48" s="190">
        <v>1.0442</v>
      </c>
      <c r="V48" s="190">
        <f t="shared" ref="V48:V53" si="4">0.93125*(1+((1.4-1)/2)*T48^2)</f>
        <v>0.93125000000000002</v>
      </c>
      <c r="W48" s="31">
        <f t="shared" ref="W48:W79" si="5">($S$51/$S$52)*(1+((1.4-1)/2)*T48^2)^(1.4/(1.4-1))</f>
        <v>0.68887244016777693</v>
      </c>
      <c r="X48" s="31">
        <f t="shared" ref="X48:X94" si="6">$C$41*W48*(1-0.49*(SQRT(T48)))</f>
        <v>2479.9407846039971</v>
      </c>
      <c r="Y48" s="31">
        <f>X48/$C$41</f>
        <v>0.68887244016777693</v>
      </c>
      <c r="AD48">
        <v>0</v>
      </c>
      <c r="AE48" s="190">
        <v>1.0442</v>
      </c>
      <c r="AF48" s="190">
        <f t="shared" ref="AF48:AF53" si="7">0.896859*(1+((1.4-1)/2)*AD48^2)</f>
        <v>0.89685899999999996</v>
      </c>
      <c r="AG48" s="31">
        <f>($AB$51/$AB$52)*(1+((1.4-1)/2)*AD48^2)^(1.4/(1.4-1))</f>
        <v>0.56412533925487296</v>
      </c>
      <c r="AH48" s="31">
        <f>$C$41*AG48*(1-0.49*(SQRT(AD48)))</f>
        <v>2030.8512213175427</v>
      </c>
      <c r="AI48" s="31">
        <f t="shared" ref="AI48:AI53" si="8">AH48/$C$41</f>
        <v>0.56412533925487296</v>
      </c>
      <c r="AN48">
        <v>0</v>
      </c>
      <c r="AO48" s="190">
        <v>1.0442</v>
      </c>
      <c r="AP48" s="190">
        <f>$AL$50*(1+((1.4-1)/2)*AN48^2)</f>
        <v>0.86250216899999999</v>
      </c>
      <c r="AQ48" s="31">
        <f>($AL$51/$AL$52)*(1+((1.4-1)/2)*AN48^2)^(1.4/(1.4-1))</f>
        <v>0.46000493461633357</v>
      </c>
      <c r="AR48" s="31">
        <f>$C$41*AQ48*(1-0.49*(SQRT(AN48)))</f>
        <v>1656.0177646188008</v>
      </c>
      <c r="AS48" s="31">
        <f t="shared" ref="AS48:AS53" si="9">AR48/$C$41</f>
        <v>0.46000493461633357</v>
      </c>
    </row>
    <row r="49" spans="1:45">
      <c r="A49" t="s">
        <v>1867</v>
      </c>
      <c r="B49" t="s">
        <v>1876</v>
      </c>
      <c r="C49" t="s">
        <v>1868</v>
      </c>
      <c r="D49" t="s">
        <v>1877</v>
      </c>
      <c r="E49" t="s">
        <v>1878</v>
      </c>
      <c r="F49" t="s">
        <v>1879</v>
      </c>
      <c r="G49" t="s">
        <v>1871</v>
      </c>
      <c r="L49">
        <v>0.01</v>
      </c>
      <c r="M49" s="190">
        <v>1.0442</v>
      </c>
      <c r="N49" s="31">
        <f t="shared" si="0"/>
        <v>0.83302154599261247</v>
      </c>
      <c r="O49" s="190">
        <f t="shared" si="1"/>
        <v>0.96161923199999988</v>
      </c>
      <c r="P49" s="31">
        <f t="shared" si="2"/>
        <v>2851.932564860308</v>
      </c>
      <c r="Q49" s="31">
        <f t="shared" si="3"/>
        <v>0.79220349023897441</v>
      </c>
      <c r="R49" t="s">
        <v>1880</v>
      </c>
      <c r="S49">
        <v>0.93189999999999995</v>
      </c>
      <c r="T49">
        <v>0.01</v>
      </c>
      <c r="U49" s="190">
        <v>1.0442</v>
      </c>
      <c r="V49" s="190">
        <f t="shared" si="4"/>
        <v>0.93126862499999996</v>
      </c>
      <c r="W49" s="31">
        <f t="shared" si="5"/>
        <v>0.68892066244412731</v>
      </c>
      <c r="X49" s="31">
        <f t="shared" si="6"/>
        <v>2358.5887799437141</v>
      </c>
      <c r="Y49" s="31">
        <f t="shared" ref="Y49:Y53" si="10">X49/$C$41</f>
        <v>0.65516354998436499</v>
      </c>
      <c r="AA49" t="s">
        <v>1880</v>
      </c>
      <c r="AB49">
        <v>0.93189999999999995</v>
      </c>
      <c r="AD49">
        <v>0.01</v>
      </c>
      <c r="AE49" s="190">
        <v>1.0442</v>
      </c>
      <c r="AF49" s="190">
        <f t="shared" si="7"/>
        <v>0.89687693717999983</v>
      </c>
      <c r="AG49" s="31">
        <f t="shared" ref="AG49:AG53" si="11">($AB$51/$AB$52)*(1+((1.4-1)/2)*AD49^2)^(1.4/(1.4-1))</f>
        <v>0.56416482901584986</v>
      </c>
      <c r="AH49" s="31">
        <f t="shared" ref="AH49:AH53" si="12">$C$41*AG49*(1-0.49*(SQRT(AD49)))</f>
        <v>1931.4747086186635</v>
      </c>
      <c r="AI49" s="31">
        <f t="shared" si="8"/>
        <v>0.53652075239407315</v>
      </c>
      <c r="AN49">
        <v>0.01</v>
      </c>
      <c r="AO49" s="190">
        <v>1.0442</v>
      </c>
      <c r="AP49" s="190">
        <f t="shared" ref="AP49:AP112" si="13">$AL$50*(1+((1.4-1)/2)*AN49^2)</f>
        <v>0.86251941904337992</v>
      </c>
      <c r="AQ49" s="31">
        <f t="shared" ref="AQ49:AQ112" si="14">($AL$51/$AL$52)*(1+((1.4-1)/2)*AN49^2)^(1.4/(1.4-1))</f>
        <v>0.4600371357667733</v>
      </c>
      <c r="AR49" s="31">
        <f t="shared" ref="AR49:AR112" si="15">$C$41*AQ49*(1-0.49*(SQRT(AN49)))</f>
        <v>1574.983138011125</v>
      </c>
      <c r="AS49" s="31">
        <f t="shared" si="9"/>
        <v>0.43749531611420139</v>
      </c>
    </row>
    <row r="50" spans="1:45">
      <c r="A50">
        <v>0</v>
      </c>
      <c r="B50">
        <f t="shared" ref="B50:B81" si="16">1*(1+((1.4-1)/2)*A50^2)</f>
        <v>1</v>
      </c>
      <c r="C50" s="31">
        <v>1.0441800000000001</v>
      </c>
      <c r="D50">
        <f t="shared" ref="D50:D81" si="17">1*(1+((1.4-1)/2)*A50^2)</f>
        <v>1</v>
      </c>
      <c r="F50" s="31">
        <f t="shared" ref="F50:F81" si="18">$C$41*D50*(1-0.49*(SQRT(A50)))</f>
        <v>3600</v>
      </c>
      <c r="G50" s="31">
        <f t="shared" ref="G50:G55" si="19">F50/$C$41</f>
        <v>1</v>
      </c>
      <c r="H50" t="s">
        <v>1880</v>
      </c>
      <c r="I50">
        <v>0.96160000000000001</v>
      </c>
      <c r="L50">
        <v>0.02</v>
      </c>
      <c r="M50" s="190">
        <v>1.0442</v>
      </c>
      <c r="N50" s="31">
        <f t="shared" si="0"/>
        <v>0.83319649013860908</v>
      </c>
      <c r="O50" s="190">
        <f t="shared" si="1"/>
        <v>0.96167692800000004</v>
      </c>
      <c r="P50" s="31">
        <f t="shared" si="2"/>
        <v>2791.6521087286824</v>
      </c>
      <c r="Q50" s="31">
        <f t="shared" si="3"/>
        <v>0.77545891909130071</v>
      </c>
      <c r="R50" t="s">
        <v>1881</v>
      </c>
      <c r="S50">
        <v>0.83289999999999997</v>
      </c>
      <c r="T50">
        <v>0.02</v>
      </c>
      <c r="U50" s="190">
        <v>1.0442</v>
      </c>
      <c r="V50" s="190">
        <f t="shared" si="4"/>
        <v>0.93132450000000011</v>
      </c>
      <c r="W50" s="31">
        <f t="shared" si="5"/>
        <v>0.68906534374022399</v>
      </c>
      <c r="X50" s="31">
        <f t="shared" si="6"/>
        <v>2308.7359856547628</v>
      </c>
      <c r="Y50" s="31">
        <f t="shared" si="10"/>
        <v>0.64131555157076747</v>
      </c>
      <c r="AA50" t="s">
        <v>1881</v>
      </c>
      <c r="AB50">
        <v>0.83289999999999997</v>
      </c>
      <c r="AD50">
        <v>0.02</v>
      </c>
      <c r="AE50" s="190">
        <v>1.0442</v>
      </c>
      <c r="AF50" s="190">
        <f t="shared" si="7"/>
        <v>0.89693074872</v>
      </c>
      <c r="AG50" s="31">
        <f t="shared" si="11"/>
        <v>0.56428331014600586</v>
      </c>
      <c r="AH50" s="31">
        <f t="shared" si="12"/>
        <v>1890.6496982811786</v>
      </c>
      <c r="AI50" s="31">
        <f t="shared" si="8"/>
        <v>0.52518047174477189</v>
      </c>
      <c r="AK50" t="s">
        <v>1882</v>
      </c>
      <c r="AL50">
        <v>0.86250216899999999</v>
      </c>
      <c r="AN50">
        <v>0.02</v>
      </c>
      <c r="AO50" s="190">
        <v>1.0442</v>
      </c>
      <c r="AP50" s="190">
        <f t="shared" si="13"/>
        <v>0.86257116917352006</v>
      </c>
      <c r="AQ50" s="31">
        <f t="shared" si="14"/>
        <v>0.46013374887867969</v>
      </c>
      <c r="AR50" s="31">
        <f t="shared" si="15"/>
        <v>1541.6931846900934</v>
      </c>
      <c r="AS50" s="31">
        <f t="shared" si="9"/>
        <v>0.42824810685835929</v>
      </c>
    </row>
    <row r="51" spans="1:45">
      <c r="A51">
        <v>0.01</v>
      </c>
      <c r="B51">
        <f t="shared" si="16"/>
        <v>1.0000199999999999</v>
      </c>
      <c r="C51" s="31">
        <v>1.0441800000000001</v>
      </c>
      <c r="D51">
        <f t="shared" si="17"/>
        <v>1.0000199999999999</v>
      </c>
      <c r="F51" s="31">
        <f t="shared" si="18"/>
        <v>3423.6684719999994</v>
      </c>
      <c r="G51" s="31">
        <f t="shared" si="19"/>
        <v>0.95101901999999983</v>
      </c>
      <c r="H51" t="s">
        <v>1881</v>
      </c>
      <c r="I51">
        <v>0.83289999999999997</v>
      </c>
      <c r="L51">
        <v>0.03</v>
      </c>
      <c r="M51" s="190">
        <v>1.0442</v>
      </c>
      <c r="N51" s="31">
        <f t="shared" si="0"/>
        <v>0.83348812203085898</v>
      </c>
      <c r="O51" s="190">
        <f t="shared" si="1"/>
        <v>0.96177308800000005</v>
      </c>
      <c r="P51" s="31">
        <f t="shared" si="2"/>
        <v>2745.8984774253272</v>
      </c>
      <c r="Q51" s="31">
        <f t="shared" si="3"/>
        <v>0.76274957706259094</v>
      </c>
      <c r="R51" t="s">
        <v>1883</v>
      </c>
      <c r="S51">
        <v>69800</v>
      </c>
      <c r="T51">
        <v>0.03</v>
      </c>
      <c r="U51" s="190">
        <v>1.0442</v>
      </c>
      <c r="V51" s="190">
        <f t="shared" si="4"/>
        <v>0.93141762500000014</v>
      </c>
      <c r="W51" s="31">
        <f t="shared" si="5"/>
        <v>0.68930652746153975</v>
      </c>
      <c r="X51" s="31">
        <f t="shared" si="6"/>
        <v>2270.8970820413247</v>
      </c>
      <c r="Y51" s="31">
        <f t="shared" si="10"/>
        <v>0.6308047450114791</v>
      </c>
      <c r="AA51" t="s">
        <v>1883</v>
      </c>
      <c r="AB51">
        <v>57160</v>
      </c>
      <c r="AC51" t="s">
        <v>1884</v>
      </c>
      <c r="AD51">
        <v>0.03</v>
      </c>
      <c r="AE51" s="190">
        <v>1.0442</v>
      </c>
      <c r="AF51" s="190">
        <f t="shared" si="7"/>
        <v>0.89702043462000003</v>
      </c>
      <c r="AG51" s="31">
        <f t="shared" si="11"/>
        <v>0.5644808181905675</v>
      </c>
      <c r="AH51" s="31">
        <f t="shared" si="12"/>
        <v>1859.6629972705175</v>
      </c>
      <c r="AI51" s="31">
        <f t="shared" si="8"/>
        <v>0.51657305479736593</v>
      </c>
      <c r="AK51" t="s">
        <v>1883</v>
      </c>
      <c r="AL51">
        <v>46610</v>
      </c>
      <c r="AM51" t="s">
        <v>1884</v>
      </c>
      <c r="AN51">
        <v>0.03</v>
      </c>
      <c r="AO51" s="190">
        <v>1.0442</v>
      </c>
      <c r="AP51" s="190">
        <f t="shared" si="13"/>
        <v>0.86265741939042007</v>
      </c>
      <c r="AQ51" s="31">
        <f t="shared" si="14"/>
        <v>0.46029480293671016</v>
      </c>
      <c r="AR51" s="31">
        <f t="shared" si="15"/>
        <v>1516.4256875923518</v>
      </c>
      <c r="AS51" s="31">
        <f t="shared" si="9"/>
        <v>0.42122935766454217</v>
      </c>
    </row>
    <row r="52" spans="1:45">
      <c r="A52">
        <v>0.02</v>
      </c>
      <c r="B52">
        <f t="shared" si="16"/>
        <v>1.0000800000000001</v>
      </c>
      <c r="C52" s="31">
        <v>1.0441800000000001</v>
      </c>
      <c r="D52">
        <f t="shared" si="17"/>
        <v>1.0000800000000001</v>
      </c>
      <c r="F52" s="31">
        <f>$C$41*D52*(1-0.49*(SQRT(A52)))</f>
        <v>3350.8007702155942</v>
      </c>
      <c r="G52" s="31">
        <f t="shared" si="19"/>
        <v>0.93077799172655395</v>
      </c>
      <c r="H52" t="s">
        <v>1883</v>
      </c>
      <c r="I52">
        <v>84400</v>
      </c>
      <c r="J52" t="s">
        <v>1884</v>
      </c>
      <c r="L52">
        <v>0.04</v>
      </c>
      <c r="M52" s="190">
        <v>1.0442</v>
      </c>
      <c r="N52" s="31">
        <f t="shared" si="0"/>
        <v>0.83389652916111578</v>
      </c>
      <c r="O52" s="190">
        <f t="shared" si="1"/>
        <v>0.96190771200000014</v>
      </c>
      <c r="P52" s="31">
        <f t="shared" si="2"/>
        <v>2707.8288094919749</v>
      </c>
      <c r="Q52" s="31">
        <f t="shared" si="3"/>
        <v>0.75217466930332633</v>
      </c>
      <c r="R52" t="s">
        <v>1885</v>
      </c>
      <c r="S52">
        <v>101325</v>
      </c>
      <c r="T52">
        <v>0.04</v>
      </c>
      <c r="U52" s="190">
        <v>1.0442</v>
      </c>
      <c r="V52" s="190">
        <f t="shared" si="4"/>
        <v>0.93154800000000015</v>
      </c>
      <c r="W52" s="31">
        <f t="shared" si="5"/>
        <v>0.6896442859649986</v>
      </c>
      <c r="X52" s="31">
        <f t="shared" si="6"/>
        <v>2239.4129253855435</v>
      </c>
      <c r="Y52" s="31">
        <f t="shared" si="10"/>
        <v>0.62205914594042877</v>
      </c>
      <c r="AA52" t="s">
        <v>1885</v>
      </c>
      <c r="AB52">
        <v>101325</v>
      </c>
      <c r="AC52" t="s">
        <v>1884</v>
      </c>
      <c r="AD52">
        <v>0.04</v>
      </c>
      <c r="AE52" s="190">
        <v>1.0442</v>
      </c>
      <c r="AF52" s="190">
        <f t="shared" si="7"/>
        <v>0.89714599488000002</v>
      </c>
      <c r="AG52" s="31">
        <f t="shared" si="11"/>
        <v>0.56475741240342869</v>
      </c>
      <c r="AH52" s="31">
        <f t="shared" si="12"/>
        <v>1833.8802695564136</v>
      </c>
      <c r="AI52" s="31">
        <f t="shared" si="8"/>
        <v>0.5094111859878927</v>
      </c>
      <c r="AK52" t="s">
        <v>1885</v>
      </c>
      <c r="AL52">
        <v>101325</v>
      </c>
      <c r="AM52" t="s">
        <v>1884</v>
      </c>
      <c r="AN52">
        <v>0.04</v>
      </c>
      <c r="AO52" s="190">
        <v>1.0442</v>
      </c>
      <c r="AP52" s="190">
        <f t="shared" si="13"/>
        <v>0.86277816969408005</v>
      </c>
      <c r="AQ52" s="31">
        <f t="shared" si="14"/>
        <v>0.46052034625828914</v>
      </c>
      <c r="AR52" s="31">
        <f t="shared" si="15"/>
        <v>1495.4016683699165</v>
      </c>
      <c r="AS52" s="31">
        <f t="shared" si="9"/>
        <v>0.41538935232497681</v>
      </c>
    </row>
    <row r="53" spans="1:45">
      <c r="A53">
        <v>0.03</v>
      </c>
      <c r="B53">
        <f t="shared" si="16"/>
        <v>1.0001800000000001</v>
      </c>
      <c r="C53" s="31">
        <v>1.0441800000000001</v>
      </c>
      <c r="D53">
        <f t="shared" si="17"/>
        <v>1.0001800000000001</v>
      </c>
      <c r="F53" s="31">
        <f t="shared" si="18"/>
        <v>3295.0592414676084</v>
      </c>
      <c r="G53" s="31">
        <f t="shared" si="19"/>
        <v>0.91529423374100238</v>
      </c>
      <c r="H53" t="s">
        <v>1885</v>
      </c>
      <c r="I53">
        <v>101325</v>
      </c>
      <c r="J53" t="s">
        <v>1884</v>
      </c>
      <c r="L53">
        <v>0.05</v>
      </c>
      <c r="M53" s="190">
        <v>1.0442</v>
      </c>
      <c r="N53" s="31">
        <f t="shared" si="0"/>
        <v>0.83442183405457249</v>
      </c>
      <c r="O53" s="190">
        <f t="shared" si="1"/>
        <v>0.96208079999999996</v>
      </c>
      <c r="P53" s="31">
        <f t="shared" si="2"/>
        <v>2674.7872590766497</v>
      </c>
      <c r="Q53" s="31">
        <f t="shared" si="3"/>
        <v>0.7429964608546249</v>
      </c>
      <c r="R53" t="s">
        <v>1853</v>
      </c>
      <c r="S53">
        <v>0.93124399999999996</v>
      </c>
      <c r="T53">
        <v>0.05</v>
      </c>
      <c r="U53" s="190">
        <v>1.0442</v>
      </c>
      <c r="V53" s="190">
        <f t="shared" si="4"/>
        <v>0.93171562499999994</v>
      </c>
      <c r="W53" s="31">
        <f t="shared" si="5"/>
        <v>0.69007872058067721</v>
      </c>
      <c r="X53" s="31">
        <f t="shared" si="6"/>
        <v>2212.0870934069922</v>
      </c>
      <c r="Y53" s="31">
        <f t="shared" si="10"/>
        <v>0.61446863705749777</v>
      </c>
      <c r="AA53" t="s">
        <v>1853</v>
      </c>
      <c r="AB53">
        <v>0.89686600000000005</v>
      </c>
      <c r="AD53">
        <v>0.05</v>
      </c>
      <c r="AE53" s="190">
        <v>1.0442</v>
      </c>
      <c r="AF53" s="190">
        <f t="shared" si="7"/>
        <v>0.89730742949999986</v>
      </c>
      <c r="AG53" s="31">
        <f t="shared" si="11"/>
        <v>0.56511317576492137</v>
      </c>
      <c r="AH53" s="31">
        <f t="shared" si="12"/>
        <v>1811.5028403888778</v>
      </c>
      <c r="AI53" s="31">
        <f t="shared" si="8"/>
        <v>0.50319523344135497</v>
      </c>
      <c r="AK53" t="s">
        <v>1853</v>
      </c>
      <c r="AL53">
        <v>0.86248800000000003</v>
      </c>
      <c r="AM53" t="s">
        <v>1886</v>
      </c>
      <c r="AN53">
        <v>0.05</v>
      </c>
      <c r="AO53" s="190">
        <v>1.0442</v>
      </c>
      <c r="AP53" s="190">
        <f t="shared" si="13"/>
        <v>0.86293342008449991</v>
      </c>
      <c r="AQ53" s="31">
        <f t="shared" si="14"/>
        <v>0.46081044650809977</v>
      </c>
      <c r="AR53" s="31">
        <f t="shared" si="15"/>
        <v>1477.1544330042966</v>
      </c>
      <c r="AS53" s="31">
        <f t="shared" si="9"/>
        <v>0.41032067583452686</v>
      </c>
    </row>
    <row r="54" spans="1:45">
      <c r="A54">
        <v>0.04</v>
      </c>
      <c r="B54">
        <f t="shared" si="16"/>
        <v>1.0003200000000001</v>
      </c>
      <c r="C54" s="31">
        <v>1.0441800000000001</v>
      </c>
      <c r="D54">
        <f t="shared" si="17"/>
        <v>1.0003200000000001</v>
      </c>
      <c r="F54" s="31">
        <f t="shared" si="18"/>
        <v>3248.2391040000007</v>
      </c>
      <c r="G54" s="31">
        <f t="shared" si="19"/>
        <v>0.9022886400000002</v>
      </c>
      <c r="H54" t="s">
        <v>1853</v>
      </c>
      <c r="I54">
        <v>0.96562199999999998</v>
      </c>
      <c r="L54">
        <v>0.06</v>
      </c>
      <c r="M54" s="190">
        <v>1.0442</v>
      </c>
      <c r="N54" s="31">
        <f t="shared" ref="N54:N98" si="20">($I$52/$I$53)*(1+((1.4-1)/2)*L54^2)^(1.4/(1.4-1))</f>
        <v>0.83506419430660872</v>
      </c>
      <c r="O54" s="190">
        <f>0.9616*(1+((1.4-1)/2)*L54^2)</f>
        <v>0.96229235200000007</v>
      </c>
      <c r="P54" s="31">
        <f>$C$41*N54*(1-0.49*(SQRT(L54)))</f>
        <v>2645.4082196129452</v>
      </c>
      <c r="Q54" s="31">
        <f t="shared" ref="Q54:Q93" si="21">P54/$C$41</f>
        <v>0.73483561655915142</v>
      </c>
      <c r="T54">
        <v>0.06</v>
      </c>
      <c r="U54" s="190">
        <v>1.0442</v>
      </c>
      <c r="V54" s="190">
        <f t="shared" ref="V54:V98" si="22">0.93125*(1+((1.4-1)/2)*T54^2)</f>
        <v>0.93192050000000004</v>
      </c>
      <c r="W54" s="31">
        <f t="shared" si="5"/>
        <v>0.69060996164219535</v>
      </c>
      <c r="X54" s="31">
        <f t="shared" si="6"/>
        <v>2187.7902100590468</v>
      </c>
      <c r="Y54" s="31">
        <f t="shared" ref="Y54:Y98" si="23">X54/$C$41</f>
        <v>0.60771950279417963</v>
      </c>
      <c r="AD54">
        <v>0.06</v>
      </c>
      <c r="AE54" s="190">
        <v>1.0442</v>
      </c>
      <c r="AF54" s="190">
        <f t="shared" ref="AF54:AF85" si="24">0.896859*(1+((1.4-1)/2)*AD54^2)</f>
        <v>0.89750473848000001</v>
      </c>
      <c r="AG54" s="31">
        <f t="shared" ref="AG54:AG85" si="25">($AB$51/$AB$52)*(1+((1.4-1)/2)*AD54^2)^(1.4/(1.4-1))</f>
        <v>0.56554821500670327</v>
      </c>
      <c r="AH54" s="31">
        <f t="shared" ref="AH54:AH85" si="26">$C$41*AG54*(1-0.49*(SQRT(AD54)))</f>
        <v>1791.6058511027954</v>
      </c>
      <c r="AI54" s="31">
        <f>AH54/$C$41</f>
        <v>0.49766829197299872</v>
      </c>
      <c r="AN54">
        <v>0.06</v>
      </c>
      <c r="AO54" s="190">
        <v>1.0442</v>
      </c>
      <c r="AP54" s="190">
        <f t="shared" si="13"/>
        <v>0.86312317056168009</v>
      </c>
      <c r="AQ54" s="31">
        <f t="shared" si="14"/>
        <v>0.46116519071837714</v>
      </c>
      <c r="AR54" s="31">
        <f t="shared" si="15"/>
        <v>1460.9298236511775</v>
      </c>
      <c r="AS54" s="31">
        <f>AR54/$C$41</f>
        <v>0.40581383990310482</v>
      </c>
    </row>
    <row r="55" spans="1:45">
      <c r="A55">
        <v>0.05</v>
      </c>
      <c r="B55">
        <f t="shared" si="16"/>
        <v>1.0004999999999999</v>
      </c>
      <c r="C55" s="31">
        <v>1.0441800000000001</v>
      </c>
      <c r="D55">
        <f t="shared" si="17"/>
        <v>1.0004999999999999</v>
      </c>
      <c r="F55" s="31">
        <f t="shared" si="18"/>
        <v>3207.1603875734213</v>
      </c>
      <c r="G55" s="31">
        <f t="shared" si="19"/>
        <v>0.89087788543706148</v>
      </c>
      <c r="L55">
        <v>7.0000000000000007E-2</v>
      </c>
      <c r="M55" s="190">
        <v>1.0442</v>
      </c>
      <c r="N55" s="31">
        <f t="shared" si="20"/>
        <v>0.83582380263004041</v>
      </c>
      <c r="O55" s="190">
        <f t="shared" ref="O55:O118" si="27">0.9616*(1+((1.4-1)/2)*L55^2)</f>
        <v>0.96254236800000004</v>
      </c>
      <c r="P55" s="31">
        <f t="shared" ref="P55:P105" si="28">$C$41*N55*(1-0.49*(SQRT(L55)))</f>
        <v>2618.8779184930686</v>
      </c>
      <c r="Q55" s="31">
        <f t="shared" si="21"/>
        <v>0.72746608847029681</v>
      </c>
      <c r="T55">
        <v>7.0000000000000007E-2</v>
      </c>
      <c r="U55" s="190">
        <v>1.0442</v>
      </c>
      <c r="V55" s="190">
        <f t="shared" si="22"/>
        <v>0.93216262500000002</v>
      </c>
      <c r="W55" s="31">
        <f t="shared" si="5"/>
        <v>0.69123816852579167</v>
      </c>
      <c r="X55" s="31">
        <f t="shared" si="6"/>
        <v>2165.849273824836</v>
      </c>
      <c r="Y55" s="31">
        <f t="shared" si="23"/>
        <v>0.60162479828467663</v>
      </c>
      <c r="AD55">
        <v>7.0000000000000007E-2</v>
      </c>
      <c r="AE55" s="190">
        <v>1.0442</v>
      </c>
      <c r="AF55" s="190">
        <f t="shared" si="24"/>
        <v>0.8977379218199999</v>
      </c>
      <c r="AG55" s="31">
        <f t="shared" si="25"/>
        <v>0.56606266064375721</v>
      </c>
      <c r="AH55" s="31">
        <f t="shared" si="26"/>
        <v>1773.638173235353</v>
      </c>
      <c r="AI55" s="31">
        <f t="shared" ref="AI55:AI118" si="29">AH55/$C$41</f>
        <v>0.49267727034315362</v>
      </c>
      <c r="AN55">
        <v>7.0000000000000007E-2</v>
      </c>
      <c r="AO55" s="190">
        <v>1.0442</v>
      </c>
      <c r="AP55" s="190">
        <f t="shared" si="13"/>
        <v>0.86334742112562002</v>
      </c>
      <c r="AQ55" s="31">
        <f t="shared" si="14"/>
        <v>0.46158468531500219</v>
      </c>
      <c r="AR55" s="31">
        <f t="shared" si="15"/>
        <v>1446.2784334237194</v>
      </c>
      <c r="AS55" s="31">
        <f t="shared" ref="AS55:AS118" si="30">AR55/$C$41</f>
        <v>0.40174400928436649</v>
      </c>
    </row>
    <row r="56" spans="1:45">
      <c r="A56">
        <v>0.06</v>
      </c>
      <c r="B56">
        <f t="shared" si="16"/>
        <v>1.0007200000000001</v>
      </c>
      <c r="C56" s="31">
        <v>1.0441800000000001</v>
      </c>
      <c r="D56">
        <f t="shared" si="17"/>
        <v>1.0007200000000001</v>
      </c>
      <c r="F56" s="31">
        <f t="shared" si="18"/>
        <v>3170.1909045797961</v>
      </c>
      <c r="G56" s="31">
        <f>F56/$C$41</f>
        <v>0.88060858460549896</v>
      </c>
      <c r="L56">
        <v>0.08</v>
      </c>
      <c r="M56" s="190">
        <v>1.0442</v>
      </c>
      <c r="N56" s="31">
        <f t="shared" si="20"/>
        <v>0.83670088691289046</v>
      </c>
      <c r="O56" s="190">
        <f t="shared" si="27"/>
        <v>0.96283084799999996</v>
      </c>
      <c r="P56" s="31">
        <f t="shared" si="28"/>
        <v>2594.6642167363921</v>
      </c>
      <c r="Q56" s="31">
        <f t="shared" si="21"/>
        <v>0.72074006020455339</v>
      </c>
      <c r="T56">
        <v>0.08</v>
      </c>
      <c r="U56" s="190">
        <v>1.0442</v>
      </c>
      <c r="V56" s="190">
        <f t="shared" si="22"/>
        <v>0.93244199999999999</v>
      </c>
      <c r="W56" s="31">
        <f t="shared" si="5"/>
        <v>0.69196352969810127</v>
      </c>
      <c r="X56" s="31">
        <f t="shared" si="6"/>
        <v>2145.8241982014233</v>
      </c>
      <c r="Y56" s="31">
        <f t="shared" si="23"/>
        <v>0.59606227727817318</v>
      </c>
      <c r="AD56">
        <v>0.08</v>
      </c>
      <c r="AE56" s="190">
        <v>1.0442</v>
      </c>
      <c r="AF56" s="190">
        <f t="shared" si="24"/>
        <v>0.89800697951999986</v>
      </c>
      <c r="AG56" s="31">
        <f t="shared" si="25"/>
        <v>0.5666566670135168</v>
      </c>
      <c r="AH56" s="31">
        <f t="shared" si="26"/>
        <v>1757.2394150314237</v>
      </c>
      <c r="AI56" s="31">
        <f t="shared" si="29"/>
        <v>0.48812205973095102</v>
      </c>
      <c r="AN56">
        <v>0.08</v>
      </c>
      <c r="AO56" s="190">
        <v>1.0442</v>
      </c>
      <c r="AP56" s="190">
        <f t="shared" si="13"/>
        <v>0.86360617177631993</v>
      </c>
      <c r="AQ56" s="31">
        <f t="shared" si="14"/>
        <v>0.46206905614940547</v>
      </c>
      <c r="AR56" s="31">
        <f t="shared" si="15"/>
        <v>1432.9063879393748</v>
      </c>
      <c r="AS56" s="31">
        <f t="shared" si="30"/>
        <v>0.39802955220538189</v>
      </c>
    </row>
    <row r="57" spans="1:45">
      <c r="A57">
        <v>7.0000000000000007E-2</v>
      </c>
      <c r="B57">
        <f t="shared" si="16"/>
        <v>1.00098</v>
      </c>
      <c r="C57" s="31">
        <v>1.0441800000000001</v>
      </c>
      <c r="D57">
        <f t="shared" si="17"/>
        <v>1.00098</v>
      </c>
      <c r="F57" s="31">
        <f t="shared" si="18"/>
        <v>3136.3600924075599</v>
      </c>
      <c r="G57" s="31">
        <f t="shared" ref="G57:G120" si="31">F57/$C$41</f>
        <v>0.87121113677987772</v>
      </c>
      <c r="L57">
        <v>0.09</v>
      </c>
      <c r="M57" s="190">
        <v>1.0442</v>
      </c>
      <c r="N57" s="31">
        <f t="shared" si="20"/>
        <v>0.83769571028667433</v>
      </c>
      <c r="O57" s="190">
        <f t="shared" si="27"/>
        <v>0.96315779199999996</v>
      </c>
      <c r="P57" s="31">
        <f t="shared" si="28"/>
        <v>2572.3959871483194</v>
      </c>
      <c r="Q57" s="31">
        <f t="shared" si="21"/>
        <v>0.71455444087453313</v>
      </c>
      <c r="T57">
        <v>0.09</v>
      </c>
      <c r="U57" s="190">
        <v>1.0442</v>
      </c>
      <c r="V57" s="190">
        <f t="shared" si="22"/>
        <v>0.93275862499999995</v>
      </c>
      <c r="W57" s="31">
        <f t="shared" si="5"/>
        <v>0.69278626277262867</v>
      </c>
      <c r="X57" s="31">
        <f t="shared" si="6"/>
        <v>2127.4080557221878</v>
      </c>
      <c r="Y57" s="31">
        <f t="shared" si="23"/>
        <v>0.59094668214505219</v>
      </c>
      <c r="AD57">
        <v>0.09</v>
      </c>
      <c r="AE57" s="190">
        <v>1.0442</v>
      </c>
      <c r="AF57" s="190">
        <f t="shared" si="24"/>
        <v>0.8983119115799999</v>
      </c>
      <c r="AG57" s="31">
        <f t="shared" si="25"/>
        <v>0.56733041232211256</v>
      </c>
      <c r="AH57" s="31">
        <f t="shared" si="26"/>
        <v>1742.1582301587432</v>
      </c>
      <c r="AI57" s="31">
        <f t="shared" si="29"/>
        <v>0.48393284171076201</v>
      </c>
      <c r="AN57">
        <v>0.09</v>
      </c>
      <c r="AO57" s="190">
        <v>1.0442</v>
      </c>
      <c r="AP57" s="190">
        <f t="shared" si="13"/>
        <v>0.86389942251377994</v>
      </c>
      <c r="AQ57" s="31">
        <f t="shared" si="14"/>
        <v>0.46261844853627826</v>
      </c>
      <c r="AR57" s="31">
        <f t="shared" si="15"/>
        <v>1420.6087317652032</v>
      </c>
      <c r="AS57" s="31">
        <f t="shared" si="30"/>
        <v>0.39461353660144532</v>
      </c>
    </row>
    <row r="58" spans="1:45">
      <c r="A58">
        <v>0.08</v>
      </c>
      <c r="B58">
        <f t="shared" si="16"/>
        <v>1.0012799999999999</v>
      </c>
      <c r="C58" s="31">
        <v>1.0441800000000001</v>
      </c>
      <c r="D58">
        <f t="shared" si="17"/>
        <v>1.0012799999999999</v>
      </c>
      <c r="F58" s="31">
        <f t="shared" si="18"/>
        <v>3105.0348189774209</v>
      </c>
      <c r="G58" s="31">
        <f t="shared" si="31"/>
        <v>0.86250967193817241</v>
      </c>
      <c r="L58">
        <v>0.1</v>
      </c>
      <c r="M58" s="190">
        <v>1.0442</v>
      </c>
      <c r="N58" s="31">
        <f t="shared" si="20"/>
        <v>0.83880857120522256</v>
      </c>
      <c r="O58" s="190">
        <f t="shared" si="27"/>
        <v>0.96352320000000002</v>
      </c>
      <c r="P58" s="31">
        <f t="shared" si="28"/>
        <v>2551.8018114615634</v>
      </c>
      <c r="Q58" s="31">
        <f t="shared" si="21"/>
        <v>0.70883383651710097</v>
      </c>
      <c r="T58">
        <v>0.1</v>
      </c>
      <c r="U58" s="190">
        <v>1.0442</v>
      </c>
      <c r="V58" s="190">
        <f t="shared" si="22"/>
        <v>0.93311250000000001</v>
      </c>
      <c r="W58" s="31">
        <f t="shared" si="5"/>
        <v>0.69370661457493521</v>
      </c>
      <c r="X58" s="31">
        <f t="shared" si="6"/>
        <v>2110.376379621056</v>
      </c>
      <c r="Y58" s="31">
        <f t="shared" si="23"/>
        <v>0.58621566100584888</v>
      </c>
      <c r="AD58">
        <v>0.1</v>
      </c>
      <c r="AE58" s="190">
        <v>1.0442</v>
      </c>
      <c r="AF58" s="190">
        <f t="shared" si="24"/>
        <v>0.89865271800000002</v>
      </c>
      <c r="AG58" s="31">
        <f t="shared" si="25"/>
        <v>0.568084098697755</v>
      </c>
      <c r="AH58" s="31">
        <f t="shared" si="26"/>
        <v>1728.2108002742057</v>
      </c>
      <c r="AI58" s="31">
        <f t="shared" si="29"/>
        <v>0.48005855563172378</v>
      </c>
      <c r="AN58">
        <v>0.1</v>
      </c>
      <c r="AO58" s="190">
        <v>1.0442</v>
      </c>
      <c r="AP58" s="190">
        <f t="shared" si="13"/>
        <v>0.86422717333800003</v>
      </c>
      <c r="AQ58" s="31">
        <f t="shared" si="14"/>
        <v>0.46323302729710214</v>
      </c>
      <c r="AR58" s="31">
        <f t="shared" si="15"/>
        <v>1409.2355738415104</v>
      </c>
      <c r="AS58" s="31">
        <f t="shared" si="30"/>
        <v>0.39145432606708619</v>
      </c>
    </row>
    <row r="59" spans="1:45">
      <c r="A59">
        <v>0.09</v>
      </c>
      <c r="B59">
        <f t="shared" si="16"/>
        <v>1.00162</v>
      </c>
      <c r="C59" s="31">
        <v>1.0441800000000001</v>
      </c>
      <c r="D59">
        <f t="shared" si="17"/>
        <v>1.00162</v>
      </c>
      <c r="F59" s="31">
        <f t="shared" si="18"/>
        <v>3075.7746959999999</v>
      </c>
      <c r="G59" s="31">
        <f t="shared" si="31"/>
        <v>0.85438185999999994</v>
      </c>
      <c r="L59">
        <v>0.11</v>
      </c>
      <c r="M59" s="190">
        <v>1.0442</v>
      </c>
      <c r="N59" s="31">
        <f t="shared" si="20"/>
        <v>0.84003980353404351</v>
      </c>
      <c r="O59" s="190">
        <f t="shared" si="27"/>
        <v>0.96392707200000005</v>
      </c>
      <c r="P59" s="31">
        <f t="shared" si="28"/>
        <v>2532.6758106252551</v>
      </c>
      <c r="Q59" s="31">
        <f t="shared" si="21"/>
        <v>0.7035210585070153</v>
      </c>
      <c r="T59">
        <v>0.11</v>
      </c>
      <c r="U59" s="190">
        <v>1.0442</v>
      </c>
      <c r="V59" s="190">
        <f t="shared" si="22"/>
        <v>0.93350362500000006</v>
      </c>
      <c r="W59" s="31">
        <f t="shared" si="5"/>
        <v>0.69472486121654298</v>
      </c>
      <c r="X59" s="31">
        <f t="shared" si="6"/>
        <v>2094.5589049957675</v>
      </c>
      <c r="Y59" s="31">
        <f t="shared" si="23"/>
        <v>0.58182191805437988</v>
      </c>
      <c r="AD59">
        <v>0.11</v>
      </c>
      <c r="AE59" s="190">
        <v>1.0442</v>
      </c>
      <c r="AF59" s="190">
        <f t="shared" si="24"/>
        <v>0.89902939877999999</v>
      </c>
      <c r="AG59" s="31">
        <f t="shared" si="25"/>
        <v>0.56891795225125508</v>
      </c>
      <c r="AH59" s="31">
        <f t="shared" si="26"/>
        <v>1715.2576935466777</v>
      </c>
      <c r="AI59" s="31">
        <f t="shared" si="29"/>
        <v>0.47646047042963269</v>
      </c>
      <c r="AN59">
        <v>0.11</v>
      </c>
      <c r="AO59" s="190">
        <v>1.0442</v>
      </c>
      <c r="AP59" s="190">
        <f t="shared" si="13"/>
        <v>0.86458942424898011</v>
      </c>
      <c r="AQ59" s="31">
        <f t="shared" si="14"/>
        <v>0.46391297680949956</v>
      </c>
      <c r="AR59" s="31">
        <f t="shared" si="15"/>
        <v>1398.6732172185204</v>
      </c>
      <c r="AS59" s="31">
        <f t="shared" si="30"/>
        <v>0.38852033811625569</v>
      </c>
    </row>
    <row r="60" spans="1:45">
      <c r="A60">
        <v>0.1</v>
      </c>
      <c r="B60">
        <f t="shared" si="16"/>
        <v>1.002</v>
      </c>
      <c r="C60" s="31">
        <v>1.0441800000000001</v>
      </c>
      <c r="D60">
        <f t="shared" si="17"/>
        <v>1.002</v>
      </c>
      <c r="F60" s="31">
        <f t="shared" si="18"/>
        <v>3048.2585691877903</v>
      </c>
      <c r="G60" s="31">
        <f t="shared" si="31"/>
        <v>0.84673849144105284</v>
      </c>
      <c r="L60">
        <v>0.12</v>
      </c>
      <c r="M60" s="190">
        <v>1.0442</v>
      </c>
      <c r="N60" s="31">
        <f t="shared" si="20"/>
        <v>0.84138977665024051</v>
      </c>
      <c r="O60" s="190">
        <f t="shared" si="27"/>
        <v>0.96436940800000004</v>
      </c>
      <c r="P60" s="31">
        <f t="shared" si="28"/>
        <v>2514.8572276383734</v>
      </c>
      <c r="Q60" s="31">
        <f t="shared" si="21"/>
        <v>0.69857145212177041</v>
      </c>
      <c r="T60">
        <v>0.12</v>
      </c>
      <c r="U60" s="190">
        <v>1.0442</v>
      </c>
      <c r="V60" s="190">
        <f t="shared" si="22"/>
        <v>0.93393199999999998</v>
      </c>
      <c r="W60" s="31">
        <f t="shared" si="5"/>
        <v>0.69584130817756851</v>
      </c>
      <c r="X60" s="31">
        <f t="shared" si="6"/>
        <v>2079.8226835208347</v>
      </c>
      <c r="Y60" s="31">
        <f t="shared" si="23"/>
        <v>0.57772852320023182</v>
      </c>
      <c r="AD60">
        <v>0.12</v>
      </c>
      <c r="AE60" s="190">
        <v>1.0442</v>
      </c>
      <c r="AF60" s="190">
        <f t="shared" si="24"/>
        <v>0.89944195391999993</v>
      </c>
      <c r="AG60" s="31">
        <f t="shared" si="25"/>
        <v>0.56983222314369364</v>
      </c>
      <c r="AH60" s="31">
        <f t="shared" si="26"/>
        <v>1703.1900371067466</v>
      </c>
      <c r="AI60" s="31">
        <f t="shared" si="29"/>
        <v>0.47310834364076293</v>
      </c>
      <c r="AN60">
        <v>0.12</v>
      </c>
      <c r="AO60" s="190">
        <v>1.0442</v>
      </c>
      <c r="AP60" s="190">
        <f t="shared" si="13"/>
        <v>0.86498617524671995</v>
      </c>
      <c r="AQ60" s="31">
        <f t="shared" si="14"/>
        <v>0.46465850106241358</v>
      </c>
      <c r="AR60" s="31">
        <f t="shared" si="15"/>
        <v>1388.8328836519499</v>
      </c>
      <c r="AS60" s="31">
        <f t="shared" si="30"/>
        <v>0.38578691212554167</v>
      </c>
    </row>
    <row r="61" spans="1:45">
      <c r="A61">
        <v>0.11</v>
      </c>
      <c r="B61">
        <f t="shared" si="16"/>
        <v>1.0024200000000001</v>
      </c>
      <c r="C61" s="31">
        <v>1.0441800000000001</v>
      </c>
      <c r="D61">
        <f t="shared" si="17"/>
        <v>1.0024200000000001</v>
      </c>
      <c r="F61" s="31">
        <f t="shared" si="18"/>
        <v>3022.2435596578025</v>
      </c>
      <c r="G61" s="31">
        <f t="shared" si="31"/>
        <v>0.83951209990494513</v>
      </c>
      <c r="L61">
        <v>0.13</v>
      </c>
      <c r="M61" s="190">
        <v>1.0442</v>
      </c>
      <c r="N61" s="31">
        <f t="shared" si="20"/>
        <v>0.84285889555300231</v>
      </c>
      <c r="O61" s="190">
        <f t="shared" si="27"/>
        <v>0.96485020799999999</v>
      </c>
      <c r="P61" s="31">
        <f t="shared" si="28"/>
        <v>2498.2175456065252</v>
      </c>
      <c r="Q61" s="31">
        <f t="shared" si="21"/>
        <v>0.69394931822403472</v>
      </c>
      <c r="T61">
        <v>0.13</v>
      </c>
      <c r="U61" s="190">
        <v>1.0442</v>
      </c>
      <c r="V61" s="190">
        <f t="shared" si="22"/>
        <v>0.93439762500000001</v>
      </c>
      <c r="W61" s="31">
        <f t="shared" si="5"/>
        <v>0.69705629039809891</v>
      </c>
      <c r="X61" s="31">
        <f t="shared" si="6"/>
        <v>2066.0614298973392</v>
      </c>
      <c r="Y61" s="31">
        <f t="shared" si="23"/>
        <v>0.57390595274926093</v>
      </c>
      <c r="AD61">
        <v>0.13</v>
      </c>
      <c r="AE61" s="190">
        <v>1.0442</v>
      </c>
      <c r="AF61" s="190">
        <f t="shared" si="24"/>
        <v>0.89989038341999994</v>
      </c>
      <c r="AG61" s="31">
        <f t="shared" si="25"/>
        <v>0.57082718566125124</v>
      </c>
      <c r="AH61" s="31">
        <f t="shared" si="26"/>
        <v>1691.9207927354141</v>
      </c>
      <c r="AI61" s="31">
        <f t="shared" si="29"/>
        <v>0.46997799798205947</v>
      </c>
      <c r="AN61">
        <v>0.13</v>
      </c>
      <c r="AO61" s="190">
        <v>1.0442</v>
      </c>
      <c r="AP61" s="190">
        <f t="shared" si="13"/>
        <v>0.86541742633121999</v>
      </c>
      <c r="AQ61" s="31">
        <f t="shared" si="14"/>
        <v>0.46546982371712597</v>
      </c>
      <c r="AR61" s="31">
        <f t="shared" si="15"/>
        <v>1379.6435995345985</v>
      </c>
      <c r="AS61" s="31">
        <f t="shared" si="30"/>
        <v>0.38323433320405514</v>
      </c>
    </row>
    <row r="62" spans="1:45">
      <c r="A62">
        <v>0.12</v>
      </c>
      <c r="B62">
        <f t="shared" si="16"/>
        <v>1.00288</v>
      </c>
      <c r="C62" s="31">
        <v>1.0441800000000001</v>
      </c>
      <c r="D62">
        <f t="shared" si="17"/>
        <v>1.00288</v>
      </c>
      <c r="F62" s="31">
        <f t="shared" si="18"/>
        <v>2997.5406006179587</v>
      </c>
      <c r="G62" s="31">
        <f t="shared" si="31"/>
        <v>0.83265016683832183</v>
      </c>
      <c r="L62">
        <v>0.14000000000000001</v>
      </c>
      <c r="M62" s="190">
        <v>1.0442</v>
      </c>
      <c r="N62" s="31">
        <f t="shared" si="20"/>
        <v>0.84444760098467175</v>
      </c>
      <c r="O62" s="190">
        <f t="shared" si="27"/>
        <v>0.9653694719999999</v>
      </c>
      <c r="P62" s="31">
        <f t="shared" si="28"/>
        <v>2482.651995804893</v>
      </c>
      <c r="Q62" s="31">
        <f t="shared" si="21"/>
        <v>0.68962555439024809</v>
      </c>
      <c r="T62">
        <v>0.14000000000000001</v>
      </c>
      <c r="U62" s="190">
        <v>1.0442</v>
      </c>
      <c r="V62" s="190">
        <f t="shared" si="22"/>
        <v>0.93490049999999991</v>
      </c>
      <c r="W62" s="31">
        <f t="shared" si="5"/>
        <v>0.69837017237831855</v>
      </c>
      <c r="X62" s="31">
        <f t="shared" si="6"/>
        <v>2053.1884989002551</v>
      </c>
      <c r="Y62" s="31">
        <f t="shared" si="23"/>
        <v>0.5703301385834042</v>
      </c>
      <c r="AD62">
        <v>0.14000000000000001</v>
      </c>
      <c r="AE62" s="190">
        <v>1.0442</v>
      </c>
      <c r="AF62" s="190">
        <f t="shared" si="24"/>
        <v>0.90037468727999992</v>
      </c>
      <c r="AG62" s="31">
        <f t="shared" si="25"/>
        <v>0.57190313829720185</v>
      </c>
      <c r="AH62" s="31">
        <f t="shared" si="26"/>
        <v>1681.3790056896646</v>
      </c>
      <c r="AI62" s="31">
        <f t="shared" si="29"/>
        <v>0.46704972380268461</v>
      </c>
      <c r="AN62">
        <v>0.14000000000000001</v>
      </c>
      <c r="AO62" s="190">
        <v>1.0442</v>
      </c>
      <c r="AP62" s="190">
        <f t="shared" si="13"/>
        <v>0.86588317750247989</v>
      </c>
      <c r="AQ62" s="31">
        <f t="shared" si="14"/>
        <v>0.46634718817411791</v>
      </c>
      <c r="AR62" s="31">
        <f t="shared" si="15"/>
        <v>1371.0475062140529</v>
      </c>
      <c r="AS62" s="31">
        <f t="shared" si="30"/>
        <v>0.38084652950390357</v>
      </c>
    </row>
    <row r="63" spans="1:45">
      <c r="A63">
        <v>0.13</v>
      </c>
      <c r="B63">
        <f t="shared" si="16"/>
        <v>1.0033799999999999</v>
      </c>
      <c r="C63" s="31">
        <v>1.0441800000000001</v>
      </c>
      <c r="D63">
        <f t="shared" si="17"/>
        <v>1.0033799999999999</v>
      </c>
      <c r="F63" s="31">
        <f t="shared" si="18"/>
        <v>2973.9990099600795</v>
      </c>
      <c r="G63" s="31">
        <f t="shared" si="31"/>
        <v>0.82611083610002212</v>
      </c>
      <c r="L63">
        <v>0.15</v>
      </c>
      <c r="M63" s="190">
        <v>1.0442</v>
      </c>
      <c r="N63" s="31">
        <f t="shared" si="20"/>
        <v>0.84615636956242124</v>
      </c>
      <c r="O63" s="190">
        <f t="shared" si="27"/>
        <v>0.96592719999999999</v>
      </c>
      <c r="P63" s="31">
        <f t="shared" si="28"/>
        <v>2468.0737537556201</v>
      </c>
      <c r="Q63" s="31">
        <f t="shared" si="21"/>
        <v>0.68557604270989447</v>
      </c>
      <c r="T63">
        <v>0.15</v>
      </c>
      <c r="U63" s="190">
        <v>1.0442</v>
      </c>
      <c r="V63" s="190">
        <f t="shared" si="22"/>
        <v>0.93544062500000003</v>
      </c>
      <c r="W63" s="31">
        <f t="shared" si="5"/>
        <v>0.69978334828740518</v>
      </c>
      <c r="X63" s="31">
        <f t="shared" si="6"/>
        <v>2041.1320854519229</v>
      </c>
      <c r="Y63" s="31">
        <f t="shared" si="23"/>
        <v>0.56698113484775636</v>
      </c>
      <c r="AD63">
        <v>0.15</v>
      </c>
      <c r="AE63" s="190">
        <v>1.0442</v>
      </c>
      <c r="AF63" s="190">
        <f t="shared" si="24"/>
        <v>0.90089486549999986</v>
      </c>
      <c r="AG63" s="31">
        <f t="shared" si="25"/>
        <v>0.57306040384109003</v>
      </c>
      <c r="AH63" s="31">
        <f t="shared" si="26"/>
        <v>1671.5058739889957</v>
      </c>
      <c r="AI63" s="31">
        <f t="shared" si="29"/>
        <v>0.46430718721916547</v>
      </c>
      <c r="AN63">
        <v>0.15</v>
      </c>
      <c r="AO63" s="190">
        <v>1.0442</v>
      </c>
      <c r="AP63" s="190">
        <f t="shared" si="13"/>
        <v>0.8663834287604999</v>
      </c>
      <c r="AQ63" s="31">
        <f t="shared" si="14"/>
        <v>0.46729085764578732</v>
      </c>
      <c r="AR63" s="31">
        <f t="shared" si="15"/>
        <v>1362.9966547695433</v>
      </c>
      <c r="AS63" s="31">
        <f t="shared" si="30"/>
        <v>0.37861018188042866</v>
      </c>
    </row>
    <row r="64" spans="1:45">
      <c r="A64">
        <v>0.14000000000000001</v>
      </c>
      <c r="B64">
        <f t="shared" si="16"/>
        <v>1.0039199999999999</v>
      </c>
      <c r="C64" s="31">
        <v>1.0441800000000001</v>
      </c>
      <c r="D64">
        <f t="shared" si="17"/>
        <v>1.0039199999999999</v>
      </c>
      <c r="F64" s="31">
        <f t="shared" si="18"/>
        <v>2951.4963257900108</v>
      </c>
      <c r="G64" s="31">
        <f t="shared" si="31"/>
        <v>0.81986009049722519</v>
      </c>
      <c r="L64">
        <v>0.16</v>
      </c>
      <c r="M64" s="190">
        <v>1.0442</v>
      </c>
      <c r="N64" s="31">
        <f t="shared" si="20"/>
        <v>0.84798571392054378</v>
      </c>
      <c r="O64" s="190">
        <f t="shared" si="27"/>
        <v>0.96652339200000004</v>
      </c>
      <c r="P64" s="31">
        <f t="shared" si="28"/>
        <v>2454.4098503716223</v>
      </c>
      <c r="Q64" s="31">
        <f t="shared" si="21"/>
        <v>0.68178051399211725</v>
      </c>
      <c r="T64">
        <v>0.16</v>
      </c>
      <c r="U64" s="190">
        <v>1.0442</v>
      </c>
      <c r="V64" s="190">
        <f t="shared" si="22"/>
        <v>0.93601800000000002</v>
      </c>
      <c r="W64" s="31">
        <f t="shared" si="5"/>
        <v>0.701296242081208</v>
      </c>
      <c r="X64" s="31">
        <f t="shared" si="6"/>
        <v>2029.8318430798483</v>
      </c>
      <c r="Y64" s="31">
        <f t="shared" si="23"/>
        <v>0.56384217863329122</v>
      </c>
      <c r="AD64">
        <v>0.16</v>
      </c>
      <c r="AE64" s="190">
        <v>1.0442</v>
      </c>
      <c r="AF64" s="190">
        <f t="shared" si="24"/>
        <v>0.90145091808</v>
      </c>
      <c r="AG64" s="31">
        <f t="shared" si="25"/>
        <v>0.5742993294750981</v>
      </c>
      <c r="AH64" s="31">
        <f t="shared" si="26"/>
        <v>1662.2519792327239</v>
      </c>
      <c r="AI64" s="31">
        <f t="shared" si="29"/>
        <v>0.46173666089797888</v>
      </c>
      <c r="AN64">
        <v>0.16</v>
      </c>
      <c r="AO64" s="190">
        <v>1.0442</v>
      </c>
      <c r="AP64" s="190">
        <f t="shared" si="13"/>
        <v>0.86691818010527999</v>
      </c>
      <c r="AQ64" s="31">
        <f t="shared" si="14"/>
        <v>0.46830111523503015</v>
      </c>
      <c r="AR64" s="31">
        <f t="shared" si="15"/>
        <v>1355.4507479362715</v>
      </c>
      <c r="AS64" s="31">
        <f t="shared" si="30"/>
        <v>0.37651409664896429</v>
      </c>
    </row>
    <row r="65" spans="1:45">
      <c r="A65">
        <v>0.15</v>
      </c>
      <c r="B65">
        <f t="shared" si="16"/>
        <v>1.0044999999999999</v>
      </c>
      <c r="C65" s="31">
        <v>1.0441800000000001</v>
      </c>
      <c r="D65">
        <f t="shared" si="17"/>
        <v>1.0044999999999999</v>
      </c>
      <c r="F65" s="31">
        <f t="shared" si="18"/>
        <v>2929.931363548792</v>
      </c>
      <c r="G65" s="31">
        <f t="shared" si="31"/>
        <v>0.81386982320799772</v>
      </c>
      <c r="L65">
        <v>0.17</v>
      </c>
      <c r="M65" s="190">
        <v>1.0442</v>
      </c>
      <c r="N65" s="31">
        <f t="shared" si="20"/>
        <v>0.84993618286338524</v>
      </c>
      <c r="O65" s="190">
        <f t="shared" si="27"/>
        <v>0.96715804799999994</v>
      </c>
      <c r="P65" s="31">
        <f t="shared" si="28"/>
        <v>2441.5982160169106</v>
      </c>
      <c r="Q65" s="31">
        <f t="shared" si="21"/>
        <v>0.67822172667136404</v>
      </c>
      <c r="T65">
        <v>0.17</v>
      </c>
      <c r="U65" s="190">
        <v>1.0442</v>
      </c>
      <c r="V65" s="190">
        <f t="shared" si="22"/>
        <v>0.93663262499999989</v>
      </c>
      <c r="W65" s="31">
        <f t="shared" si="5"/>
        <v>0.70290930762872372</v>
      </c>
      <c r="X65" s="31">
        <f t="shared" si="6"/>
        <v>2019.2364393125631</v>
      </c>
      <c r="Y65" s="31">
        <f t="shared" si="23"/>
        <v>0.56089901092015637</v>
      </c>
      <c r="AD65">
        <v>0.17</v>
      </c>
      <c r="AE65" s="190">
        <v>1.0442</v>
      </c>
      <c r="AF65" s="190">
        <f t="shared" si="24"/>
        <v>0.90204284501999987</v>
      </c>
      <c r="AG65" s="31">
        <f t="shared" si="25"/>
        <v>0.57562028687761968</v>
      </c>
      <c r="AH65" s="31">
        <f t="shared" si="26"/>
        <v>1653.575284686334</v>
      </c>
      <c r="AI65" s="31">
        <f t="shared" si="29"/>
        <v>0.45932646796842613</v>
      </c>
      <c r="AN65">
        <v>0.17</v>
      </c>
      <c r="AO65" s="190">
        <v>1.0442</v>
      </c>
      <c r="AP65" s="190">
        <f t="shared" si="13"/>
        <v>0.86748743153681984</v>
      </c>
      <c r="AQ65" s="31">
        <f t="shared" si="14"/>
        <v>0.46937826401969646</v>
      </c>
      <c r="AR65" s="31">
        <f t="shared" si="15"/>
        <v>1348.3755076842201</v>
      </c>
      <c r="AS65" s="31">
        <f t="shared" si="30"/>
        <v>0.37454875213450561</v>
      </c>
    </row>
    <row r="66" spans="1:45">
      <c r="A66">
        <v>0.16</v>
      </c>
      <c r="B66">
        <f t="shared" si="16"/>
        <v>1.00512</v>
      </c>
      <c r="C66" s="31">
        <v>1.0441800000000001</v>
      </c>
      <c r="D66">
        <f t="shared" si="17"/>
        <v>1.00512</v>
      </c>
      <c r="F66" s="31">
        <f t="shared" si="18"/>
        <v>2909.2193280000006</v>
      </c>
      <c r="G66" s="31">
        <f t="shared" si="31"/>
        <v>0.80811648000000014</v>
      </c>
      <c r="L66">
        <v>0.18</v>
      </c>
      <c r="M66" s="190">
        <v>1.0442</v>
      </c>
      <c r="N66" s="31">
        <f t="shared" si="20"/>
        <v>0.852008361528939</v>
      </c>
      <c r="O66" s="190">
        <f t="shared" si="27"/>
        <v>0.96783116800000002</v>
      </c>
      <c r="P66" s="31">
        <f t="shared" si="28"/>
        <v>2429.5854954596466</v>
      </c>
      <c r="Q66" s="31">
        <f t="shared" si="21"/>
        <v>0.67488485984990187</v>
      </c>
      <c r="T66">
        <v>0.18</v>
      </c>
      <c r="U66" s="190">
        <v>1.0442</v>
      </c>
      <c r="V66" s="190">
        <f t="shared" si="22"/>
        <v>0.93728450000000008</v>
      </c>
      <c r="W66" s="31">
        <f t="shared" si="5"/>
        <v>0.70462302884739259</v>
      </c>
      <c r="X66" s="31">
        <f t="shared" si="6"/>
        <v>2009.3017486147312</v>
      </c>
      <c r="Y66" s="31">
        <f t="shared" si="23"/>
        <v>0.55813937461520313</v>
      </c>
      <c r="AD66">
        <v>0.18</v>
      </c>
      <c r="AE66" s="190">
        <v>1.0442</v>
      </c>
      <c r="AF66" s="190">
        <f t="shared" si="24"/>
        <v>0.90267064632000005</v>
      </c>
      <c r="AG66" s="31">
        <f t="shared" si="25"/>
        <v>0.57702367233405394</v>
      </c>
      <c r="AH66" s="31">
        <f t="shared" si="26"/>
        <v>1645.4396554558462</v>
      </c>
      <c r="AI66" s="31">
        <f t="shared" si="29"/>
        <v>0.45706657095995729</v>
      </c>
      <c r="AN66">
        <v>0.18</v>
      </c>
      <c r="AO66" s="190">
        <v>1.0442</v>
      </c>
      <c r="AP66" s="190">
        <f t="shared" si="13"/>
        <v>0.86809118305512001</v>
      </c>
      <c r="AQ66" s="31">
        <f t="shared" si="14"/>
        <v>0.47052262714293652</v>
      </c>
      <c r="AR66" s="31">
        <f t="shared" si="15"/>
        <v>1341.74146852339</v>
      </c>
      <c r="AS66" s="31">
        <f t="shared" si="30"/>
        <v>0.37270596347871948</v>
      </c>
    </row>
    <row r="67" spans="1:45">
      <c r="A67">
        <v>0.17</v>
      </c>
      <c r="B67">
        <f t="shared" si="16"/>
        <v>1.0057799999999999</v>
      </c>
      <c r="C67" s="31">
        <v>1.0441800000000001</v>
      </c>
      <c r="D67">
        <f t="shared" si="17"/>
        <v>1.0057799999999999</v>
      </c>
      <c r="F67" s="31">
        <f t="shared" si="18"/>
        <v>2889.2882821300095</v>
      </c>
      <c r="G67" s="31">
        <f t="shared" si="31"/>
        <v>0.80258007836944711</v>
      </c>
      <c r="L67">
        <v>0.19</v>
      </c>
      <c r="M67" s="190">
        <v>1.0442</v>
      </c>
      <c r="N67" s="31">
        <f t="shared" si="20"/>
        <v>0.85420287156311714</v>
      </c>
      <c r="O67" s="190">
        <f t="shared" si="27"/>
        <v>0.96854275200000006</v>
      </c>
      <c r="P67" s="31">
        <f t="shared" si="28"/>
        <v>2418.3254010104961</v>
      </c>
      <c r="Q67" s="31">
        <f t="shared" si="21"/>
        <v>0.6717570558362489</v>
      </c>
      <c r="T67">
        <v>0.19</v>
      </c>
      <c r="U67" s="190">
        <v>1.0442</v>
      </c>
      <c r="V67" s="190">
        <f t="shared" si="22"/>
        <v>0.93797362500000003</v>
      </c>
      <c r="W67" s="31">
        <f t="shared" si="5"/>
        <v>0.70643791984722237</v>
      </c>
      <c r="X67" s="31">
        <f t="shared" si="6"/>
        <v>1999.9894904091541</v>
      </c>
      <c r="Y67" s="31">
        <f t="shared" si="23"/>
        <v>0.55555263622476503</v>
      </c>
      <c r="AD67">
        <v>0.19</v>
      </c>
      <c r="AE67" s="190">
        <v>1.0442</v>
      </c>
      <c r="AF67" s="190">
        <f t="shared" si="24"/>
        <v>0.90333432197999997</v>
      </c>
      <c r="AG67" s="31">
        <f t="shared" si="25"/>
        <v>0.5785099068548315</v>
      </c>
      <c r="AH67" s="31">
        <f t="shared" si="26"/>
        <v>1637.8137431488149</v>
      </c>
      <c r="AI67" s="31">
        <f t="shared" si="29"/>
        <v>0.45494826198578192</v>
      </c>
      <c r="AN67">
        <v>0.19</v>
      </c>
      <c r="AO67" s="190">
        <v>1.0442</v>
      </c>
      <c r="AP67" s="190">
        <f t="shared" si="13"/>
        <v>0.86872943466017993</v>
      </c>
      <c r="AQ67" s="31">
        <f t="shared" si="14"/>
        <v>0.4717345479094418</v>
      </c>
      <c r="AR67" s="31">
        <f t="shared" si="15"/>
        <v>1335.5230680225027</v>
      </c>
      <c r="AS67" s="31">
        <f t="shared" si="30"/>
        <v>0.37097863000625075</v>
      </c>
    </row>
    <row r="68" spans="1:45">
      <c r="A68">
        <v>0.18</v>
      </c>
      <c r="B68">
        <f t="shared" si="16"/>
        <v>1.00648</v>
      </c>
      <c r="C68" s="31">
        <v>1.0441800000000001</v>
      </c>
      <c r="D68">
        <f t="shared" si="17"/>
        <v>1.00648</v>
      </c>
      <c r="F68" s="31">
        <f t="shared" si="18"/>
        <v>2870.0765390166512</v>
      </c>
      <c r="G68" s="31">
        <f t="shared" si="31"/>
        <v>0.79724348306018089</v>
      </c>
      <c r="L68">
        <v>0.2</v>
      </c>
      <c r="M68" s="190">
        <v>1.0442</v>
      </c>
      <c r="N68" s="31">
        <f t="shared" si="20"/>
        <v>0.85652037130473757</v>
      </c>
      <c r="O68" s="190">
        <f t="shared" si="27"/>
        <v>0.96929280000000007</v>
      </c>
      <c r="P68" s="31">
        <f t="shared" si="28"/>
        <v>2407.7774499061093</v>
      </c>
      <c r="Q68" s="31">
        <f t="shared" si="21"/>
        <v>0.66882706941836367</v>
      </c>
      <c r="T68">
        <v>0.2</v>
      </c>
      <c r="U68" s="190">
        <v>1.0442</v>
      </c>
      <c r="V68" s="190">
        <f t="shared" si="22"/>
        <v>0.93869999999999998</v>
      </c>
      <c r="W68" s="31">
        <f t="shared" si="5"/>
        <v>0.70835452508377583</v>
      </c>
      <c r="X68" s="31">
        <f t="shared" si="6"/>
        <v>1991.2661848749576</v>
      </c>
      <c r="Y68" s="31">
        <f t="shared" si="23"/>
        <v>0.55312949579859938</v>
      </c>
      <c r="AD68">
        <v>0.2</v>
      </c>
      <c r="AE68" s="190">
        <v>1.0442</v>
      </c>
      <c r="AF68" s="190">
        <f t="shared" si="24"/>
        <v>0.90403387199999996</v>
      </c>
      <c r="AG68" s="31">
        <f t="shared" si="25"/>
        <v>0.58007943630069669</v>
      </c>
      <c r="AH68" s="31">
        <f t="shared" si="26"/>
        <v>1630.6701307657963</v>
      </c>
      <c r="AI68" s="31">
        <f t="shared" si="29"/>
        <v>0.45296392521272122</v>
      </c>
      <c r="AN68">
        <v>0.2</v>
      </c>
      <c r="AO68" s="190">
        <v>1.0442</v>
      </c>
      <c r="AP68" s="190">
        <f t="shared" si="13"/>
        <v>0.86940218635199995</v>
      </c>
      <c r="AQ68" s="31">
        <f t="shared" si="14"/>
        <v>0.47301438988760447</v>
      </c>
      <c r="AR68" s="31">
        <f t="shared" si="15"/>
        <v>1329.6979495275327</v>
      </c>
      <c r="AS68" s="31">
        <f t="shared" si="30"/>
        <v>0.36936054153542575</v>
      </c>
    </row>
    <row r="69" spans="1:45">
      <c r="A69">
        <v>0.19</v>
      </c>
      <c r="B69">
        <f t="shared" si="16"/>
        <v>1.00722</v>
      </c>
      <c r="C69" s="31">
        <v>1.0441800000000001</v>
      </c>
      <c r="D69">
        <f t="shared" si="17"/>
        <v>1.00722</v>
      </c>
      <c r="F69" s="31">
        <f t="shared" si="18"/>
        <v>2851.5306977937403</v>
      </c>
      <c r="G69" s="31">
        <f t="shared" si="31"/>
        <v>0.79209186049826119</v>
      </c>
      <c r="L69">
        <v>0.21</v>
      </c>
      <c r="M69" s="190">
        <v>1.0442</v>
      </c>
      <c r="N69" s="31">
        <f t="shared" si="20"/>
        <v>0.85896155598123591</v>
      </c>
      <c r="O69" s="190">
        <f t="shared" si="27"/>
        <v>0.97008131200000003</v>
      </c>
      <c r="P69" s="31">
        <f t="shared" si="28"/>
        <v>2397.9059815086857</v>
      </c>
      <c r="Q69" s="31">
        <f t="shared" si="21"/>
        <v>0.66608499486352379</v>
      </c>
      <c r="T69">
        <v>0.21</v>
      </c>
      <c r="U69" s="190">
        <v>1.0442</v>
      </c>
      <c r="V69" s="190">
        <f t="shared" si="22"/>
        <v>0.93946362500000002</v>
      </c>
      <c r="W69" s="31">
        <f t="shared" si="5"/>
        <v>0.71037341952002686</v>
      </c>
      <c r="X69" s="31">
        <f t="shared" si="6"/>
        <v>1983.1023401576574</v>
      </c>
      <c r="Y69" s="31">
        <f t="shared" si="23"/>
        <v>0.55086176115490482</v>
      </c>
      <c r="AD69">
        <v>0.21</v>
      </c>
      <c r="AE69" s="190">
        <v>1.0442</v>
      </c>
      <c r="AF69" s="190">
        <f t="shared" si="24"/>
        <v>0.90476929638000003</v>
      </c>
      <c r="AG69" s="31">
        <f t="shared" si="25"/>
        <v>0.58173273151525406</v>
      </c>
      <c r="AH69" s="31">
        <f t="shared" si="26"/>
        <v>1623.9846670975887</v>
      </c>
      <c r="AI69" s="31">
        <f t="shared" si="29"/>
        <v>0.45110685197155242</v>
      </c>
      <c r="AN69">
        <v>0.21</v>
      </c>
      <c r="AO69" s="190">
        <v>1.0442</v>
      </c>
      <c r="AP69" s="190">
        <f t="shared" si="13"/>
        <v>0.87010943813058006</v>
      </c>
      <c r="AQ69" s="31">
        <f t="shared" si="14"/>
        <v>0.47436253701759956</v>
      </c>
      <c r="AR69" s="31">
        <f t="shared" si="15"/>
        <v>1324.246419409003</v>
      </c>
      <c r="AS69" s="31">
        <f t="shared" si="30"/>
        <v>0.36784622761361196</v>
      </c>
    </row>
    <row r="70" spans="1:45">
      <c r="A70">
        <v>0.2</v>
      </c>
      <c r="B70">
        <f t="shared" si="16"/>
        <v>1.008</v>
      </c>
      <c r="C70" s="31">
        <v>1.0441800000000001</v>
      </c>
      <c r="D70">
        <f t="shared" si="17"/>
        <v>1.008</v>
      </c>
      <c r="F70" s="31">
        <f t="shared" si="18"/>
        <v>2833.6041392783786</v>
      </c>
      <c r="G70" s="31">
        <f t="shared" si="31"/>
        <v>0.78711226091066078</v>
      </c>
      <c r="L70">
        <v>0.22</v>
      </c>
      <c r="M70" s="190">
        <v>1.0442</v>
      </c>
      <c r="N70" s="31">
        <f t="shared" si="20"/>
        <v>0.86152715791514112</v>
      </c>
      <c r="O70" s="190">
        <f t="shared" si="27"/>
        <v>0.97090828799999995</v>
      </c>
      <c r="P70" s="31">
        <f t="shared" si="28"/>
        <v>2388.67938188672</v>
      </c>
      <c r="Q70" s="31">
        <f t="shared" si="21"/>
        <v>0.66352205052408886</v>
      </c>
      <c r="T70">
        <v>0.22</v>
      </c>
      <c r="U70" s="190">
        <v>1.0442</v>
      </c>
      <c r="V70" s="190">
        <f t="shared" si="22"/>
        <v>0.94026449999999995</v>
      </c>
      <c r="W70" s="31">
        <f t="shared" si="5"/>
        <v>0.71249520879711903</v>
      </c>
      <c r="X70" s="31">
        <f t="shared" si="6"/>
        <v>1975.4718110864105</v>
      </c>
      <c r="Y70" s="31">
        <f t="shared" si="23"/>
        <v>0.54874216974622514</v>
      </c>
      <c r="AD70">
        <v>0.22</v>
      </c>
      <c r="AE70" s="190">
        <v>1.0442</v>
      </c>
      <c r="AF70" s="190">
        <f t="shared" si="24"/>
        <v>0.90554059511999985</v>
      </c>
      <c r="AG70" s="31">
        <f t="shared" si="25"/>
        <v>0.58347028846480409</v>
      </c>
      <c r="AH70" s="31">
        <f t="shared" si="26"/>
        <v>1617.7359415716221</v>
      </c>
      <c r="AI70" s="31">
        <f t="shared" si="29"/>
        <v>0.44937109488100613</v>
      </c>
      <c r="AN70">
        <v>0.22</v>
      </c>
      <c r="AO70" s="190">
        <v>1.0442</v>
      </c>
      <c r="AP70" s="190">
        <f t="shared" si="13"/>
        <v>0.87085118999591993</v>
      </c>
      <c r="AQ70" s="31">
        <f t="shared" si="14"/>
        <v>0.47577939372541139</v>
      </c>
      <c r="AR70" s="31">
        <f t="shared" si="15"/>
        <v>1319.151018835782</v>
      </c>
      <c r="AS70" s="31">
        <f t="shared" si="30"/>
        <v>0.36643083856549502</v>
      </c>
    </row>
    <row r="71" spans="1:45">
      <c r="A71">
        <v>0.21</v>
      </c>
      <c r="B71">
        <f t="shared" si="16"/>
        <v>1.0088200000000001</v>
      </c>
      <c r="C71" s="31">
        <v>1.0441800000000001</v>
      </c>
      <c r="D71">
        <f t="shared" si="17"/>
        <v>1.0088200000000001</v>
      </c>
      <c r="F71" s="31">
        <f t="shared" si="18"/>
        <v>2816.2558561799442</v>
      </c>
      <c r="G71" s="31">
        <f t="shared" si="31"/>
        <v>0.78229329338331788</v>
      </c>
      <c r="L71">
        <v>0.23</v>
      </c>
      <c r="M71" s="190">
        <v>1.0442</v>
      </c>
      <c r="N71" s="31">
        <f t="shared" si="20"/>
        <v>0.86421794674133978</v>
      </c>
      <c r="O71" s="190">
        <f t="shared" si="27"/>
        <v>0.97177372800000006</v>
      </c>
      <c r="P71" s="31">
        <f t="shared" si="28"/>
        <v>2380.0694645289564</v>
      </c>
      <c r="Q71" s="31">
        <f t="shared" si="21"/>
        <v>0.66113040681359903</v>
      </c>
      <c r="T71">
        <v>0.23</v>
      </c>
      <c r="U71" s="190">
        <v>1.0442</v>
      </c>
      <c r="V71" s="190">
        <f t="shared" si="22"/>
        <v>0.94110262500000008</v>
      </c>
      <c r="W71" s="31">
        <f t="shared" si="5"/>
        <v>0.7147205294140464</v>
      </c>
      <c r="X71" s="31">
        <f t="shared" si="6"/>
        <v>1968.3512870156535</v>
      </c>
      <c r="Y71" s="31">
        <f t="shared" si="23"/>
        <v>0.54676424639323706</v>
      </c>
      <c r="AD71">
        <v>0.23</v>
      </c>
      <c r="AE71" s="190">
        <v>1.0442</v>
      </c>
      <c r="AF71" s="190">
        <f t="shared" si="24"/>
        <v>0.90634776821999996</v>
      </c>
      <c r="AG71" s="31">
        <f t="shared" si="25"/>
        <v>0.58529262838548557</v>
      </c>
      <c r="AH71" s="31">
        <f t="shared" si="26"/>
        <v>1611.9048648397531</v>
      </c>
      <c r="AI71" s="31">
        <f t="shared" si="29"/>
        <v>0.44775135134437588</v>
      </c>
      <c r="AN71">
        <v>0.23</v>
      </c>
      <c r="AO71" s="190">
        <v>1.0442</v>
      </c>
      <c r="AP71" s="190">
        <f t="shared" si="13"/>
        <v>0.87162744194802</v>
      </c>
      <c r="AQ71" s="31">
        <f t="shared" si="14"/>
        <v>0.47726538504281807</v>
      </c>
      <c r="AR71" s="31">
        <f t="shared" si="15"/>
        <v>1314.3961817736333</v>
      </c>
      <c r="AS71" s="31">
        <f t="shared" si="30"/>
        <v>0.36511005049267592</v>
      </c>
    </row>
    <row r="72" spans="1:45">
      <c r="A72">
        <v>0.22</v>
      </c>
      <c r="B72">
        <f t="shared" si="16"/>
        <v>1.0096799999999999</v>
      </c>
      <c r="C72" s="31">
        <v>1.0441800000000001</v>
      </c>
      <c r="D72">
        <f t="shared" si="17"/>
        <v>1.0096799999999999</v>
      </c>
      <c r="F72" s="31">
        <f t="shared" si="18"/>
        <v>2799.4495311556284</v>
      </c>
      <c r="G72" s="31">
        <f t="shared" si="31"/>
        <v>0.77762486976545231</v>
      </c>
      <c r="L72">
        <v>0.24</v>
      </c>
      <c r="M72" s="190">
        <v>1.0442</v>
      </c>
      <c r="N72" s="31">
        <f t="shared" si="20"/>
        <v>0.86703472963515182</v>
      </c>
      <c r="O72" s="190">
        <f t="shared" si="27"/>
        <v>0.97267763200000001</v>
      </c>
      <c r="P72" s="31">
        <f t="shared" si="28"/>
        <v>2372.0509702839563</v>
      </c>
      <c r="Q72" s="31">
        <f t="shared" si="21"/>
        <v>0.65890304730109894</v>
      </c>
      <c r="T72">
        <v>0.24</v>
      </c>
      <c r="U72" s="190">
        <v>1.0442</v>
      </c>
      <c r="V72" s="190">
        <f t="shared" si="22"/>
        <v>0.94197799999999998</v>
      </c>
      <c r="W72" s="31">
        <f t="shared" si="5"/>
        <v>0.71705004891627477</v>
      </c>
      <c r="X72" s="31">
        <f t="shared" si="6"/>
        <v>1961.7198782680111</v>
      </c>
      <c r="Y72" s="31">
        <f t="shared" si="23"/>
        <v>0.54492218840778084</v>
      </c>
      <c r="AD72">
        <v>0.24</v>
      </c>
      <c r="AE72" s="190">
        <v>1.0442</v>
      </c>
      <c r="AF72" s="190">
        <f t="shared" si="24"/>
        <v>0.90719081567999993</v>
      </c>
      <c r="AG72" s="31">
        <f t="shared" si="25"/>
        <v>0.58720029793774031</v>
      </c>
      <c r="AH72" s="31">
        <f t="shared" si="26"/>
        <v>1606.4743301117412</v>
      </c>
      <c r="AI72" s="31">
        <f t="shared" si="29"/>
        <v>0.44624286947548369</v>
      </c>
      <c r="AN72">
        <v>0.24</v>
      </c>
      <c r="AO72" s="190">
        <v>1.0442</v>
      </c>
      <c r="AP72" s="190">
        <f t="shared" si="13"/>
        <v>0.87243819398687994</v>
      </c>
      <c r="AQ72" s="31">
        <f t="shared" si="14"/>
        <v>0.47882095673334624</v>
      </c>
      <c r="AR72" s="31">
        <f t="shared" si="15"/>
        <v>1309.9679588262463</v>
      </c>
      <c r="AS72" s="31">
        <f t="shared" si="30"/>
        <v>0.3638799885628462</v>
      </c>
    </row>
    <row r="73" spans="1:45">
      <c r="A73">
        <v>0.23</v>
      </c>
      <c r="B73">
        <f t="shared" si="16"/>
        <v>1.01058</v>
      </c>
      <c r="C73" s="31">
        <v>1.0441800000000001</v>
      </c>
      <c r="D73">
        <f t="shared" si="17"/>
        <v>1.01058</v>
      </c>
      <c r="F73" s="31">
        <f t="shared" si="18"/>
        <v>2783.1528013656998</v>
      </c>
      <c r="G73" s="31">
        <f t="shared" si="31"/>
        <v>0.77309800037936105</v>
      </c>
      <c r="L73">
        <v>0.25</v>
      </c>
      <c r="M73" s="190">
        <v>1.0442</v>
      </c>
      <c r="N73" s="31">
        <f t="shared" si="20"/>
        <v>0.8699783515512638</v>
      </c>
      <c r="O73" s="190">
        <f t="shared" si="27"/>
        <v>0.97361999999999993</v>
      </c>
      <c r="P73" s="31">
        <f t="shared" si="28"/>
        <v>2364.601159516335</v>
      </c>
      <c r="Q73" s="31">
        <f t="shared" si="21"/>
        <v>0.6568336554212042</v>
      </c>
      <c r="T73">
        <v>0.25</v>
      </c>
      <c r="U73" s="190">
        <v>1.0442</v>
      </c>
      <c r="V73" s="190">
        <f t="shared" si="22"/>
        <v>0.94289062499999998</v>
      </c>
      <c r="W73" s="31">
        <f t="shared" si="5"/>
        <v>0.7194844660933436</v>
      </c>
      <c r="X73" s="31">
        <f t="shared" si="6"/>
        <v>1955.5587788417079</v>
      </c>
      <c r="Y73" s="31">
        <f t="shared" si="23"/>
        <v>0.5432107719004744</v>
      </c>
      <c r="AD73">
        <v>0.25</v>
      </c>
      <c r="AE73" s="190">
        <v>1.0442</v>
      </c>
      <c r="AF73" s="190">
        <f t="shared" si="24"/>
        <v>0.90806973749999997</v>
      </c>
      <c r="AG73" s="31">
        <f t="shared" si="25"/>
        <v>0.58919386936813078</v>
      </c>
      <c r="AH73" s="31">
        <f t="shared" si="26"/>
        <v>1601.4289369425794</v>
      </c>
      <c r="AI73" s="31">
        <f t="shared" si="29"/>
        <v>0.44484137137293872</v>
      </c>
      <c r="AN73">
        <v>0.25</v>
      </c>
      <c r="AO73" s="190">
        <v>1.0442</v>
      </c>
      <c r="AP73" s="190">
        <f t="shared" si="13"/>
        <v>0.87328344611249997</v>
      </c>
      <c r="AQ73" s="31">
        <f t="shared" si="14"/>
        <v>0.48044657542422275</v>
      </c>
      <c r="AR73" s="31">
        <f t="shared" si="15"/>
        <v>1305.8537920030376</v>
      </c>
      <c r="AS73" s="31">
        <f t="shared" si="30"/>
        <v>0.3627371644452882</v>
      </c>
    </row>
    <row r="74" spans="1:45">
      <c r="A74">
        <v>0.24</v>
      </c>
      <c r="B74">
        <f t="shared" si="16"/>
        <v>1.01152</v>
      </c>
      <c r="C74" s="31">
        <v>1.0441800000000001</v>
      </c>
      <c r="D74">
        <f t="shared" si="17"/>
        <v>1.01152</v>
      </c>
      <c r="F74" s="31">
        <f t="shared" si="18"/>
        <v>2767.3366653620496</v>
      </c>
      <c r="G74" s="31">
        <f t="shared" si="31"/>
        <v>0.76870462926723604</v>
      </c>
      <c r="L74">
        <v>0.26</v>
      </c>
      <c r="M74" s="190">
        <v>1.0442</v>
      </c>
      <c r="N74" s="31">
        <f t="shared" si="20"/>
        <v>0.87304969547353628</v>
      </c>
      <c r="O74" s="190">
        <f t="shared" si="27"/>
        <v>0.97460083200000003</v>
      </c>
      <c r="P74" s="31">
        <f t="shared" si="28"/>
        <v>2357.6994764254873</v>
      </c>
      <c r="Q74" s="31">
        <f t="shared" si="21"/>
        <v>0.654916521229302</v>
      </c>
      <c r="T74">
        <v>0.26</v>
      </c>
      <c r="U74" s="190">
        <v>1.0442</v>
      </c>
      <c r="V74" s="190">
        <f t="shared" si="22"/>
        <v>0.94384049999999997</v>
      </c>
      <c r="W74" s="31">
        <f t="shared" si="5"/>
        <v>0.72202451118546007</v>
      </c>
      <c r="X74" s="31">
        <f t="shared" si="6"/>
        <v>1949.8509887973819</v>
      </c>
      <c r="Y74" s="31">
        <f t="shared" si="23"/>
        <v>0.54162527466593946</v>
      </c>
      <c r="AD74">
        <v>0.26</v>
      </c>
      <c r="AE74" s="190">
        <v>1.0442</v>
      </c>
      <c r="AF74" s="190">
        <f t="shared" si="24"/>
        <v>0.90898453367999998</v>
      </c>
      <c r="AG74" s="31">
        <f t="shared" si="25"/>
        <v>0.5912739406785229</v>
      </c>
      <c r="AH74" s="31">
        <f t="shared" si="26"/>
        <v>1596.7547638919532</v>
      </c>
      <c r="AI74" s="31">
        <f t="shared" si="29"/>
        <v>0.44354298996998698</v>
      </c>
      <c r="AN74">
        <v>0.26</v>
      </c>
      <c r="AO74" s="190">
        <v>1.0442</v>
      </c>
      <c r="AP74" s="190">
        <f t="shared" si="13"/>
        <v>0.87416319832487999</v>
      </c>
      <c r="AQ74" s="31">
        <f t="shared" si="14"/>
        <v>0.48214272874433084</v>
      </c>
      <c r="AR74" s="31">
        <f t="shared" si="15"/>
        <v>1302.0423293387671</v>
      </c>
      <c r="AS74" s="31">
        <f t="shared" si="30"/>
        <v>0.36167842481632417</v>
      </c>
    </row>
    <row r="75" spans="1:45">
      <c r="A75">
        <v>0.25</v>
      </c>
      <c r="B75">
        <f t="shared" si="16"/>
        <v>1.0125</v>
      </c>
      <c r="C75" s="31">
        <v>1.0441800000000001</v>
      </c>
      <c r="D75">
        <f t="shared" si="17"/>
        <v>1.0125</v>
      </c>
      <c r="F75" s="31">
        <f t="shared" si="18"/>
        <v>2751.9749999999999</v>
      </c>
      <c r="G75" s="31">
        <f t="shared" si="31"/>
        <v>0.76443749999999999</v>
      </c>
      <c r="L75">
        <v>0.27</v>
      </c>
      <c r="M75" s="190">
        <v>1.0442</v>
      </c>
      <c r="N75" s="31">
        <f t="shared" si="20"/>
        <v>0.87624968267572989</v>
      </c>
      <c r="O75" s="190">
        <f t="shared" si="27"/>
        <v>0.97562012800000009</v>
      </c>
      <c r="P75" s="31">
        <f t="shared" si="28"/>
        <v>2351.3272704384867</v>
      </c>
      <c r="Q75" s="31">
        <f t="shared" si="21"/>
        <v>0.65314646401069076</v>
      </c>
      <c r="T75">
        <v>0.27</v>
      </c>
      <c r="U75" s="190">
        <v>1.0442</v>
      </c>
      <c r="V75" s="190">
        <f t="shared" si="22"/>
        <v>0.94482762500000006</v>
      </c>
      <c r="W75" s="31">
        <f t="shared" si="5"/>
        <v>0.72467094609912253</v>
      </c>
      <c r="X75" s="31">
        <f t="shared" si="6"/>
        <v>1944.5810838460468</v>
      </c>
      <c r="Y75" s="31">
        <f t="shared" si="23"/>
        <v>0.54016141217945746</v>
      </c>
      <c r="AD75">
        <v>0.27</v>
      </c>
      <c r="AE75" s="190">
        <v>1.0442</v>
      </c>
      <c r="AF75" s="190">
        <f t="shared" si="24"/>
        <v>0.90993520421999996</v>
      </c>
      <c r="AG75" s="31">
        <f t="shared" si="25"/>
        <v>0.59344113580266256</v>
      </c>
      <c r="AH75" s="31">
        <f t="shared" si="26"/>
        <v>1592.4391798372499</v>
      </c>
      <c r="AI75" s="31">
        <f t="shared" si="29"/>
        <v>0.44234421662145829</v>
      </c>
      <c r="AN75">
        <v>0.27</v>
      </c>
      <c r="AO75" s="190">
        <v>1.0442</v>
      </c>
      <c r="AP75" s="190">
        <f t="shared" si="13"/>
        <v>0.87507745062401998</v>
      </c>
      <c r="AQ75" s="31">
        <f t="shared" si="14"/>
        <v>0.48390992546819628</v>
      </c>
      <c r="AR75" s="31">
        <f t="shared" si="15"/>
        <v>1298.523271032439</v>
      </c>
      <c r="AS75" s="31">
        <f t="shared" si="30"/>
        <v>0.36070090862012194</v>
      </c>
    </row>
    <row r="76" spans="1:45">
      <c r="A76">
        <v>0.26</v>
      </c>
      <c r="B76">
        <f t="shared" si="16"/>
        <v>1.01352</v>
      </c>
      <c r="C76" s="31">
        <v>1.0441800000000001</v>
      </c>
      <c r="D76">
        <f t="shared" si="17"/>
        <v>1.01352</v>
      </c>
      <c r="F76" s="31">
        <f t="shared" si="18"/>
        <v>2737.0441633917189</v>
      </c>
      <c r="G76" s="31">
        <f t="shared" si="31"/>
        <v>0.76029004538658862</v>
      </c>
      <c r="L76">
        <v>0.28000000000000003</v>
      </c>
      <c r="M76" s="190">
        <v>1.0442</v>
      </c>
      <c r="N76" s="31">
        <f t="shared" si="20"/>
        <v>0.87957927299318006</v>
      </c>
      <c r="O76" s="190">
        <f t="shared" si="27"/>
        <v>0.97667788799999988</v>
      </c>
      <c r="P76" s="31">
        <f t="shared" si="28"/>
        <v>2345.4675631868381</v>
      </c>
      <c r="Q76" s="31">
        <f t="shared" si="21"/>
        <v>0.65151876755189952</v>
      </c>
      <c r="T76">
        <v>0.28000000000000003</v>
      </c>
      <c r="U76" s="190">
        <v>1.0442</v>
      </c>
      <c r="V76" s="190">
        <f t="shared" si="22"/>
        <v>0.94585199999999992</v>
      </c>
      <c r="W76" s="31">
        <f t="shared" si="5"/>
        <v>0.7274245646318005</v>
      </c>
      <c r="X76" s="31">
        <f t="shared" si="6"/>
        <v>1939.73502263556</v>
      </c>
      <c r="Y76" s="31">
        <f t="shared" si="23"/>
        <v>0.53881528406543333</v>
      </c>
      <c r="AD76">
        <v>0.28000000000000003</v>
      </c>
      <c r="AE76" s="190">
        <v>1.0442</v>
      </c>
      <c r="AF76" s="190">
        <f t="shared" si="24"/>
        <v>0.9109217491199999</v>
      </c>
      <c r="AG76" s="31">
        <f t="shared" si="25"/>
        <v>0.59569610479016799</v>
      </c>
      <c r="AH76" s="31">
        <f t="shared" si="26"/>
        <v>1588.4706861582899</v>
      </c>
      <c r="AI76" s="31">
        <f t="shared" si="29"/>
        <v>0.44124185726619164</v>
      </c>
      <c r="AN76">
        <v>0.28000000000000003</v>
      </c>
      <c r="AO76" s="190">
        <v>1.0442</v>
      </c>
      <c r="AP76" s="190">
        <f t="shared" si="13"/>
        <v>0.87602620300991996</v>
      </c>
      <c r="AQ76" s="31">
        <f t="shared" si="14"/>
        <v>0.48574869566602041</v>
      </c>
      <c r="AR76" s="31">
        <f t="shared" si="15"/>
        <v>1295.287240759935</v>
      </c>
      <c r="AS76" s="31">
        <f t="shared" si="30"/>
        <v>0.35980201132220418</v>
      </c>
    </row>
    <row r="77" spans="1:45">
      <c r="A77">
        <v>0.27</v>
      </c>
      <c r="B77">
        <f t="shared" si="16"/>
        <v>1.01458</v>
      </c>
      <c r="C77" s="31">
        <v>1.0441800000000001</v>
      </c>
      <c r="D77">
        <f t="shared" si="17"/>
        <v>1.01458</v>
      </c>
      <c r="F77" s="31">
        <f t="shared" si="18"/>
        <v>2722.5226658647621</v>
      </c>
      <c r="G77" s="31">
        <f t="shared" si="31"/>
        <v>0.75625629607354505</v>
      </c>
      <c r="L77">
        <v>0.28999999999999998</v>
      </c>
      <c r="M77" s="190">
        <v>1.0442</v>
      </c>
      <c r="N77" s="31">
        <f t="shared" si="20"/>
        <v>0.88303946510546338</v>
      </c>
      <c r="O77" s="190">
        <f t="shared" si="27"/>
        <v>0.97777411200000008</v>
      </c>
      <c r="P77" s="31">
        <f t="shared" si="28"/>
        <v>2340.1048522191095</v>
      </c>
      <c r="Q77" s="31">
        <f t="shared" si="21"/>
        <v>0.65002912561641935</v>
      </c>
      <c r="T77">
        <v>0.28999999999999998</v>
      </c>
      <c r="U77" s="190">
        <v>1.0442</v>
      </c>
      <c r="V77" s="190">
        <f t="shared" si="22"/>
        <v>0.94691362500000009</v>
      </c>
      <c r="W77" s="31">
        <f t="shared" si="5"/>
        <v>0.73028619270570305</v>
      </c>
      <c r="X77" s="31">
        <f t="shared" si="6"/>
        <v>1935.2999844181734</v>
      </c>
      <c r="Y77" s="31">
        <f t="shared" si="23"/>
        <v>0.53758332900504813</v>
      </c>
      <c r="AD77">
        <v>0.28999999999999998</v>
      </c>
      <c r="AE77" s="190">
        <v>1.0442</v>
      </c>
      <c r="AF77" s="190">
        <f t="shared" si="24"/>
        <v>0.91194416838000003</v>
      </c>
      <c r="AG77" s="31">
        <f t="shared" si="25"/>
        <v>0.59803952399796545</v>
      </c>
      <c r="AH77" s="31">
        <f t="shared" si="26"/>
        <v>1584.8387838014728</v>
      </c>
      <c r="AI77" s="31">
        <f t="shared" si="29"/>
        <v>0.44023299550040912</v>
      </c>
      <c r="AN77">
        <v>0.28999999999999998</v>
      </c>
      <c r="AO77" s="190">
        <v>1.0442</v>
      </c>
      <c r="AP77" s="190">
        <f t="shared" si="13"/>
        <v>0.87700945548258002</v>
      </c>
      <c r="AQ77" s="31">
        <f t="shared" si="14"/>
        <v>0.48765959085978255</v>
      </c>
      <c r="AR77" s="31">
        <f t="shared" si="15"/>
        <v>1292.3256772740842</v>
      </c>
      <c r="AS77" s="31">
        <f t="shared" si="30"/>
        <v>0.35897935479835674</v>
      </c>
    </row>
    <row r="78" spans="1:45">
      <c r="A78">
        <v>0.28000000000000003</v>
      </c>
      <c r="B78">
        <f t="shared" si="16"/>
        <v>1.0156799999999999</v>
      </c>
      <c r="C78" s="31">
        <v>1.0441800000000001</v>
      </c>
      <c r="D78">
        <f t="shared" si="17"/>
        <v>1.0156799999999999</v>
      </c>
      <c r="F78" s="31">
        <f t="shared" si="18"/>
        <v>2708.3908951957292</v>
      </c>
      <c r="G78" s="31">
        <f t="shared" si="31"/>
        <v>0.75233080422103593</v>
      </c>
      <c r="L78">
        <v>0.3</v>
      </c>
      <c r="M78" s="190">
        <v>1.0442</v>
      </c>
      <c r="N78" s="31">
        <f t="shared" si="20"/>
        <v>0.88663129683008135</v>
      </c>
      <c r="O78" s="190">
        <f t="shared" si="27"/>
        <v>0.97890880000000002</v>
      </c>
      <c r="P78" s="31">
        <f t="shared" si="28"/>
        <v>2335.2249445659832</v>
      </c>
      <c r="Q78" s="31">
        <f t="shared" si="21"/>
        <v>0.64867359571277305</v>
      </c>
      <c r="T78">
        <v>0.3</v>
      </c>
      <c r="U78" s="190">
        <v>1.0442</v>
      </c>
      <c r="V78" s="190">
        <f t="shared" si="22"/>
        <v>0.94801250000000004</v>
      </c>
      <c r="W78" s="31">
        <f t="shared" si="5"/>
        <v>0.73325668861065962</v>
      </c>
      <c r="X78" s="31">
        <f t="shared" si="6"/>
        <v>1931.2642314064647</v>
      </c>
      <c r="Y78" s="31">
        <f t="shared" si="23"/>
        <v>0.53646228650179573</v>
      </c>
      <c r="AD78">
        <v>0.3</v>
      </c>
      <c r="AE78" s="190">
        <v>1.0442</v>
      </c>
      <c r="AF78" s="190">
        <f t="shared" si="24"/>
        <v>0.91300246200000001</v>
      </c>
      <c r="AG78" s="31">
        <f t="shared" si="25"/>
        <v>0.60047209628918774</v>
      </c>
      <c r="AH78" s="31">
        <f t="shared" si="26"/>
        <v>1581.5338605615118</v>
      </c>
      <c r="AI78" s="31">
        <f t="shared" si="29"/>
        <v>0.43931496126708663</v>
      </c>
      <c r="AN78">
        <v>0.3</v>
      </c>
      <c r="AO78" s="190">
        <v>1.0442</v>
      </c>
      <c r="AP78" s="190">
        <f t="shared" si="13"/>
        <v>0.87802720804199996</v>
      </c>
      <c r="AQ78" s="31">
        <f t="shared" si="14"/>
        <v>0.48964318418542757</v>
      </c>
      <c r="AR78" s="31">
        <f t="shared" si="15"/>
        <v>1289.6307424907639</v>
      </c>
      <c r="AS78" s="31">
        <f t="shared" si="30"/>
        <v>0.35823076180298996</v>
      </c>
    </row>
    <row r="79" spans="1:45">
      <c r="A79">
        <v>0.28999999999999998</v>
      </c>
      <c r="B79">
        <f t="shared" si="16"/>
        <v>1.0168200000000001</v>
      </c>
      <c r="C79" s="31">
        <v>1.0441800000000001</v>
      </c>
      <c r="D79">
        <f t="shared" si="17"/>
        <v>1.0168200000000001</v>
      </c>
      <c r="F79" s="31">
        <f t="shared" si="18"/>
        <v>2694.630885550795</v>
      </c>
      <c r="G79" s="31">
        <f t="shared" si="31"/>
        <v>0.7485085793196653</v>
      </c>
      <c r="L79">
        <v>0.31</v>
      </c>
      <c r="M79" s="190">
        <v>1.0442</v>
      </c>
      <c r="N79" s="31">
        <f t="shared" si="20"/>
        <v>0.89035584542721868</v>
      </c>
      <c r="O79" s="190">
        <f t="shared" si="27"/>
        <v>0.98008195200000003</v>
      </c>
      <c r="P79" s="31">
        <f t="shared" si="28"/>
        <v>2330.8148147517813</v>
      </c>
      <c r="Q79" s="31">
        <f t="shared" si="21"/>
        <v>0.64744855965327264</v>
      </c>
      <c r="T79">
        <v>0.31</v>
      </c>
      <c r="U79" s="190">
        <v>1.0442</v>
      </c>
      <c r="V79" s="190">
        <f t="shared" si="22"/>
        <v>0.94914862500000008</v>
      </c>
      <c r="W79" s="31">
        <f t="shared" si="5"/>
        <v>0.73633694325615939</v>
      </c>
      <c r="X79" s="31">
        <f t="shared" si="6"/>
        <v>1927.6169913468518</v>
      </c>
      <c r="Y79" s="31">
        <f t="shared" si="23"/>
        <v>0.53544916426301437</v>
      </c>
      <c r="AD79">
        <v>0.31</v>
      </c>
      <c r="AE79" s="190">
        <v>1.0442</v>
      </c>
      <c r="AF79" s="190">
        <f t="shared" si="24"/>
        <v>0.91409662997999996</v>
      </c>
      <c r="AG79" s="31">
        <f t="shared" si="25"/>
        <v>0.60299455123957135</v>
      </c>
      <c r="AH79" s="31">
        <f t="shared" si="26"/>
        <v>1578.5470949195712</v>
      </c>
      <c r="AI79" s="31">
        <f t="shared" si="29"/>
        <v>0.43848530414432535</v>
      </c>
      <c r="AN79">
        <v>0.31</v>
      </c>
      <c r="AO79" s="190">
        <v>1.0442</v>
      </c>
      <c r="AP79" s="190">
        <f t="shared" si="13"/>
        <v>0.87907946068817999</v>
      </c>
      <c r="AQ79" s="31">
        <f t="shared" si="14"/>
        <v>0.49170007056116893</v>
      </c>
      <c r="AR79" s="31">
        <f t="shared" si="15"/>
        <v>1287.1952430755985</v>
      </c>
      <c r="AS79" s="31">
        <f t="shared" si="30"/>
        <v>0.35755423418766624</v>
      </c>
    </row>
    <row r="80" spans="1:45">
      <c r="A80">
        <v>0.3</v>
      </c>
      <c r="B80">
        <f t="shared" si="16"/>
        <v>1.018</v>
      </c>
      <c r="C80" s="31">
        <v>1.0441800000000001</v>
      </c>
      <c r="D80">
        <f t="shared" si="17"/>
        <v>1.018</v>
      </c>
      <c r="F80" s="31">
        <f t="shared" si="18"/>
        <v>2681.2261219149827</v>
      </c>
      <c r="G80" s="31">
        <f t="shared" si="31"/>
        <v>0.74478503386527295</v>
      </c>
      <c r="L80">
        <v>0.32</v>
      </c>
      <c r="M80" s="190">
        <v>1.0442</v>
      </c>
      <c r="N80" s="31">
        <f t="shared" si="20"/>
        <v>0.89421422791560068</v>
      </c>
      <c r="O80" s="190">
        <f t="shared" si="27"/>
        <v>0.98129356800000012</v>
      </c>
      <c r="P80" s="31">
        <f t="shared" si="28"/>
        <v>2326.8624829693053</v>
      </c>
      <c r="Q80" s="31">
        <f t="shared" si="21"/>
        <v>0.64635068971369591</v>
      </c>
      <c r="T80">
        <v>0.32</v>
      </c>
      <c r="U80" s="190">
        <v>1.0442</v>
      </c>
      <c r="V80" s="190">
        <f t="shared" si="22"/>
        <v>0.95032200000000011</v>
      </c>
      <c r="W80" s="31">
        <f t="shared" ref="W80:W111" si="32">($S$51/$S$52)*(1+((1.4-1)/2)*T80^2)^(1.4/(1.4-1))</f>
        <v>0.73952788043257023</v>
      </c>
      <c r="X80" s="31">
        <f t="shared" si="6"/>
        <v>1924.3483567684539</v>
      </c>
      <c r="Y80" s="31">
        <f t="shared" si="23"/>
        <v>0.53454121021345946</v>
      </c>
      <c r="AD80">
        <v>0.32</v>
      </c>
      <c r="AE80" s="190">
        <v>1.0442</v>
      </c>
      <c r="AF80" s="190">
        <f t="shared" si="24"/>
        <v>0.91522667231999999</v>
      </c>
      <c r="AG80" s="31">
        <f t="shared" si="25"/>
        <v>0.60560764535137124</v>
      </c>
      <c r="AH80" s="31">
        <f t="shared" si="26"/>
        <v>1575.8703735370316</v>
      </c>
      <c r="AI80" s="31">
        <f t="shared" si="29"/>
        <v>0.43774177042695323</v>
      </c>
      <c r="AN80">
        <v>0.32</v>
      </c>
      <c r="AO80" s="190">
        <v>1.0442</v>
      </c>
      <c r="AP80" s="190">
        <f t="shared" si="13"/>
        <v>0.88016621342112</v>
      </c>
      <c r="AQ80" s="31">
        <f t="shared" si="14"/>
        <v>0.49383086686192118</v>
      </c>
      <c r="AR80" s="31">
        <f t="shared" si="15"/>
        <v>1285.0125631658686</v>
      </c>
      <c r="AS80" s="31">
        <f t="shared" si="30"/>
        <v>0.35694793421274129</v>
      </c>
    </row>
    <row r="81" spans="1:47">
      <c r="A81">
        <v>0.31</v>
      </c>
      <c r="B81">
        <f t="shared" si="16"/>
        <v>1.01922</v>
      </c>
      <c r="C81" s="31">
        <v>1.0441800000000001</v>
      </c>
      <c r="D81">
        <f t="shared" si="17"/>
        <v>1.01922</v>
      </c>
      <c r="F81" s="31">
        <f t="shared" si="18"/>
        <v>2668.1613735589299</v>
      </c>
      <c r="G81" s="31">
        <f t="shared" si="31"/>
        <v>0.74115593709970273</v>
      </c>
      <c r="L81">
        <v>0.33</v>
      </c>
      <c r="M81" s="190">
        <v>1.0442</v>
      </c>
      <c r="N81" s="31">
        <f t="shared" si="20"/>
        <v>0.89820760139950073</v>
      </c>
      <c r="O81" s="190">
        <f t="shared" si="27"/>
        <v>0.98254364799999994</v>
      </c>
      <c r="P81" s="31">
        <f t="shared" si="28"/>
        <v>2323.3569099967162</v>
      </c>
      <c r="Q81" s="31">
        <f t="shared" si="21"/>
        <v>0.64537691944353226</v>
      </c>
      <c r="T81">
        <v>0.33</v>
      </c>
      <c r="U81" s="190">
        <v>1.0442</v>
      </c>
      <c r="V81" s="190">
        <f t="shared" si="22"/>
        <v>0.95153262499999991</v>
      </c>
      <c r="W81" s="31">
        <f t="shared" si="32"/>
        <v>0.74283045708157758</v>
      </c>
      <c r="X81" s="31">
        <f t="shared" si="6"/>
        <v>1921.4491980778528</v>
      </c>
      <c r="Y81" s="31">
        <f t="shared" si="23"/>
        <v>0.53373588835495911</v>
      </c>
      <c r="AD81">
        <v>0.33</v>
      </c>
      <c r="AE81" s="190">
        <v>1.0442</v>
      </c>
      <c r="AF81" s="190">
        <f t="shared" si="24"/>
        <v>0.91639258901999987</v>
      </c>
      <c r="AG81" s="31">
        <f t="shared" si="25"/>
        <v>0.60831216227482776</v>
      </c>
      <c r="AH81" s="31">
        <f t="shared" si="26"/>
        <v>1573.4962200878238</v>
      </c>
      <c r="AI81" s="31">
        <f t="shared" si="29"/>
        <v>0.43708228335772881</v>
      </c>
      <c r="AN81">
        <v>0.33</v>
      </c>
      <c r="AO81" s="190">
        <v>1.0442</v>
      </c>
      <c r="AP81" s="190">
        <f t="shared" si="13"/>
        <v>0.88128746624081988</v>
      </c>
      <c r="AQ81" s="31">
        <f t="shared" si="14"/>
        <v>0.49603621209989013</v>
      </c>
      <c r="AR81" s="31">
        <f t="shared" si="15"/>
        <v>1283.0766063382339</v>
      </c>
      <c r="AS81" s="31">
        <f t="shared" si="30"/>
        <v>0.35641016842728718</v>
      </c>
    </row>
    <row r="82" spans="1:47">
      <c r="A82">
        <v>0.32</v>
      </c>
      <c r="B82">
        <f t="shared" ref="B82:B113" si="33">1*(1+((1.4-1)/2)*A82^2)</f>
        <v>1.0204800000000001</v>
      </c>
      <c r="C82" s="31">
        <v>1.0441800000000001</v>
      </c>
      <c r="D82">
        <f t="shared" ref="D82:D113" si="34">1*(1+((1.4-1)/2)*A82^2)</f>
        <v>1.0204800000000001</v>
      </c>
      <c r="F82" s="31">
        <f t="shared" ref="F82:F96" si="35">$C$41*D82*(1-0.49*(SQRT(A82)))</f>
        <v>2655.422551434322</v>
      </c>
      <c r="G82" s="31">
        <f t="shared" si="31"/>
        <v>0.73761737539842276</v>
      </c>
      <c r="L82">
        <v>0.34</v>
      </c>
      <c r="M82" s="190">
        <v>1.0442</v>
      </c>
      <c r="N82" s="31">
        <f t="shared" si="20"/>
        <v>0.90233716340694214</v>
      </c>
      <c r="O82" s="190">
        <f t="shared" si="27"/>
        <v>0.98383219200000005</v>
      </c>
      <c r="P82" s="31">
        <f t="shared" si="28"/>
        <v>2320.2879061026488</v>
      </c>
      <c r="Q82" s="31">
        <f t="shared" si="21"/>
        <v>0.64452441836184693</v>
      </c>
      <c r="T82">
        <v>0.34</v>
      </c>
      <c r="U82" s="190">
        <v>1.0442</v>
      </c>
      <c r="V82" s="190">
        <f t="shared" si="22"/>
        <v>0.95278050000000003</v>
      </c>
      <c r="W82" s="31">
        <f t="shared" si="32"/>
        <v>0.7462456635758834</v>
      </c>
      <c r="X82" s="31">
        <f t="shared" si="6"/>
        <v>1918.9110882223329</v>
      </c>
      <c r="Y82" s="31">
        <f t="shared" si="23"/>
        <v>0.53303085783953685</v>
      </c>
      <c r="AD82">
        <v>0.34</v>
      </c>
      <c r="AE82" s="190">
        <v>1.0442</v>
      </c>
      <c r="AF82" s="190">
        <f t="shared" si="24"/>
        <v>0.91759438007999994</v>
      </c>
      <c r="AG82" s="31">
        <f t="shared" si="25"/>
        <v>0.61110891303721337</v>
      </c>
      <c r="AH82" s="31">
        <f t="shared" si="26"/>
        <v>1571.4177335643058</v>
      </c>
      <c r="AI82" s="31">
        <f t="shared" si="29"/>
        <v>0.43650492599008495</v>
      </c>
      <c r="AN82">
        <v>0.34</v>
      </c>
      <c r="AO82" s="190">
        <v>1.0442</v>
      </c>
      <c r="AP82" s="190">
        <f t="shared" si="13"/>
        <v>0.88244321914727997</v>
      </c>
      <c r="AQ82" s="31">
        <f t="shared" si="14"/>
        <v>0.49831676761134563</v>
      </c>
      <c r="AR82" s="31">
        <f t="shared" si="15"/>
        <v>1281.3817453014747</v>
      </c>
      <c r="AS82" s="31">
        <f t="shared" si="30"/>
        <v>0.35593937369485407</v>
      </c>
    </row>
    <row r="83" spans="1:47">
      <c r="A83">
        <v>0.33</v>
      </c>
      <c r="B83">
        <f t="shared" si="33"/>
        <v>1.0217799999999999</v>
      </c>
      <c r="C83" s="31">
        <v>1.0441800000000001</v>
      </c>
      <c r="D83">
        <f t="shared" si="34"/>
        <v>1.0217799999999999</v>
      </c>
      <c r="F83" s="31">
        <f t="shared" si="35"/>
        <v>2642.9965854191937</v>
      </c>
      <c r="G83" s="31">
        <f t="shared" si="31"/>
        <v>0.73416571817199827</v>
      </c>
      <c r="L83">
        <v>0.35</v>
      </c>
      <c r="M83" s="190">
        <v>1.0442</v>
      </c>
      <c r="N83" s="31">
        <f t="shared" si="20"/>
        <v>0.90660415223912982</v>
      </c>
      <c r="O83" s="190">
        <f t="shared" si="27"/>
        <v>0.98515920000000001</v>
      </c>
      <c r="P83" s="31">
        <f t="shared" si="28"/>
        <v>2317.6460517071823</v>
      </c>
      <c r="Q83" s="31">
        <f t="shared" si="21"/>
        <v>0.64379056991866179</v>
      </c>
      <c r="T83">
        <v>0.35</v>
      </c>
      <c r="U83" s="190">
        <v>1.0442</v>
      </c>
      <c r="V83" s="190">
        <f t="shared" si="22"/>
        <v>0.95406562500000003</v>
      </c>
      <c r="W83" s="31">
        <f t="shared" si="32"/>
        <v>0.74977452400819022</v>
      </c>
      <c r="X83" s="31">
        <f t="shared" si="6"/>
        <v>1916.7262370753713</v>
      </c>
      <c r="Y83" s="31">
        <f t="shared" si="23"/>
        <v>0.53242395474315873</v>
      </c>
      <c r="AD83">
        <v>0.35</v>
      </c>
      <c r="AE83" s="190">
        <v>1.0442</v>
      </c>
      <c r="AF83" s="190">
        <f t="shared" si="24"/>
        <v>0.91883204549999997</v>
      </c>
      <c r="AG83" s="31">
        <f t="shared" si="25"/>
        <v>0.61399873627948642</v>
      </c>
      <c r="AH83" s="31">
        <f t="shared" si="26"/>
        <v>1569.6285345448166</v>
      </c>
      <c r="AI83" s="31">
        <f t="shared" si="29"/>
        <v>0.43600792626244905</v>
      </c>
      <c r="AN83">
        <v>0.35</v>
      </c>
      <c r="AO83" s="190">
        <v>1.0442</v>
      </c>
      <c r="AP83" s="190">
        <f t="shared" si="13"/>
        <v>0.88363347214049992</v>
      </c>
      <c r="AQ83" s="31">
        <f t="shared" si="14"/>
        <v>0.50067321724959524</v>
      </c>
      <c r="AR83" s="31">
        <f t="shared" si="15"/>
        <v>1279.9227780814192</v>
      </c>
      <c r="AS83" s="31">
        <f t="shared" si="30"/>
        <v>0.35553410502261645</v>
      </c>
      <c r="AU83">
        <f>(3*(AP95-AO95)/(1.5+AN95))</f>
        <v>-0.21866875914758396</v>
      </c>
    </row>
    <row r="84" spans="1:47">
      <c r="A84">
        <v>0.34</v>
      </c>
      <c r="B84">
        <f t="shared" si="33"/>
        <v>1.02312</v>
      </c>
      <c r="C84" s="31">
        <v>1.0441800000000001</v>
      </c>
      <c r="D84">
        <f t="shared" si="34"/>
        <v>1.02312</v>
      </c>
      <c r="F84" s="31">
        <f t="shared" si="35"/>
        <v>2630.8713181318121</v>
      </c>
      <c r="G84" s="31">
        <f t="shared" si="31"/>
        <v>0.73079758836994779</v>
      </c>
      <c r="L84">
        <v>0.36</v>
      </c>
      <c r="M84" s="190">
        <v>1.0442</v>
      </c>
      <c r="N84" s="31">
        <f t="shared" si="20"/>
        <v>0.91100984733117418</v>
      </c>
      <c r="O84" s="190">
        <f t="shared" si="27"/>
        <v>0.98652467199999994</v>
      </c>
      <c r="P84" s="31">
        <f t="shared" si="28"/>
        <v>2315.4226279769123</v>
      </c>
      <c r="Q84" s="31">
        <f t="shared" si="21"/>
        <v>0.64317295221580895</v>
      </c>
      <c r="T84">
        <v>0.36</v>
      </c>
      <c r="U84" s="190">
        <v>1.0442</v>
      </c>
      <c r="V84" s="190">
        <f t="shared" si="22"/>
        <v>0.95538800000000001</v>
      </c>
      <c r="W84" s="31">
        <f t="shared" si="32"/>
        <v>0.75341809648952551</v>
      </c>
      <c r="X84" s="31">
        <f t="shared" si="6"/>
        <v>1914.8874340377779</v>
      </c>
      <c r="Y84" s="31">
        <f t="shared" si="23"/>
        <v>0.53191317612160494</v>
      </c>
      <c r="AD84">
        <v>0.36</v>
      </c>
      <c r="AE84" s="190">
        <v>1.0442</v>
      </c>
      <c r="AF84" s="190">
        <f t="shared" si="24"/>
        <v>0.92010558527999986</v>
      </c>
      <c r="AG84" s="31">
        <f t="shared" si="25"/>
        <v>0.61698249850059139</v>
      </c>
      <c r="AH84" s="31">
        <f t="shared" si="26"/>
        <v>1568.1227181891031</v>
      </c>
      <c r="AI84" s="31">
        <f t="shared" si="29"/>
        <v>0.43558964394141753</v>
      </c>
      <c r="AN84">
        <v>0.36</v>
      </c>
      <c r="AO84" s="190">
        <v>1.0442</v>
      </c>
      <c r="AP84" s="190">
        <f t="shared" si="13"/>
        <v>0.88485822522047997</v>
      </c>
      <c r="AQ84" s="31">
        <f t="shared" si="14"/>
        <v>0.50310626758419463</v>
      </c>
      <c r="AR84" s="31">
        <f t="shared" si="15"/>
        <v>1278.6948896919891</v>
      </c>
      <c r="AS84" s="31">
        <f t="shared" si="30"/>
        <v>0.35519302491444144</v>
      </c>
    </row>
    <row r="85" spans="1:47">
      <c r="A85">
        <v>0.35</v>
      </c>
      <c r="B85">
        <f t="shared" si="33"/>
        <v>1.0245</v>
      </c>
      <c r="C85" s="31">
        <v>1.0441800000000001</v>
      </c>
      <c r="D85">
        <f t="shared" si="34"/>
        <v>1.0245</v>
      </c>
      <c r="F85" s="31">
        <f t="shared" si="35"/>
        <v>2619.0354126546281</v>
      </c>
      <c r="G85" s="31">
        <f t="shared" si="31"/>
        <v>0.72750983684850778</v>
      </c>
      <c r="L85">
        <v>0.37</v>
      </c>
      <c r="M85" s="190">
        <v>1.0442</v>
      </c>
      <c r="N85" s="31">
        <f t="shared" si="20"/>
        <v>0.91555556962413809</v>
      </c>
      <c r="O85" s="190">
        <f t="shared" si="27"/>
        <v>0.98792860799999993</v>
      </c>
      <c r="P85" s="31">
        <f t="shared" si="28"/>
        <v>2313.6095558580341</v>
      </c>
      <c r="Q85" s="31">
        <f t="shared" si="21"/>
        <v>0.64266932107167618</v>
      </c>
      <c r="T85">
        <v>0.37</v>
      </c>
      <c r="U85" s="190">
        <v>1.0442</v>
      </c>
      <c r="V85" s="190">
        <f t="shared" si="22"/>
        <v>0.95674762499999999</v>
      </c>
      <c r="W85" s="31">
        <f t="shared" si="32"/>
        <v>0.75717747345692932</v>
      </c>
      <c r="X85" s="31">
        <f t="shared" si="6"/>
        <v>1913.3879976171893</v>
      </c>
      <c r="Y85" s="31">
        <f t="shared" si="23"/>
        <v>0.53149666600477485</v>
      </c>
      <c r="AD85">
        <v>0.37</v>
      </c>
      <c r="AE85" s="190">
        <v>1.0442</v>
      </c>
      <c r="AF85" s="190">
        <f t="shared" si="24"/>
        <v>0.92141499941999994</v>
      </c>
      <c r="AG85" s="31">
        <f t="shared" si="25"/>
        <v>0.62006109430942813</v>
      </c>
      <c r="AH85" s="31">
        <f t="shared" si="26"/>
        <v>1566.8948129484033</v>
      </c>
      <c r="AI85" s="31">
        <f t="shared" si="29"/>
        <v>0.43524855915233424</v>
      </c>
      <c r="AN85">
        <v>0.37</v>
      </c>
      <c r="AO85" s="190">
        <v>1.0442</v>
      </c>
      <c r="AP85" s="190">
        <f t="shared" si="13"/>
        <v>0.88611747838721999</v>
      </c>
      <c r="AQ85" s="31">
        <f t="shared" si="14"/>
        <v>0.50561664810641083</v>
      </c>
      <c r="AR85" s="31">
        <f t="shared" si="15"/>
        <v>1277.6936184661488</v>
      </c>
      <c r="AS85" s="31">
        <f t="shared" si="30"/>
        <v>0.35491489401837467</v>
      </c>
    </row>
    <row r="86" spans="1:47">
      <c r="A86">
        <v>0.36</v>
      </c>
      <c r="B86">
        <f t="shared" si="33"/>
        <v>1.0259199999999999</v>
      </c>
      <c r="C86" s="31">
        <v>1.0441800000000001</v>
      </c>
      <c r="D86">
        <f t="shared" si="34"/>
        <v>1.0259199999999999</v>
      </c>
      <c r="F86" s="31">
        <f t="shared" si="35"/>
        <v>2607.4782719999998</v>
      </c>
      <c r="G86" s="31">
        <f t="shared" si="31"/>
        <v>0.72429951999999997</v>
      </c>
      <c r="L86">
        <v>0.38</v>
      </c>
      <c r="M86" s="190">
        <v>1.0442</v>
      </c>
      <c r="N86" s="31">
        <f t="shared" si="20"/>
        <v>0.92024268194846681</v>
      </c>
      <c r="O86" s="190">
        <f t="shared" si="27"/>
        <v>0.989371008</v>
      </c>
      <c r="P86" s="31">
        <f t="shared" si="28"/>
        <v>2312.1993423116046</v>
      </c>
      <c r="Q86" s="31">
        <f t="shared" si="21"/>
        <v>0.6422775950865568</v>
      </c>
      <c r="T86">
        <v>0.38</v>
      </c>
      <c r="U86" s="190">
        <v>1.0442</v>
      </c>
      <c r="V86" s="190">
        <f t="shared" si="22"/>
        <v>0.95814450000000007</v>
      </c>
      <c r="W86" s="31">
        <f t="shared" si="32"/>
        <v>0.76105378199055662</v>
      </c>
      <c r="X86" s="31">
        <f t="shared" si="6"/>
        <v>1912.2217309638627</v>
      </c>
      <c r="Y86" s="31">
        <f t="shared" si="23"/>
        <v>0.53117270304551745</v>
      </c>
      <c r="AD86">
        <v>0.38</v>
      </c>
      <c r="AE86" s="190">
        <v>1.0442</v>
      </c>
      <c r="AF86" s="190">
        <f t="shared" ref="AF86:AF108" si="36">0.896859*(1+((1.4-1)/2)*AD86^2)</f>
        <v>0.92276028791999998</v>
      </c>
      <c r="AG86" s="31">
        <f t="shared" ref="AG86:AG117" si="37">($AB$51/$AB$52)*(1+((1.4-1)/2)*AD86^2)^(1.4/(1.4-1))</f>
        <v>0.62323544668453035</v>
      </c>
      <c r="AH86" s="31">
        <f t="shared" ref="AH86:AH137" si="38">$C$41*AG86*(1-0.49*(SQRT(AD86)))</f>
        <v>1565.9397441532149</v>
      </c>
      <c r="AI86" s="31">
        <f t="shared" si="29"/>
        <v>0.4349832622647819</v>
      </c>
      <c r="AN86">
        <v>0.38</v>
      </c>
      <c r="AO86" s="190">
        <v>1.0442</v>
      </c>
      <c r="AP86" s="190">
        <f t="shared" si="13"/>
        <v>0.88741123164072</v>
      </c>
      <c r="AQ86" s="31">
        <f t="shared" si="14"/>
        <v>0.50820511144097191</v>
      </c>
      <c r="AR86" s="31">
        <f t="shared" si="15"/>
        <v>1276.9148263642639</v>
      </c>
      <c r="AS86" s="31">
        <f t="shared" si="30"/>
        <v>0.35469856287896223</v>
      </c>
    </row>
    <row r="87" spans="1:47">
      <c r="A87">
        <v>0.37</v>
      </c>
      <c r="B87">
        <f t="shared" si="33"/>
        <v>1.02738</v>
      </c>
      <c r="C87" s="31">
        <v>1.0441800000000001</v>
      </c>
      <c r="D87">
        <f t="shared" si="34"/>
        <v>1.02738</v>
      </c>
      <c r="F87" s="31">
        <f t="shared" si="35"/>
        <v>2596.1899685381586</v>
      </c>
      <c r="G87" s="31">
        <f t="shared" si="31"/>
        <v>0.72116388014948851</v>
      </c>
      <c r="L87">
        <v>0.39</v>
      </c>
      <c r="M87" s="190">
        <v>1.0442</v>
      </c>
      <c r="N87" s="31">
        <f t="shared" si="20"/>
        <v>0.92507258941884585</v>
      </c>
      <c r="O87" s="190">
        <f t="shared" si="27"/>
        <v>0.99085187199999991</v>
      </c>
      <c r="P87" s="31">
        <f t="shared" si="28"/>
        <v>2311.1850327243983</v>
      </c>
      <c r="Q87" s="31">
        <f t="shared" si="21"/>
        <v>0.64199584242344399</v>
      </c>
      <c r="T87">
        <v>0.39</v>
      </c>
      <c r="U87" s="190">
        <v>1.0442</v>
      </c>
      <c r="V87" s="190">
        <f t="shared" si="22"/>
        <v>0.95957862499999991</v>
      </c>
      <c r="W87" s="31">
        <f t="shared" si="32"/>
        <v>0.76504818414023024</v>
      </c>
      <c r="X87" s="31">
        <f t="shared" si="6"/>
        <v>1911.3828825137794</v>
      </c>
      <c r="Y87" s="31">
        <f t="shared" si="23"/>
        <v>0.53093968958716098</v>
      </c>
      <c r="AD87">
        <v>0.39</v>
      </c>
      <c r="AE87" s="190">
        <v>1.0442</v>
      </c>
      <c r="AF87" s="190">
        <f t="shared" si="36"/>
        <v>0.92414145077999987</v>
      </c>
      <c r="AG87" s="31">
        <f t="shared" si="37"/>
        <v>0.62650650724148371</v>
      </c>
      <c r="AH87" s="31">
        <f t="shared" si="38"/>
        <v>1565.2528017834907</v>
      </c>
      <c r="AI87" s="31">
        <f t="shared" si="29"/>
        <v>0.43479244493985852</v>
      </c>
      <c r="AN87">
        <v>0.39</v>
      </c>
      <c r="AO87" s="190">
        <v>1.0442</v>
      </c>
      <c r="AP87" s="190">
        <f t="shared" si="13"/>
        <v>0.88873948498097988</v>
      </c>
      <c r="AQ87" s="31">
        <f t="shared" si="14"/>
        <v>0.51087243356412793</v>
      </c>
      <c r="AR87" s="31">
        <f t="shared" si="15"/>
        <v>1276.3546726929405</v>
      </c>
      <c r="AS87" s="31">
        <f t="shared" si="30"/>
        <v>0.35454296463692792</v>
      </c>
    </row>
    <row r="88" spans="1:47">
      <c r="A88">
        <v>0.38</v>
      </c>
      <c r="B88">
        <f t="shared" si="33"/>
        <v>1.02888</v>
      </c>
      <c r="C88" s="31">
        <v>1.0441800000000001</v>
      </c>
      <c r="D88">
        <f t="shared" si="34"/>
        <v>1.02888</v>
      </c>
      <c r="F88" s="31">
        <f t="shared" si="35"/>
        <v>2585.161181918299</v>
      </c>
      <c r="G88" s="31">
        <f t="shared" si="31"/>
        <v>0.71810032831063864</v>
      </c>
      <c r="L88">
        <v>0.4</v>
      </c>
      <c r="M88" s="190">
        <v>1.0442</v>
      </c>
      <c r="N88" s="31">
        <f t="shared" si="20"/>
        <v>0.93004673984054465</v>
      </c>
      <c r="O88" s="190">
        <f t="shared" si="27"/>
        <v>0.99237120000000001</v>
      </c>
      <c r="P88" s="31">
        <f t="shared" si="28"/>
        <v>2310.5601686381265</v>
      </c>
      <c r="Q88" s="31">
        <f t="shared" si="21"/>
        <v>0.64182226906614626</v>
      </c>
      <c r="T88">
        <v>0.4</v>
      </c>
      <c r="U88" s="190">
        <v>1.0442</v>
      </c>
      <c r="V88" s="190">
        <f t="shared" si="22"/>
        <v>0.96105000000000007</v>
      </c>
      <c r="W88" s="31">
        <f t="shared" si="32"/>
        <v>0.76916187726149299</v>
      </c>
      <c r="X88" s="31">
        <f t="shared" si="6"/>
        <v>1910.8661110301093</v>
      </c>
      <c r="Y88" s="31">
        <f t="shared" si="23"/>
        <v>0.53079614195280811</v>
      </c>
      <c r="AD88">
        <v>0.4</v>
      </c>
      <c r="AE88" s="190">
        <v>1.0442</v>
      </c>
      <c r="AF88" s="190">
        <f t="shared" si="36"/>
        <v>0.92555848799999996</v>
      </c>
      <c r="AG88" s="31">
        <f t="shared" si="37"/>
        <v>0.62987525650812237</v>
      </c>
      <c r="AH88" s="31">
        <f t="shared" si="38"/>
        <v>1564.8296118407027</v>
      </c>
      <c r="AI88" s="31">
        <f t="shared" si="29"/>
        <v>0.43467489217797295</v>
      </c>
      <c r="AN88">
        <v>0.4</v>
      </c>
      <c r="AO88" s="190">
        <v>1.0442</v>
      </c>
      <c r="AP88" s="190">
        <f t="shared" si="13"/>
        <v>0.89010223840799996</v>
      </c>
      <c r="AQ88" s="31">
        <f t="shared" si="14"/>
        <v>0.51361941402805433</v>
      </c>
      <c r="AR88" s="31">
        <f t="shared" si="15"/>
        <v>1276.009590760937</v>
      </c>
      <c r="AS88" s="31">
        <f t="shared" si="30"/>
        <v>0.35444710854470474</v>
      </c>
    </row>
    <row r="89" spans="1:47">
      <c r="A89">
        <v>0.39</v>
      </c>
      <c r="B89">
        <f t="shared" si="33"/>
        <v>1.0304199999999999</v>
      </c>
      <c r="C89" s="31">
        <v>1.0441800000000001</v>
      </c>
      <c r="D89">
        <f t="shared" si="34"/>
        <v>1.0304199999999999</v>
      </c>
      <c r="F89" s="31">
        <f t="shared" si="35"/>
        <v>2574.3831442632927</v>
      </c>
      <c r="G89" s="31">
        <f t="shared" si="31"/>
        <v>0.7151064289620257</v>
      </c>
      <c r="L89">
        <v>0.41</v>
      </c>
      <c r="M89" s="190">
        <v>1.0442</v>
      </c>
      <c r="N89" s="31">
        <f t="shared" si="20"/>
        <v>0.93516662412728679</v>
      </c>
      <c r="O89" s="190">
        <f t="shared" si="27"/>
        <v>0.99392899199999996</v>
      </c>
      <c r="P89" s="31">
        <f t="shared" si="28"/>
        <v>2310.3187500776048</v>
      </c>
      <c r="Q89" s="31">
        <f t="shared" si="21"/>
        <v>0.64175520835489019</v>
      </c>
      <c r="T89">
        <v>0.41</v>
      </c>
      <c r="U89" s="190">
        <v>1.0442</v>
      </c>
      <c r="V89" s="190">
        <f t="shared" si="22"/>
        <v>0.962558625</v>
      </c>
      <c r="W89" s="31">
        <f t="shared" si="32"/>
        <v>0.77339609436119205</v>
      </c>
      <c r="X89" s="31">
        <f t="shared" si="6"/>
        <v>1910.6664544480661</v>
      </c>
      <c r="Y89" s="31">
        <f t="shared" si="23"/>
        <v>0.53074068179112943</v>
      </c>
      <c r="AD89">
        <v>0.41</v>
      </c>
      <c r="AE89" s="190">
        <v>1.0442</v>
      </c>
      <c r="AF89" s="190">
        <f t="shared" si="36"/>
        <v>0.9270113995799999</v>
      </c>
      <c r="AG89" s="31">
        <f t="shared" si="37"/>
        <v>0.63334270420753214</v>
      </c>
      <c r="AH89" s="31">
        <f t="shared" si="38"/>
        <v>1564.6661108345484</v>
      </c>
      <c r="AI89" s="31">
        <f t="shared" si="29"/>
        <v>0.434629475231819</v>
      </c>
      <c r="AN89">
        <v>0.41</v>
      </c>
      <c r="AO89" s="190">
        <v>1.0442</v>
      </c>
      <c r="AP89" s="190">
        <f t="shared" si="13"/>
        <v>0.89149949192178002</v>
      </c>
      <c r="AQ89" s="31">
        <f t="shared" si="14"/>
        <v>0.51644687619162122</v>
      </c>
      <c r="AR89" s="31">
        <f t="shared" si="15"/>
        <v>1275.8762670748476</v>
      </c>
      <c r="AS89" s="31">
        <f t="shared" si="30"/>
        <v>0.35441007418745768</v>
      </c>
    </row>
    <row r="90" spans="1:47">
      <c r="A90">
        <v>0.4</v>
      </c>
      <c r="B90">
        <f t="shared" si="33"/>
        <v>1.032</v>
      </c>
      <c r="C90" s="31">
        <v>1.0441800000000001</v>
      </c>
      <c r="D90">
        <f t="shared" si="34"/>
        <v>1.032</v>
      </c>
      <c r="F90" s="31">
        <f t="shared" si="35"/>
        <v>2563.8475916203588</v>
      </c>
      <c r="G90" s="31">
        <f t="shared" si="31"/>
        <v>0.71217988656121078</v>
      </c>
      <c r="L90">
        <v>0.42</v>
      </c>
      <c r="M90" s="190">
        <v>1.0442</v>
      </c>
      <c r="N90" s="31">
        <f t="shared" si="20"/>
        <v>0.94043377673071638</v>
      </c>
      <c r="O90" s="190">
        <f t="shared" si="27"/>
        <v>0.99552524799999997</v>
      </c>
      <c r="P90" s="31">
        <f t="shared" si="28"/>
        <v>2310.4552018713275</v>
      </c>
      <c r="Q90" s="31">
        <f t="shared" si="21"/>
        <v>0.64179311163092434</v>
      </c>
      <c r="T90">
        <v>0.42</v>
      </c>
      <c r="U90" s="190">
        <v>1.0442</v>
      </c>
      <c r="V90" s="190">
        <f t="shared" si="22"/>
        <v>0.96410450000000003</v>
      </c>
      <c r="W90" s="31">
        <f t="shared" si="32"/>
        <v>0.77775210445265397</v>
      </c>
      <c r="X90" s="31">
        <f t="shared" si="6"/>
        <v>1910.7793020215477</v>
      </c>
      <c r="Y90" s="31">
        <f t="shared" si="23"/>
        <v>0.5307720283393188</v>
      </c>
      <c r="AD90">
        <v>0.42</v>
      </c>
      <c r="AE90" s="190">
        <v>1.0442</v>
      </c>
      <c r="AF90" s="190">
        <f t="shared" si="36"/>
        <v>0.92850018551999991</v>
      </c>
      <c r="AG90" s="31">
        <f t="shared" si="37"/>
        <v>0.63690988954890693</v>
      </c>
      <c r="AH90" s="31">
        <f t="shared" si="38"/>
        <v>1564.7585229735196</v>
      </c>
      <c r="AI90" s="31">
        <f t="shared" si="29"/>
        <v>0.43465514527042209</v>
      </c>
      <c r="AN90">
        <v>0.42</v>
      </c>
      <c r="AO90" s="190">
        <v>1.0442</v>
      </c>
      <c r="AP90" s="190">
        <f t="shared" si="13"/>
        <v>0.89293124552231995</v>
      </c>
      <c r="AQ90" s="31">
        <f t="shared" si="14"/>
        <v>0.51935566745756734</v>
      </c>
      <c r="AR90" s="31">
        <f t="shared" si="15"/>
        <v>1275.9516227396039</v>
      </c>
      <c r="AS90" s="31">
        <f t="shared" si="30"/>
        <v>0.35443100631655661</v>
      </c>
    </row>
    <row r="91" spans="1:47">
      <c r="A91">
        <v>0.41</v>
      </c>
      <c r="B91">
        <f t="shared" si="33"/>
        <v>1.03362</v>
      </c>
      <c r="C91" s="31">
        <v>1.0441800000000001</v>
      </c>
      <c r="D91">
        <f t="shared" si="34"/>
        <v>1.03362</v>
      </c>
      <c r="F91" s="31">
        <f t="shared" si="35"/>
        <v>2553.5467208143018</v>
      </c>
      <c r="G91" s="31">
        <f t="shared" si="31"/>
        <v>0.70931853355952823</v>
      </c>
      <c r="L91">
        <v>0.43</v>
      </c>
      <c r="M91" s="190">
        <v>1.0442</v>
      </c>
      <c r="N91" s="31">
        <f t="shared" si="20"/>
        <v>0.94584977608150456</v>
      </c>
      <c r="O91" s="190">
        <f t="shared" si="27"/>
        <v>0.99715996800000006</v>
      </c>
      <c r="P91" s="31">
        <f t="shared" si="28"/>
        <v>2310.9643434507116</v>
      </c>
      <c r="Q91" s="31">
        <f t="shared" si="21"/>
        <v>0.64193453984741988</v>
      </c>
      <c r="T91">
        <v>0.43</v>
      </c>
      <c r="U91" s="190">
        <v>1.0442</v>
      </c>
      <c r="V91" s="190">
        <f t="shared" si="22"/>
        <v>0.96568762500000005</v>
      </c>
      <c r="W91" s="31">
        <f t="shared" si="32"/>
        <v>0.78223121292048592</v>
      </c>
      <c r="X91" s="31">
        <f t="shared" si="6"/>
        <v>1911.2003693466784</v>
      </c>
      <c r="Y91" s="31">
        <f t="shared" si="23"/>
        <v>0.53088899148518842</v>
      </c>
      <c r="AD91">
        <v>0.43</v>
      </c>
      <c r="AE91" s="190">
        <v>1.0442</v>
      </c>
      <c r="AF91" s="190">
        <f t="shared" si="36"/>
        <v>0.93002484582</v>
      </c>
      <c r="AG91" s="31">
        <f t="shared" si="37"/>
        <v>0.64057788152628914</v>
      </c>
      <c r="AH91" s="31">
        <f t="shared" si="38"/>
        <v>1565.1033397114061</v>
      </c>
      <c r="AI91" s="31">
        <f t="shared" si="29"/>
        <v>0.43475092769761281</v>
      </c>
      <c r="AN91">
        <v>0.43</v>
      </c>
      <c r="AO91" s="190">
        <v>1.0442</v>
      </c>
      <c r="AP91" s="190">
        <f t="shared" si="13"/>
        <v>0.89439749920961997</v>
      </c>
      <c r="AQ91" s="31">
        <f t="shared" si="14"/>
        <v>0.52234665951610104</v>
      </c>
      <c r="AR91" s="31">
        <f t="shared" si="15"/>
        <v>1276.232796780067</v>
      </c>
      <c r="AS91" s="31">
        <f t="shared" si="30"/>
        <v>0.3545091102166853</v>
      </c>
    </row>
    <row r="92" spans="1:47">
      <c r="A92">
        <v>0.42</v>
      </c>
      <c r="B92">
        <f t="shared" si="33"/>
        <v>1.03528</v>
      </c>
      <c r="C92" s="31">
        <v>1.0441800000000001</v>
      </c>
      <c r="D92">
        <f t="shared" si="34"/>
        <v>1.03528</v>
      </c>
      <c r="F92" s="31">
        <f t="shared" si="35"/>
        <v>2543.4731509843073</v>
      </c>
      <c r="G92" s="31">
        <f t="shared" si="31"/>
        <v>0.70652031971786311</v>
      </c>
      <c r="L92">
        <v>0.44</v>
      </c>
      <c r="M92" s="190">
        <v>1.0442</v>
      </c>
      <c r="N92" s="31">
        <f t="shared" si="20"/>
        <v>0.95141624504215527</v>
      </c>
      <c r="O92" s="190">
        <f t="shared" si="27"/>
        <v>0.99883315200000011</v>
      </c>
      <c r="P92" s="31">
        <f t="shared" si="28"/>
        <v>2311.841361691068</v>
      </c>
      <c r="Q92" s="31">
        <f t="shared" si="21"/>
        <v>0.64217815602529671</v>
      </c>
      <c r="T92">
        <v>0.44</v>
      </c>
      <c r="U92" s="190">
        <v>1.0442</v>
      </c>
      <c r="V92" s="190">
        <f t="shared" si="22"/>
        <v>0.96730800000000006</v>
      </c>
      <c r="W92" s="31">
        <f t="shared" si="32"/>
        <v>0.78683476189505253</v>
      </c>
      <c r="X92" s="31">
        <f t="shared" si="6"/>
        <v>1911.9256759009068</v>
      </c>
      <c r="Y92" s="31">
        <f t="shared" si="23"/>
        <v>0.53109046552802963</v>
      </c>
      <c r="AD92">
        <v>0.44</v>
      </c>
      <c r="AE92" s="190">
        <v>1.0442</v>
      </c>
      <c r="AF92" s="190">
        <f t="shared" si="36"/>
        <v>0.93158538048000006</v>
      </c>
      <c r="AG92" s="31">
        <f t="shared" si="37"/>
        <v>0.64434777922523212</v>
      </c>
      <c r="AH92" s="31">
        <f t="shared" si="38"/>
        <v>1565.6973013538086</v>
      </c>
      <c r="AI92" s="31">
        <f t="shared" si="29"/>
        <v>0.43491591704272459</v>
      </c>
      <c r="AN92">
        <v>0.44</v>
      </c>
      <c r="AO92" s="190">
        <v>1.0442</v>
      </c>
      <c r="AP92" s="190">
        <f t="shared" si="13"/>
        <v>0.89589825298368009</v>
      </c>
      <c r="AQ92" s="31">
        <f t="shared" si="14"/>
        <v>0.52542074859496268</v>
      </c>
      <c r="AR92" s="31">
        <f t="shared" si="15"/>
        <v>1276.7171311424249</v>
      </c>
      <c r="AS92" s="31">
        <f t="shared" si="30"/>
        <v>0.35464364753956246</v>
      </c>
    </row>
    <row r="93" spans="1:47">
      <c r="A93">
        <v>0.43</v>
      </c>
      <c r="B93">
        <f t="shared" si="33"/>
        <v>1.03698</v>
      </c>
      <c r="C93" s="31">
        <v>1.0441800000000001</v>
      </c>
      <c r="D93">
        <f t="shared" si="34"/>
        <v>1.03698</v>
      </c>
      <c r="F93" s="31">
        <f t="shared" si="35"/>
        <v>2533.6198891958265</v>
      </c>
      <c r="G93" s="31">
        <f t="shared" si="31"/>
        <v>0.70378330255439625</v>
      </c>
      <c r="L93">
        <v>0.45</v>
      </c>
      <c r="M93" s="190">
        <v>1.0442</v>
      </c>
      <c r="N93" s="31">
        <f t="shared" si="20"/>
        <v>0.95713485137157295</v>
      </c>
      <c r="O93" s="190">
        <f t="shared" si="27"/>
        <v>1.0005447999999999</v>
      </c>
      <c r="P93" s="31">
        <f t="shared" si="28"/>
        <v>2313.0817864211763</v>
      </c>
      <c r="Q93" s="31">
        <f t="shared" si="21"/>
        <v>0.64252271845032671</v>
      </c>
      <c r="T93">
        <v>0.45</v>
      </c>
      <c r="U93" s="190">
        <v>1.0442</v>
      </c>
      <c r="V93" s="190">
        <f t="shared" si="22"/>
        <v>0.96896562500000005</v>
      </c>
      <c r="W93" s="31">
        <f t="shared" si="32"/>
        <v>0.79156413063667985</v>
      </c>
      <c r="X93" s="31">
        <f t="shared" si="6"/>
        <v>1912.9515247890768</v>
      </c>
      <c r="Y93" s="31">
        <f t="shared" si="23"/>
        <v>0.53137542355252132</v>
      </c>
      <c r="AD93">
        <v>0.45</v>
      </c>
      <c r="AE93" s="190">
        <v>1.0442</v>
      </c>
      <c r="AF93" s="190">
        <f t="shared" si="36"/>
        <v>0.93318178949999997</v>
      </c>
      <c r="AG93" s="31">
        <f t="shared" si="37"/>
        <v>0.64822071213743016</v>
      </c>
      <c r="AH93" s="31">
        <f t="shared" si="38"/>
        <v>1566.5373804719718</v>
      </c>
      <c r="AI93" s="31">
        <f t="shared" si="29"/>
        <v>0.43514927235332551</v>
      </c>
      <c r="AN93">
        <v>0.45</v>
      </c>
      <c r="AO93" s="190">
        <v>1.0442</v>
      </c>
      <c r="AP93" s="190">
        <f t="shared" si="13"/>
        <v>0.89743350684449996</v>
      </c>
      <c r="AQ93" s="31">
        <f t="shared" si="14"/>
        <v>0.52857885571598351</v>
      </c>
      <c r="AR93" s="31">
        <f t="shared" si="15"/>
        <v>1277.4021571693247</v>
      </c>
      <c r="AS93" s="31">
        <f t="shared" si="30"/>
        <v>0.35483393254703466</v>
      </c>
    </row>
    <row r="94" spans="1:47">
      <c r="A94">
        <v>0.44</v>
      </c>
      <c r="B94">
        <f t="shared" si="33"/>
        <v>1.0387200000000001</v>
      </c>
      <c r="C94" s="31">
        <v>1.0441800000000001</v>
      </c>
      <c r="D94">
        <f t="shared" si="34"/>
        <v>1.0387200000000001</v>
      </c>
      <c r="F94" s="31">
        <f t="shared" si="35"/>
        <v>2523.9802996104477</v>
      </c>
      <c r="G94" s="31">
        <f t="shared" si="31"/>
        <v>0.70110563878067989</v>
      </c>
      <c r="L94">
        <v>0.46</v>
      </c>
      <c r="M94" s="190">
        <v>1.0442</v>
      </c>
      <c r="N94" s="31">
        <f t="shared" si="20"/>
        <v>0.96300730820144675</v>
      </c>
      <c r="O94" s="190">
        <f t="shared" si="27"/>
        <v>1.002294912</v>
      </c>
      <c r="P94" s="31">
        <f t="shared" si="28"/>
        <v>2314.6814682815716</v>
      </c>
      <c r="Q94" s="31">
        <f t="shared" ref="Q94:Q148" si="39">P94/$C$41</f>
        <v>0.64296707452265878</v>
      </c>
      <c r="T94">
        <v>0.46</v>
      </c>
      <c r="U94" s="190">
        <v>1.0442</v>
      </c>
      <c r="V94" s="190">
        <f t="shared" si="22"/>
        <v>0.97066049999999993</v>
      </c>
      <c r="W94" s="31">
        <f t="shared" si="32"/>
        <v>0.79642073592963247</v>
      </c>
      <c r="X94" s="31">
        <f t="shared" si="6"/>
        <v>1914.2744844319159</v>
      </c>
      <c r="Y94" s="31">
        <f t="shared" si="23"/>
        <v>0.53174291234219884</v>
      </c>
      <c r="AD94">
        <v>0.46</v>
      </c>
      <c r="AE94" s="190">
        <v>1.0442</v>
      </c>
      <c r="AF94" s="190">
        <f t="shared" si="36"/>
        <v>0.93481407287999985</v>
      </c>
      <c r="AG94" s="31">
        <f t="shared" si="37"/>
        <v>0.6521978404833495</v>
      </c>
      <c r="AH94" s="31">
        <f t="shared" si="38"/>
        <v>1567.6207669072826</v>
      </c>
      <c r="AI94" s="31">
        <f t="shared" si="29"/>
        <v>0.43545021302980069</v>
      </c>
      <c r="AN94">
        <v>0.46</v>
      </c>
      <c r="AO94" s="190">
        <v>1.0442</v>
      </c>
      <c r="AP94" s="190">
        <f t="shared" si="13"/>
        <v>0.89900326079207993</v>
      </c>
      <c r="AQ94" s="31">
        <f t="shared" si="14"/>
        <v>0.53182192695816866</v>
      </c>
      <c r="AR94" s="31">
        <f t="shared" si="15"/>
        <v>1278.2855833720862</v>
      </c>
      <c r="AS94" s="31">
        <f t="shared" si="30"/>
        <v>0.3550793287144684</v>
      </c>
    </row>
    <row r="95" spans="1:47">
      <c r="A95">
        <v>0.45</v>
      </c>
      <c r="B95">
        <f t="shared" si="33"/>
        <v>1.0405</v>
      </c>
      <c r="C95" s="31">
        <v>1.0441800000000001</v>
      </c>
      <c r="D95">
        <f t="shared" si="34"/>
        <v>1.0405</v>
      </c>
      <c r="F95" s="31">
        <f t="shared" si="35"/>
        <v>2514.5480757725495</v>
      </c>
      <c r="G95" s="31">
        <f t="shared" si="31"/>
        <v>0.69848557660348598</v>
      </c>
      <c r="L95">
        <v>0.47</v>
      </c>
      <c r="M95" s="190">
        <v>1.0442</v>
      </c>
      <c r="N95" s="31">
        <f t="shared" si="20"/>
        <v>0.96903537452451294</v>
      </c>
      <c r="O95" s="190">
        <f t="shared" si="27"/>
        <v>1.0040834879999998</v>
      </c>
      <c r="P95" s="31">
        <f t="shared" si="28"/>
        <v>2316.6365586563052</v>
      </c>
      <c r="Q95" s="31">
        <f t="shared" si="39"/>
        <v>0.64351015518230703</v>
      </c>
      <c r="T95">
        <v>0.47</v>
      </c>
      <c r="U95" s="190">
        <v>1.0442</v>
      </c>
      <c r="V95" s="190">
        <f t="shared" si="22"/>
        <v>0.9723926249999999</v>
      </c>
      <c r="W95" s="31">
        <f t="shared" si="32"/>
        <v>0.80140603248591225</v>
      </c>
      <c r="X95" s="31">
        <f t="shared" ref="X95:X98" si="40">$C$41*W95*(1-0.49*(SQRT(T95))-((3*(V95-U95))/(1.5+T95)))</f>
        <v>2231.3767150258436</v>
      </c>
      <c r="Y95" s="31">
        <f t="shared" si="23"/>
        <v>0.61982686528495656</v>
      </c>
      <c r="AD95">
        <v>0.47</v>
      </c>
      <c r="AE95" s="190">
        <v>1.0442</v>
      </c>
      <c r="AF95" s="190">
        <f t="shared" si="36"/>
        <v>0.93648223061999991</v>
      </c>
      <c r="AG95" s="31">
        <f t="shared" si="37"/>
        <v>0.65628035554290476</v>
      </c>
      <c r="AH95" s="31">
        <f t="shared" si="38"/>
        <v>1568.9448541800284</v>
      </c>
      <c r="AI95" s="31">
        <f t="shared" si="29"/>
        <v>0.43581801505000789</v>
      </c>
      <c r="AN95">
        <v>0.47</v>
      </c>
      <c r="AO95" s="190">
        <v>1.0442</v>
      </c>
      <c r="AP95" s="190">
        <f t="shared" si="13"/>
        <v>0.90060751482641987</v>
      </c>
      <c r="AQ95" s="31">
        <f t="shared" si="14"/>
        <v>0.53515093372734057</v>
      </c>
      <c r="AR95" s="31">
        <f t="shared" si="15"/>
        <v>1279.3652843479902</v>
      </c>
      <c r="AS95" s="31">
        <f t="shared" si="30"/>
        <v>0.35537924565221951</v>
      </c>
    </row>
    <row r="96" spans="1:47">
      <c r="A96">
        <v>0.46</v>
      </c>
      <c r="B96">
        <f t="shared" si="33"/>
        <v>1.0423199999999999</v>
      </c>
      <c r="C96" s="31">
        <v>1.0441800000000001</v>
      </c>
      <c r="D96">
        <f t="shared" si="34"/>
        <v>1.0423199999999999</v>
      </c>
      <c r="F96" s="31">
        <f t="shared" si="35"/>
        <v>2505.3172156348369</v>
      </c>
      <c r="G96" s="31">
        <f t="shared" si="31"/>
        <v>0.69592144878745466</v>
      </c>
      <c r="L96">
        <v>0.48</v>
      </c>
      <c r="M96" s="190">
        <v>1.0442</v>
      </c>
      <c r="N96" s="31">
        <f t="shared" si="20"/>
        <v>0.97522085569475558</v>
      </c>
      <c r="O96" s="190">
        <f t="shared" si="27"/>
        <v>1.0059105279999998</v>
      </c>
      <c r="P96" s="31">
        <f t="shared" si="28"/>
        <v>2318.9434914405219</v>
      </c>
      <c r="Q96" s="31">
        <f t="shared" si="39"/>
        <v>0.64415096984458942</v>
      </c>
      <c r="T96">
        <v>0.48</v>
      </c>
      <c r="U96" s="190">
        <v>1.0442</v>
      </c>
      <c r="V96" s="190">
        <f t="shared" si="22"/>
        <v>0.97416199999999997</v>
      </c>
      <c r="W96" s="31">
        <f t="shared" si="32"/>
        <v>0.80652151335893285</v>
      </c>
      <c r="X96" s="31">
        <f t="shared" si="40"/>
        <v>2225.9109859234877</v>
      </c>
      <c r="Y96" s="31">
        <f t="shared" si="23"/>
        <v>0.61830860720096881</v>
      </c>
      <c r="AD96">
        <v>0.48</v>
      </c>
      <c r="AE96" s="190">
        <v>1.0442</v>
      </c>
      <c r="AF96" s="190">
        <f t="shared" si="36"/>
        <v>0.93818626271999983</v>
      </c>
      <c r="AG96" s="31">
        <f t="shared" si="37"/>
        <v>0.66046947999422079</v>
      </c>
      <c r="AH96" s="31">
        <f t="shared" si="38"/>
        <v>1570.5072271414724</v>
      </c>
      <c r="AI96" s="31">
        <f t="shared" si="29"/>
        <v>0.43625200753929788</v>
      </c>
      <c r="AN96">
        <v>0.48</v>
      </c>
      <c r="AO96" s="190">
        <v>1.0442</v>
      </c>
      <c r="AP96" s="190">
        <f t="shared" si="13"/>
        <v>0.90224626894751991</v>
      </c>
      <c r="AQ96" s="31">
        <f t="shared" si="14"/>
        <v>0.53856687303237627</v>
      </c>
      <c r="AR96" s="31">
        <f t="shared" si="15"/>
        <v>1280.6392907114068</v>
      </c>
      <c r="AS96" s="31">
        <f t="shared" si="30"/>
        <v>0.35573313630872411</v>
      </c>
    </row>
    <row r="97" spans="1:45">
      <c r="A97">
        <v>0.47</v>
      </c>
      <c r="B97">
        <f t="shared" si="33"/>
        <v>1.0441799999999999</v>
      </c>
      <c r="C97" s="31">
        <v>1.0441800000000001</v>
      </c>
      <c r="D97">
        <f t="shared" si="34"/>
        <v>1.0441799999999999</v>
      </c>
      <c r="F97" s="31">
        <f t="shared" ref="F97:F128" si="41">$C$41*D97*(1-0.49*(SQRT(A97)))</f>
        <v>2496.2819989979112</v>
      </c>
      <c r="G97" s="31">
        <f t="shared" si="31"/>
        <v>0.69341166638830865</v>
      </c>
      <c r="L97">
        <v>0.49</v>
      </c>
      <c r="M97" s="190">
        <v>1.0442</v>
      </c>
      <c r="N97" s="31">
        <f t="shared" si="20"/>
        <v>0.98156560393961434</v>
      </c>
      <c r="O97" s="190">
        <f t="shared" si="27"/>
        <v>1.007776032</v>
      </c>
      <c r="P97" s="31">
        <f t="shared" si="28"/>
        <v>2321.5989664379758</v>
      </c>
      <c r="Q97" s="31">
        <f t="shared" si="39"/>
        <v>0.64488860178832663</v>
      </c>
      <c r="T97">
        <v>0.49</v>
      </c>
      <c r="U97" s="190">
        <v>1.0442</v>
      </c>
      <c r="V97" s="190">
        <f t="shared" si="22"/>
        <v>0.97596862499999992</v>
      </c>
      <c r="W97" s="31">
        <f t="shared" si="32"/>
        <v>0.81176871036712173</v>
      </c>
      <c r="X97" s="31">
        <f t="shared" si="40"/>
        <v>2220.5940618686159</v>
      </c>
      <c r="Y97" s="31">
        <f t="shared" si="23"/>
        <v>0.61683168385239329</v>
      </c>
      <c r="AD97">
        <v>0.49</v>
      </c>
      <c r="AE97" s="190">
        <v>1.0442</v>
      </c>
      <c r="AF97" s="190">
        <f t="shared" si="36"/>
        <v>0.93992616917999994</v>
      </c>
      <c r="AG97" s="31">
        <f t="shared" si="37"/>
        <v>0.66476646826052554</v>
      </c>
      <c r="AH97" s="31">
        <f t="shared" si="38"/>
        <v>1572.3056507297949</v>
      </c>
      <c r="AI97" s="31">
        <f t="shared" si="29"/>
        <v>0.43675156964716527</v>
      </c>
      <c r="AN97">
        <v>0.49</v>
      </c>
      <c r="AO97" s="190">
        <v>1.0442</v>
      </c>
      <c r="AP97" s="190">
        <f t="shared" si="13"/>
        <v>0.90391952315537993</v>
      </c>
      <c r="AQ97" s="31">
        <f t="shared" si="14"/>
        <v>0.54207076776807372</v>
      </c>
      <c r="AR97" s="31">
        <f t="shared" si="15"/>
        <v>1282.105779925048</v>
      </c>
      <c r="AS97" s="31">
        <f t="shared" si="30"/>
        <v>0.35614049442362444</v>
      </c>
    </row>
    <row r="98" spans="1:45">
      <c r="A98">
        <v>0.48</v>
      </c>
      <c r="B98">
        <f t="shared" si="33"/>
        <v>1.0460799999999999</v>
      </c>
      <c r="C98" s="31">
        <v>1.0441800000000001</v>
      </c>
      <c r="D98">
        <f t="shared" si="34"/>
        <v>1.0460799999999999</v>
      </c>
      <c r="F98" s="31">
        <f t="shared" si="41"/>
        <v>2487.4369670836668</v>
      </c>
      <c r="G98" s="31">
        <f t="shared" si="31"/>
        <v>0.6909547130787963</v>
      </c>
      <c r="L98">
        <v>0.5</v>
      </c>
      <c r="M98" s="190">
        <v>1.0442</v>
      </c>
      <c r="N98" s="31">
        <f t="shared" si="20"/>
        <v>0.98807151888425582</v>
      </c>
      <c r="O98" s="190">
        <f t="shared" si="27"/>
        <v>1.0096800000000001</v>
      </c>
      <c r="P98" s="31">
        <f t="shared" si="28"/>
        <v>2324.5999342095051</v>
      </c>
      <c r="Q98" s="31">
        <f t="shared" si="39"/>
        <v>0.64572220394708479</v>
      </c>
      <c r="T98">
        <v>0.5</v>
      </c>
      <c r="U98" s="190">
        <v>1.0442</v>
      </c>
      <c r="V98" s="190">
        <f t="shared" si="22"/>
        <v>0.97781250000000008</v>
      </c>
      <c r="W98" s="31">
        <f t="shared" si="32"/>
        <v>0.81714919452750057</v>
      </c>
      <c r="X98" s="31">
        <f t="shared" si="40"/>
        <v>2215.4190543943091</v>
      </c>
      <c r="Y98" s="31">
        <f t="shared" si="23"/>
        <v>0.61539418177619698</v>
      </c>
      <c r="AD98">
        <v>0.5</v>
      </c>
      <c r="AE98" s="190">
        <v>1.0442</v>
      </c>
      <c r="AF98" s="190">
        <f t="shared" si="36"/>
        <v>0.94170195000000001</v>
      </c>
      <c r="AG98" s="31">
        <f t="shared" si="37"/>
        <v>0.66917260686521396</v>
      </c>
      <c r="AH98" s="31">
        <f t="shared" si="38"/>
        <v>1574.3380597087121</v>
      </c>
      <c r="AI98" s="31">
        <f t="shared" si="29"/>
        <v>0.43731612769686445</v>
      </c>
      <c r="AN98">
        <v>0.5</v>
      </c>
      <c r="AO98" s="190">
        <v>1.0442</v>
      </c>
      <c r="AP98" s="190">
        <f t="shared" si="13"/>
        <v>0.90562727745000005</v>
      </c>
      <c r="AQ98" s="31">
        <f t="shared" si="14"/>
        <v>0.54566366700468194</v>
      </c>
      <c r="AR98" s="31">
        <f t="shared" si="15"/>
        <v>1283.7630679325239</v>
      </c>
      <c r="AS98" s="31">
        <f t="shared" si="30"/>
        <v>0.35660085220347887</v>
      </c>
    </row>
    <row r="99" spans="1:45">
      <c r="A99">
        <v>0.49</v>
      </c>
      <c r="B99">
        <f t="shared" si="33"/>
        <v>1.04802</v>
      </c>
      <c r="C99" s="31">
        <v>1.0441800000000001</v>
      </c>
      <c r="D99">
        <f t="shared" si="34"/>
        <v>1.04802</v>
      </c>
      <c r="F99" s="31">
        <f t="shared" si="41"/>
        <v>2478.7769039999998</v>
      </c>
      <c r="G99" s="31">
        <f t="shared" si="31"/>
        <v>0.68854914</v>
      </c>
      <c r="L99">
        <v>0.51</v>
      </c>
      <c r="M99" s="190">
        <v>1.0442</v>
      </c>
      <c r="N99" s="31">
        <f t="shared" ref="N99:N148" si="42">($I$52/$I$53)*(1+((1.4-1)/2)*L99^2)^(1.4/(1.4-1))</f>
        <v>0.99474054808797896</v>
      </c>
      <c r="O99" s="190">
        <f t="shared" si="27"/>
        <v>1.011622432</v>
      </c>
      <c r="P99" s="31">
        <f t="shared" si="28"/>
        <v>2327.9435822164655</v>
      </c>
      <c r="Q99" s="31">
        <f t="shared" si="39"/>
        <v>0.64665099506012935</v>
      </c>
      <c r="T99">
        <v>0.51</v>
      </c>
      <c r="U99" s="190">
        <v>1.0442</v>
      </c>
      <c r="V99" s="190">
        <f t="shared" ref="V99:V148" si="43">0.93125*(1+((1.4-1)/2)*T99^2)</f>
        <v>0.97969362500000001</v>
      </c>
      <c r="W99" s="31">
        <f t="shared" si="32"/>
        <v>0.82266457649930003</v>
      </c>
      <c r="X99" s="31">
        <f>$C$41*W99*(1-0.49*(SQRT(T99))-((3*(V99-U99))/(1.5+T99)))</f>
        <v>2210.3791498962901</v>
      </c>
      <c r="Y99" s="31">
        <f t="shared" ref="Y99:Y148" si="44">X99/$C$41</f>
        <v>0.613994208304525</v>
      </c>
      <c r="AD99">
        <v>0.51</v>
      </c>
      <c r="AE99" s="190">
        <v>1.0442</v>
      </c>
      <c r="AF99" s="190">
        <f t="shared" si="36"/>
        <v>0.94351360517999994</v>
      </c>
      <c r="AG99" s="31">
        <f t="shared" si="37"/>
        <v>0.67368921479512889</v>
      </c>
      <c r="AH99" s="31">
        <f t="shared" si="38"/>
        <v>1576.6025492830945</v>
      </c>
      <c r="AI99" s="31">
        <f t="shared" si="29"/>
        <v>0.43794515257863736</v>
      </c>
      <c r="AN99">
        <v>0.51</v>
      </c>
      <c r="AO99" s="190">
        <v>1.0442</v>
      </c>
      <c r="AP99" s="190">
        <f t="shared" si="13"/>
        <v>0.90736953183137992</v>
      </c>
      <c r="AQ99" s="31">
        <f t="shared" si="14"/>
        <v>0.54934664628413143</v>
      </c>
      <c r="AR99" s="31">
        <f t="shared" si="15"/>
        <v>1285.6096015060361</v>
      </c>
      <c r="AS99" s="31">
        <f t="shared" si="30"/>
        <v>0.35711377819612117</v>
      </c>
    </row>
    <row r="100" spans="1:45">
      <c r="A100">
        <v>0.5</v>
      </c>
      <c r="B100">
        <f t="shared" si="33"/>
        <v>1.05</v>
      </c>
      <c r="C100" s="31">
        <v>1.0441800000000001</v>
      </c>
      <c r="D100">
        <f t="shared" si="34"/>
        <v>1.05</v>
      </c>
      <c r="F100" s="31">
        <f t="shared" si="41"/>
        <v>2470.2968198862768</v>
      </c>
      <c r="G100" s="31">
        <f t="shared" si="31"/>
        <v>0.68619356107952134</v>
      </c>
      <c r="L100">
        <v>0.52</v>
      </c>
      <c r="M100" s="190">
        <v>1.0442</v>
      </c>
      <c r="N100" s="31">
        <f t="shared" si="42"/>
        <v>1.0015746875928215</v>
      </c>
      <c r="O100" s="190">
        <f t="shared" si="27"/>
        <v>1.0136033279999999</v>
      </c>
      <c r="P100" s="31">
        <f t="shared" si="28"/>
        <v>2331.6273221226938</v>
      </c>
      <c r="Q100" s="31">
        <f t="shared" si="39"/>
        <v>0.64767425614519269</v>
      </c>
      <c r="T100">
        <v>0.52</v>
      </c>
      <c r="U100" s="190">
        <v>1.0442</v>
      </c>
      <c r="V100" s="190">
        <f t="shared" si="43"/>
        <v>0.98161199999999993</v>
      </c>
      <c r="W100" s="31">
        <f t="shared" si="32"/>
        <v>0.82831650703766513</v>
      </c>
      <c r="X100" s="31">
        <f t="shared" ref="X100:X148" si="45">$C$41*W100*(1-0.49*(SQRT(T100))-((3*(V100-U100))/(1.5+T100)))</f>
        <v>2205.4675971179595</v>
      </c>
      <c r="Y100" s="31">
        <f t="shared" si="44"/>
        <v>0.61262988808832208</v>
      </c>
      <c r="AD100">
        <v>0.52</v>
      </c>
      <c r="AE100" s="190">
        <v>1.0442</v>
      </c>
      <c r="AF100" s="190">
        <f t="shared" si="36"/>
        <v>0.94536113471999983</v>
      </c>
      <c r="AG100" s="31">
        <f t="shared" si="37"/>
        <v>0.67831764387210514</v>
      </c>
      <c r="AH100" s="31">
        <f t="shared" si="38"/>
        <v>1579.097366499208</v>
      </c>
      <c r="AI100" s="31">
        <f t="shared" si="29"/>
        <v>0.43863815736089112</v>
      </c>
      <c r="AN100">
        <v>0.52</v>
      </c>
      <c r="AO100" s="190">
        <v>1.0442</v>
      </c>
      <c r="AP100" s="190">
        <f t="shared" si="13"/>
        <v>0.90914628629951988</v>
      </c>
      <c r="AQ100" s="31">
        <f t="shared" si="14"/>
        <v>0.55312080792300244</v>
      </c>
      <c r="AR100" s="31">
        <f t="shared" si="15"/>
        <v>1287.6439512338713</v>
      </c>
      <c r="AS100" s="31">
        <f t="shared" si="30"/>
        <v>0.35767887534274206</v>
      </c>
    </row>
    <row r="101" spans="1:45">
      <c r="A101">
        <v>0.51</v>
      </c>
      <c r="B101">
        <f t="shared" si="33"/>
        <v>1.05202</v>
      </c>
      <c r="C101" s="31">
        <v>1.0441800000000001</v>
      </c>
      <c r="D101">
        <f t="shared" si="34"/>
        <v>1.05202</v>
      </c>
      <c r="F101" s="31">
        <f t="shared" si="41"/>
        <v>2461.9919355562074</v>
      </c>
      <c r="G101" s="31">
        <f t="shared" si="31"/>
        <v>0.68388664876561311</v>
      </c>
      <c r="L101">
        <v>0.53</v>
      </c>
      <c r="M101" s="190">
        <v>1.0442</v>
      </c>
      <c r="N101" s="31">
        <f t="shared" si="42"/>
        <v>1.00857598248443</v>
      </c>
      <c r="O101" s="190">
        <f t="shared" si="27"/>
        <v>1.0156226879999999</v>
      </c>
      <c r="P101" s="31">
        <f t="shared" si="28"/>
        <v>2335.6487781353526</v>
      </c>
      <c r="Q101" s="31">
        <f t="shared" si="39"/>
        <v>0.64879132725982014</v>
      </c>
      <c r="T101">
        <v>0.53</v>
      </c>
      <c r="U101" s="190">
        <v>1.0442</v>
      </c>
      <c r="V101" s="190">
        <f t="shared" si="43"/>
        <v>0.98356762499999995</v>
      </c>
      <c r="W101" s="31">
        <f t="shared" si="32"/>
        <v>0.83410667745750244</v>
      </c>
      <c r="X101" s="31">
        <f t="shared" si="45"/>
        <v>2200.6776954112302</v>
      </c>
      <c r="Y101" s="31">
        <f t="shared" si="44"/>
        <v>0.61129935983645278</v>
      </c>
      <c r="AD101">
        <v>0.53</v>
      </c>
      <c r="AE101" s="190">
        <v>1.0442</v>
      </c>
      <c r="AF101" s="190">
        <f t="shared" si="36"/>
        <v>0.94724453861999991</v>
      </c>
      <c r="AG101" s="31">
        <f t="shared" si="37"/>
        <v>0.68305927913282005</v>
      </c>
      <c r="AH101" s="31">
        <f t="shared" si="38"/>
        <v>1581.8209023485392</v>
      </c>
      <c r="AI101" s="31">
        <f t="shared" si="29"/>
        <v>0.43939469509681645</v>
      </c>
      <c r="AN101">
        <v>0.53</v>
      </c>
      <c r="AO101" s="190">
        <v>1.0442</v>
      </c>
      <c r="AP101" s="190">
        <f t="shared" si="13"/>
        <v>0.91095754085441993</v>
      </c>
      <c r="AQ101" s="31">
        <f t="shared" si="14"/>
        <v>0.55698728132226627</v>
      </c>
      <c r="AR101" s="31">
        <f t="shared" si="15"/>
        <v>1289.8648050816203</v>
      </c>
      <c r="AS101" s="31">
        <f t="shared" si="30"/>
        <v>0.35829577918933897</v>
      </c>
    </row>
    <row r="102" spans="1:45">
      <c r="A102">
        <v>0.52</v>
      </c>
      <c r="B102">
        <f t="shared" si="33"/>
        <v>1.0540799999999999</v>
      </c>
      <c r="C102" s="31">
        <v>1.0441800000000001</v>
      </c>
      <c r="D102">
        <f t="shared" si="34"/>
        <v>1.0540799999999999</v>
      </c>
      <c r="F102" s="31">
        <f t="shared" si="41"/>
        <v>2453.8576684779864</v>
      </c>
      <c r="G102" s="31">
        <f t="shared" si="31"/>
        <v>0.68162713013277398</v>
      </c>
      <c r="L102">
        <v>0.54</v>
      </c>
      <c r="M102" s="190">
        <v>1.0442</v>
      </c>
      <c r="N102" s="31">
        <f t="shared" si="42"/>
        <v>1.0157465274652671</v>
      </c>
      <c r="O102" s="190">
        <f t="shared" si="27"/>
        <v>1.0176805119999999</v>
      </c>
      <c r="P102" s="31">
        <f t="shared" si="28"/>
        <v>2340.0057762794804</v>
      </c>
      <c r="Q102" s="31">
        <f t="shared" si="39"/>
        <v>0.65000160452207789</v>
      </c>
      <c r="T102">
        <v>0.54</v>
      </c>
      <c r="U102" s="190">
        <v>1.0442</v>
      </c>
      <c r="V102" s="190">
        <f t="shared" si="43"/>
        <v>0.98556049999999995</v>
      </c>
      <c r="W102" s="31">
        <f t="shared" si="32"/>
        <v>0.84003682010753122</v>
      </c>
      <c r="X102" s="31">
        <f t="shared" si="45"/>
        <v>2196.0027836864142</v>
      </c>
      <c r="Y102" s="31">
        <f t="shared" si="44"/>
        <v>0.61000077324622615</v>
      </c>
      <c r="AD102">
        <v>0.54</v>
      </c>
      <c r="AE102" s="190">
        <v>1.0442</v>
      </c>
      <c r="AF102" s="190">
        <f t="shared" si="36"/>
        <v>0.94916381687999984</v>
      </c>
      <c r="AG102" s="31">
        <f t="shared" si="37"/>
        <v>0.68791553921699844</v>
      </c>
      <c r="AH102" s="31">
        <f t="shared" si="38"/>
        <v>1584.7716845039704</v>
      </c>
      <c r="AI102" s="31">
        <f t="shared" si="29"/>
        <v>0.44021435680665844</v>
      </c>
      <c r="AN102">
        <v>0.54</v>
      </c>
      <c r="AO102" s="190">
        <v>1.0442</v>
      </c>
      <c r="AP102" s="190">
        <f t="shared" si="13"/>
        <v>0.91280329549607997</v>
      </c>
      <c r="AQ102" s="31">
        <f t="shared" si="14"/>
        <v>0.56094722328384006</v>
      </c>
      <c r="AR102" s="31">
        <f t="shared" si="15"/>
        <v>1292.2709624690356</v>
      </c>
      <c r="AS102" s="31">
        <f t="shared" si="30"/>
        <v>0.35896415624139877</v>
      </c>
    </row>
    <row r="103" spans="1:45">
      <c r="A103">
        <v>0.53</v>
      </c>
      <c r="B103">
        <f t="shared" si="33"/>
        <v>1.0561799999999999</v>
      </c>
      <c r="C103" s="31">
        <v>1.0441800000000001</v>
      </c>
      <c r="D103">
        <f t="shared" si="34"/>
        <v>1.0561799999999999</v>
      </c>
      <c r="F103" s="31">
        <f t="shared" si="41"/>
        <v>2445.8896199514434</v>
      </c>
      <c r="G103" s="31">
        <f t="shared" si="31"/>
        <v>0.67941378331984537</v>
      </c>
      <c r="L103">
        <v>0.55000000000000004</v>
      </c>
      <c r="M103" s="190">
        <v>1.0442</v>
      </c>
      <c r="N103" s="31">
        <f t="shared" si="42"/>
        <v>1.023088467440227</v>
      </c>
      <c r="O103" s="190">
        <f t="shared" si="27"/>
        <v>1.0197768</v>
      </c>
      <c r="P103" s="31">
        <f t="shared" si="28"/>
        <v>2344.6963345134982</v>
      </c>
      <c r="Q103" s="31">
        <f t="shared" si="39"/>
        <v>0.6513045373648606</v>
      </c>
      <c r="T103">
        <v>0.55000000000000004</v>
      </c>
      <c r="U103" s="190">
        <v>1.0442</v>
      </c>
      <c r="V103" s="190">
        <f t="shared" si="43"/>
        <v>0.98759062500000006</v>
      </c>
      <c r="W103" s="31">
        <f t="shared" si="32"/>
        <v>0.84610870885459522</v>
      </c>
      <c r="X103" s="31">
        <f t="shared" si="45"/>
        <v>2191.436229974644</v>
      </c>
      <c r="Y103" s="31">
        <f t="shared" si="44"/>
        <v>0.60873228610406782</v>
      </c>
      <c r="AD103">
        <v>0.55000000000000004</v>
      </c>
      <c r="AE103" s="190">
        <v>1.0442</v>
      </c>
      <c r="AF103" s="190">
        <f t="shared" si="36"/>
        <v>0.95111896949999997</v>
      </c>
      <c r="AG103" s="31">
        <f t="shared" si="37"/>
        <v>0.69288787676402108</v>
      </c>
      <c r="AH103" s="31">
        <f t="shared" si="38"/>
        <v>1587.9483706254925</v>
      </c>
      <c r="AI103" s="31">
        <f t="shared" si="29"/>
        <v>0.44109676961819239</v>
      </c>
      <c r="AN103">
        <v>0.55000000000000004</v>
      </c>
      <c r="AO103" s="190">
        <v>1.0442</v>
      </c>
      <c r="AP103" s="190">
        <f t="shared" si="13"/>
        <v>0.91468355022449999</v>
      </c>
      <c r="AQ103" s="31">
        <f t="shared" si="14"/>
        <v>0.56500181833399266</v>
      </c>
      <c r="AR103" s="31">
        <f t="shared" si="15"/>
        <v>1294.8613288113052</v>
      </c>
      <c r="AS103" s="31">
        <f t="shared" si="30"/>
        <v>0.35968370244758474</v>
      </c>
    </row>
    <row r="104" spans="1:45">
      <c r="A104">
        <v>0.54</v>
      </c>
      <c r="B104">
        <f t="shared" si="33"/>
        <v>1.0583199999999999</v>
      </c>
      <c r="C104" s="31">
        <v>1.0441800000000001</v>
      </c>
      <c r="D104">
        <f t="shared" si="34"/>
        <v>1.0583199999999999</v>
      </c>
      <c r="F104" s="31">
        <f t="shared" si="41"/>
        <v>2438.0835633590505</v>
      </c>
      <c r="G104" s="31">
        <f t="shared" si="31"/>
        <v>0.67724543426640293</v>
      </c>
      <c r="L104">
        <v>0.56000000000000005</v>
      </c>
      <c r="M104" s="190">
        <v>1.0442</v>
      </c>
      <c r="N104" s="31">
        <f t="shared" si="42"/>
        <v>1.030603998114725</v>
      </c>
      <c r="O104" s="190">
        <f t="shared" si="27"/>
        <v>1.0219115520000002</v>
      </c>
      <c r="P104" s="31">
        <f t="shared" si="28"/>
        <v>2349.718653603682</v>
      </c>
      <c r="Q104" s="31">
        <f t="shared" si="39"/>
        <v>0.65269962600102283</v>
      </c>
      <c r="T104">
        <v>0.56000000000000005</v>
      </c>
      <c r="U104" s="190">
        <v>1.0442</v>
      </c>
      <c r="V104" s="190">
        <f t="shared" si="43"/>
        <v>0.98965800000000015</v>
      </c>
      <c r="W104" s="31">
        <f t="shared" si="32"/>
        <v>0.85232415957829155</v>
      </c>
      <c r="X104" s="31">
        <f t="shared" si="45"/>
        <v>2186.9714215351328</v>
      </c>
      <c r="Y104" s="31">
        <f t="shared" si="44"/>
        <v>0.60749206153753688</v>
      </c>
      <c r="AD104">
        <v>0.56000000000000005</v>
      </c>
      <c r="AE104" s="190">
        <v>1.0442</v>
      </c>
      <c r="AF104" s="190">
        <f t="shared" si="36"/>
        <v>0.95310999648000005</v>
      </c>
      <c r="AG104" s="31">
        <f t="shared" si="37"/>
        <v>0.69797777881798206</v>
      </c>
      <c r="AH104" s="31">
        <f t="shared" si="38"/>
        <v>1591.3497421799343</v>
      </c>
      <c r="AI104" s="31">
        <f t="shared" si="29"/>
        <v>0.44204159504998175</v>
      </c>
      <c r="AN104">
        <v>0.56000000000000005</v>
      </c>
      <c r="AO104" s="190">
        <v>1.0442</v>
      </c>
      <c r="AP104" s="190">
        <f t="shared" si="13"/>
        <v>0.91659830503968009</v>
      </c>
      <c r="AQ104" s="31">
        <f t="shared" si="14"/>
        <v>0.56915227905364141</v>
      </c>
      <c r="AR104" s="31">
        <f t="shared" si="15"/>
        <v>1297.634910479474</v>
      </c>
      <c r="AS104" s="31">
        <f t="shared" si="30"/>
        <v>0.36045414179985391</v>
      </c>
    </row>
    <row r="105" spans="1:45">
      <c r="A105">
        <v>0.55000000000000004</v>
      </c>
      <c r="B105">
        <f t="shared" si="33"/>
        <v>1.0605</v>
      </c>
      <c r="C105" s="31">
        <v>1.0441800000000001</v>
      </c>
      <c r="D105">
        <f t="shared" si="34"/>
        <v>1.0605</v>
      </c>
      <c r="F105" s="31">
        <f t="shared" si="41"/>
        <v>2430.435433382343</v>
      </c>
      <c r="G105" s="31">
        <f t="shared" si="31"/>
        <v>0.67512095371731751</v>
      </c>
      <c r="L105">
        <v>0.56999999999999995</v>
      </c>
      <c r="M105" s="190">
        <v>1.0442</v>
      </c>
      <c r="N105" s="31">
        <f t="shared" si="42"/>
        <v>1.0382953666053389</v>
      </c>
      <c r="O105" s="190">
        <f t="shared" si="27"/>
        <v>1.024084768</v>
      </c>
      <c r="P105" s="31">
        <f t="shared" si="28"/>
        <v>2355.0711086849947</v>
      </c>
      <c r="Q105" s="31">
        <f t="shared" si="39"/>
        <v>0.65418641907916519</v>
      </c>
      <c r="T105">
        <v>0.56999999999999995</v>
      </c>
      <c r="U105" s="190">
        <v>1.0442</v>
      </c>
      <c r="V105" s="190">
        <f t="shared" si="43"/>
        <v>0.99176262500000001</v>
      </c>
      <c r="W105" s="31">
        <f t="shared" si="32"/>
        <v>0.85868503067597934</v>
      </c>
      <c r="X105" s="31">
        <f t="shared" si="45"/>
        <v>2182.6017554472783</v>
      </c>
      <c r="Y105" s="31">
        <f t="shared" si="44"/>
        <v>0.60627826540202179</v>
      </c>
      <c r="AD105">
        <v>0.56999999999999995</v>
      </c>
      <c r="AE105" s="190">
        <v>1.0442</v>
      </c>
      <c r="AF105" s="190">
        <f t="shared" si="36"/>
        <v>0.95513689782</v>
      </c>
      <c r="AG105" s="31">
        <f t="shared" si="37"/>
        <v>0.70318676724124618</v>
      </c>
      <c r="AH105" s="31">
        <f t="shared" si="38"/>
        <v>1594.9746987255251</v>
      </c>
      <c r="AI105" s="31">
        <f t="shared" si="29"/>
        <v>0.44304852742375694</v>
      </c>
      <c r="AN105">
        <v>0.56999999999999995</v>
      </c>
      <c r="AO105" s="190">
        <v>1.0442</v>
      </c>
      <c r="AP105" s="190">
        <f t="shared" si="13"/>
        <v>0.91854755994161996</v>
      </c>
      <c r="AQ105" s="31">
        <f t="shared" si="14"/>
        <v>0.57339984641557873</v>
      </c>
      <c r="AR105" s="31">
        <f t="shared" si="15"/>
        <v>1300.5908101399007</v>
      </c>
      <c r="AS105" s="31">
        <f t="shared" si="30"/>
        <v>0.36127522503886128</v>
      </c>
    </row>
    <row r="106" spans="1:45">
      <c r="A106">
        <v>0.56000000000000005</v>
      </c>
      <c r="B106">
        <f t="shared" si="33"/>
        <v>1.0627200000000001</v>
      </c>
      <c r="C106" s="31">
        <v>1.0441800000000001</v>
      </c>
      <c r="D106">
        <f t="shared" si="34"/>
        <v>1.0627200000000001</v>
      </c>
      <c r="F106" s="31">
        <f t="shared" si="41"/>
        <v>2422.9413160880567</v>
      </c>
      <c r="G106" s="31">
        <f t="shared" si="31"/>
        <v>0.67303925446890467</v>
      </c>
      <c r="L106">
        <v>0.57999999999999996</v>
      </c>
      <c r="M106" s="190">
        <v>1.0442</v>
      </c>
      <c r="N106" s="31">
        <f t="shared" si="42"/>
        <v>1.0461648720630754</v>
      </c>
      <c r="O106" s="190">
        <f t="shared" si="27"/>
        <v>1.0262964480000001</v>
      </c>
      <c r="P106" s="31">
        <f t="shared" ref="P106:P131" si="46">$C$41*N106*(1-0.49*(SQRT(L106))-((3*(O106-M106))/(1.5+L106)))</f>
        <v>2458.0045133791432</v>
      </c>
      <c r="Q106" s="31">
        <f t="shared" si="39"/>
        <v>0.68277903149420649</v>
      </c>
      <c r="T106">
        <v>0.57999999999999996</v>
      </c>
      <c r="U106" s="190">
        <v>1.0442</v>
      </c>
      <c r="V106" s="190">
        <f t="shared" si="43"/>
        <v>0.99390450000000008</v>
      </c>
      <c r="W106" s="31">
        <f t="shared" si="32"/>
        <v>0.86519322357823059</v>
      </c>
      <c r="X106" s="31">
        <f t="shared" si="45"/>
        <v>2178.3206296342246</v>
      </c>
      <c r="Y106" s="31">
        <f t="shared" si="44"/>
        <v>0.60508906378728455</v>
      </c>
      <c r="AD106">
        <v>0.57999999999999996</v>
      </c>
      <c r="AE106" s="190">
        <v>1.0442</v>
      </c>
      <c r="AF106" s="190">
        <f t="shared" si="36"/>
        <v>0.95719967352000002</v>
      </c>
      <c r="AG106" s="31">
        <f t="shared" si="37"/>
        <v>0.70851639913655673</v>
      </c>
      <c r="AH106" s="31">
        <f t="shared" si="38"/>
        <v>1598.8222526176012</v>
      </c>
      <c r="AI106" s="31">
        <f t="shared" si="29"/>
        <v>0.44411729239377812</v>
      </c>
      <c r="AN106">
        <v>0.57999999999999996</v>
      </c>
      <c r="AO106" s="190">
        <v>1.0442</v>
      </c>
      <c r="AP106" s="190">
        <f t="shared" si="13"/>
        <v>0.92053131493032003</v>
      </c>
      <c r="AQ106" s="31">
        <f t="shared" si="14"/>
        <v>0.57774579012867233</v>
      </c>
      <c r="AR106" s="31">
        <f t="shared" si="15"/>
        <v>1303.7282224371309</v>
      </c>
      <c r="AS106" s="31">
        <f t="shared" si="30"/>
        <v>0.36214672845475859</v>
      </c>
    </row>
    <row r="107" spans="1:45">
      <c r="A107">
        <v>0.56999999999999995</v>
      </c>
      <c r="B107">
        <f t="shared" si="33"/>
        <v>1.06498</v>
      </c>
      <c r="C107" s="31">
        <v>1.0441800000000001</v>
      </c>
      <c r="D107">
        <f t="shared" si="34"/>
        <v>1.06498</v>
      </c>
      <c r="F107" s="31">
        <f t="shared" si="41"/>
        <v>2415.5974397993132</v>
      </c>
      <c r="G107" s="31">
        <f t="shared" si="31"/>
        <v>0.67099928883314253</v>
      </c>
      <c r="L107">
        <v>0.59</v>
      </c>
      <c r="M107" s="190">
        <v>1.0442</v>
      </c>
      <c r="N107" s="31">
        <f t="shared" si="42"/>
        <v>1.0542148663093298</v>
      </c>
      <c r="O107" s="190">
        <f t="shared" si="27"/>
        <v>1.0285465920000001</v>
      </c>
      <c r="P107" s="31">
        <f t="shared" si="46"/>
        <v>2452.034532078947</v>
      </c>
      <c r="Q107" s="31">
        <f t="shared" si="39"/>
        <v>0.68112070335526309</v>
      </c>
      <c r="T107">
        <v>0.59</v>
      </c>
      <c r="U107" s="190">
        <v>1.0442</v>
      </c>
      <c r="V107" s="190">
        <f t="shared" si="43"/>
        <v>0.99608362500000003</v>
      </c>
      <c r="W107" s="31">
        <f t="shared" si="32"/>
        <v>0.87185068327477744</v>
      </c>
      <c r="X107" s="31">
        <f t="shared" si="45"/>
        <v>2174.1214342703347</v>
      </c>
      <c r="Y107" s="31">
        <f t="shared" si="44"/>
        <v>0.6039226206306485</v>
      </c>
      <c r="AD107">
        <v>0.59</v>
      </c>
      <c r="AE107" s="190">
        <v>1.0442</v>
      </c>
      <c r="AF107" s="190">
        <f t="shared" si="36"/>
        <v>0.95929832358</v>
      </c>
      <c r="AG107" s="31">
        <f t="shared" si="37"/>
        <v>0.71396826727774043</v>
      </c>
      <c r="AH107" s="31">
        <f t="shared" si="38"/>
        <v>1602.8915240965582</v>
      </c>
      <c r="AI107" s="31">
        <f t="shared" si="29"/>
        <v>0.44524764558237728</v>
      </c>
      <c r="AN107">
        <v>0.59</v>
      </c>
      <c r="AO107" s="190">
        <v>1.0442</v>
      </c>
      <c r="AP107" s="190">
        <f t="shared" si="13"/>
        <v>0.92254957000577997</v>
      </c>
      <c r="AQ107" s="31">
        <f t="shared" si="14"/>
        <v>0.58219140898907418</v>
      </c>
      <c r="AR107" s="31">
        <f t="shared" si="15"/>
        <v>1307.0464299884634</v>
      </c>
      <c r="AS107" s="31">
        <f t="shared" si="30"/>
        <v>0.36306845277457317</v>
      </c>
    </row>
    <row r="108" spans="1:45">
      <c r="A108">
        <v>0.57999999999999996</v>
      </c>
      <c r="B108">
        <f t="shared" si="33"/>
        <v>1.06728</v>
      </c>
      <c r="C108" s="31">
        <v>1.0441800000000001</v>
      </c>
      <c r="D108">
        <f t="shared" si="34"/>
        <v>1.06728</v>
      </c>
      <c r="F108" s="31">
        <f t="shared" si="41"/>
        <v>2408.4001666767776</v>
      </c>
      <c r="G108" s="31">
        <f t="shared" si="31"/>
        <v>0.66900004629910492</v>
      </c>
      <c r="L108">
        <v>0.6</v>
      </c>
      <c r="M108" s="190">
        <v>1.0442</v>
      </c>
      <c r="N108" s="31">
        <f t="shared" si="42"/>
        <v>1.0624477544846249</v>
      </c>
      <c r="O108" s="190">
        <f t="shared" si="27"/>
        <v>1.0308352000000001</v>
      </c>
      <c r="P108" s="31">
        <f t="shared" si="46"/>
        <v>2446.1209912013096</v>
      </c>
      <c r="Q108" s="31">
        <f t="shared" si="39"/>
        <v>0.67947805311147491</v>
      </c>
      <c r="T108">
        <v>0.6</v>
      </c>
      <c r="U108" s="190">
        <v>1.0442</v>
      </c>
      <c r="V108" s="190">
        <f t="shared" si="43"/>
        <v>0.99830000000000008</v>
      </c>
      <c r="W108" s="31">
        <f t="shared" si="32"/>
        <v>0.87865939885102862</v>
      </c>
      <c r="X108" s="31">
        <f t="shared" si="45"/>
        <v>2169.9975435300544</v>
      </c>
      <c r="Y108" s="31">
        <f t="shared" si="44"/>
        <v>0.60277709542501512</v>
      </c>
      <c r="AD108">
        <v>0.6</v>
      </c>
      <c r="AE108" s="190">
        <v>1.0442</v>
      </c>
      <c r="AF108" s="190">
        <f t="shared" si="36"/>
        <v>0.96143284800000006</v>
      </c>
      <c r="AG108" s="31">
        <f t="shared" si="37"/>
        <v>0.71954400054906587</v>
      </c>
      <c r="AH108" s="31">
        <f t="shared" si="38"/>
        <v>1607.181736723368</v>
      </c>
      <c r="AI108" s="31">
        <f t="shared" si="29"/>
        <v>0.44643937131204664</v>
      </c>
      <c r="AN108">
        <v>0.6</v>
      </c>
      <c r="AO108" s="190">
        <v>1.0442</v>
      </c>
      <c r="AP108" s="190">
        <f t="shared" si="13"/>
        <v>0.92460232516800001</v>
      </c>
      <c r="AQ108" s="31">
        <f t="shared" si="14"/>
        <v>0.58673803123848767</v>
      </c>
      <c r="AR108" s="31">
        <f t="shared" si="15"/>
        <v>1310.5447996619343</v>
      </c>
      <c r="AS108" s="31">
        <f t="shared" si="30"/>
        <v>0.36404022212831511</v>
      </c>
    </row>
    <row r="109" spans="1:45">
      <c r="A109">
        <v>0.59</v>
      </c>
      <c r="B109">
        <f t="shared" si="33"/>
        <v>1.06962</v>
      </c>
      <c r="C109" s="31">
        <v>1.0441800000000001</v>
      </c>
      <c r="D109">
        <f t="shared" si="34"/>
        <v>1.06962</v>
      </c>
      <c r="F109" s="31">
        <f t="shared" si="41"/>
        <v>2401.3459849430674</v>
      </c>
      <c r="G109" s="31">
        <f t="shared" si="31"/>
        <v>0.66704055137307428</v>
      </c>
      <c r="L109">
        <v>0.61</v>
      </c>
      <c r="M109" s="190">
        <v>1.0442</v>
      </c>
      <c r="N109" s="31">
        <f t="shared" si="42"/>
        <v>1.0708659957101963</v>
      </c>
      <c r="O109" s="190">
        <f t="shared" si="27"/>
        <v>1.033162272</v>
      </c>
      <c r="P109" s="31">
        <f t="shared" si="46"/>
        <v>2440.255575432946</v>
      </c>
      <c r="Q109" s="31">
        <f t="shared" si="39"/>
        <v>0.67784877095359608</v>
      </c>
      <c r="T109">
        <v>0.61</v>
      </c>
      <c r="U109" s="190">
        <v>1.0442</v>
      </c>
      <c r="V109" s="190">
        <f t="shared" si="43"/>
        <v>1.000553625</v>
      </c>
      <c r="W109" s="31">
        <f t="shared" si="32"/>
        <v>0.8856214040352095</v>
      </c>
      <c r="X109" s="31">
        <f t="shared" si="45"/>
        <v>2165.9423076401122</v>
      </c>
      <c r="Y109" s="31">
        <f t="shared" si="44"/>
        <v>0.6016506410111423</v>
      </c>
      <c r="AD109">
        <v>0.61</v>
      </c>
      <c r="AE109" s="190">
        <v>1.0442</v>
      </c>
      <c r="AF109" s="190">
        <f t="shared" ref="AF109:AF148" si="47">0.896859*(1+((1.4-1)/2)*AD109^2)</f>
        <v>0.96360324677999987</v>
      </c>
      <c r="AG109" s="31">
        <f t="shared" si="37"/>
        <v>0.7252452643933035</v>
      </c>
      <c r="AH109" s="31">
        <f t="shared" si="38"/>
        <v>1611.6922131316287</v>
      </c>
      <c r="AI109" s="31">
        <f t="shared" si="29"/>
        <v>0.44769228142545242</v>
      </c>
      <c r="AN109">
        <v>0.61</v>
      </c>
      <c r="AO109" s="190">
        <v>1.0442</v>
      </c>
      <c r="AP109" s="190">
        <f t="shared" si="13"/>
        <v>0.92668958041697991</v>
      </c>
      <c r="AQ109" s="31">
        <f t="shared" si="14"/>
        <v>0.59138701492952894</v>
      </c>
      <c r="AR109" s="31">
        <f t="shared" si="15"/>
        <v>1314.2227791124074</v>
      </c>
      <c r="AS109" s="31">
        <f t="shared" si="30"/>
        <v>0.36506188308677984</v>
      </c>
    </row>
    <row r="110" spans="1:45">
      <c r="A110">
        <v>0.6</v>
      </c>
      <c r="B110">
        <f t="shared" si="33"/>
        <v>1.0720000000000001</v>
      </c>
      <c r="C110" s="31">
        <v>1.0441800000000001</v>
      </c>
      <c r="D110">
        <f t="shared" si="34"/>
        <v>1.0720000000000001</v>
      </c>
      <c r="F110" s="31">
        <f t="shared" si="41"/>
        <v>2394.4315016910014</v>
      </c>
      <c r="G110" s="31">
        <f t="shared" si="31"/>
        <v>0.66511986158083369</v>
      </c>
      <c r="L110">
        <v>0.62</v>
      </c>
      <c r="M110" s="190">
        <v>1.0442</v>
      </c>
      <c r="N110" s="31">
        <f t="shared" si="42"/>
        <v>1.0794721037625121</v>
      </c>
      <c r="O110" s="190">
        <f t="shared" si="27"/>
        <v>1.0355278080000001</v>
      </c>
      <c r="P110" s="31">
        <f t="shared" si="46"/>
        <v>2434.4299167722816</v>
      </c>
      <c r="Q110" s="31">
        <f t="shared" si="39"/>
        <v>0.67623053243674491</v>
      </c>
      <c r="T110">
        <v>0.62</v>
      </c>
      <c r="U110" s="190">
        <v>1.0442</v>
      </c>
      <c r="V110" s="190">
        <f t="shared" si="43"/>
        <v>1.0028445000000001</v>
      </c>
      <c r="W110" s="31">
        <f t="shared" si="32"/>
        <v>0.8927387777562007</v>
      </c>
      <c r="X110" s="31">
        <f t="shared" si="45"/>
        <v>2161.9490452008813</v>
      </c>
      <c r="Y110" s="31">
        <f t="shared" si="44"/>
        <v>0.60054140144468926</v>
      </c>
      <c r="AD110">
        <v>0.62</v>
      </c>
      <c r="AE110" s="190">
        <v>1.0442</v>
      </c>
      <c r="AF110" s="190">
        <f t="shared" si="47"/>
        <v>0.96580951991999997</v>
      </c>
      <c r="AG110" s="31">
        <f t="shared" si="37"/>
        <v>0.73107376126854495</v>
      </c>
      <c r="AH110" s="31">
        <f t="shared" si="38"/>
        <v>1616.4223710683734</v>
      </c>
      <c r="AI110" s="31">
        <f t="shared" si="29"/>
        <v>0.44900621418565928</v>
      </c>
      <c r="AN110">
        <v>0.62</v>
      </c>
      <c r="AO110" s="190">
        <v>1.0442</v>
      </c>
      <c r="AP110" s="190">
        <f t="shared" si="13"/>
        <v>0.92881133575272001</v>
      </c>
      <c r="AQ110" s="31">
        <f t="shared" si="14"/>
        <v>0.59613974829823091</v>
      </c>
      <c r="AR110" s="31">
        <f t="shared" si="15"/>
        <v>1318.0798935531293</v>
      </c>
      <c r="AS110" s="31">
        <f t="shared" si="30"/>
        <v>0.36613330376475811</v>
      </c>
    </row>
    <row r="111" spans="1:45">
      <c r="A111">
        <v>0.61</v>
      </c>
      <c r="B111">
        <f t="shared" si="33"/>
        <v>1.0744199999999999</v>
      </c>
      <c r="C111" s="31">
        <v>1.0441800000000001</v>
      </c>
      <c r="D111">
        <f t="shared" si="34"/>
        <v>1.0744199999999999</v>
      </c>
      <c r="F111" s="31">
        <f t="shared" si="41"/>
        <v>2387.6534362226625</v>
      </c>
      <c r="G111" s="31">
        <f t="shared" si="31"/>
        <v>0.66323706561740625</v>
      </c>
      <c r="L111">
        <v>0.63</v>
      </c>
      <c r="M111" s="190">
        <v>1.0442</v>
      </c>
      <c r="N111" s="31">
        <f t="shared" si="42"/>
        <v>1.0882686477607935</v>
      </c>
      <c r="O111" s="190">
        <f t="shared" si="27"/>
        <v>1.037931808</v>
      </c>
      <c r="P111" s="31">
        <f t="shared" si="46"/>
        <v>2428.6355855013289</v>
      </c>
      <c r="Q111" s="31">
        <f t="shared" si="39"/>
        <v>0.6746209959725914</v>
      </c>
      <c r="T111">
        <v>0.63</v>
      </c>
      <c r="U111" s="190">
        <v>1.0442</v>
      </c>
      <c r="V111" s="190">
        <f t="shared" si="43"/>
        <v>1.0051726249999999</v>
      </c>
      <c r="W111" s="31">
        <f t="shared" si="32"/>
        <v>0.9000136447121253</v>
      </c>
      <c r="X111" s="31">
        <f t="shared" si="45"/>
        <v>2158.0110357461026</v>
      </c>
      <c r="Y111" s="31">
        <f t="shared" si="44"/>
        <v>0.59944750992947293</v>
      </c>
      <c r="AD111">
        <v>0.63</v>
      </c>
      <c r="AE111" s="190">
        <v>1.0442</v>
      </c>
      <c r="AF111" s="190">
        <f t="shared" si="47"/>
        <v>0.96805166741999993</v>
      </c>
      <c r="AG111" s="31">
        <f t="shared" si="37"/>
        <v>0.73703123111382651</v>
      </c>
      <c r="AH111" s="31">
        <f t="shared" si="38"/>
        <v>1621.3717196986611</v>
      </c>
      <c r="AI111" s="31">
        <f t="shared" si="29"/>
        <v>0.45038103324962808</v>
      </c>
      <c r="AN111">
        <v>0.63</v>
      </c>
      <c r="AO111" s="190">
        <v>1.0442</v>
      </c>
      <c r="AP111" s="190">
        <f t="shared" si="13"/>
        <v>0.93096759117521999</v>
      </c>
      <c r="AQ111" s="31">
        <f t="shared" si="14"/>
        <v>0.60099765014372719</v>
      </c>
      <c r="AR111" s="31">
        <f t="shared" si="15"/>
        <v>1322.1157427423823</v>
      </c>
      <c r="AS111" s="31">
        <f t="shared" si="30"/>
        <v>0.3672543729839951</v>
      </c>
    </row>
    <row r="112" spans="1:45">
      <c r="A112">
        <v>0.62</v>
      </c>
      <c r="B112">
        <f t="shared" si="33"/>
        <v>1.0768800000000001</v>
      </c>
      <c r="C112" s="31">
        <v>1.0441800000000001</v>
      </c>
      <c r="D112">
        <f t="shared" si="34"/>
        <v>1.0768800000000001</v>
      </c>
      <c r="F112" s="31">
        <f t="shared" si="41"/>
        <v>2381.0086138718661</v>
      </c>
      <c r="G112" s="31">
        <f t="shared" si="31"/>
        <v>0.66139128163107397</v>
      </c>
      <c r="L112">
        <v>0.64</v>
      </c>
      <c r="M112" s="190">
        <v>1.0442</v>
      </c>
      <c r="N112" s="31">
        <f t="shared" si="42"/>
        <v>1.0972582528676305</v>
      </c>
      <c r="O112" s="190">
        <f t="shared" si="27"/>
        <v>1.040374272</v>
      </c>
      <c r="P112" s="31">
        <f t="shared" si="46"/>
        <v>2422.8640814043561</v>
      </c>
      <c r="Q112" s="31">
        <f t="shared" si="39"/>
        <v>0.67301780039009895</v>
      </c>
      <c r="T112">
        <v>0.64</v>
      </c>
      <c r="U112" s="190">
        <v>1.0442</v>
      </c>
      <c r="V112" s="190">
        <f t="shared" si="43"/>
        <v>1.007538</v>
      </c>
      <c r="W112" s="31">
        <f t="shared" ref="W112:W148" si="48">($S$51/$S$52)*(1+((1.4-1)/2)*T112^2)^(1.4/(1.4-1))</f>
        <v>0.90744817594977012</v>
      </c>
      <c r="X112" s="31">
        <f t="shared" si="45"/>
        <v>2154.1215125132685</v>
      </c>
      <c r="Y112" s="31">
        <f t="shared" si="44"/>
        <v>0.59836708680924122</v>
      </c>
      <c r="AD112">
        <v>0.64</v>
      </c>
      <c r="AE112" s="190">
        <v>1.0442</v>
      </c>
      <c r="AF112" s="190">
        <f t="shared" si="47"/>
        <v>0.97032968927999996</v>
      </c>
      <c r="AG112" s="31">
        <f t="shared" si="37"/>
        <v>0.74311945182362271</v>
      </c>
      <c r="AH112" s="31">
        <f t="shared" si="38"/>
        <v>1626.5398561515456</v>
      </c>
      <c r="AI112" s="31">
        <f t="shared" si="29"/>
        <v>0.45181662670876266</v>
      </c>
      <c r="AN112">
        <v>0.64</v>
      </c>
      <c r="AO112" s="190">
        <v>1.0442</v>
      </c>
      <c r="AP112" s="190">
        <f t="shared" si="13"/>
        <v>0.93315834668447994</v>
      </c>
      <c r="AQ112" s="31">
        <f t="shared" si="14"/>
        <v>0.60596217021516885</v>
      </c>
      <c r="AR112" s="31">
        <f t="shared" si="15"/>
        <v>1326.3299981669616</v>
      </c>
      <c r="AS112" s="31">
        <f t="shared" si="30"/>
        <v>0.36842499949082264</v>
      </c>
    </row>
    <row r="113" spans="1:45">
      <c r="A113">
        <v>0.63</v>
      </c>
      <c r="B113">
        <f t="shared" si="33"/>
        <v>1.07938</v>
      </c>
      <c r="C113" s="31">
        <v>1.0441800000000001</v>
      </c>
      <c r="D113">
        <f t="shared" si="34"/>
        <v>1.07938</v>
      </c>
      <c r="F113" s="31">
        <f t="shared" si="41"/>
        <v>2374.493960267554</v>
      </c>
      <c r="G113" s="31">
        <f t="shared" si="31"/>
        <v>0.65958165562987614</v>
      </c>
      <c r="L113">
        <v>0.65</v>
      </c>
      <c r="M113" s="190">
        <v>1.0442</v>
      </c>
      <c r="N113" s="31">
        <f t="shared" si="42"/>
        <v>1.1064436010027632</v>
      </c>
      <c r="O113" s="190">
        <f t="shared" si="27"/>
        <v>1.0428552</v>
      </c>
      <c r="P113" s="31">
        <f t="shared" si="46"/>
        <v>2417.1068252031164</v>
      </c>
      <c r="Q113" s="31">
        <f t="shared" si="39"/>
        <v>0.67141856255642118</v>
      </c>
      <c r="T113">
        <v>0.65</v>
      </c>
      <c r="U113" s="190">
        <v>1.0442</v>
      </c>
      <c r="V113" s="190">
        <f t="shared" si="43"/>
        <v>1.009940625</v>
      </c>
      <c r="W113" s="31">
        <f t="shared" si="48"/>
        <v>0.91504458945489175</v>
      </c>
      <c r="X113" s="31">
        <f t="shared" si="45"/>
        <v>2150.2736553995369</v>
      </c>
      <c r="Y113" s="31">
        <f t="shared" si="44"/>
        <v>0.59729823761098244</v>
      </c>
      <c r="AD113">
        <v>0.65</v>
      </c>
      <c r="AE113" s="190">
        <v>1.0442</v>
      </c>
      <c r="AF113" s="190">
        <f t="shared" si="47"/>
        <v>0.97264358549999996</v>
      </c>
      <c r="AG113" s="31">
        <f t="shared" si="37"/>
        <v>0.7493402397312553</v>
      </c>
      <c r="AH113" s="31">
        <f t="shared" si="38"/>
        <v>1631.9264622871688</v>
      </c>
      <c r="AI113" s="31">
        <f t="shared" si="29"/>
        <v>0.45331290619088022</v>
      </c>
      <c r="AN113">
        <v>0.65</v>
      </c>
      <c r="AO113" s="190">
        <v>1.0442</v>
      </c>
      <c r="AP113" s="190">
        <f t="shared" ref="AP113:AP148" si="49">$AL$50*(1+((1.4-1)/2)*AN113^2)</f>
        <v>0.93538360228049999</v>
      </c>
      <c r="AQ113" s="31">
        <f t="shared" ref="AQ113:AQ148" si="50">($AL$51/$AL$52)*(1+((1.4-1)/2)*AN113^2)^(1.4/(1.4-1))</f>
        <v>0.61103478960590984</v>
      </c>
      <c r="AR113" s="31">
        <f t="shared" ref="AR113:AR148" si="51">$C$41*AQ113*(1-0.49*(SQRT(AN113)))</f>
        <v>1330.7224004059644</v>
      </c>
      <c r="AS113" s="31">
        <f t="shared" si="30"/>
        <v>0.369645111223879</v>
      </c>
    </row>
    <row r="114" spans="1:45">
      <c r="A114">
        <v>0.64</v>
      </c>
      <c r="B114">
        <f t="shared" ref="B114:B145" si="52">1*(1+((1.4-1)/2)*A114^2)</f>
        <v>1.08192</v>
      </c>
      <c r="C114" s="31">
        <v>1.0441800000000001</v>
      </c>
      <c r="D114">
        <f t="shared" ref="D114:D150" si="53">1*(1+((1.4-1)/2)*A114^2)</f>
        <v>1.08192</v>
      </c>
      <c r="F114" s="31">
        <f t="shared" si="41"/>
        <v>2368.1064959999999</v>
      </c>
      <c r="G114" s="31">
        <f t="shared" si="31"/>
        <v>0.65780735999999995</v>
      </c>
      <c r="L114">
        <v>0.66</v>
      </c>
      <c r="M114" s="190">
        <v>1.0442</v>
      </c>
      <c r="N114" s="31">
        <f t="shared" si="42"/>
        <v>1.1158274315701153</v>
      </c>
      <c r="O114" s="190">
        <f t="shared" si="27"/>
        <v>1.0453745920000002</v>
      </c>
      <c r="P114" s="31">
        <f t="shared" si="46"/>
        <v>2411.3551501812335</v>
      </c>
      <c r="Q114" s="31">
        <f t="shared" si="39"/>
        <v>0.6698208750503426</v>
      </c>
      <c r="T114">
        <v>0.66</v>
      </c>
      <c r="U114" s="190">
        <v>1.0442</v>
      </c>
      <c r="V114" s="190">
        <f t="shared" si="43"/>
        <v>1.0123805000000001</v>
      </c>
      <c r="W114" s="31">
        <f t="shared" si="48"/>
        <v>0.92280515075348379</v>
      </c>
      <c r="X114" s="31">
        <f t="shared" si="45"/>
        <v>2146.4605840804334</v>
      </c>
      <c r="Y114" s="31">
        <f t="shared" si="44"/>
        <v>0.59623905113345366</v>
      </c>
      <c r="AD114">
        <v>0.66</v>
      </c>
      <c r="AE114" s="190">
        <v>1.0442</v>
      </c>
      <c r="AF114" s="190">
        <f t="shared" si="47"/>
        <v>0.97499335608000004</v>
      </c>
      <c r="AG114" s="31">
        <f t="shared" si="37"/>
        <v>0.75569545010127703</v>
      </c>
      <c r="AH114" s="31">
        <f t="shared" si="38"/>
        <v>1637.5313016667328</v>
      </c>
      <c r="AI114" s="31">
        <f t="shared" si="29"/>
        <v>0.45486980601853688</v>
      </c>
      <c r="AN114">
        <v>0.66</v>
      </c>
      <c r="AO114" s="190">
        <v>1.0442</v>
      </c>
      <c r="AP114" s="190">
        <f t="shared" si="49"/>
        <v>0.93764335796328002</v>
      </c>
      <c r="AQ114" s="31">
        <f t="shared" si="50"/>
        <v>0.61621702115501265</v>
      </c>
      <c r="AR114" s="31">
        <f t="shared" si="51"/>
        <v>1335.2927566600144</v>
      </c>
      <c r="AS114" s="31">
        <f t="shared" si="30"/>
        <v>0.37091465462778178</v>
      </c>
    </row>
    <row r="115" spans="1:45">
      <c r="A115">
        <v>0.65</v>
      </c>
      <c r="B115">
        <f t="shared" si="52"/>
        <v>1.0845</v>
      </c>
      <c r="C115" s="31">
        <v>1.0441800000000001</v>
      </c>
      <c r="D115">
        <f t="shared" si="53"/>
        <v>1.0845</v>
      </c>
      <c r="F115" s="31">
        <f t="shared" si="41"/>
        <v>2361.8433316555474</v>
      </c>
      <c r="G115" s="31">
        <f t="shared" si="31"/>
        <v>0.65606759212654098</v>
      </c>
      <c r="L115">
        <v>0.67</v>
      </c>
      <c r="M115" s="190">
        <v>1.0442</v>
      </c>
      <c r="N115" s="31">
        <f t="shared" si="42"/>
        <v>1.1254125421981627</v>
      </c>
      <c r="O115" s="190">
        <f t="shared" si="27"/>
        <v>1.0479324480000001</v>
      </c>
      <c r="P115" s="31">
        <f t="shared" si="46"/>
        <v>2405.6002939728965</v>
      </c>
      <c r="Q115" s="31">
        <f t="shared" si="39"/>
        <v>0.66822230388136017</v>
      </c>
      <c r="T115">
        <v>0.67</v>
      </c>
      <c r="U115" s="190">
        <v>1.0442</v>
      </c>
      <c r="V115" s="190">
        <f t="shared" si="43"/>
        <v>1.0148576250000001</v>
      </c>
      <c r="W115" s="31">
        <f t="shared" si="48"/>
        <v>0.93073217352407289</v>
      </c>
      <c r="X115" s="31">
        <f t="shared" si="45"/>
        <v>2142.6753512706996</v>
      </c>
      <c r="Y115" s="31">
        <f t="shared" si="44"/>
        <v>0.59518759757519435</v>
      </c>
      <c r="AD115">
        <v>0.67</v>
      </c>
      <c r="AE115" s="190">
        <v>1.0442</v>
      </c>
      <c r="AF115" s="190">
        <f t="shared" si="47"/>
        <v>0.97737900101999997</v>
      </c>
      <c r="AG115" s="31">
        <f t="shared" si="37"/>
        <v>0.76218697763088838</v>
      </c>
      <c r="AH115" s="31">
        <f t="shared" si="38"/>
        <v>1643.354216708834</v>
      </c>
      <c r="AI115" s="31">
        <f t="shared" si="29"/>
        <v>0.45648728241912057</v>
      </c>
      <c r="AN115">
        <v>0.67</v>
      </c>
      <c r="AO115" s="190">
        <v>1.0442</v>
      </c>
      <c r="AP115" s="190">
        <f t="shared" si="49"/>
        <v>0.93993761373281992</v>
      </c>
      <c r="AQ115" s="31">
        <f t="shared" si="50"/>
        <v>0.62151040985611805</v>
      </c>
      <c r="AR115" s="31">
        <f t="shared" si="51"/>
        <v>1340.0409384324485</v>
      </c>
      <c r="AS115" s="31">
        <f t="shared" si="30"/>
        <v>0.37223359400901346</v>
      </c>
    </row>
    <row r="116" spans="1:45">
      <c r="A116">
        <v>0.66</v>
      </c>
      <c r="B116">
        <f t="shared" si="52"/>
        <v>1.0871200000000001</v>
      </c>
      <c r="C116" s="31">
        <v>1.0441800000000001</v>
      </c>
      <c r="D116">
        <f t="shared" si="53"/>
        <v>1.0871200000000001</v>
      </c>
      <c r="F116" s="31">
        <f t="shared" si="41"/>
        <v>2355.7016631890006</v>
      </c>
      <c r="G116" s="31">
        <f t="shared" si="31"/>
        <v>0.65436157310805576</v>
      </c>
      <c r="L116">
        <v>0.68</v>
      </c>
      <c r="M116" s="190">
        <v>1.0442</v>
      </c>
      <c r="N116" s="31">
        <f t="shared" si="42"/>
        <v>1.1352017894937252</v>
      </c>
      <c r="O116" s="190">
        <f t="shared" si="27"/>
        <v>1.0505287679999999</v>
      </c>
      <c r="P116" s="31">
        <f t="shared" si="46"/>
        <v>2399.8333904931919</v>
      </c>
      <c r="Q116" s="31">
        <f t="shared" si="39"/>
        <v>0.66662038624810882</v>
      </c>
      <c r="T116">
        <v>0.68</v>
      </c>
      <c r="U116" s="190">
        <v>1.0442</v>
      </c>
      <c r="V116" s="190">
        <f t="shared" si="43"/>
        <v>1.0173719999999999</v>
      </c>
      <c r="W116" s="31">
        <f t="shared" si="48"/>
        <v>0.93882802022111389</v>
      </c>
      <c r="X116" s="31">
        <f t="shared" si="45"/>
        <v>2138.9109361084625</v>
      </c>
      <c r="Y116" s="31">
        <f t="shared" si="44"/>
        <v>0.59414192669679511</v>
      </c>
      <c r="AD116">
        <v>0.68</v>
      </c>
      <c r="AE116" s="190">
        <v>1.0442</v>
      </c>
      <c r="AF116" s="190">
        <f t="shared" si="47"/>
        <v>0.97980052031999987</v>
      </c>
      <c r="AG116" s="31">
        <f t="shared" si="37"/>
        <v>0.76881675696044238</v>
      </c>
      <c r="AH116" s="31">
        <f t="shared" si="38"/>
        <v>1649.3951260171989</v>
      </c>
      <c r="AI116" s="31">
        <f t="shared" si="29"/>
        <v>0.45816531278255523</v>
      </c>
      <c r="AN116">
        <v>0.68</v>
      </c>
      <c r="AO116" s="190">
        <v>1.0442</v>
      </c>
      <c r="AP116" s="190">
        <f t="shared" si="49"/>
        <v>0.94226636958911991</v>
      </c>
      <c r="AQ116" s="31">
        <f t="shared" si="50"/>
        <v>0.62691653327372665</v>
      </c>
      <c r="AR116" s="31">
        <f t="shared" si="51"/>
        <v>1344.9668793502735</v>
      </c>
      <c r="AS116" s="31">
        <f t="shared" si="30"/>
        <v>0.37360191093063155</v>
      </c>
    </row>
    <row r="117" spans="1:45">
      <c r="A117">
        <v>0.67</v>
      </c>
      <c r="B117">
        <f t="shared" si="52"/>
        <v>1.08978</v>
      </c>
      <c r="C117" s="31">
        <v>1.0441800000000001</v>
      </c>
      <c r="D117">
        <f t="shared" si="53"/>
        <v>1.08978</v>
      </c>
      <c r="F117" s="31">
        <f t="shared" si="41"/>
        <v>2349.6787676058234</v>
      </c>
      <c r="G117" s="31">
        <f t="shared" si="31"/>
        <v>0.65268854655717312</v>
      </c>
      <c r="L117">
        <v>0.69</v>
      </c>
      <c r="M117" s="190">
        <v>1.0442</v>
      </c>
      <c r="N117" s="31">
        <f t="shared" si="42"/>
        <v>1.1451980898092571</v>
      </c>
      <c r="O117" s="190">
        <f t="shared" si="27"/>
        <v>1.0531635519999998</v>
      </c>
      <c r="P117" s="31">
        <f t="shared" si="46"/>
        <v>2394.0454619894062</v>
      </c>
      <c r="Q117" s="31">
        <f t="shared" si="39"/>
        <v>0.66501262833039065</v>
      </c>
      <c r="T117">
        <v>0.69</v>
      </c>
      <c r="U117" s="190">
        <v>1.0442</v>
      </c>
      <c r="V117" s="190">
        <f t="shared" si="43"/>
        <v>1.0199236249999999</v>
      </c>
      <c r="W117" s="31">
        <f t="shared" si="48"/>
        <v>0.94709510270955144</v>
      </c>
      <c r="X117" s="31">
        <f t="shared" si="45"/>
        <v>2135.1602376455457</v>
      </c>
      <c r="Y117" s="31">
        <f t="shared" si="44"/>
        <v>0.59310006601265164</v>
      </c>
      <c r="AD117">
        <v>0.69</v>
      </c>
      <c r="AE117" s="190">
        <v>1.0442</v>
      </c>
      <c r="AF117" s="190">
        <f t="shared" si="47"/>
        <v>0.98225791397999984</v>
      </c>
      <c r="AG117" s="31">
        <f t="shared" si="37"/>
        <v>0.77558676319309405</v>
      </c>
      <c r="AH117" s="31">
        <f t="shared" si="38"/>
        <v>1655.6540218662237</v>
      </c>
      <c r="AI117" s="31">
        <f t="shared" si="29"/>
        <v>0.4599038949628399</v>
      </c>
      <c r="AN117">
        <v>0.69</v>
      </c>
      <c r="AO117" s="190">
        <v>1.0442</v>
      </c>
      <c r="AP117" s="190">
        <f t="shared" si="49"/>
        <v>0.94462962553217988</v>
      </c>
      <c r="AQ117" s="31">
        <f t="shared" si="50"/>
        <v>0.63243700196693686</v>
      </c>
      <c r="AR117" s="31">
        <f t="shared" si="51"/>
        <v>1350.0705731137978</v>
      </c>
      <c r="AS117" s="31">
        <f t="shared" si="30"/>
        <v>0.37501960364272158</v>
      </c>
    </row>
    <row r="118" spans="1:45">
      <c r="A118">
        <v>0.68</v>
      </c>
      <c r="B118">
        <f t="shared" si="52"/>
        <v>1.0924799999999999</v>
      </c>
      <c r="C118" s="31">
        <v>1.0441800000000001</v>
      </c>
      <c r="D118">
        <f t="shared" si="53"/>
        <v>1.0924799999999999</v>
      </c>
      <c r="F118" s="31">
        <f t="shared" si="41"/>
        <v>2343.7719989289767</v>
      </c>
      <c r="G118" s="31">
        <f t="shared" si="31"/>
        <v>0.65104777748027132</v>
      </c>
      <c r="L118">
        <v>0.7</v>
      </c>
      <c r="M118" s="190">
        <v>1.0442</v>
      </c>
      <c r="N118" s="31">
        <f t="shared" si="42"/>
        <v>1.155404420023733</v>
      </c>
      <c r="O118" s="190">
        <f t="shared" si="27"/>
        <v>1.0558367999999998</v>
      </c>
      <c r="P118" s="31">
        <f t="shared" si="46"/>
        <v>2388.2274111944125</v>
      </c>
      <c r="Q118" s="31">
        <f t="shared" si="39"/>
        <v>0.663396503109559</v>
      </c>
      <c r="T118">
        <v>0.7</v>
      </c>
      <c r="U118" s="190">
        <v>1.0442</v>
      </c>
      <c r="V118" s="190">
        <f t="shared" si="43"/>
        <v>1.0225124999999999</v>
      </c>
      <c r="W118" s="31">
        <f t="shared" si="48"/>
        <v>0.95553588291062275</v>
      </c>
      <c r="X118" s="31">
        <f t="shared" si="45"/>
        <v>2131.4160684282419</v>
      </c>
      <c r="Y118" s="31">
        <f t="shared" si="44"/>
        <v>0.592060019007845</v>
      </c>
      <c r="AD118">
        <v>0.7</v>
      </c>
      <c r="AE118" s="190">
        <v>1.0442</v>
      </c>
      <c r="AF118" s="190">
        <f t="shared" si="47"/>
        <v>0.98475118199999989</v>
      </c>
      <c r="AG118" s="31">
        <f t="shared" ref="AG118:AG148" si="54">($AB$51/$AB$52)*(1+((1.4-1)/2)*AD118^2)^(1.4/(1.4-1))</f>
        <v>0.78249901242365616</v>
      </c>
      <c r="AH118" s="31">
        <f t="shared" si="38"/>
        <v>1662.1309678319883</v>
      </c>
      <c r="AI118" s="31">
        <f t="shared" si="29"/>
        <v>0.46170304661999673</v>
      </c>
      <c r="AN118">
        <v>0.7</v>
      </c>
      <c r="AO118" s="190">
        <v>1.0442</v>
      </c>
      <c r="AP118" s="190">
        <f t="shared" si="49"/>
        <v>0.94702738156199984</v>
      </c>
      <c r="AQ118" s="31">
        <f t="shared" si="50"/>
        <v>0.63807345992068953</v>
      </c>
      <c r="AR118" s="31">
        <f t="shared" si="51"/>
        <v>1355.3520715648876</v>
      </c>
      <c r="AS118" s="31">
        <f t="shared" si="30"/>
        <v>0.37648668654580214</v>
      </c>
    </row>
    <row r="119" spans="1:45">
      <c r="A119">
        <v>0.69</v>
      </c>
      <c r="B119">
        <f t="shared" si="52"/>
        <v>1.0952199999999999</v>
      </c>
      <c r="C119" s="31">
        <v>1.0441800000000001</v>
      </c>
      <c r="D119">
        <f t="shared" si="53"/>
        <v>1.0952199999999999</v>
      </c>
      <c r="F119" s="31">
        <f t="shared" si="41"/>
        <v>2337.9787844275979</v>
      </c>
      <c r="G119" s="31">
        <f t="shared" si="31"/>
        <v>0.64943855122988836</v>
      </c>
      <c r="L119">
        <v>0.71</v>
      </c>
      <c r="M119" s="190">
        <v>1.0442</v>
      </c>
      <c r="N119" s="31">
        <f t="shared" si="42"/>
        <v>1.1658238183372118</v>
      </c>
      <c r="O119" s="190">
        <f t="shared" ref="O119:O148" si="55">0.9616*(1+((1.4-1)/2)*L119^2)</f>
        <v>1.058548512</v>
      </c>
      <c r="P119" s="31">
        <f t="shared" si="46"/>
        <v>2382.3700135647996</v>
      </c>
      <c r="Q119" s="31">
        <f t="shared" si="39"/>
        <v>0.66176944821244432</v>
      </c>
      <c r="T119">
        <v>0.71</v>
      </c>
      <c r="U119" s="190">
        <v>1.0442</v>
      </c>
      <c r="V119" s="190">
        <f t="shared" si="43"/>
        <v>1.0251386249999999</v>
      </c>
      <c r="W119" s="31">
        <f t="shared" si="48"/>
        <v>0.9641528734589736</v>
      </c>
      <c r="X119" s="31">
        <f t="shared" si="45"/>
        <v>2127.6711481541247</v>
      </c>
      <c r="Y119" s="31">
        <f t="shared" si="44"/>
        <v>0.5910197633761457</v>
      </c>
      <c r="AD119">
        <v>0.71</v>
      </c>
      <c r="AE119" s="190">
        <v>1.0442</v>
      </c>
      <c r="AF119" s="190">
        <f t="shared" si="47"/>
        <v>0.98728032437999991</v>
      </c>
      <c r="AG119" s="31">
        <f t="shared" si="54"/>
        <v>0.7895555622767183</v>
      </c>
      <c r="AH119" s="31">
        <f t="shared" si="38"/>
        <v>1668.8260965574846</v>
      </c>
      <c r="AI119" s="31">
        <f t="shared" ref="AI119:AI148" si="56">AH119/$C$41</f>
        <v>0.46356280459930127</v>
      </c>
      <c r="AN119">
        <v>0.71</v>
      </c>
      <c r="AO119" s="190">
        <v>1.0442</v>
      </c>
      <c r="AP119" s="190">
        <f t="shared" si="49"/>
        <v>0.94945963767857988</v>
      </c>
      <c r="AQ119" s="31">
        <f t="shared" si="50"/>
        <v>0.64382758498456683</v>
      </c>
      <c r="AR119" s="31">
        <f t="shared" si="51"/>
        <v>1360.8114828646669</v>
      </c>
      <c r="AS119" s="31">
        <f t="shared" ref="AS119:AS148" si="57">AR119/$C$41</f>
        <v>0.3780031896846297</v>
      </c>
    </row>
    <row r="120" spans="1:45">
      <c r="A120">
        <v>0.7</v>
      </c>
      <c r="B120">
        <f t="shared" si="52"/>
        <v>1.0979999999999999</v>
      </c>
      <c r="C120" s="31">
        <v>1.0441800000000001</v>
      </c>
      <c r="D120">
        <f t="shared" si="53"/>
        <v>1.0979999999999999</v>
      </c>
      <c r="F120" s="31">
        <f t="shared" si="41"/>
        <v>2332.2966210868917</v>
      </c>
      <c r="G120" s="31">
        <f t="shared" si="31"/>
        <v>0.64786017252413663</v>
      </c>
      <c r="L120">
        <v>0.72</v>
      </c>
      <c r="M120" s="190">
        <v>1.0442</v>
      </c>
      <c r="N120" s="31">
        <f t="shared" si="42"/>
        <v>1.1764593850791669</v>
      </c>
      <c r="O120" s="190">
        <f t="shared" si="55"/>
        <v>1.0612986879999999</v>
      </c>
      <c r="P120" s="31">
        <f t="shared" si="46"/>
        <v>2376.4639095878129</v>
      </c>
      <c r="Q120" s="31">
        <f t="shared" si="39"/>
        <v>0.6601288637743925</v>
      </c>
      <c r="T120">
        <v>0.72</v>
      </c>
      <c r="U120" s="190">
        <v>1.0442</v>
      </c>
      <c r="V120" s="190">
        <f t="shared" si="43"/>
        <v>1.0278020000000001</v>
      </c>
      <c r="W120" s="31">
        <f t="shared" si="48"/>
        <v>0.9729486383711593</v>
      </c>
      <c r="X120" s="31">
        <f t="shared" si="45"/>
        <v>2123.91809739167</v>
      </c>
      <c r="Y120" s="31">
        <f t="shared" si="44"/>
        <v>0.58997724927546391</v>
      </c>
      <c r="AD120">
        <v>0.72</v>
      </c>
      <c r="AE120" s="190">
        <v>1.0442</v>
      </c>
      <c r="AF120" s="190">
        <f t="shared" si="47"/>
        <v>0.98984534112</v>
      </c>
      <c r="AG120" s="31">
        <f t="shared" si="54"/>
        <v>0.79675851245408991</v>
      </c>
      <c r="AH120" s="31">
        <f t="shared" si="38"/>
        <v>1675.7396076418079</v>
      </c>
      <c r="AI120" s="31">
        <f t="shared" si="56"/>
        <v>0.46548322434494666</v>
      </c>
      <c r="AN120">
        <v>0.72</v>
      </c>
      <c r="AO120" s="190">
        <v>1.0442</v>
      </c>
      <c r="AP120" s="190">
        <f t="shared" si="49"/>
        <v>0.95192639388192002</v>
      </c>
      <c r="AQ120" s="31">
        <f t="shared" si="50"/>
        <v>0.6497010893191939</v>
      </c>
      <c r="AR120" s="31">
        <f t="shared" si="51"/>
        <v>1366.4489697722997</v>
      </c>
      <c r="AS120" s="31">
        <f t="shared" si="57"/>
        <v>0.37956915827008325</v>
      </c>
    </row>
    <row r="121" spans="1:45">
      <c r="A121">
        <v>0.71</v>
      </c>
      <c r="B121">
        <f t="shared" si="52"/>
        <v>1.1008199999999999</v>
      </c>
      <c r="C121" s="31">
        <v>1.0441800000000001</v>
      </c>
      <c r="D121">
        <f t="shared" si="53"/>
        <v>1.1008199999999999</v>
      </c>
      <c r="F121" s="31">
        <f t="shared" si="41"/>
        <v>2326.7230723004686</v>
      </c>
      <c r="G121" s="31">
        <f t="shared" ref="G121:G150" si="58">F121/$C$41</f>
        <v>0.64631196452790796</v>
      </c>
      <c r="L121">
        <v>0.73</v>
      </c>
      <c r="M121" s="190">
        <v>1.0442</v>
      </c>
      <c r="N121" s="31">
        <f t="shared" si="42"/>
        <v>1.1873142835306738</v>
      </c>
      <c r="O121" s="190">
        <f t="shared" si="55"/>
        <v>1.0640873279999998</v>
      </c>
      <c r="P121" s="31">
        <f t="shared" si="46"/>
        <v>2370.499597142436</v>
      </c>
      <c r="Q121" s="31">
        <f t="shared" si="39"/>
        <v>0.65847211031734332</v>
      </c>
      <c r="T121">
        <v>0.73</v>
      </c>
      <c r="U121" s="190">
        <v>1.0442</v>
      </c>
      <c r="V121" s="190">
        <f t="shared" si="43"/>
        <v>1.030502625</v>
      </c>
      <c r="W121" s="31">
        <f t="shared" si="48"/>
        <v>0.98192579372560451</v>
      </c>
      <c r="X121" s="31">
        <f t="shared" si="45"/>
        <v>2120.1494313505113</v>
      </c>
      <c r="Y121" s="31">
        <f t="shared" si="44"/>
        <v>0.58893039759736432</v>
      </c>
      <c r="AD121">
        <v>0.73</v>
      </c>
      <c r="AE121" s="190">
        <v>1.0442</v>
      </c>
      <c r="AF121" s="190">
        <f t="shared" si="47"/>
        <v>0.99244623221999984</v>
      </c>
      <c r="AG121" s="31">
        <f t="shared" si="54"/>
        <v>0.80411000529162691</v>
      </c>
      <c r="AH121" s="31">
        <f t="shared" si="38"/>
        <v>1682.8717656439364</v>
      </c>
      <c r="AI121" s="31">
        <f t="shared" si="56"/>
        <v>0.46746437934553792</v>
      </c>
      <c r="AN121">
        <v>0.73</v>
      </c>
      <c r="AO121" s="190">
        <v>1.0442</v>
      </c>
      <c r="AP121" s="190">
        <f t="shared" si="49"/>
        <v>0.95442765017201991</v>
      </c>
      <c r="AQ121" s="31">
        <f t="shared" si="50"/>
        <v>0.65569571985029262</v>
      </c>
      <c r="AR121" s="31">
        <f t="shared" si="51"/>
        <v>1372.2647480172125</v>
      </c>
      <c r="AS121" s="31">
        <f t="shared" si="57"/>
        <v>0.38118465222700348</v>
      </c>
    </row>
    <row r="122" spans="1:45">
      <c r="A122">
        <v>0.72</v>
      </c>
      <c r="B122">
        <f t="shared" si="52"/>
        <v>1.10368</v>
      </c>
      <c r="C122" s="31">
        <v>1.0441800000000001</v>
      </c>
      <c r="D122">
        <f t="shared" si="53"/>
        <v>1.10368</v>
      </c>
      <c r="F122" s="31">
        <f t="shared" si="41"/>
        <v>2321.2557647680983</v>
      </c>
      <c r="G122" s="31">
        <f t="shared" si="58"/>
        <v>0.64479326799113845</v>
      </c>
      <c r="L122">
        <v>0.74</v>
      </c>
      <c r="M122" s="190">
        <v>1.0442</v>
      </c>
      <c r="N122" s="31">
        <f t="shared" si="42"/>
        <v>1.1983917407605458</v>
      </c>
      <c r="O122" s="190">
        <f t="shared" si="55"/>
        <v>1.0669144320000001</v>
      </c>
      <c r="P122" s="31">
        <f t="shared" si="46"/>
        <v>2364.467423901086</v>
      </c>
      <c r="Q122" s="31">
        <f t="shared" si="39"/>
        <v>0.65679650663919054</v>
      </c>
      <c r="T122">
        <v>0.74</v>
      </c>
      <c r="U122" s="190">
        <v>1.0442</v>
      </c>
      <c r="V122" s="190">
        <f t="shared" si="43"/>
        <v>1.0332405</v>
      </c>
      <c r="W122" s="31">
        <f t="shared" si="48"/>
        <v>0.99108700835410057</v>
      </c>
      <c r="X122" s="31">
        <f t="shared" si="45"/>
        <v>2116.3575536910475</v>
      </c>
      <c r="Y122" s="31">
        <f t="shared" si="44"/>
        <v>0.58787709824751322</v>
      </c>
      <c r="AD122">
        <v>0.74</v>
      </c>
      <c r="AE122" s="190">
        <v>1.0442</v>
      </c>
      <c r="AF122" s="190">
        <f t="shared" si="47"/>
        <v>0.99508299767999997</v>
      </c>
      <c r="AG122" s="31">
        <f t="shared" si="54"/>
        <v>0.811612226325507</v>
      </c>
      <c r="AH122" s="31">
        <f t="shared" si="38"/>
        <v>1690.2228981925305</v>
      </c>
      <c r="AI122" s="31">
        <f t="shared" si="56"/>
        <v>0.46950636060903622</v>
      </c>
      <c r="AN122">
        <v>0.74</v>
      </c>
      <c r="AO122" s="190">
        <v>1.0442</v>
      </c>
      <c r="AP122" s="190">
        <f t="shared" si="49"/>
        <v>0.95696340654888001</v>
      </c>
      <c r="AQ122" s="31">
        <f t="shared" si="50"/>
        <v>0.66181325873043884</v>
      </c>
      <c r="AR122" s="31">
        <f t="shared" si="51"/>
        <v>1378.2590847577651</v>
      </c>
      <c r="AS122" s="31">
        <f t="shared" si="57"/>
        <v>0.38284974576604586</v>
      </c>
    </row>
    <row r="123" spans="1:45">
      <c r="A123">
        <v>0.73</v>
      </c>
      <c r="B123">
        <f t="shared" si="52"/>
        <v>1.1065799999999999</v>
      </c>
      <c r="C123" s="31">
        <v>1.0441800000000001</v>
      </c>
      <c r="D123">
        <f t="shared" si="53"/>
        <v>1.1065799999999999</v>
      </c>
      <c r="F123" s="31">
        <f t="shared" si="41"/>
        <v>2315.8923855833514</v>
      </c>
      <c r="G123" s="31">
        <f t="shared" si="58"/>
        <v>0.6433034404398198</v>
      </c>
      <c r="L123">
        <v>0.75</v>
      </c>
      <c r="M123" s="190">
        <v>1.0442</v>
      </c>
      <c r="N123" s="31">
        <f t="shared" si="42"/>
        <v>1.2096950484755025</v>
      </c>
      <c r="O123" s="190">
        <f t="shared" si="55"/>
        <v>1.06978</v>
      </c>
      <c r="P123" s="31">
        <f t="shared" si="46"/>
        <v>2358.3575797593662</v>
      </c>
      <c r="Q123" s="31">
        <f t="shared" si="39"/>
        <v>0.65509932771093504</v>
      </c>
      <c r="T123">
        <v>0.75</v>
      </c>
      <c r="U123" s="190">
        <v>1.0442</v>
      </c>
      <c r="V123" s="190">
        <f t="shared" si="43"/>
        <v>1.0360156250000001</v>
      </c>
      <c r="W123" s="31">
        <f t="shared" si="48"/>
        <v>1.000435004544906</v>
      </c>
      <c r="X123" s="31">
        <f t="shared" si="45"/>
        <v>2112.5347503630069</v>
      </c>
      <c r="Y123" s="31">
        <f t="shared" si="44"/>
        <v>0.58681520843416857</v>
      </c>
      <c r="AD123">
        <v>0.75</v>
      </c>
      <c r="AE123" s="190">
        <v>1.0442</v>
      </c>
      <c r="AF123" s="190">
        <f t="shared" si="47"/>
        <v>0.99775563749999996</v>
      </c>
      <c r="AG123" s="31">
        <f t="shared" si="54"/>
        <v>0.81926740486800609</v>
      </c>
      <c r="AH123" s="31">
        <f t="shared" si="38"/>
        <v>1697.7933941938791</v>
      </c>
      <c r="AI123" s="31">
        <f t="shared" si="56"/>
        <v>0.4716092761649664</v>
      </c>
      <c r="AN123">
        <v>0.75</v>
      </c>
      <c r="AO123" s="190">
        <v>1.0442</v>
      </c>
      <c r="AP123" s="190">
        <f t="shared" si="49"/>
        <v>0.95953366301249998</v>
      </c>
      <c r="AQ123" s="31">
        <f t="shared" si="50"/>
        <v>0.66805552380856825</v>
      </c>
      <c r="AR123" s="31">
        <f t="shared" si="51"/>
        <v>1384.4322971199563</v>
      </c>
      <c r="AS123" s="31">
        <f t="shared" si="57"/>
        <v>0.38456452697776561</v>
      </c>
    </row>
    <row r="124" spans="1:45">
      <c r="A124">
        <v>0.74</v>
      </c>
      <c r="B124">
        <f t="shared" si="52"/>
        <v>1.1095200000000001</v>
      </c>
      <c r="C124" s="31">
        <v>1.0441800000000001</v>
      </c>
      <c r="D124">
        <f t="shared" si="53"/>
        <v>1.1095200000000001</v>
      </c>
      <c r="F124" s="31">
        <f t="shared" si="41"/>
        <v>2310.6306794969964</v>
      </c>
      <c r="G124" s="31">
        <f t="shared" si="58"/>
        <v>0.64184185541583239</v>
      </c>
      <c r="L124">
        <v>0.76</v>
      </c>
      <c r="M124" s="190">
        <v>1.0442</v>
      </c>
      <c r="N124" s="31">
        <f t="shared" si="42"/>
        <v>1.2212275638844763</v>
      </c>
      <c r="O124" s="190">
        <f t="shared" si="55"/>
        <v>1.0726840320000002</v>
      </c>
      <c r="P124" s="31">
        <f t="shared" si="46"/>
        <v>2352.1600892822357</v>
      </c>
      <c r="Q124" s="31">
        <f t="shared" si="39"/>
        <v>0.65337780257839884</v>
      </c>
      <c r="T124">
        <v>0.76</v>
      </c>
      <c r="U124" s="190">
        <v>1.0442</v>
      </c>
      <c r="V124" s="190">
        <f t="shared" si="43"/>
        <v>1.0388280000000001</v>
      </c>
      <c r="W124" s="31">
        <f t="shared" si="48"/>
        <v>1.0099725587575408</v>
      </c>
      <c r="X124" s="31">
        <f t="shared" si="45"/>
        <v>2108.6731834632901</v>
      </c>
      <c r="Y124" s="31">
        <f t="shared" si="44"/>
        <v>0.58574255096202499</v>
      </c>
      <c r="AD124">
        <v>0.76</v>
      </c>
      <c r="AE124" s="190">
        <v>1.0442</v>
      </c>
      <c r="AF124" s="190">
        <f t="shared" si="47"/>
        <v>1.0004641516799999</v>
      </c>
      <c r="AG124" s="31">
        <f t="shared" si="54"/>
        <v>0.82707781459285157</v>
      </c>
      <c r="AH124" s="31">
        <f t="shared" si="38"/>
        <v>1705.5837021308041</v>
      </c>
      <c r="AI124" s="31">
        <f t="shared" si="56"/>
        <v>0.47377325059189002</v>
      </c>
      <c r="AN124">
        <v>0.76</v>
      </c>
      <c r="AO124" s="190">
        <v>1.0442</v>
      </c>
      <c r="AP124" s="190">
        <f t="shared" si="49"/>
        <v>0.96213841956288004</v>
      </c>
      <c r="AQ124" s="31">
        <f t="shared" si="50"/>
        <v>0.67442436910729198</v>
      </c>
      <c r="AR124" s="31">
        <f t="shared" si="51"/>
        <v>1390.7847508103005</v>
      </c>
      <c r="AS124" s="31">
        <f t="shared" si="57"/>
        <v>0.3863290974473057</v>
      </c>
    </row>
    <row r="125" spans="1:45">
      <c r="A125">
        <v>0.75</v>
      </c>
      <c r="B125">
        <f t="shared" si="52"/>
        <v>1.1125</v>
      </c>
      <c r="C125" s="31">
        <v>1.0441800000000001</v>
      </c>
      <c r="D125">
        <f t="shared" si="53"/>
        <v>1.1125</v>
      </c>
      <c r="F125" s="31">
        <f t="shared" si="41"/>
        <v>2305.4684463432282</v>
      </c>
      <c r="G125" s="31">
        <f t="shared" si="58"/>
        <v>0.64040790176200779</v>
      </c>
      <c r="L125">
        <v>0.77</v>
      </c>
      <c r="M125" s="190">
        <v>1.0442</v>
      </c>
      <c r="N125" s="31">
        <f t="shared" si="42"/>
        <v>1.2329927105771363</v>
      </c>
      <c r="O125" s="190">
        <f t="shared" si="55"/>
        <v>1.0756265279999999</v>
      </c>
      <c r="P125" s="31">
        <f t="shared" si="46"/>
        <v>2345.8648041558149</v>
      </c>
      <c r="Q125" s="31">
        <f t="shared" si="39"/>
        <v>0.65162911226550413</v>
      </c>
      <c r="T125">
        <v>0.77</v>
      </c>
      <c r="U125" s="190">
        <v>1.0442</v>
      </c>
      <c r="V125" s="190">
        <f t="shared" si="43"/>
        <v>1.0416776249999999</v>
      </c>
      <c r="W125" s="31">
        <f t="shared" si="48"/>
        <v>1.0197025023493378</v>
      </c>
      <c r="X125" s="31">
        <f t="shared" si="45"/>
        <v>2104.7648851041049</v>
      </c>
      <c r="Y125" s="31">
        <f t="shared" si="44"/>
        <v>0.58465691252891805</v>
      </c>
      <c r="AD125">
        <v>0.77</v>
      </c>
      <c r="AE125" s="190">
        <v>1.0442</v>
      </c>
      <c r="AF125" s="190">
        <f t="shared" si="47"/>
        <v>1.0032085402199999</v>
      </c>
      <c r="AG125" s="31">
        <f t="shared" si="54"/>
        <v>0.83504577413020276</v>
      </c>
      <c r="AH125" s="31">
        <f t="shared" si="38"/>
        <v>1713.5943284458688</v>
      </c>
      <c r="AI125" s="31">
        <f t="shared" si="56"/>
        <v>0.47599842456829689</v>
      </c>
      <c r="AN125">
        <v>0.77</v>
      </c>
      <c r="AO125" s="190">
        <v>1.0442</v>
      </c>
      <c r="AP125" s="190">
        <f t="shared" si="49"/>
        <v>0.96477767620001986</v>
      </c>
      <c r="AQ125" s="31">
        <f t="shared" si="50"/>
        <v>0.68092168530806063</v>
      </c>
      <c r="AR125" s="31">
        <f t="shared" si="51"/>
        <v>1397.3168587974444</v>
      </c>
      <c r="AS125" s="31">
        <f t="shared" si="57"/>
        <v>0.388143571888179</v>
      </c>
    </row>
    <row r="126" spans="1:45">
      <c r="A126">
        <v>0.76</v>
      </c>
      <c r="B126">
        <f t="shared" si="52"/>
        <v>1.1155200000000001</v>
      </c>
      <c r="C126" s="31">
        <v>1.0441800000000001</v>
      </c>
      <c r="D126">
        <f t="shared" si="53"/>
        <v>1.1155200000000001</v>
      </c>
      <c r="F126" s="31">
        <f t="shared" si="41"/>
        <v>2300.4035386169326</v>
      </c>
      <c r="G126" s="31">
        <f t="shared" si="58"/>
        <v>0.63900098294914798</v>
      </c>
      <c r="L126">
        <v>0.78</v>
      </c>
      <c r="M126" s="190">
        <v>1.0442</v>
      </c>
      <c r="N126" s="31">
        <f t="shared" si="42"/>
        <v>1.244993979416734</v>
      </c>
      <c r="O126" s="190">
        <f t="shared" si="55"/>
        <v>1.0786074880000001</v>
      </c>
      <c r="P126" s="31">
        <f t="shared" si="46"/>
        <v>2339.4613956346889</v>
      </c>
      <c r="Q126" s="31">
        <f t="shared" si="39"/>
        <v>0.64985038767630243</v>
      </c>
      <c r="T126">
        <v>0.78</v>
      </c>
      <c r="U126" s="190">
        <v>1.0442</v>
      </c>
      <c r="V126" s="190">
        <f t="shared" si="43"/>
        <v>1.0445645000000001</v>
      </c>
      <c r="W126" s="31">
        <f t="shared" si="48"/>
        <v>1.029627722313839</v>
      </c>
      <c r="X126" s="31">
        <f t="shared" si="45"/>
        <v>2100.8017512830147</v>
      </c>
      <c r="Y126" s="31">
        <f t="shared" si="44"/>
        <v>0.58355604202305966</v>
      </c>
      <c r="AD126">
        <v>0.78</v>
      </c>
      <c r="AE126" s="190">
        <v>1.0442</v>
      </c>
      <c r="AF126" s="190">
        <f t="shared" si="47"/>
        <v>1.0059888031199999</v>
      </c>
      <c r="AG126" s="31">
        <f t="shared" si="54"/>
        <v>0.84317364767133307</v>
      </c>
      <c r="AH126" s="31">
        <f t="shared" si="38"/>
        <v>1721.8258360028155</v>
      </c>
      <c r="AI126" s="31">
        <f t="shared" si="56"/>
        <v>0.47828495444522656</v>
      </c>
      <c r="AN126">
        <v>0.78</v>
      </c>
      <c r="AO126" s="190">
        <v>1.0442</v>
      </c>
      <c r="AP126" s="190">
        <f t="shared" si="49"/>
        <v>0.96745143292392</v>
      </c>
      <c r="AQ126" s="31">
        <f t="shared" si="50"/>
        <v>0.68754940024424127</v>
      </c>
      <c r="AR126" s="31">
        <f t="shared" si="51"/>
        <v>1404.029080057579</v>
      </c>
      <c r="AS126" s="31">
        <f t="shared" si="57"/>
        <v>0.39000807779377195</v>
      </c>
    </row>
    <row r="127" spans="1:45">
      <c r="A127">
        <v>0.77</v>
      </c>
      <c r="B127">
        <f t="shared" si="52"/>
        <v>1.1185799999999999</v>
      </c>
      <c r="C127" s="31">
        <v>1.0441800000000001</v>
      </c>
      <c r="D127">
        <f t="shared" si="53"/>
        <v>1.1185799999999999</v>
      </c>
      <c r="F127" s="31">
        <f t="shared" si="41"/>
        <v>2295.4338591911819</v>
      </c>
      <c r="G127" s="31">
        <f t="shared" si="58"/>
        <v>0.63762051644199502</v>
      </c>
      <c r="L127">
        <v>0.79</v>
      </c>
      <c r="M127" s="190">
        <v>1.0442</v>
      </c>
      <c r="N127" s="31">
        <f t="shared" si="42"/>
        <v>1.2572349294473553</v>
      </c>
      <c r="O127" s="190">
        <f t="shared" si="55"/>
        <v>1.0816269119999999</v>
      </c>
      <c r="P127" s="31">
        <f t="shared" si="46"/>
        <v>2332.9393469753336</v>
      </c>
      <c r="Q127" s="31">
        <f t="shared" si="39"/>
        <v>0.64803870749314818</v>
      </c>
      <c r="T127">
        <v>0.79</v>
      </c>
      <c r="U127" s="190">
        <v>1.0442</v>
      </c>
      <c r="V127" s="190">
        <f t="shared" si="43"/>
        <v>1.047488625</v>
      </c>
      <c r="W127" s="31">
        <f t="shared" si="48"/>
        <v>1.0397511620311064</v>
      </c>
      <c r="X127" s="31">
        <f t="shared" si="45"/>
        <v>2096.7755357470719</v>
      </c>
      <c r="Y127" s="31">
        <f t="shared" si="44"/>
        <v>0.58243764881863114</v>
      </c>
      <c r="AD127">
        <v>0.79</v>
      </c>
      <c r="AE127" s="190">
        <v>1.0442</v>
      </c>
      <c r="AF127" s="190">
        <f t="shared" si="47"/>
        <v>1.0088049403799999</v>
      </c>
      <c r="AG127" s="31">
        <f t="shared" si="54"/>
        <v>0.85146384558306665</v>
      </c>
      <c r="AH127" s="31">
        <f t="shared" si="38"/>
        <v>1730.2788426205811</v>
      </c>
      <c r="AI127" s="31">
        <f t="shared" si="56"/>
        <v>0.48063301183905033</v>
      </c>
      <c r="AN127">
        <v>0.79</v>
      </c>
      <c r="AO127" s="190">
        <v>1.0442</v>
      </c>
      <c r="AP127" s="190">
        <f t="shared" si="49"/>
        <v>0.97015968973457989</v>
      </c>
      <c r="AQ127" s="31">
        <f t="shared" si="50"/>
        <v>0.69430947940214716</v>
      </c>
      <c r="AR127" s="31">
        <f t="shared" si="51"/>
        <v>1410.9219183790287</v>
      </c>
      <c r="AS127" s="31">
        <f t="shared" si="57"/>
        <v>0.39192275510528574</v>
      </c>
    </row>
    <row r="128" spans="1:45">
      <c r="A128">
        <v>0.78</v>
      </c>
      <c r="B128">
        <f t="shared" si="52"/>
        <v>1.12168</v>
      </c>
      <c r="C128" s="31">
        <v>1.0441800000000001</v>
      </c>
      <c r="D128">
        <f t="shared" si="53"/>
        <v>1.12168</v>
      </c>
      <c r="F128" s="31">
        <f t="shared" si="41"/>
        <v>2290.5573591650823</v>
      </c>
      <c r="G128" s="31">
        <f t="shared" si="58"/>
        <v>0.63626593310141177</v>
      </c>
      <c r="L128">
        <v>0.8</v>
      </c>
      <c r="M128" s="190">
        <v>1.0442</v>
      </c>
      <c r="N128" s="31">
        <f t="shared" si="42"/>
        <v>1.2697191888156916</v>
      </c>
      <c r="O128" s="190">
        <f t="shared" si="55"/>
        <v>1.0846848000000002</v>
      </c>
      <c r="P128" s="31">
        <f t="shared" si="46"/>
        <v>2326.2879458467901</v>
      </c>
      <c r="Q128" s="31">
        <f t="shared" si="39"/>
        <v>0.64619109606855285</v>
      </c>
      <c r="T128">
        <v>0.8</v>
      </c>
      <c r="U128" s="190">
        <v>1.0442</v>
      </c>
      <c r="V128" s="190">
        <f t="shared" si="43"/>
        <v>1.0504500000000001</v>
      </c>
      <c r="W128" s="31">
        <f t="shared" si="48"/>
        <v>1.0500758220300386</v>
      </c>
      <c r="X128" s="31">
        <f t="shared" si="45"/>
        <v>2092.6778438436936</v>
      </c>
      <c r="Y128" s="31">
        <f t="shared" si="44"/>
        <v>0.58129940106769262</v>
      </c>
      <c r="AD128">
        <v>0.8</v>
      </c>
      <c r="AE128" s="190">
        <v>1.0442</v>
      </c>
      <c r="AF128" s="190">
        <f t="shared" si="47"/>
        <v>1.0116569520000001</v>
      </c>
      <c r="AG128" s="31">
        <f t="shared" si="54"/>
        <v>0.85991882503204886</v>
      </c>
      <c r="AH128" s="31">
        <f t="shared" si="38"/>
        <v>1738.9540196747305</v>
      </c>
      <c r="AI128" s="31">
        <f t="shared" si="56"/>
        <v>0.48304278324298067</v>
      </c>
      <c r="AN128">
        <v>0.8</v>
      </c>
      <c r="AO128" s="190">
        <v>1.0442</v>
      </c>
      <c r="AP128" s="190">
        <f t="shared" si="49"/>
        <v>0.9729024466320001</v>
      </c>
      <c r="AQ128" s="31">
        <f t="shared" si="50"/>
        <v>0.70120392643008744</v>
      </c>
      <c r="AR128" s="31">
        <f t="shared" si="51"/>
        <v>1417.9959212218196</v>
      </c>
      <c r="AS128" s="31">
        <f t="shared" si="57"/>
        <v>0.3938877558949499</v>
      </c>
    </row>
    <row r="129" spans="1:45">
      <c r="A129">
        <v>0.79</v>
      </c>
      <c r="B129">
        <f t="shared" si="52"/>
        <v>1.1248199999999999</v>
      </c>
      <c r="C129" s="31">
        <v>1.0441800000000001</v>
      </c>
      <c r="D129">
        <f t="shared" si="53"/>
        <v>1.1248199999999999</v>
      </c>
      <c r="F129" s="31">
        <f t="shared" ref="F129:F150" si="59">$C$41*D129*(1-0.49*(SQRT(A129)))</f>
        <v>2285.7720358328597</v>
      </c>
      <c r="G129" s="31">
        <f t="shared" si="58"/>
        <v>0.63493667662023878</v>
      </c>
      <c r="L129">
        <v>0.81</v>
      </c>
      <c r="M129" s="190">
        <v>1.0442</v>
      </c>
      <c r="N129" s="31">
        <f t="shared" si="42"/>
        <v>1.2824504557074023</v>
      </c>
      <c r="O129" s="190">
        <f t="shared" si="55"/>
        <v>1.0877811519999998</v>
      </c>
      <c r="P129" s="31">
        <f t="shared" si="46"/>
        <v>2319.4962767103139</v>
      </c>
      <c r="Q129" s="31">
        <f t="shared" si="39"/>
        <v>0.64430452130842053</v>
      </c>
      <c r="T129">
        <v>0.81</v>
      </c>
      <c r="U129" s="190">
        <v>1.0442</v>
      </c>
      <c r="V129" s="190">
        <f t="shared" si="43"/>
        <v>1.0534486249999999</v>
      </c>
      <c r="W129" s="31">
        <f t="shared" si="48"/>
        <v>1.0606047607627567</v>
      </c>
      <c r="X129" s="31">
        <f t="shared" si="45"/>
        <v>2088.500126351395</v>
      </c>
      <c r="Y129" s="31">
        <f t="shared" si="44"/>
        <v>0.58013892398649858</v>
      </c>
      <c r="AD129">
        <v>0.81</v>
      </c>
      <c r="AE129" s="190">
        <v>1.0442</v>
      </c>
      <c r="AF129" s="190">
        <f t="shared" si="47"/>
        <v>1.0145448379799999</v>
      </c>
      <c r="AG129" s="31">
        <f t="shared" si="54"/>
        <v>0.86854109061889939</v>
      </c>
      <c r="AH129" s="31">
        <f t="shared" si="38"/>
        <v>1747.8520907614729</v>
      </c>
      <c r="AI129" s="31">
        <f t="shared" si="56"/>
        <v>0.48551446965596473</v>
      </c>
      <c r="AN129">
        <v>0.81</v>
      </c>
      <c r="AO129" s="190">
        <v>1.0442</v>
      </c>
      <c r="AP129" s="190">
        <f t="shared" si="49"/>
        <v>0.97567970361617984</v>
      </c>
      <c r="AQ129" s="31">
        <f t="shared" si="50"/>
        <v>0.7082347836554741</v>
      </c>
      <c r="AR129" s="31">
        <f t="shared" si="51"/>
        <v>1425.2516786282758</v>
      </c>
      <c r="AS129" s="31">
        <f t="shared" si="57"/>
        <v>0.39590324406340993</v>
      </c>
    </row>
    <row r="130" spans="1:45">
      <c r="A130">
        <v>0.8</v>
      </c>
      <c r="B130">
        <f t="shared" si="52"/>
        <v>1.1280000000000001</v>
      </c>
      <c r="C130" s="31">
        <v>1.0441800000000001</v>
      </c>
      <c r="D130">
        <f t="shared" si="53"/>
        <v>1.1280000000000001</v>
      </c>
      <c r="F130" s="31">
        <f t="shared" si="59"/>
        <v>2281.0759307658955</v>
      </c>
      <c r="G130" s="31">
        <f t="shared" si="58"/>
        <v>0.63363220299052647</v>
      </c>
      <c r="L130">
        <v>0.82</v>
      </c>
      <c r="M130" s="190">
        <v>1.0442</v>
      </c>
      <c r="N130" s="31">
        <f t="shared" si="42"/>
        <v>1.2954324992981958</v>
      </c>
      <c r="O130" s="190">
        <f t="shared" si="55"/>
        <v>1.090915968</v>
      </c>
      <c r="P130" s="31">
        <f t="shared" si="46"/>
        <v>2312.5532131601749</v>
      </c>
      <c r="Q130" s="31">
        <f t="shared" si="39"/>
        <v>0.64237589254449301</v>
      </c>
      <c r="T130">
        <v>0.82</v>
      </c>
      <c r="U130" s="190">
        <v>1.0442</v>
      </c>
      <c r="V130" s="190">
        <f t="shared" si="43"/>
        <v>1.0564845</v>
      </c>
      <c r="W130" s="31">
        <f t="shared" si="48"/>
        <v>1.071341095391162</v>
      </c>
      <c r="X130" s="31">
        <f t="shared" si="45"/>
        <v>2084.2336732839062</v>
      </c>
      <c r="Y130" s="31">
        <f t="shared" si="44"/>
        <v>0.57895379813441838</v>
      </c>
      <c r="AD130">
        <v>0.82</v>
      </c>
      <c r="AE130" s="190">
        <v>1.0442</v>
      </c>
      <c r="AF130" s="190">
        <f t="shared" si="47"/>
        <v>1.0174685983199998</v>
      </c>
      <c r="AG130" s="31">
        <f t="shared" si="54"/>
        <v>0.87733319502233265</v>
      </c>
      <c r="AH130" s="31">
        <f t="shared" si="38"/>
        <v>1756.9738304198645</v>
      </c>
      <c r="AI130" s="31">
        <f t="shared" si="56"/>
        <v>0.48804828622774016</v>
      </c>
      <c r="AN130">
        <v>0.82</v>
      </c>
      <c r="AO130" s="190">
        <v>1.0442</v>
      </c>
      <c r="AP130" s="190">
        <f t="shared" si="49"/>
        <v>0.9784914606871199</v>
      </c>
      <c r="AQ130" s="31">
        <f t="shared" si="50"/>
        <v>0.71540413261005809</v>
      </c>
      <c r="AR130" s="31">
        <f t="shared" si="51"/>
        <v>1432.6898221810686</v>
      </c>
      <c r="AS130" s="31">
        <f t="shared" si="57"/>
        <v>0.39796939505029683</v>
      </c>
    </row>
    <row r="131" spans="1:45">
      <c r="A131">
        <v>0.81</v>
      </c>
      <c r="B131">
        <f t="shared" si="52"/>
        <v>1.1312199999999999</v>
      </c>
      <c r="C131" s="31">
        <v>1.0441800000000001</v>
      </c>
      <c r="D131">
        <f t="shared" si="53"/>
        <v>1.1312199999999999</v>
      </c>
      <c r="F131" s="31">
        <f t="shared" si="59"/>
        <v>2276.4671279999998</v>
      </c>
      <c r="G131" s="31">
        <f t="shared" si="58"/>
        <v>0.63235197999999992</v>
      </c>
      <c r="L131">
        <v>0.83</v>
      </c>
      <c r="M131" s="190">
        <v>1.0442</v>
      </c>
      <c r="N131" s="31">
        <f t="shared" si="42"/>
        <v>1.3086691607196979</v>
      </c>
      <c r="O131" s="190">
        <f t="shared" si="55"/>
        <v>1.094089248</v>
      </c>
      <c r="P131" s="31">
        <f t="shared" si="46"/>
        <v>2305.4474102182562</v>
      </c>
      <c r="Q131" s="31">
        <f t="shared" si="39"/>
        <v>0.64040205839396003</v>
      </c>
      <c r="T131">
        <v>0.83</v>
      </c>
      <c r="U131" s="190">
        <v>1.0442</v>
      </c>
      <c r="V131" s="190">
        <f t="shared" si="43"/>
        <v>1.0595576250000001</v>
      </c>
      <c r="W131" s="31">
        <f t="shared" si="48"/>
        <v>1.0822880025857216</v>
      </c>
      <c r="X131" s="31">
        <f t="shared" si="45"/>
        <v>2079.8696076615261</v>
      </c>
      <c r="Y131" s="31">
        <f t="shared" si="44"/>
        <v>0.57774155768375723</v>
      </c>
      <c r="AD131">
        <v>0.83</v>
      </c>
      <c r="AE131" s="190">
        <v>1.0442</v>
      </c>
      <c r="AF131" s="190">
        <f t="shared" si="47"/>
        <v>1.0204282330200001</v>
      </c>
      <c r="AG131" s="31">
        <f t="shared" si="54"/>
        <v>0.88629773965329295</v>
      </c>
      <c r="AH131" s="31">
        <f t="shared" si="38"/>
        <v>1766.3200629080306</v>
      </c>
      <c r="AI131" s="31">
        <f t="shared" si="56"/>
        <v>0.49064446191889738</v>
      </c>
      <c r="AN131">
        <v>0.83</v>
      </c>
      <c r="AO131" s="190">
        <v>1.0442</v>
      </c>
      <c r="AP131" s="190">
        <f t="shared" si="49"/>
        <v>0.98133771784482005</v>
      </c>
      <c r="AQ131" s="31">
        <f t="shared" si="50"/>
        <v>0.72271409456333069</v>
      </c>
      <c r="AR131" s="31">
        <f t="shared" si="51"/>
        <v>1440.3110240053063</v>
      </c>
      <c r="AS131" s="31">
        <f t="shared" si="57"/>
        <v>0.40008639555702952</v>
      </c>
    </row>
    <row r="132" spans="1:45">
      <c r="A132">
        <v>0.82</v>
      </c>
      <c r="B132">
        <f t="shared" si="52"/>
        <v>1.1344799999999999</v>
      </c>
      <c r="C132" s="31">
        <v>1.0441800000000001</v>
      </c>
      <c r="D132">
        <f t="shared" si="53"/>
        <v>1.1344799999999999</v>
      </c>
      <c r="F132" s="31">
        <f t="shared" si="59"/>
        <v>2271.9437523209062</v>
      </c>
      <c r="G132" s="31">
        <f t="shared" si="58"/>
        <v>0.63109548675580729</v>
      </c>
      <c r="L132">
        <v>0.84</v>
      </c>
      <c r="M132" s="190">
        <v>1.0442</v>
      </c>
      <c r="N132" s="31">
        <f t="shared" si="42"/>
        <v>1.322164354040227</v>
      </c>
      <c r="O132" s="190">
        <f t="shared" si="55"/>
        <v>1.0973009919999999</v>
      </c>
      <c r="P132" s="31">
        <f t="shared" ref="P132:P148" si="60">$C$41*N132*(1-0.49*(SQRT(L132))-((3*(O132-M132))/(1.5+L132)))</f>
        <v>2298.1672965754301</v>
      </c>
      <c r="Q132" s="31">
        <f t="shared" si="39"/>
        <v>0.63837980460428612</v>
      </c>
      <c r="T132">
        <v>0.84</v>
      </c>
      <c r="U132" s="190">
        <v>1.0442</v>
      </c>
      <c r="V132" s="190">
        <f t="shared" si="43"/>
        <v>1.0626679999999999</v>
      </c>
      <c r="W132" s="31">
        <f t="shared" si="48"/>
        <v>1.0934487193365858</v>
      </c>
      <c r="X132" s="31">
        <f t="shared" si="45"/>
        <v>2075.3988792439518</v>
      </c>
      <c r="Y132" s="31">
        <f t="shared" si="44"/>
        <v>0.57649968867887547</v>
      </c>
      <c r="AD132">
        <v>0.84</v>
      </c>
      <c r="AE132" s="190">
        <v>1.0442</v>
      </c>
      <c r="AF132" s="190">
        <f t="shared" si="47"/>
        <v>1.0234237420799999</v>
      </c>
      <c r="AG132" s="31">
        <f t="shared" si="54"/>
        <v>0.89543737531918699</v>
      </c>
      <c r="AH132" s="31">
        <f t="shared" si="38"/>
        <v>1775.8916610296285</v>
      </c>
      <c r="AI132" s="31">
        <f t="shared" si="56"/>
        <v>0.49330323917489682</v>
      </c>
      <c r="AN132">
        <v>0.84</v>
      </c>
      <c r="AO132" s="190">
        <v>1.0442</v>
      </c>
      <c r="AP132" s="190">
        <f t="shared" si="49"/>
        <v>0.98421847508927995</v>
      </c>
      <c r="AQ132" s="31">
        <f t="shared" si="50"/>
        <v>0.73016683106415858</v>
      </c>
      <c r="AR132" s="31">
        <f t="shared" si="51"/>
        <v>1448.1159958115989</v>
      </c>
      <c r="AS132" s="31">
        <f t="shared" si="57"/>
        <v>0.40225444328099969</v>
      </c>
    </row>
    <row r="133" spans="1:45">
      <c r="A133">
        <v>0.83</v>
      </c>
      <c r="B133">
        <f t="shared" si="52"/>
        <v>1.13778</v>
      </c>
      <c r="C133" s="31">
        <v>1.0441800000000001</v>
      </c>
      <c r="D133">
        <f t="shared" si="53"/>
        <v>1.13778</v>
      </c>
      <c r="F133" s="31">
        <f t="shared" si="59"/>
        <v>2267.5039676414594</v>
      </c>
      <c r="G133" s="31">
        <f t="shared" si="58"/>
        <v>0.6298622132337387</v>
      </c>
      <c r="L133">
        <v>0.85</v>
      </c>
      <c r="M133" s="190">
        <v>1.0442</v>
      </c>
      <c r="N133" s="31">
        <f t="shared" si="42"/>
        <v>1.3359220672605754</v>
      </c>
      <c r="O133" s="190">
        <f t="shared" si="55"/>
        <v>1.1005512</v>
      </c>
      <c r="P133" s="31">
        <f t="shared" si="60"/>
        <v>2290.7010667731474</v>
      </c>
      <c r="Q133" s="31">
        <f t="shared" si="39"/>
        <v>0.63630585188142985</v>
      </c>
      <c r="T133">
        <v>0.85</v>
      </c>
      <c r="U133" s="190">
        <v>1.0442</v>
      </c>
      <c r="V133" s="190">
        <f t="shared" si="43"/>
        <v>1.0658156249999999</v>
      </c>
      <c r="W133" s="31">
        <f t="shared" si="48"/>
        <v>1.104826543777111</v>
      </c>
      <c r="X133" s="31">
        <f t="shared" si="45"/>
        <v>2070.812258219084</v>
      </c>
      <c r="Y133" s="31">
        <f t="shared" si="44"/>
        <v>0.57522562728307891</v>
      </c>
      <c r="AD133">
        <v>0.85</v>
      </c>
      <c r="AE133" s="190">
        <v>1.0442</v>
      </c>
      <c r="AF133" s="190">
        <f t="shared" si="47"/>
        <v>1.0264551254999998</v>
      </c>
      <c r="AG133" s="31">
        <f t="shared" si="54"/>
        <v>0.90475480289827603</v>
      </c>
      <c r="AH133" s="31">
        <f t="shared" si="38"/>
        <v>1785.6895450069799</v>
      </c>
      <c r="AI133" s="31">
        <f t="shared" si="56"/>
        <v>0.49602487361304998</v>
      </c>
      <c r="AN133">
        <v>0.85</v>
      </c>
      <c r="AO133" s="190">
        <v>1.0442</v>
      </c>
      <c r="AP133" s="190">
        <f t="shared" si="49"/>
        <v>0.98713373242049984</v>
      </c>
      <c r="AQ133" s="31">
        <f t="shared" si="50"/>
        <v>0.73776454449070406</v>
      </c>
      <c r="AR133" s="31">
        <f t="shared" si="51"/>
        <v>1456.105487977175</v>
      </c>
      <c r="AS133" s="31">
        <f t="shared" si="57"/>
        <v>0.40447374666032637</v>
      </c>
    </row>
    <row r="134" spans="1:45">
      <c r="A134">
        <v>0.84</v>
      </c>
      <c r="B134">
        <f t="shared" si="52"/>
        <v>1.1411199999999999</v>
      </c>
      <c r="C134" s="31">
        <v>1.0441800000000001</v>
      </c>
      <c r="D134">
        <f t="shared" si="53"/>
        <v>1.1411199999999999</v>
      </c>
      <c r="F134" s="31">
        <f t="shared" si="59"/>
        <v>2263.145975464518</v>
      </c>
      <c r="G134" s="31">
        <f t="shared" si="58"/>
        <v>0.62865165985125504</v>
      </c>
      <c r="L134">
        <v>0.86</v>
      </c>
      <c r="M134" s="190">
        <v>1.0442</v>
      </c>
      <c r="N134" s="31">
        <f t="shared" si="42"/>
        <v>1.3499463633248825</v>
      </c>
      <c r="O134" s="190">
        <f t="shared" si="55"/>
        <v>1.103839872</v>
      </c>
      <c r="P134" s="31">
        <f t="shared" si="60"/>
        <v>2283.0366733188994</v>
      </c>
      <c r="Q134" s="31">
        <f t="shared" si="39"/>
        <v>0.63417685369969423</v>
      </c>
      <c r="T134">
        <v>0.86</v>
      </c>
      <c r="U134" s="190">
        <v>1.0442</v>
      </c>
      <c r="V134" s="190">
        <f t="shared" si="43"/>
        <v>1.0690005</v>
      </c>
      <c r="W134" s="31">
        <f t="shared" si="48"/>
        <v>1.1164248360198672</v>
      </c>
      <c r="X134" s="31">
        <f t="shared" si="45"/>
        <v>2066.1003288425791</v>
      </c>
      <c r="Y134" s="31">
        <f t="shared" si="44"/>
        <v>0.57391675801182751</v>
      </c>
      <c r="AD134">
        <v>0.86</v>
      </c>
      <c r="AE134" s="190">
        <v>1.0442</v>
      </c>
      <c r="AF134" s="190">
        <f t="shared" si="47"/>
        <v>1.02952238328</v>
      </c>
      <c r="AG134" s="31">
        <f t="shared" si="54"/>
        <v>0.9142527740242925</v>
      </c>
      <c r="AH134" s="31">
        <f t="shared" si="38"/>
        <v>1795.7146813975648</v>
      </c>
      <c r="AI134" s="31">
        <f t="shared" si="56"/>
        <v>0.4988096337215458</v>
      </c>
      <c r="AN134">
        <v>0.86</v>
      </c>
      <c r="AO134" s="190">
        <v>1.0442</v>
      </c>
      <c r="AP134" s="190">
        <f t="shared" si="49"/>
        <v>0.99008348983848005</v>
      </c>
      <c r="AQ134" s="31">
        <f t="shared" si="50"/>
        <v>0.74550947860868211</v>
      </c>
      <c r="AR134" s="31">
        <f t="shared" si="51"/>
        <v>1464.2802886623599</v>
      </c>
      <c r="AS134" s="31">
        <f t="shared" si="57"/>
        <v>0.4067445246284333</v>
      </c>
    </row>
    <row r="135" spans="1:45">
      <c r="A135">
        <v>0.85</v>
      </c>
      <c r="B135">
        <f t="shared" si="52"/>
        <v>1.1444999999999999</v>
      </c>
      <c r="C135" s="31">
        <v>1.0441800000000001</v>
      </c>
      <c r="D135">
        <f t="shared" si="53"/>
        <v>1.1444999999999999</v>
      </c>
      <c r="F135" s="31">
        <f t="shared" si="59"/>
        <v>2258.8680134260303</v>
      </c>
      <c r="G135" s="31">
        <f t="shared" si="58"/>
        <v>0.62746333706278623</v>
      </c>
      <c r="L135">
        <v>0.87</v>
      </c>
      <c r="M135" s="190">
        <v>1.0442</v>
      </c>
      <c r="N135" s="31">
        <f t="shared" si="42"/>
        <v>1.3642413811467167</v>
      </c>
      <c r="O135" s="190">
        <f t="shared" si="55"/>
        <v>1.107167008</v>
      </c>
      <c r="P135" s="31">
        <f t="shared" si="60"/>
        <v>2275.1618187295685</v>
      </c>
      <c r="Q135" s="31">
        <f t="shared" si="39"/>
        <v>0.63198939409154675</v>
      </c>
      <c r="T135">
        <v>0.87</v>
      </c>
      <c r="U135" s="190">
        <v>1.0442</v>
      </c>
      <c r="V135" s="190">
        <f t="shared" si="43"/>
        <v>1.072222625</v>
      </c>
      <c r="W135" s="31">
        <f t="shared" si="48"/>
        <v>1.128247019005223</v>
      </c>
      <c r="X135" s="31">
        <f t="shared" si="45"/>
        <v>2061.2534830231971</v>
      </c>
      <c r="Y135" s="31">
        <f t="shared" si="44"/>
        <v>0.57257041195088809</v>
      </c>
      <c r="AD135">
        <v>0.87</v>
      </c>
      <c r="AE135" s="190">
        <v>1.0442</v>
      </c>
      <c r="AF135" s="190">
        <f t="shared" si="47"/>
        <v>1.0326255154199999</v>
      </c>
      <c r="AG135" s="31">
        <f t="shared" si="54"/>
        <v>0.92393409178135455</v>
      </c>
      <c r="AH135" s="31">
        <f t="shared" si="38"/>
        <v>1805.9680820508063</v>
      </c>
      <c r="AI135" s="31">
        <f t="shared" si="56"/>
        <v>0.50165780056966847</v>
      </c>
      <c r="AN135">
        <v>0.87</v>
      </c>
      <c r="AO135" s="190">
        <v>1.0442</v>
      </c>
      <c r="AP135" s="190">
        <f t="shared" si="49"/>
        <v>0.99306774734322001</v>
      </c>
      <c r="AQ135" s="31">
        <f t="shared" si="50"/>
        <v>0.75340391913801497</v>
      </c>
      <c r="AR135" s="31">
        <f t="shared" si="51"/>
        <v>1472.6412229599032</v>
      </c>
      <c r="AS135" s="31">
        <f t="shared" si="57"/>
        <v>0.4090670063777509</v>
      </c>
    </row>
    <row r="136" spans="1:45">
      <c r="A136">
        <v>0.86</v>
      </c>
      <c r="B136">
        <f t="shared" si="52"/>
        <v>1.1479200000000001</v>
      </c>
      <c r="C136" s="31">
        <v>1.0441800000000001</v>
      </c>
      <c r="D136">
        <f t="shared" si="53"/>
        <v>1.1479200000000001</v>
      </c>
      <c r="F136" s="31">
        <f t="shared" si="59"/>
        <v>2254.6683539131614</v>
      </c>
      <c r="G136" s="31">
        <f t="shared" si="58"/>
        <v>0.62629676497587816</v>
      </c>
      <c r="L136">
        <v>0.88</v>
      </c>
      <c r="M136" s="190">
        <v>1.0442</v>
      </c>
      <c r="N136" s="31">
        <f t="shared" si="42"/>
        <v>1.3788113366504668</v>
      </c>
      <c r="O136" s="190">
        <f t="shared" si="55"/>
        <v>1.110532608</v>
      </c>
      <c r="P136" s="31">
        <f t="shared" si="60"/>
        <v>2267.0639474969394</v>
      </c>
      <c r="Q136" s="31">
        <f t="shared" si="39"/>
        <v>0.62973998541581644</v>
      </c>
      <c r="T136">
        <v>0.88</v>
      </c>
      <c r="U136" s="190">
        <v>1.0442</v>
      </c>
      <c r="V136" s="190">
        <f t="shared" si="43"/>
        <v>1.075482</v>
      </c>
      <c r="W136" s="31">
        <f t="shared" si="48"/>
        <v>1.1402965793625899</v>
      </c>
      <c r="X136" s="31">
        <f t="shared" si="45"/>
        <v>2056.2619138491723</v>
      </c>
      <c r="Y136" s="31">
        <f t="shared" si="44"/>
        <v>0.57118386495810336</v>
      </c>
      <c r="AD136">
        <v>0.88</v>
      </c>
      <c r="AE136" s="190">
        <v>1.0442</v>
      </c>
      <c r="AF136" s="190">
        <f t="shared" si="47"/>
        <v>1.0357645219199998</v>
      </c>
      <c r="AG136" s="31">
        <f t="shared" si="54"/>
        <v>0.93380161140924978</v>
      </c>
      <c r="AH136" s="31">
        <f t="shared" si="38"/>
        <v>1816.4508031022715</v>
      </c>
      <c r="AI136" s="31">
        <f t="shared" si="56"/>
        <v>0.50456966752840871</v>
      </c>
      <c r="AN136">
        <v>0.88</v>
      </c>
      <c r="AO136" s="190">
        <v>1.0442</v>
      </c>
      <c r="AP136" s="190">
        <f t="shared" si="49"/>
        <v>0.99608650493471995</v>
      </c>
      <c r="AQ136" s="31">
        <f t="shared" si="50"/>
        <v>0.76145019432794137</v>
      </c>
      <c r="AR136" s="31">
        <f t="shared" si="51"/>
        <v>1481.1891520748229</v>
      </c>
      <c r="AS136" s="31">
        <f t="shared" si="57"/>
        <v>0.41144143113189524</v>
      </c>
    </row>
    <row r="137" spans="1:45">
      <c r="A137">
        <v>0.87</v>
      </c>
      <c r="B137">
        <f t="shared" si="52"/>
        <v>1.1513800000000001</v>
      </c>
      <c r="C137" s="31">
        <v>1.0441800000000001</v>
      </c>
      <c r="D137">
        <f t="shared" si="53"/>
        <v>1.1513800000000001</v>
      </c>
      <c r="F137" s="31">
        <f t="shared" si="59"/>
        <v>2250.5453027527515</v>
      </c>
      <c r="G137" s="31">
        <f t="shared" si="58"/>
        <v>0.62515147298687546</v>
      </c>
      <c r="L137">
        <v>0.89</v>
      </c>
      <c r="M137" s="190">
        <v>1.0442</v>
      </c>
      <c r="N137" s="31">
        <f t="shared" si="42"/>
        <v>1.3936605238281428</v>
      </c>
      <c r="O137" s="190">
        <f t="shared" si="55"/>
        <v>1.1139366720000001</v>
      </c>
      <c r="P137" s="31">
        <f t="shared" si="60"/>
        <v>2258.7302379698767</v>
      </c>
      <c r="Q137" s="31">
        <f t="shared" si="39"/>
        <v>0.62742506610274351</v>
      </c>
      <c r="T137">
        <v>0.89</v>
      </c>
      <c r="U137" s="190">
        <v>1.0442</v>
      </c>
      <c r="V137" s="190">
        <f t="shared" si="43"/>
        <v>1.078778625</v>
      </c>
      <c r="W137" s="31">
        <f t="shared" si="48"/>
        <v>1.1525770682844116</v>
      </c>
      <c r="X137" s="31">
        <f t="shared" si="45"/>
        <v>2051.1156090510917</v>
      </c>
      <c r="Y137" s="31">
        <f t="shared" si="44"/>
        <v>0.56975433584752544</v>
      </c>
      <c r="AD137">
        <v>0.89</v>
      </c>
      <c r="AE137" s="190">
        <v>1.0442</v>
      </c>
      <c r="AF137" s="190">
        <f t="shared" si="47"/>
        <v>1.0389394027799999</v>
      </c>
      <c r="AG137" s="31">
        <f t="shared" si="54"/>
        <v>0.94385824101915439</v>
      </c>
      <c r="AH137" s="31">
        <f t="shared" si="38"/>
        <v>1827.1639440026045</v>
      </c>
      <c r="AI137" s="31">
        <f t="shared" si="56"/>
        <v>0.50754554000072349</v>
      </c>
      <c r="AN137">
        <v>0.89</v>
      </c>
      <c r="AO137" s="190">
        <v>1.0442</v>
      </c>
      <c r="AP137" s="190">
        <f t="shared" si="49"/>
        <v>0.99913976261297999</v>
      </c>
      <c r="AQ137" s="31">
        <f t="shared" si="50"/>
        <v>0.7696506755406366</v>
      </c>
      <c r="AR137" s="31">
        <f t="shared" si="51"/>
        <v>1489.9249725325644</v>
      </c>
      <c r="AS137" s="31">
        <f t="shared" si="57"/>
        <v>0.41386804792571236</v>
      </c>
    </row>
    <row r="138" spans="1:45">
      <c r="A138">
        <v>0.88</v>
      </c>
      <c r="B138">
        <f t="shared" si="52"/>
        <v>1.1548799999999999</v>
      </c>
      <c r="C138" s="31">
        <v>1.0441800000000001</v>
      </c>
      <c r="D138">
        <f t="shared" si="53"/>
        <v>1.1548799999999999</v>
      </c>
      <c r="F138" s="31">
        <f t="shared" si="59"/>
        <v>2246.4971979657171</v>
      </c>
      <c r="G138" s="31">
        <f t="shared" si="58"/>
        <v>0.62402699943492146</v>
      </c>
      <c r="L138">
        <v>0.9</v>
      </c>
      <c r="M138" s="190">
        <v>1.0442</v>
      </c>
      <c r="N138" s="31">
        <f t="shared" si="42"/>
        <v>1.4087933158116812</v>
      </c>
      <c r="O138" s="190">
        <f t="shared" si="55"/>
        <v>1.1173792</v>
      </c>
      <c r="P138" s="31">
        <f t="shared" si="60"/>
        <v>2250.1475941478707</v>
      </c>
      <c r="Q138" s="31">
        <f t="shared" si="39"/>
        <v>0.62504099837440852</v>
      </c>
      <c r="T138">
        <v>0.9</v>
      </c>
      <c r="U138" s="190">
        <v>1.0442</v>
      </c>
      <c r="V138" s="190">
        <f t="shared" si="43"/>
        <v>1.0821125</v>
      </c>
      <c r="W138" s="31">
        <f t="shared" si="48"/>
        <v>1.1650921024129779</v>
      </c>
      <c r="X138" s="31">
        <f t="shared" si="45"/>
        <v>2045.8043443968659</v>
      </c>
      <c r="Y138" s="31">
        <f t="shared" si="44"/>
        <v>0.56827898455468495</v>
      </c>
      <c r="AD138">
        <v>0.9</v>
      </c>
      <c r="AE138" s="190">
        <v>1.0442</v>
      </c>
      <c r="AF138" s="190">
        <f t="shared" si="47"/>
        <v>1.0421501579999999</v>
      </c>
      <c r="AG138" s="31">
        <f t="shared" si="54"/>
        <v>0.95410694231985416</v>
      </c>
      <c r="AH138" s="31">
        <f t="shared" ref="AH138:AH148" si="61">($C$41*AG138)*(1-0.49*(SQRT(AD138))-((3*(AF138-AE138)/(1.5+AD138))))</f>
        <v>1846.9096047515216</v>
      </c>
      <c r="AI138" s="31">
        <f t="shared" si="56"/>
        <v>0.51303044576431156</v>
      </c>
      <c r="AN138">
        <v>0.9</v>
      </c>
      <c r="AO138" s="190">
        <v>1.0442</v>
      </c>
      <c r="AP138" s="190">
        <f t="shared" si="49"/>
        <v>1.002227520378</v>
      </c>
      <c r="AQ138" s="31">
        <f t="shared" si="50"/>
        <v>0.77800777784339392</v>
      </c>
      <c r="AR138" s="31">
        <f t="shared" si="51"/>
        <v>1498.8496154134209</v>
      </c>
      <c r="AS138" s="31">
        <f t="shared" si="57"/>
        <v>0.41634711539261693</v>
      </c>
    </row>
    <row r="139" spans="1:45">
      <c r="A139">
        <v>0.89</v>
      </c>
      <c r="B139">
        <f t="shared" si="52"/>
        <v>1.15842</v>
      </c>
      <c r="C139" s="31">
        <v>1.0441800000000001</v>
      </c>
      <c r="D139">
        <f t="shared" si="53"/>
        <v>1.15842</v>
      </c>
      <c r="F139" s="31">
        <f t="shared" si="59"/>
        <v>2242.5224085833274</v>
      </c>
      <c r="G139" s="31">
        <f t="shared" si="58"/>
        <v>0.62292289127314648</v>
      </c>
      <c r="L139">
        <v>0.91</v>
      </c>
      <c r="M139" s="190">
        <v>1.0442</v>
      </c>
      <c r="N139" s="31">
        <f t="shared" si="42"/>
        <v>1.4242141659608856</v>
      </c>
      <c r="O139" s="190">
        <f t="shared" si="55"/>
        <v>1.1208601919999999</v>
      </c>
      <c r="P139" s="31">
        <f t="shared" si="60"/>
        <v>2241.3026373809134</v>
      </c>
      <c r="Q139" s="31">
        <f t="shared" si="39"/>
        <v>0.62258406593914262</v>
      </c>
      <c r="T139">
        <v>0.91</v>
      </c>
      <c r="U139" s="190">
        <v>1.0442</v>
      </c>
      <c r="V139" s="190">
        <f t="shared" si="43"/>
        <v>1.085483625</v>
      </c>
      <c r="W139" s="31">
        <f t="shared" si="48"/>
        <v>1.1778453647401637</v>
      </c>
      <c r="X139" s="31">
        <f t="shared" si="45"/>
        <v>2040.3176770146622</v>
      </c>
      <c r="Y139" s="31">
        <f t="shared" si="44"/>
        <v>0.56675491028185065</v>
      </c>
      <c r="AD139">
        <v>0.91</v>
      </c>
      <c r="AE139" s="190">
        <v>1.0442</v>
      </c>
      <c r="AF139" s="190">
        <f t="shared" si="47"/>
        <v>1.0453967875799999</v>
      </c>
      <c r="AG139" s="31">
        <f t="shared" si="54"/>
        <v>0.96455073135455238</v>
      </c>
      <c r="AH139" s="31">
        <f t="shared" si="61"/>
        <v>1844.1130180979058</v>
      </c>
      <c r="AI139" s="31">
        <f t="shared" si="56"/>
        <v>0.51225361613830711</v>
      </c>
      <c r="AN139">
        <v>0.91</v>
      </c>
      <c r="AO139" s="190">
        <v>1.0442</v>
      </c>
      <c r="AP139" s="190">
        <f t="shared" si="49"/>
        <v>1.0053497782297798</v>
      </c>
      <c r="AQ139" s="31">
        <f t="shared" si="50"/>
        <v>0.78652396060944163</v>
      </c>
      <c r="AR139" s="31">
        <f t="shared" si="51"/>
        <v>1507.9640456113209</v>
      </c>
      <c r="AS139" s="31">
        <f t="shared" si="57"/>
        <v>0.41887890155870022</v>
      </c>
    </row>
    <row r="140" spans="1:45">
      <c r="A140">
        <v>0.9</v>
      </c>
      <c r="B140">
        <f t="shared" si="52"/>
        <v>1.1619999999999999</v>
      </c>
      <c r="C140" s="31">
        <v>1.0441800000000001</v>
      </c>
      <c r="D140">
        <f t="shared" si="53"/>
        <v>1.1619999999999999</v>
      </c>
      <c r="F140" s="31">
        <f t="shared" si="59"/>
        <v>2238.6193335215944</v>
      </c>
      <c r="G140" s="31">
        <f t="shared" si="58"/>
        <v>0.62183870375599848</v>
      </c>
      <c r="L140">
        <v>0.92</v>
      </c>
      <c r="M140" s="190">
        <v>1.0442</v>
      </c>
      <c r="N140" s="31">
        <f t="shared" si="42"/>
        <v>1.4399276089670812</v>
      </c>
      <c r="O140" s="190">
        <f t="shared" si="55"/>
        <v>1.1243796479999999</v>
      </c>
      <c r="P140" s="31">
        <f t="shared" si="60"/>
        <v>2232.1816979707864</v>
      </c>
      <c r="Q140" s="31">
        <f t="shared" si="39"/>
        <v>0.62005047165855176</v>
      </c>
      <c r="T140">
        <v>0.92</v>
      </c>
      <c r="U140" s="190">
        <v>1.0442</v>
      </c>
      <c r="V140" s="190">
        <f t="shared" si="43"/>
        <v>1.088892</v>
      </c>
      <c r="W140" s="31">
        <f t="shared" si="48"/>
        <v>1.190840605520169</v>
      </c>
      <c r="X140" s="31">
        <f t="shared" si="45"/>
        <v>2034.6449386396987</v>
      </c>
      <c r="Y140" s="31">
        <f t="shared" si="44"/>
        <v>0.56517914962213855</v>
      </c>
      <c r="AD140">
        <v>0.92</v>
      </c>
      <c r="AE140" s="190">
        <v>1.0442</v>
      </c>
      <c r="AF140" s="190">
        <f t="shared" si="47"/>
        <v>1.0486792915199998</v>
      </c>
      <c r="AG140" s="31">
        <f t="shared" si="54"/>
        <v>0.97519267924832176</v>
      </c>
      <c r="AH140" s="31">
        <f t="shared" si="61"/>
        <v>1841.2031878655414</v>
      </c>
      <c r="AI140" s="31">
        <f t="shared" si="56"/>
        <v>0.51144532996265035</v>
      </c>
      <c r="AN140">
        <v>0.92</v>
      </c>
      <c r="AO140" s="190">
        <v>1.0442</v>
      </c>
      <c r="AP140" s="190">
        <f t="shared" si="49"/>
        <v>1.0085065361683199</v>
      </c>
      <c r="AQ140" s="31">
        <f t="shared" si="50"/>
        <v>0.79520172812743661</v>
      </c>
      <c r="AR140" s="31">
        <f t="shared" si="51"/>
        <v>1517.2692611151531</v>
      </c>
      <c r="AS140" s="31">
        <f t="shared" si="57"/>
        <v>0.42146368364309805</v>
      </c>
    </row>
    <row r="141" spans="1:45">
      <c r="A141">
        <v>0.91</v>
      </c>
      <c r="B141">
        <f t="shared" si="52"/>
        <v>1.1656199999999999</v>
      </c>
      <c r="C141" s="31">
        <v>1.0441800000000001</v>
      </c>
      <c r="D141">
        <f t="shared" si="53"/>
        <v>1.1656199999999999</v>
      </c>
      <c r="F141" s="31">
        <f t="shared" si="59"/>
        <v>2234.7864005102856</v>
      </c>
      <c r="G141" s="31">
        <f t="shared" si="58"/>
        <v>0.620774000141746</v>
      </c>
      <c r="L141">
        <v>0.93</v>
      </c>
      <c r="M141" s="190">
        <v>1.0442</v>
      </c>
      <c r="N141" s="31">
        <f t="shared" si="42"/>
        <v>1.455938261972604</v>
      </c>
      <c r="O141" s="190">
        <f t="shared" si="55"/>
        <v>1.1279375679999999</v>
      </c>
      <c r="P141" s="31">
        <f t="shared" si="60"/>
        <v>2222.7708066690293</v>
      </c>
      <c r="Q141" s="31">
        <f t="shared" si="39"/>
        <v>0.61743633518584151</v>
      </c>
      <c r="T141">
        <v>0.93</v>
      </c>
      <c r="U141" s="190">
        <v>1.0442</v>
      </c>
      <c r="V141" s="190">
        <f t="shared" si="43"/>
        <v>1.0923376249999999</v>
      </c>
      <c r="W141" s="31">
        <f t="shared" si="48"/>
        <v>1.2040816431953525</v>
      </c>
      <c r="X141" s="31">
        <f t="shared" si="45"/>
        <v>2028.7752287810226</v>
      </c>
      <c r="Y141" s="31">
        <f t="shared" si="44"/>
        <v>0.56354867466139513</v>
      </c>
      <c r="AD141">
        <v>0.93</v>
      </c>
      <c r="AE141" s="190">
        <v>1.0442</v>
      </c>
      <c r="AF141" s="190">
        <f t="shared" si="47"/>
        <v>1.05199766982</v>
      </c>
      <c r="AG141" s="31">
        <f t="shared" si="54"/>
        <v>0.98603591296628013</v>
      </c>
      <c r="AH141" s="31">
        <f t="shared" si="61"/>
        <v>1838.1717927978891</v>
      </c>
      <c r="AI141" s="31">
        <f t="shared" si="56"/>
        <v>0.51060327577719145</v>
      </c>
      <c r="AN141">
        <v>0.93</v>
      </c>
      <c r="AO141" s="190">
        <v>1.0442</v>
      </c>
      <c r="AP141" s="190">
        <f t="shared" si="49"/>
        <v>1.0116977941936198</v>
      </c>
      <c r="AQ141" s="31">
        <f t="shared" si="50"/>
        <v>0.8040436302197046</v>
      </c>
      <c r="AR141" s="31">
        <f t="shared" si="51"/>
        <v>1526.7662923109569</v>
      </c>
      <c r="AS141" s="31">
        <f t="shared" si="57"/>
        <v>0.42410174786415472</v>
      </c>
    </row>
    <row r="142" spans="1:45">
      <c r="A142">
        <v>0.92</v>
      </c>
      <c r="B142">
        <f t="shared" si="52"/>
        <v>1.1692799999999999</v>
      </c>
      <c r="C142" s="31">
        <v>1.0441800000000001</v>
      </c>
      <c r="D142">
        <f t="shared" si="53"/>
        <v>1.1692799999999999</v>
      </c>
      <c r="F142" s="31">
        <f t="shared" si="59"/>
        <v>2231.0220650732945</v>
      </c>
      <c r="G142" s="31">
        <f t="shared" si="58"/>
        <v>0.61972835140924842</v>
      </c>
      <c r="L142">
        <v>0.94</v>
      </c>
      <c r="M142" s="190">
        <v>1.0442</v>
      </c>
      <c r="N142" s="31">
        <f t="shared" si="42"/>
        <v>1.4722508257062301</v>
      </c>
      <c r="O142" s="190">
        <f t="shared" si="55"/>
        <v>1.1315339520000001</v>
      </c>
      <c r="P142" s="31">
        <f t="shared" si="60"/>
        <v>2213.0556860670199</v>
      </c>
      <c r="Q142" s="31">
        <f t="shared" si="39"/>
        <v>0.61473769057417216</v>
      </c>
      <c r="T142">
        <v>0.94</v>
      </c>
      <c r="U142" s="190">
        <v>1.0442</v>
      </c>
      <c r="V142" s="190">
        <f t="shared" si="43"/>
        <v>1.0958205000000001</v>
      </c>
      <c r="W142" s="31">
        <f t="shared" si="48"/>
        <v>1.217572365335247</v>
      </c>
      <c r="X142" s="31">
        <f t="shared" si="45"/>
        <v>2022.6974078044784</v>
      </c>
      <c r="Y142" s="31">
        <f t="shared" si="44"/>
        <v>0.56186039105679952</v>
      </c>
      <c r="AD142">
        <v>0.94</v>
      </c>
      <c r="AE142" s="190">
        <v>1.0442</v>
      </c>
      <c r="AF142" s="190">
        <f t="shared" si="47"/>
        <v>1.0553519224799999</v>
      </c>
      <c r="AG142" s="31">
        <f t="shared" si="54"/>
        <v>0.99708361608256069</v>
      </c>
      <c r="AH142" s="31">
        <f t="shared" si="61"/>
        <v>1835.0103303790738</v>
      </c>
      <c r="AI142" s="31">
        <f t="shared" si="56"/>
        <v>0.5097250917719649</v>
      </c>
      <c r="AN142">
        <v>0.94</v>
      </c>
      <c r="AO142" s="190">
        <v>1.0442</v>
      </c>
      <c r="AP142" s="190">
        <f t="shared" si="49"/>
        <v>1.0149235523056799</v>
      </c>
      <c r="AQ142" s="31">
        <f t="shared" si="50"/>
        <v>0.81305226286928178</v>
      </c>
      <c r="AR142" s="31">
        <f t="shared" si="51"/>
        <v>1536.4562013033833</v>
      </c>
      <c r="AS142" s="31">
        <f t="shared" si="57"/>
        <v>0.42679338925093979</v>
      </c>
    </row>
    <row r="143" spans="1:45">
      <c r="A143">
        <v>0.93</v>
      </c>
      <c r="B143">
        <f t="shared" si="52"/>
        <v>1.1729799999999999</v>
      </c>
      <c r="C143" s="31">
        <v>1.0441800000000001</v>
      </c>
      <c r="D143">
        <f t="shared" si="53"/>
        <v>1.1729799999999999</v>
      </c>
      <c r="F143" s="31">
        <f t="shared" si="59"/>
        <v>2227.3248095573531</v>
      </c>
      <c r="G143" s="31">
        <f t="shared" si="58"/>
        <v>0.61870133598815369</v>
      </c>
      <c r="L143">
        <v>0.95</v>
      </c>
      <c r="M143" s="190">
        <v>1.0442</v>
      </c>
      <c r="N143" s="31">
        <f t="shared" si="42"/>
        <v>1.488870085634652</v>
      </c>
      <c r="O143" s="190">
        <f t="shared" si="55"/>
        <v>1.1351688</v>
      </c>
      <c r="P143" s="31">
        <f t="shared" si="60"/>
        <v>2203.0217418737006</v>
      </c>
      <c r="Q143" s="31">
        <f t="shared" si="39"/>
        <v>0.61195048385380568</v>
      </c>
      <c r="T143">
        <v>0.95</v>
      </c>
      <c r="U143" s="190">
        <v>1.0442</v>
      </c>
      <c r="V143" s="190">
        <f t="shared" si="43"/>
        <v>1.099340625</v>
      </c>
      <c r="W143" s="31">
        <f t="shared" si="48"/>
        <v>1.2313167295888472</v>
      </c>
      <c r="X143" s="31">
        <f t="shared" si="45"/>
        <v>2016.4000899282025</v>
      </c>
      <c r="Y143" s="31">
        <f t="shared" si="44"/>
        <v>0.56011113609116736</v>
      </c>
      <c r="AD143">
        <v>0.95</v>
      </c>
      <c r="AE143" s="190">
        <v>1.0442</v>
      </c>
      <c r="AF143" s="190">
        <f t="shared" si="47"/>
        <v>1.0587420494999999</v>
      </c>
      <c r="AG143" s="31">
        <f t="shared" si="54"/>
        <v>1.0083390295601504</v>
      </c>
      <c r="AH143" s="31">
        <f t="shared" si="61"/>
        <v>1831.7101112916826</v>
      </c>
      <c r="AI143" s="31">
        <f t="shared" si="56"/>
        <v>0.5088083642476896</v>
      </c>
      <c r="AN143">
        <v>0.95</v>
      </c>
      <c r="AO143" s="190">
        <v>1.0442</v>
      </c>
      <c r="AP143" s="190">
        <f t="shared" si="49"/>
        <v>1.0181838105044998</v>
      </c>
      <c r="AQ143" s="31">
        <f t="shared" si="50"/>
        <v>0.82223026885581896</v>
      </c>
      <c r="AR143" s="31">
        <f t="shared" si="51"/>
        <v>1546.3400812549239</v>
      </c>
      <c r="AS143" s="31">
        <f t="shared" si="57"/>
        <v>0.42953891145970108</v>
      </c>
    </row>
    <row r="144" spans="1:45">
      <c r="A144">
        <v>0.94</v>
      </c>
      <c r="B144">
        <f t="shared" si="52"/>
        <v>1.17672</v>
      </c>
      <c r="C144" s="31">
        <v>1.0441800000000001</v>
      </c>
      <c r="D144">
        <f t="shared" si="53"/>
        <v>1.17672</v>
      </c>
      <c r="F144" s="31">
        <f t="shared" si="59"/>
        <v>2223.6931422062771</v>
      </c>
      <c r="G144" s="31">
        <f t="shared" si="58"/>
        <v>0.61769253950174363</v>
      </c>
      <c r="L144">
        <v>0.96</v>
      </c>
      <c r="M144" s="190">
        <v>1.0442</v>
      </c>
      <c r="N144" s="31">
        <f t="shared" si="42"/>
        <v>1.5058009131301118</v>
      </c>
      <c r="O144" s="190">
        <f t="shared" si="55"/>
        <v>1.1388421120000001</v>
      </c>
      <c r="P144" s="31">
        <f t="shared" si="60"/>
        <v>2192.6540540766341</v>
      </c>
      <c r="Q144" s="31">
        <f t="shared" si="39"/>
        <v>0.60907057057684277</v>
      </c>
      <c r="T144">
        <v>0.96</v>
      </c>
      <c r="U144" s="190">
        <v>1.0442</v>
      </c>
      <c r="V144" s="190">
        <f t="shared" si="43"/>
        <v>1.1028980000000002</v>
      </c>
      <c r="W144" s="31">
        <f t="shared" si="48"/>
        <v>1.2453187646502581</v>
      </c>
      <c r="X144" s="31">
        <f t="shared" si="45"/>
        <v>2009.8716361270683</v>
      </c>
      <c r="Y144" s="31">
        <f t="shared" si="44"/>
        <v>0.5582976767019634</v>
      </c>
      <c r="AD144">
        <v>0.96</v>
      </c>
      <c r="AE144" s="190">
        <v>1.0442</v>
      </c>
      <c r="AF144" s="190">
        <f t="shared" si="47"/>
        <v>1.06216805088</v>
      </c>
      <c r="AG144" s="31">
        <f t="shared" si="54"/>
        <v>1.0198054525416729</v>
      </c>
      <c r="AH144" s="31">
        <f t="shared" si="61"/>
        <v>1828.2622538050884</v>
      </c>
      <c r="AI144" s="31">
        <f t="shared" si="56"/>
        <v>0.50785062605696907</v>
      </c>
      <c r="AN144">
        <v>0.96</v>
      </c>
      <c r="AO144" s="190">
        <v>1.0442</v>
      </c>
      <c r="AP144" s="190">
        <f t="shared" si="49"/>
        <v>1.02147856879008</v>
      </c>
      <c r="AQ144" s="31">
        <f t="shared" si="50"/>
        <v>0.83158033840040879</v>
      </c>
      <c r="AR144" s="31">
        <f t="shared" si="51"/>
        <v>1556.4190557415088</v>
      </c>
      <c r="AS144" s="31">
        <f t="shared" si="57"/>
        <v>0.43233862659486355</v>
      </c>
    </row>
    <row r="145" spans="1:45">
      <c r="A145">
        <v>0.95</v>
      </c>
      <c r="B145">
        <f t="shared" si="52"/>
        <v>1.1804999999999999</v>
      </c>
      <c r="C145" s="31">
        <v>1.0441800000000001</v>
      </c>
      <c r="D145">
        <f t="shared" si="53"/>
        <v>1.1804999999999999</v>
      </c>
      <c r="F145" s="31">
        <f t="shared" si="59"/>
        <v>2220.125596278112</v>
      </c>
      <c r="G145" s="31">
        <f t="shared" si="58"/>
        <v>0.61670155452169773</v>
      </c>
      <c r="L145">
        <v>0.97</v>
      </c>
      <c r="M145" s="190">
        <v>1.0442</v>
      </c>
      <c r="N145" s="31">
        <f t="shared" si="42"/>
        <v>1.5230482666542948</v>
      </c>
      <c r="O145" s="190">
        <f t="shared" si="55"/>
        <v>1.1425538880000001</v>
      </c>
      <c r="P145" s="31">
        <f t="shared" si="60"/>
        <v>2181.9373679821651</v>
      </c>
      <c r="Q145" s="31">
        <f t="shared" si="39"/>
        <v>0.60609371332837925</v>
      </c>
      <c r="T145">
        <v>0.97</v>
      </c>
      <c r="U145" s="190">
        <v>1.0442</v>
      </c>
      <c r="V145" s="190">
        <f t="shared" si="43"/>
        <v>1.106492625</v>
      </c>
      <c r="W145" s="31">
        <f t="shared" si="48"/>
        <v>1.2595825712377935</v>
      </c>
      <c r="X145" s="31">
        <f t="shared" si="45"/>
        <v>2003.1001469426219</v>
      </c>
      <c r="Y145" s="31">
        <f t="shared" si="44"/>
        <v>0.55641670748406169</v>
      </c>
      <c r="AD145">
        <v>0.97</v>
      </c>
      <c r="AE145" s="190">
        <v>1.0442</v>
      </c>
      <c r="AF145" s="190">
        <f t="shared" si="47"/>
        <v>1.06562992662</v>
      </c>
      <c r="AG145" s="31">
        <f t="shared" si="54"/>
        <v>1.0314862431511789</v>
      </c>
      <c r="AH145" s="31">
        <f t="shared" si="61"/>
        <v>1824.6576780914124</v>
      </c>
      <c r="AI145" s="31">
        <f t="shared" si="56"/>
        <v>0.5068493550253923</v>
      </c>
      <c r="AN145">
        <v>0.97</v>
      </c>
      <c r="AO145" s="190">
        <v>1.0442</v>
      </c>
      <c r="AP145" s="190">
        <f t="shared" si="49"/>
        <v>1.0248078271624199</v>
      </c>
      <c r="AQ145" s="31">
        <f t="shared" si="50"/>
        <v>0.84110520981939196</v>
      </c>
      <c r="AR145" s="31">
        <f t="shared" si="51"/>
        <v>1566.6942781231185</v>
      </c>
      <c r="AS145" s="31">
        <f t="shared" si="57"/>
        <v>0.43519285503419958</v>
      </c>
    </row>
    <row r="146" spans="1:45">
      <c r="A146">
        <v>0.96</v>
      </c>
      <c r="B146">
        <f t="shared" ref="B146:B150" si="62">1*(1+((1.4-1)/2)*A146^2)</f>
        <v>1.18432</v>
      </c>
      <c r="C146" s="31">
        <v>1.0441800000000001</v>
      </c>
      <c r="D146">
        <f t="shared" si="53"/>
        <v>1.18432</v>
      </c>
      <c r="F146" s="31">
        <f t="shared" si="59"/>
        <v>2216.6207292027502</v>
      </c>
      <c r="G146" s="31">
        <f t="shared" si="58"/>
        <v>0.61572798033409726</v>
      </c>
      <c r="L146">
        <v>0.98</v>
      </c>
      <c r="M146" s="190">
        <v>1.0442</v>
      </c>
      <c r="N146" s="31">
        <f t="shared" si="42"/>
        <v>1.5406171929586083</v>
      </c>
      <c r="O146" s="190">
        <f t="shared" si="55"/>
        <v>1.1463041280000001</v>
      </c>
      <c r="P146" s="31">
        <f t="shared" si="60"/>
        <v>2170.8560851305815</v>
      </c>
      <c r="Q146" s="31">
        <f t="shared" si="39"/>
        <v>0.60301557920293936</v>
      </c>
      <c r="T146">
        <v>0.98</v>
      </c>
      <c r="U146" s="190">
        <v>1.0442</v>
      </c>
      <c r="V146" s="190">
        <f t="shared" si="43"/>
        <v>1.1101245</v>
      </c>
      <c r="W146" s="31">
        <f t="shared" si="48"/>
        <v>1.2741123230866214</v>
      </c>
      <c r="X146" s="31">
        <f t="shared" si="45"/>
        <v>1996.0734551951005</v>
      </c>
      <c r="Y146" s="31">
        <f t="shared" si="44"/>
        <v>0.55446484866530565</v>
      </c>
      <c r="AD146">
        <v>0.98</v>
      </c>
      <c r="AE146" s="190">
        <v>1.0442</v>
      </c>
      <c r="AF146" s="190">
        <f t="shared" si="47"/>
        <v>1.06912767672</v>
      </c>
      <c r="AG146" s="31">
        <f t="shared" si="54"/>
        <v>1.0433848193070385</v>
      </c>
      <c r="AH146" s="31">
        <f t="shared" si="61"/>
        <v>1820.8871004664104</v>
      </c>
      <c r="AI146" s="31">
        <f t="shared" si="56"/>
        <v>0.5058019723517807</v>
      </c>
      <c r="AN146">
        <v>0.98</v>
      </c>
      <c r="AO146" s="190">
        <v>1.0442</v>
      </c>
      <c r="AP146" s="190">
        <f t="shared" si="49"/>
        <v>1.0281715856215201</v>
      </c>
      <c r="AQ146" s="31">
        <f t="shared" si="50"/>
        <v>0.85080767018721237</v>
      </c>
      <c r="AR146" s="31">
        <f t="shared" si="51"/>
        <v>1577.1669309281781</v>
      </c>
      <c r="AS146" s="31">
        <f t="shared" si="57"/>
        <v>0.43810192525782726</v>
      </c>
    </row>
    <row r="147" spans="1:45">
      <c r="A147">
        <v>0.97</v>
      </c>
      <c r="B147">
        <f t="shared" si="62"/>
        <v>1.18818</v>
      </c>
      <c r="C147" s="31">
        <v>1.0441800000000001</v>
      </c>
      <c r="D147">
        <f t="shared" si="53"/>
        <v>1.18818</v>
      </c>
      <c r="F147" s="31">
        <f t="shared" si="59"/>
        <v>2213.17712177772</v>
      </c>
      <c r="G147" s="31">
        <f t="shared" si="58"/>
        <v>0.61477142271603336</v>
      </c>
      <c r="L147">
        <v>0.99</v>
      </c>
      <c r="M147" s="190">
        <v>1.0442</v>
      </c>
      <c r="N147" s="31">
        <f t="shared" si="42"/>
        <v>1.558512828300936</v>
      </c>
      <c r="O147" s="190">
        <f t="shared" si="55"/>
        <v>1.1500928319999999</v>
      </c>
      <c r="P147" s="31">
        <f t="shared" si="60"/>
        <v>2159.3942540822268</v>
      </c>
      <c r="Q147" s="31">
        <f t="shared" si="39"/>
        <v>0.599831737245063</v>
      </c>
      <c r="T147">
        <v>0.99</v>
      </c>
      <c r="U147" s="190">
        <v>1.0442</v>
      </c>
      <c r="V147" s="190">
        <f t="shared" si="43"/>
        <v>1.1137936249999998</v>
      </c>
      <c r="W147" s="31">
        <f t="shared" si="48"/>
        <v>1.2889122679550393</v>
      </c>
      <c r="X147" s="31">
        <f t="shared" si="45"/>
        <v>1988.7791185942417</v>
      </c>
      <c r="Y147" s="31">
        <f t="shared" si="44"/>
        <v>0.55243864405395604</v>
      </c>
      <c r="AD147">
        <v>0.99</v>
      </c>
      <c r="AE147" s="190">
        <v>1.0442</v>
      </c>
      <c r="AF147" s="190">
        <f t="shared" si="47"/>
        <v>1.0726613011799999</v>
      </c>
      <c r="AG147" s="31">
        <f t="shared" si="54"/>
        <v>1.0555046595459894</v>
      </c>
      <c r="AH147" s="31">
        <f t="shared" si="61"/>
        <v>1816.941027552559</v>
      </c>
      <c r="AI147" s="31">
        <f t="shared" si="56"/>
        <v>0.50470584098682192</v>
      </c>
      <c r="AN147">
        <v>0.99</v>
      </c>
      <c r="AO147" s="190">
        <v>1.0442</v>
      </c>
      <c r="AP147" s="190">
        <f t="shared" si="49"/>
        <v>1.03156984416738</v>
      </c>
      <c r="AQ147" s="31">
        <f t="shared" si="50"/>
        <v>0.8606905560083723</v>
      </c>
      <c r="AR147" s="31">
        <f t="shared" si="51"/>
        <v>1587.8382252505119</v>
      </c>
      <c r="AS147" s="31">
        <f t="shared" si="57"/>
        <v>0.44106617368069773</v>
      </c>
    </row>
    <row r="148" spans="1:45">
      <c r="A148">
        <v>0.98</v>
      </c>
      <c r="B148">
        <f t="shared" si="62"/>
        <v>1.19208</v>
      </c>
      <c r="C148" s="31">
        <v>1.0441800000000001</v>
      </c>
      <c r="D148">
        <f t="shared" si="53"/>
        <v>1.19208</v>
      </c>
      <c r="F148" s="31">
        <f t="shared" si="59"/>
        <v>2209.7933774000439</v>
      </c>
      <c r="G148" s="31">
        <f t="shared" si="58"/>
        <v>0.61383149372223444</v>
      </c>
      <c r="L148">
        <v>1</v>
      </c>
      <c r="M148" s="190">
        <v>1.0442</v>
      </c>
      <c r="N148" s="31">
        <f t="shared" si="42"/>
        <v>1.5767403996790021</v>
      </c>
      <c r="O148" s="190">
        <f t="shared" si="55"/>
        <v>1.1539200000000001</v>
      </c>
      <c r="P148" s="31">
        <f t="shared" si="60"/>
        <v>2147.5355610706379</v>
      </c>
      <c r="Q148" s="31">
        <f t="shared" si="39"/>
        <v>0.59653765585295493</v>
      </c>
      <c r="T148">
        <v>1</v>
      </c>
      <c r="U148" s="190">
        <v>1.0442</v>
      </c>
      <c r="V148" s="190">
        <f t="shared" si="43"/>
        <v>1.1174999999999999</v>
      </c>
      <c r="W148" s="31">
        <f t="shared" si="48"/>
        <v>1.3039867286444826</v>
      </c>
      <c r="X148" s="31">
        <f t="shared" si="45"/>
        <v>1981.2044122456234</v>
      </c>
      <c r="Y148" s="31">
        <f t="shared" si="44"/>
        <v>0.55033455895711758</v>
      </c>
      <c r="AD148">
        <v>1</v>
      </c>
      <c r="AE148" s="190">
        <v>1.0442</v>
      </c>
      <c r="AF148" s="190">
        <f t="shared" si="47"/>
        <v>1.0762307999999998</v>
      </c>
      <c r="AG148" s="31">
        <f t="shared" si="54"/>
        <v>1.0678493038584331</v>
      </c>
      <c r="AH148" s="31">
        <f t="shared" si="61"/>
        <v>1812.8097503617203</v>
      </c>
      <c r="AI148" s="31">
        <f t="shared" si="56"/>
        <v>0.50355826398936676</v>
      </c>
      <c r="AN148">
        <v>1</v>
      </c>
      <c r="AO148" s="190">
        <v>1.0442</v>
      </c>
      <c r="AP148" s="190">
        <f t="shared" si="49"/>
        <v>1.0350026027999999</v>
      </c>
      <c r="AQ148" s="31">
        <f t="shared" si="50"/>
        <v>0.87075675389855789</v>
      </c>
      <c r="AR148" s="31">
        <f t="shared" si="51"/>
        <v>1598.7094001577523</v>
      </c>
      <c r="AS148" s="31">
        <f t="shared" si="57"/>
        <v>0.44408594448826449</v>
      </c>
    </row>
    <row r="149" spans="1:45">
      <c r="A149">
        <v>0.99</v>
      </c>
      <c r="B149">
        <f t="shared" si="62"/>
        <v>1.1960199999999999</v>
      </c>
      <c r="C149" s="31">
        <v>1.0441800000000001</v>
      </c>
      <c r="D149">
        <f t="shared" si="53"/>
        <v>1.1960199999999999</v>
      </c>
      <c r="F149" s="31">
        <f t="shared" si="59"/>
        <v>2206.4681213321501</v>
      </c>
      <c r="G149" s="31">
        <f t="shared" si="58"/>
        <v>0.61290781148115281</v>
      </c>
    </row>
    <row r="150" spans="1:45">
      <c r="A150">
        <v>1</v>
      </c>
      <c r="B150">
        <f t="shared" si="62"/>
        <v>1.2</v>
      </c>
      <c r="C150" s="31">
        <v>1.0441800000000001</v>
      </c>
      <c r="D150">
        <f t="shared" si="53"/>
        <v>1.2</v>
      </c>
      <c r="F150" s="31">
        <f t="shared" si="59"/>
        <v>2203.1999999999998</v>
      </c>
      <c r="G150" s="31">
        <f t="shared" si="58"/>
        <v>0.61199999999999999</v>
      </c>
    </row>
    <row r="152" spans="1:45">
      <c r="A152" s="297" t="s">
        <v>1887</v>
      </c>
      <c r="B152" t="s">
        <v>190</v>
      </c>
    </row>
    <row r="153" spans="1:45">
      <c r="A153" t="s">
        <v>1888</v>
      </c>
      <c r="B153" t="s">
        <v>1836</v>
      </c>
      <c r="C153">
        <v>3000</v>
      </c>
      <c r="D153" t="s">
        <v>1889</v>
      </c>
    </row>
    <row r="155" spans="1:45">
      <c r="A155" s="7" t="s">
        <v>1890</v>
      </c>
    </row>
    <row r="156" spans="1:45">
      <c r="A156" t="s">
        <v>393</v>
      </c>
      <c r="B156" s="7" t="s">
        <v>190</v>
      </c>
      <c r="C156" s="7" t="s">
        <v>191</v>
      </c>
      <c r="D156" s="7" t="s">
        <v>367</v>
      </c>
      <c r="E156" s="7"/>
    </row>
    <row r="157" spans="1:45">
      <c r="A157" t="s">
        <v>1891</v>
      </c>
      <c r="C157" s="69">
        <v>62.2</v>
      </c>
      <c r="D157" t="s">
        <v>196</v>
      </c>
    </row>
    <row r="158" spans="1:45">
      <c r="B158" t="s">
        <v>1892</v>
      </c>
      <c r="C158">
        <v>8.9</v>
      </c>
      <c r="D158" t="s">
        <v>196</v>
      </c>
    </row>
    <row r="159" spans="1:45">
      <c r="A159" t="s">
        <v>1893</v>
      </c>
      <c r="B159" t="s">
        <v>380</v>
      </c>
    </row>
    <row r="160" spans="1:45">
      <c r="A160" t="s">
        <v>1894</v>
      </c>
    </row>
    <row r="161" spans="1:30">
      <c r="A161" t="s">
        <v>1895</v>
      </c>
      <c r="B161" t="s">
        <v>572</v>
      </c>
      <c r="D161" t="s">
        <v>1896</v>
      </c>
      <c r="F161" t="s">
        <v>1461</v>
      </c>
      <c r="G161" t="s">
        <v>1889</v>
      </c>
      <c r="H161" t="s">
        <v>572</v>
      </c>
      <c r="I161" t="s">
        <v>380</v>
      </c>
      <c r="J161" t="s">
        <v>1887</v>
      </c>
      <c r="K161" t="s">
        <v>1897</v>
      </c>
      <c r="L161" t="s">
        <v>1898</v>
      </c>
      <c r="M161" t="s">
        <v>1847</v>
      </c>
      <c r="N161" t="s">
        <v>372</v>
      </c>
      <c r="O161" t="s">
        <v>1058</v>
      </c>
    </row>
    <row r="162" spans="1:30">
      <c r="A162" t="s">
        <v>1899</v>
      </c>
      <c r="B162" t="s">
        <v>1900</v>
      </c>
      <c r="C162">
        <f>(118800000*B19)/((C48*(C153^3))*C157^5)</f>
        <v>2.6651255979018776E-6</v>
      </c>
      <c r="D162">
        <f>F162*666.739</f>
        <v>3.3336950000000001</v>
      </c>
      <c r="F162">
        <v>5.0000000000000001E-3</v>
      </c>
      <c r="G162">
        <f>D162*1.668</f>
        <v>5.5606032599999997</v>
      </c>
      <c r="H162">
        <f>(60*G162)/($C$153*$C$158)</f>
        <v>1.2495737662921348E-2</v>
      </c>
      <c r="I162">
        <f>0.096574+(1.73049*H162)-(0.952281*H162^2)</f>
        <v>0.11804905661832356</v>
      </c>
      <c r="J162">
        <f t="shared" ref="J162:J193" si="63">(I162*550*$B$19)/G162</f>
        <v>15657.848193407082</v>
      </c>
      <c r="K162">
        <f>I162*(($B$19*550)/G162)</f>
        <v>15657.848193407086</v>
      </c>
      <c r="L162">
        <f t="shared" ref="L162:L193" si="64">$C$41*N162*(1-0.49*(SQRT(F162)))</f>
        <v>1960.5201251952037</v>
      </c>
      <c r="M162">
        <f>J162+L162</f>
        <v>17618.368318602286</v>
      </c>
      <c r="N162">
        <f t="shared" ref="N162:N193" si="65">($AB$51/$AB$52)*(1+((1.4-1)/2)*F162^2)^(1.4/(1.4-1))</f>
        <v>0.56413521151001134</v>
      </c>
      <c r="O162" s="69">
        <f>0.5*Drag!$C$97*G162^2*Drag!$C$95*Drag!$C$19</f>
        <v>0.2111373574839388</v>
      </c>
    </row>
    <row r="163" spans="1:30">
      <c r="D163">
        <f t="shared" ref="D163:D226" si="66">F163*666.739</f>
        <v>6.6673900000000001</v>
      </c>
      <c r="F163">
        <v>0.01</v>
      </c>
      <c r="G163">
        <f>D163*1.668</f>
        <v>11.121206519999999</v>
      </c>
      <c r="H163">
        <f t="shared" ref="H163:H226" si="67">(60*G163)/($C$153*$C$158)</f>
        <v>2.4991475325842696E-2</v>
      </c>
      <c r="I163">
        <f t="shared" ref="I163:I226" si="68">0.096574+(1.73049*H163)-(0.952281*H163^2)</f>
        <v>0.13922672833667674</v>
      </c>
      <c r="J163">
        <f t="shared" si="63"/>
        <v>9233.4112580364108</v>
      </c>
      <c r="K163">
        <f t="shared" ref="K163:K226" si="69">I163*(($B$19*550)/G163)</f>
        <v>9233.4112580364108</v>
      </c>
      <c r="L163">
        <f t="shared" si="64"/>
        <v>1931.4747086186635</v>
      </c>
      <c r="M163">
        <f t="shared" ref="M163:M226" si="70">J163+L163</f>
        <v>11164.885966655074</v>
      </c>
      <c r="N163">
        <f t="shared" si="65"/>
        <v>0.56416482901584986</v>
      </c>
      <c r="O163" s="69">
        <f>0.5*Drag!$C$97*G163^2*Drag!$C$95*Drag!$C$19</f>
        <v>0.84454942993575521</v>
      </c>
    </row>
    <row r="164" spans="1:30">
      <c r="D164">
        <f t="shared" si="66"/>
        <v>10.001085</v>
      </c>
      <c r="F164">
        <v>1.4999999999999999E-2</v>
      </c>
      <c r="G164">
        <f t="shared" ref="G164:G227" si="71">D164*1.668</f>
        <v>16.681809779999998</v>
      </c>
      <c r="H164">
        <f t="shared" si="67"/>
        <v>3.7487212988764042E-2</v>
      </c>
      <c r="I164">
        <f t="shared" si="68"/>
        <v>0.16010701515505957</v>
      </c>
      <c r="J164">
        <f t="shared" si="63"/>
        <v>7078.7840519072379</v>
      </c>
      <c r="K164">
        <f t="shared" si="69"/>
        <v>7078.7840519072388</v>
      </c>
      <c r="L164">
        <f t="shared" si="64"/>
        <v>1909.2754454802091</v>
      </c>
      <c r="M164">
        <f t="shared" si="70"/>
        <v>8988.0594973874468</v>
      </c>
      <c r="N164">
        <f t="shared" si="65"/>
        <v>0.5642141939937162</v>
      </c>
      <c r="O164" s="69">
        <f>0.5*Drag!$C$97*G164^2*Drag!$C$95*Drag!$C$19</f>
        <v>1.900236217355449</v>
      </c>
    </row>
    <row r="165" spans="1:30">
      <c r="D165">
        <f t="shared" si="66"/>
        <v>13.33478</v>
      </c>
      <c r="F165">
        <v>0.02</v>
      </c>
      <c r="G165">
        <f t="shared" si="71"/>
        <v>22.242413039999999</v>
      </c>
      <c r="H165">
        <f t="shared" si="67"/>
        <v>4.9982950651685391E-2</v>
      </c>
      <c r="I165">
        <f t="shared" si="68"/>
        <v>0.18068991707347196</v>
      </c>
      <c r="J165">
        <f t="shared" si="63"/>
        <v>5991.6092780884373</v>
      </c>
      <c r="K165">
        <f t="shared" si="69"/>
        <v>5991.6092780884383</v>
      </c>
      <c r="L165">
        <f t="shared" si="64"/>
        <v>1890.6496982811786</v>
      </c>
      <c r="M165">
        <f t="shared" si="70"/>
        <v>7882.258976369616</v>
      </c>
      <c r="N165">
        <f t="shared" si="65"/>
        <v>0.56428331014600586</v>
      </c>
      <c r="O165" s="69">
        <f>0.5*Drag!$C$97*G165^2*Drag!$C$95*Drag!$C$19</f>
        <v>3.3781977197430209</v>
      </c>
    </row>
    <row r="166" spans="1:30">
      <c r="D166">
        <f t="shared" si="66"/>
        <v>16.668475000000001</v>
      </c>
      <c r="F166">
        <v>2.5000000000000001E-2</v>
      </c>
      <c r="G166">
        <f t="shared" si="71"/>
        <v>27.803016299999999</v>
      </c>
      <c r="H166">
        <f t="shared" si="67"/>
        <v>6.2478688314606734E-2</v>
      </c>
      <c r="I166">
        <f t="shared" si="68"/>
        <v>0.20097543409191401</v>
      </c>
      <c r="J166">
        <f t="shared" si="63"/>
        <v>5331.4154771937883</v>
      </c>
      <c r="K166">
        <f t="shared" si="69"/>
        <v>5331.4154771937892</v>
      </c>
      <c r="L166">
        <f t="shared" si="64"/>
        <v>1874.3291812735386</v>
      </c>
      <c r="M166">
        <f t="shared" si="70"/>
        <v>7205.7446584673271</v>
      </c>
      <c r="N166">
        <f t="shared" si="65"/>
        <v>0.56437218265646272</v>
      </c>
      <c r="O166" s="69">
        <f>0.5*Drag!$C$97*G166^2*Drag!$C$95*Drag!$C$19</f>
        <v>5.2784339370984696</v>
      </c>
      <c r="AC166">
        <v>0</v>
      </c>
      <c r="AD166">
        <v>250</v>
      </c>
    </row>
    <row r="167" spans="1:30">
      <c r="D167">
        <f t="shared" si="66"/>
        <v>20.00217</v>
      </c>
      <c r="F167">
        <v>0.03</v>
      </c>
      <c r="G167">
        <f t="shared" si="71"/>
        <v>33.363619559999997</v>
      </c>
      <c r="H167">
        <f t="shared" si="67"/>
        <v>7.4974425977528084E-2</v>
      </c>
      <c r="I167">
        <f t="shared" si="68"/>
        <v>0.22096356621038568</v>
      </c>
      <c r="J167">
        <f t="shared" si="63"/>
        <v>4884.712162761215</v>
      </c>
      <c r="K167">
        <f t="shared" si="69"/>
        <v>4884.712162761215</v>
      </c>
      <c r="L167">
        <f t="shared" si="64"/>
        <v>1859.6629972705175</v>
      </c>
      <c r="M167">
        <f t="shared" si="70"/>
        <v>6744.3751600317328</v>
      </c>
      <c r="N167">
        <f t="shared" si="65"/>
        <v>0.5644808181905675</v>
      </c>
      <c r="O167" s="69">
        <f>0.5*Drag!$C$97*G167^2*Drag!$C$95*Drag!$C$19</f>
        <v>7.600944869421796</v>
      </c>
      <c r="AC167">
        <v>0.2</v>
      </c>
      <c r="AD167">
        <v>250</v>
      </c>
    </row>
    <row r="168" spans="1:30">
      <c r="D168">
        <f t="shared" si="66"/>
        <v>23.335865000000002</v>
      </c>
      <c r="F168">
        <v>3.5000000000000003E-2</v>
      </c>
      <c r="G168">
        <f t="shared" si="71"/>
        <v>38.924222820000004</v>
      </c>
      <c r="H168">
        <f t="shared" si="67"/>
        <v>8.7470163640449461E-2</v>
      </c>
      <c r="I168">
        <f t="shared" si="68"/>
        <v>0.24065431342888699</v>
      </c>
      <c r="J168">
        <f t="shared" si="63"/>
        <v>4560.0034120212549</v>
      </c>
      <c r="K168">
        <f t="shared" si="69"/>
        <v>4560.0034120212549</v>
      </c>
      <c r="L168">
        <f t="shared" si="64"/>
        <v>1846.2641583967115</v>
      </c>
      <c r="M168">
        <f t="shared" si="70"/>
        <v>6406.2675704179665</v>
      </c>
      <c r="N168">
        <f t="shared" si="65"/>
        <v>0.56460922489603516</v>
      </c>
      <c r="O168" s="69">
        <f>0.5*Drag!$C$97*G168^2*Drag!$C$95*Drag!$C$19</f>
        <v>10.345730516713004</v>
      </c>
      <c r="AC168">
        <v>0.4</v>
      </c>
      <c r="AD168">
        <v>250</v>
      </c>
    </row>
    <row r="169" spans="1:30">
      <c r="D169">
        <f t="shared" si="66"/>
        <v>26.669560000000001</v>
      </c>
      <c r="F169">
        <v>0.04</v>
      </c>
      <c r="G169">
        <f t="shared" si="71"/>
        <v>44.484826079999998</v>
      </c>
      <c r="H169">
        <f t="shared" si="67"/>
        <v>9.9965901303370783E-2</v>
      </c>
      <c r="I169">
        <f t="shared" si="68"/>
        <v>0.26004767574741783</v>
      </c>
      <c r="J169">
        <f t="shared" si="63"/>
        <v>4311.541263589178</v>
      </c>
      <c r="K169">
        <f t="shared" si="69"/>
        <v>4311.541263589178</v>
      </c>
      <c r="L169">
        <f t="shared" si="64"/>
        <v>1833.8802695564136</v>
      </c>
      <c r="M169">
        <f t="shared" si="70"/>
        <v>6145.4215331455916</v>
      </c>
      <c r="N169">
        <f t="shared" si="65"/>
        <v>0.56475741240342869</v>
      </c>
      <c r="O169" s="69">
        <f>0.5*Drag!$C$97*G169^2*Drag!$C$95*Drag!$C$19</f>
        <v>13.512790878972083</v>
      </c>
      <c r="AC169">
        <v>0.6</v>
      </c>
      <c r="AD169">
        <v>250</v>
      </c>
    </row>
    <row r="170" spans="1:30">
      <c r="D170">
        <f t="shared" si="66"/>
        <v>30.003254999999999</v>
      </c>
      <c r="F170">
        <v>4.4999999999999998E-2</v>
      </c>
      <c r="G170">
        <f t="shared" si="71"/>
        <v>50.045429339999998</v>
      </c>
      <c r="H170">
        <f t="shared" si="67"/>
        <v>0.11246163896629212</v>
      </c>
      <c r="I170">
        <f t="shared" si="68"/>
        <v>0.27914365316597833</v>
      </c>
      <c r="J170">
        <f t="shared" si="63"/>
        <v>4113.9101833623581</v>
      </c>
      <c r="K170">
        <f t="shared" si="69"/>
        <v>4113.9101833623581</v>
      </c>
      <c r="L170">
        <f t="shared" si="64"/>
        <v>1822.3358156617217</v>
      </c>
      <c r="M170">
        <f t="shared" si="70"/>
        <v>5936.2459990240795</v>
      </c>
      <c r="N170">
        <f t="shared" si="65"/>
        <v>0.5649253918268794</v>
      </c>
      <c r="O170" s="69">
        <f>0.5*Drag!$C$97*G170^2*Drag!$C$95*Drag!$C$19</f>
        <v>17.102125956199039</v>
      </c>
      <c r="AC170">
        <v>0.8</v>
      </c>
      <c r="AD170">
        <v>250</v>
      </c>
    </row>
    <row r="171" spans="1:30">
      <c r="D171">
        <f t="shared" si="66"/>
        <v>33.336950000000002</v>
      </c>
      <c r="F171">
        <v>0.05</v>
      </c>
      <c r="G171">
        <f t="shared" si="71"/>
        <v>55.606032599999999</v>
      </c>
      <c r="H171">
        <f t="shared" si="67"/>
        <v>0.12495737662921347</v>
      </c>
      <c r="I171">
        <f t="shared" si="68"/>
        <v>0.29794224568456845</v>
      </c>
      <c r="J171">
        <f t="shared" si="63"/>
        <v>3951.8608508792167</v>
      </c>
      <c r="K171">
        <f t="shared" si="69"/>
        <v>3951.8608508792172</v>
      </c>
      <c r="L171">
        <f t="shared" si="64"/>
        <v>1811.5028403888778</v>
      </c>
      <c r="M171">
        <f t="shared" si="70"/>
        <v>5763.363691268094</v>
      </c>
      <c r="N171">
        <f t="shared" si="65"/>
        <v>0.56511317576492137</v>
      </c>
      <c r="O171" s="69">
        <f>0.5*Drag!$C$97*G171^2*Drag!$C$95*Drag!$C$19</f>
        <v>21.113735748393879</v>
      </c>
      <c r="AC171">
        <v>1</v>
      </c>
      <c r="AD171">
        <v>250</v>
      </c>
    </row>
    <row r="172" spans="1:30">
      <c r="D172">
        <f t="shared" si="66"/>
        <v>36.670645</v>
      </c>
      <c r="F172">
        <v>5.5E-2</v>
      </c>
      <c r="G172">
        <f t="shared" si="71"/>
        <v>61.16663586</v>
      </c>
      <c r="H172">
        <f t="shared" si="67"/>
        <v>0.13745311429213483</v>
      </c>
      <c r="I172">
        <f t="shared" si="68"/>
        <v>0.31644345330318824</v>
      </c>
      <c r="J172">
        <f t="shared" si="63"/>
        <v>3815.6891531187521</v>
      </c>
      <c r="K172">
        <f t="shared" si="69"/>
        <v>3815.6891531187521</v>
      </c>
      <c r="L172">
        <f t="shared" si="64"/>
        <v>1801.2846090523244</v>
      </c>
      <c r="M172">
        <f t="shared" si="70"/>
        <v>5616.9737621710765</v>
      </c>
      <c r="N172">
        <f t="shared" si="65"/>
        <v>0.56532077830143501</v>
      </c>
      <c r="O172" s="69">
        <f>0.5*Drag!$C$97*G172^2*Drag!$C$95*Drag!$C$19</f>
        <v>25.547620255556595</v>
      </c>
    </row>
    <row r="173" spans="1:30">
      <c r="D173">
        <f t="shared" si="66"/>
        <v>40.004339999999999</v>
      </c>
      <c r="F173">
        <v>0.06</v>
      </c>
      <c r="G173">
        <f t="shared" si="71"/>
        <v>66.727239119999993</v>
      </c>
      <c r="H173">
        <f t="shared" si="67"/>
        <v>0.14994885195505617</v>
      </c>
      <c r="I173">
        <f t="shared" si="68"/>
        <v>0.33464727602183753</v>
      </c>
      <c r="J173">
        <f t="shared" si="63"/>
        <v>3698.9256814002929</v>
      </c>
      <c r="K173">
        <f t="shared" si="69"/>
        <v>3698.9256814002933</v>
      </c>
      <c r="L173">
        <f t="shared" si="64"/>
        <v>1791.6058511027954</v>
      </c>
      <c r="M173">
        <f t="shared" si="70"/>
        <v>5490.5315325030879</v>
      </c>
      <c r="N173">
        <f t="shared" si="65"/>
        <v>0.56554821500670327</v>
      </c>
      <c r="O173" s="69">
        <f>0.5*Drag!$C$97*G173^2*Drag!$C$95*Drag!$C$19</f>
        <v>30.403779477687184</v>
      </c>
    </row>
    <row r="174" spans="1:30">
      <c r="D174">
        <f t="shared" si="66"/>
        <v>43.338035000000005</v>
      </c>
      <c r="F174">
        <v>6.5000000000000002E-2</v>
      </c>
      <c r="G174">
        <f t="shared" si="71"/>
        <v>72.287842380000001</v>
      </c>
      <c r="H174">
        <f t="shared" si="67"/>
        <v>0.16244458961797753</v>
      </c>
      <c r="I174">
        <f t="shared" si="68"/>
        <v>0.35255371384051654</v>
      </c>
      <c r="J174">
        <f t="shared" si="63"/>
        <v>3597.0916143295321</v>
      </c>
      <c r="K174">
        <f t="shared" si="69"/>
        <v>3597.0916143295317</v>
      </c>
      <c r="L174">
        <f t="shared" si="64"/>
        <v>1782.406606820399</v>
      </c>
      <c r="M174">
        <f t="shared" si="70"/>
        <v>5379.4982211499309</v>
      </c>
      <c r="N174">
        <f t="shared" si="65"/>
        <v>0.5657955029385775</v>
      </c>
      <c r="O174" s="69">
        <f>0.5*Drag!$C$97*G174^2*Drag!$C$95*Drag!$C$19</f>
        <v>35.682213414785657</v>
      </c>
    </row>
    <row r="175" spans="1:30">
      <c r="D175">
        <f t="shared" si="66"/>
        <v>46.671730000000004</v>
      </c>
      <c r="F175">
        <v>7.0000000000000007E-2</v>
      </c>
      <c r="G175">
        <f t="shared" si="71"/>
        <v>77.848445640000008</v>
      </c>
      <c r="H175">
        <f t="shared" si="67"/>
        <v>0.17494032728089892</v>
      </c>
      <c r="I175">
        <f t="shared" si="68"/>
        <v>0.37016276675922516</v>
      </c>
      <c r="J175">
        <f t="shared" si="63"/>
        <v>3506.9877937676765</v>
      </c>
      <c r="K175">
        <f t="shared" si="69"/>
        <v>3506.9877937676765</v>
      </c>
      <c r="L175">
        <f t="shared" si="64"/>
        <v>1773.638173235353</v>
      </c>
      <c r="M175">
        <f t="shared" si="70"/>
        <v>5280.6259670030295</v>
      </c>
      <c r="N175">
        <f t="shared" si="65"/>
        <v>0.56606266064375721</v>
      </c>
      <c r="O175" s="69">
        <f>0.5*Drag!$C$97*G175^2*Drag!$C$95*Drag!$C$19</f>
        <v>41.382922066852018</v>
      </c>
    </row>
    <row r="176" spans="1:30">
      <c r="D176">
        <f t="shared" si="66"/>
        <v>50.005425000000002</v>
      </c>
      <c r="F176">
        <v>7.4999999999999997E-2</v>
      </c>
      <c r="G176">
        <f t="shared" si="71"/>
        <v>83.409048900000002</v>
      </c>
      <c r="H176">
        <f t="shared" si="67"/>
        <v>0.18743606494382023</v>
      </c>
      <c r="I176">
        <f t="shared" si="68"/>
        <v>0.38747443477796334</v>
      </c>
      <c r="J176">
        <f t="shared" si="63"/>
        <v>3426.2681704129454</v>
      </c>
      <c r="K176">
        <f t="shared" si="69"/>
        <v>3426.2681704129445</v>
      </c>
      <c r="L176">
        <f t="shared" si="64"/>
        <v>1765.2603350280344</v>
      </c>
      <c r="M176">
        <f t="shared" si="70"/>
        <v>5191.5285054409796</v>
      </c>
      <c r="N176">
        <f t="shared" si="65"/>
        <v>0.56634970815917918</v>
      </c>
      <c r="O176" s="69">
        <f>0.5*Drag!$C$97*G176^2*Drag!$C$95*Drag!$C$19</f>
        <v>47.505905433886234</v>
      </c>
    </row>
    <row r="177" spans="4:15">
      <c r="D177">
        <f t="shared" si="66"/>
        <v>53.339120000000001</v>
      </c>
      <c r="F177">
        <v>0.08</v>
      </c>
      <c r="G177">
        <f t="shared" si="71"/>
        <v>88.969652159999995</v>
      </c>
      <c r="H177">
        <f t="shared" si="67"/>
        <v>0.19993180260674157</v>
      </c>
      <c r="I177">
        <f t="shared" si="68"/>
        <v>0.40448871789673113</v>
      </c>
      <c r="J177">
        <f t="shared" si="63"/>
        <v>3353.1732072890013</v>
      </c>
      <c r="K177">
        <f t="shared" si="69"/>
        <v>3353.1732072890018</v>
      </c>
      <c r="L177">
        <f t="shared" si="64"/>
        <v>1757.2394150314237</v>
      </c>
      <c r="M177">
        <f t="shared" si="70"/>
        <v>5110.4126223204248</v>
      </c>
      <c r="N177">
        <f t="shared" si="65"/>
        <v>0.5666566670135168</v>
      </c>
      <c r="O177" s="69">
        <f>0.5*Drag!$C$97*G177^2*Drag!$C$95*Drag!$C$19</f>
        <v>54.051163515888334</v>
      </c>
    </row>
    <row r="178" spans="4:15">
      <c r="D178">
        <f t="shared" si="66"/>
        <v>56.672815000000007</v>
      </c>
      <c r="F178">
        <v>8.5000000000000006E-2</v>
      </c>
      <c r="G178">
        <f t="shared" si="71"/>
        <v>94.530255420000003</v>
      </c>
      <c r="H178">
        <f t="shared" si="67"/>
        <v>0.21242754026966293</v>
      </c>
      <c r="I178">
        <f t="shared" si="68"/>
        <v>0.42120561611552859</v>
      </c>
      <c r="J178">
        <f t="shared" si="63"/>
        <v>3286.3573761198254</v>
      </c>
      <c r="K178">
        <f t="shared" si="69"/>
        <v>3286.3573761198254</v>
      </c>
      <c r="L178">
        <f t="shared" si="64"/>
        <v>1749.5468659428136</v>
      </c>
      <c r="M178">
        <f t="shared" si="70"/>
        <v>5035.9042420626392</v>
      </c>
      <c r="N178">
        <f t="shared" si="65"/>
        <v>0.56698356022879504</v>
      </c>
      <c r="O178" s="69">
        <f>0.5*Drag!$C$97*G178^2*Drag!$C$95*Drag!$C$19</f>
        <v>61.018696312858317</v>
      </c>
    </row>
    <row r="179" spans="4:15">
      <c r="D179">
        <f t="shared" si="66"/>
        <v>60.006509999999999</v>
      </c>
      <c r="F179">
        <v>0.09</v>
      </c>
      <c r="G179">
        <f t="shared" si="71"/>
        <v>100.09085868</v>
      </c>
      <c r="H179">
        <f t="shared" si="67"/>
        <v>0.22492327793258424</v>
      </c>
      <c r="I179">
        <f t="shared" si="68"/>
        <v>0.43762512943435555</v>
      </c>
      <c r="J179">
        <f t="shared" si="63"/>
        <v>3224.7741549129546</v>
      </c>
      <c r="K179">
        <f t="shared" si="69"/>
        <v>3224.7741549129541</v>
      </c>
      <c r="L179">
        <f t="shared" si="64"/>
        <v>1742.1582301587432</v>
      </c>
      <c r="M179">
        <f t="shared" si="70"/>
        <v>4966.9323850716974</v>
      </c>
      <c r="N179">
        <f t="shared" si="65"/>
        <v>0.56733041232211256</v>
      </c>
      <c r="O179" s="69">
        <f>0.5*Drag!$C$97*G179^2*Drag!$C$95*Drag!$C$19</f>
        <v>68.408503824796156</v>
      </c>
    </row>
    <row r="180" spans="4:15">
      <c r="D180">
        <f t="shared" si="66"/>
        <v>63.340205000000005</v>
      </c>
      <c r="F180">
        <v>9.5000000000000001E-2</v>
      </c>
      <c r="G180">
        <f t="shared" si="71"/>
        <v>105.65146194</v>
      </c>
      <c r="H180">
        <f t="shared" si="67"/>
        <v>0.23741901559550563</v>
      </c>
      <c r="I180">
        <f t="shared" si="68"/>
        <v>0.45374725785321229</v>
      </c>
      <c r="J180">
        <f t="shared" si="63"/>
        <v>3167.5973420953947</v>
      </c>
      <c r="K180">
        <f t="shared" si="69"/>
        <v>3167.5973420953942</v>
      </c>
      <c r="L180">
        <f t="shared" si="64"/>
        <v>1735.0523565014412</v>
      </c>
      <c r="M180">
        <f t="shared" si="70"/>
        <v>4902.6496985968361</v>
      </c>
      <c r="N180">
        <f t="shared" si="65"/>
        <v>0.56769724930747767</v>
      </c>
      <c r="O180" s="69">
        <f>0.5*Drag!$C$97*G180^2*Drag!$C$95*Drag!$C$19</f>
        <v>76.220586051701915</v>
      </c>
    </row>
    <row r="181" spans="4:15">
      <c r="D181">
        <f t="shared" si="66"/>
        <v>66.673900000000003</v>
      </c>
      <c r="F181">
        <v>0.1</v>
      </c>
      <c r="G181">
        <f t="shared" si="71"/>
        <v>111.2120652</v>
      </c>
      <c r="H181">
        <f t="shared" si="67"/>
        <v>0.24991475325842694</v>
      </c>
      <c r="I181">
        <f t="shared" si="68"/>
        <v>0.46957200137209848</v>
      </c>
      <c r="J181">
        <f t="shared" si="63"/>
        <v>3114.1659764087472</v>
      </c>
      <c r="K181">
        <f t="shared" si="69"/>
        <v>3114.1659764087472</v>
      </c>
      <c r="L181">
        <f t="shared" si="64"/>
        <v>1728.2108002742057</v>
      </c>
      <c r="M181">
        <f t="shared" si="70"/>
        <v>4842.3767766829533</v>
      </c>
      <c r="N181">
        <f t="shared" si="65"/>
        <v>0.568084098697755</v>
      </c>
      <c r="O181" s="69">
        <f>0.5*Drag!$C$97*G181^2*Drag!$C$95*Drag!$C$19</f>
        <v>84.454942993575514</v>
      </c>
    </row>
    <row r="182" spans="4:15">
      <c r="D182">
        <f t="shared" si="66"/>
        <v>70.007594999999995</v>
      </c>
      <c r="F182">
        <v>0.105</v>
      </c>
      <c r="G182">
        <f t="shared" si="71"/>
        <v>116.77266845999999</v>
      </c>
      <c r="H182">
        <f t="shared" si="67"/>
        <v>0.26241049092134827</v>
      </c>
      <c r="I182">
        <f t="shared" si="68"/>
        <v>0.4850993599910145</v>
      </c>
      <c r="J182">
        <f t="shared" si="63"/>
        <v>3063.9449939771703</v>
      </c>
      <c r="K182">
        <f t="shared" si="69"/>
        <v>3063.9449939771698</v>
      </c>
      <c r="L182">
        <f t="shared" si="64"/>
        <v>1721.6173567567898</v>
      </c>
      <c r="M182">
        <f t="shared" si="70"/>
        <v>4785.5623507339606</v>
      </c>
      <c r="N182">
        <f t="shared" si="65"/>
        <v>0.56849098950672527</v>
      </c>
      <c r="O182" s="69">
        <f>0.5*Drag!$C$97*G182^2*Drag!$C$95*Drag!$C$19</f>
        <v>93.111574650416998</v>
      </c>
    </row>
    <row r="183" spans="4:15">
      <c r="D183">
        <f t="shared" si="66"/>
        <v>73.341290000000001</v>
      </c>
      <c r="F183">
        <v>0.11</v>
      </c>
      <c r="G183">
        <f t="shared" si="71"/>
        <v>122.33327172</v>
      </c>
      <c r="H183">
        <f t="shared" si="67"/>
        <v>0.27490622858426966</v>
      </c>
      <c r="I183">
        <f t="shared" si="68"/>
        <v>0.50032933370996002</v>
      </c>
      <c r="J183">
        <f t="shared" si="63"/>
        <v>3016.4966152658785</v>
      </c>
      <c r="K183">
        <f t="shared" si="69"/>
        <v>3016.4966152658785</v>
      </c>
      <c r="L183">
        <f t="shared" si="64"/>
        <v>1715.2576935466777</v>
      </c>
      <c r="M183">
        <f t="shared" si="70"/>
        <v>4731.7543088125567</v>
      </c>
      <c r="N183">
        <f t="shared" si="65"/>
        <v>0.56891795225125508</v>
      </c>
      <c r="O183" s="69">
        <f>0.5*Drag!$C$97*G183^2*Drag!$C$95*Drag!$C$19</f>
        <v>102.19048102222638</v>
      </c>
    </row>
    <row r="184" spans="4:15">
      <c r="D184">
        <f t="shared" si="66"/>
        <v>76.674985000000007</v>
      </c>
      <c r="F184">
        <v>0.115</v>
      </c>
      <c r="G184">
        <f t="shared" si="71"/>
        <v>127.89387498000001</v>
      </c>
      <c r="H184">
        <f t="shared" si="67"/>
        <v>0.28740196624719105</v>
      </c>
      <c r="I184">
        <f t="shared" si="68"/>
        <v>0.51526192252893521</v>
      </c>
      <c r="J184">
        <f t="shared" si="63"/>
        <v>2971.4591963113585</v>
      </c>
      <c r="K184">
        <f t="shared" si="69"/>
        <v>2971.4591963113585</v>
      </c>
      <c r="L184">
        <f t="shared" si="64"/>
        <v>1709.1190572785488</v>
      </c>
      <c r="M184">
        <f t="shared" si="70"/>
        <v>4680.578253589907</v>
      </c>
      <c r="N184">
        <f t="shared" si="65"/>
        <v>0.56936501895357849</v>
      </c>
      <c r="O184" s="69">
        <f>0.5*Drag!$C$97*G184^2*Drag!$C$95*Drag!$C$19</f>
        <v>111.69166210900363</v>
      </c>
    </row>
    <row r="185" spans="4:15">
      <c r="D185">
        <f t="shared" si="66"/>
        <v>80.008679999999998</v>
      </c>
      <c r="F185">
        <v>0.12</v>
      </c>
      <c r="G185">
        <f t="shared" si="71"/>
        <v>133.45447823999999</v>
      </c>
      <c r="H185">
        <f t="shared" si="67"/>
        <v>0.29989770391011233</v>
      </c>
      <c r="I185">
        <f t="shared" si="68"/>
        <v>0.52989712644793985</v>
      </c>
      <c r="J185">
        <f t="shared" si="63"/>
        <v>2928.5313671440122</v>
      </c>
      <c r="K185">
        <f t="shared" si="69"/>
        <v>2928.5313671440126</v>
      </c>
      <c r="L185">
        <f t="shared" si="64"/>
        <v>1703.1900371067466</v>
      </c>
      <c r="M185">
        <f t="shared" si="70"/>
        <v>4631.7214042507585</v>
      </c>
      <c r="N185">
        <f t="shared" si="65"/>
        <v>0.56983222314369364</v>
      </c>
      <c r="O185" s="69">
        <f>0.5*Drag!$C$97*G185^2*Drag!$C$95*Drag!$C$19</f>
        <v>121.61511791074874</v>
      </c>
    </row>
    <row r="186" spans="4:15">
      <c r="D186">
        <f t="shared" si="66"/>
        <v>83.342375000000004</v>
      </c>
      <c r="F186">
        <v>0.125</v>
      </c>
      <c r="G186">
        <f t="shared" si="71"/>
        <v>139.01508150000001</v>
      </c>
      <c r="H186">
        <f t="shared" si="67"/>
        <v>0.31239344157303373</v>
      </c>
      <c r="I186">
        <f t="shared" si="68"/>
        <v>0.54423494546697426</v>
      </c>
      <c r="J186">
        <f t="shared" si="63"/>
        <v>2887.4599769893803</v>
      </c>
      <c r="K186">
        <f t="shared" si="69"/>
        <v>2887.4599769893803</v>
      </c>
      <c r="L186">
        <f t="shared" si="64"/>
        <v>1697.4603720644955</v>
      </c>
      <c r="M186">
        <f t="shared" si="70"/>
        <v>4584.9203490538757</v>
      </c>
      <c r="N186">
        <f t="shared" si="65"/>
        <v>0.57031959986186687</v>
      </c>
      <c r="O186" s="69">
        <f>0.5*Drag!$C$97*G186^2*Drag!$C$95*Drag!$C$19</f>
        <v>131.96084842746177</v>
      </c>
    </row>
    <row r="187" spans="4:15">
      <c r="D187">
        <f t="shared" si="66"/>
        <v>86.67607000000001</v>
      </c>
      <c r="F187">
        <v>0.13</v>
      </c>
      <c r="G187">
        <f t="shared" si="71"/>
        <v>144.57568476</v>
      </c>
      <c r="H187">
        <f t="shared" si="67"/>
        <v>0.32488917923595506</v>
      </c>
      <c r="I187">
        <f t="shared" si="68"/>
        <v>0.55827537958603823</v>
      </c>
      <c r="J187">
        <f t="shared" si="63"/>
        <v>2848.0308213459957</v>
      </c>
      <c r="K187">
        <f t="shared" si="69"/>
        <v>2848.0308213459953</v>
      </c>
      <c r="L187">
        <f t="shared" si="64"/>
        <v>1691.9207927354141</v>
      </c>
      <c r="M187">
        <f t="shared" si="70"/>
        <v>4539.9516140814103</v>
      </c>
      <c r="N187">
        <f t="shared" si="65"/>
        <v>0.57082718566125124</v>
      </c>
      <c r="O187" s="69">
        <f>0.5*Drag!$C$97*G187^2*Drag!$C$95*Drag!$C$19</f>
        <v>142.72885365914263</v>
      </c>
    </row>
    <row r="188" spans="4:15">
      <c r="D188">
        <f t="shared" si="66"/>
        <v>90.009765000000016</v>
      </c>
      <c r="F188">
        <v>0.13500000000000001</v>
      </c>
      <c r="G188">
        <f t="shared" si="71"/>
        <v>150.13628802000002</v>
      </c>
      <c r="H188">
        <f t="shared" si="67"/>
        <v>0.33738491689887645</v>
      </c>
      <c r="I188">
        <f t="shared" si="68"/>
        <v>0.57201842880513187</v>
      </c>
      <c r="J188">
        <f t="shared" si="63"/>
        <v>2810.0614297126072</v>
      </c>
      <c r="K188">
        <f t="shared" si="69"/>
        <v>2810.0614297126067</v>
      </c>
      <c r="L188">
        <f t="shared" si="64"/>
        <v>1686.5628900440408</v>
      </c>
      <c r="M188">
        <f t="shared" si="70"/>
        <v>4496.6243197566482</v>
      </c>
      <c r="N188">
        <f t="shared" si="65"/>
        <v>0.57135501861061888</v>
      </c>
      <c r="O188" s="69">
        <f>0.5*Drag!$C$97*G188^2*Drag!$C$95*Drag!$C$19</f>
        <v>153.91913360579142</v>
      </c>
    </row>
    <row r="189" spans="4:15">
      <c r="D189">
        <f t="shared" si="66"/>
        <v>93.343460000000007</v>
      </c>
      <c r="F189">
        <v>0.14000000000000001</v>
      </c>
      <c r="G189">
        <f t="shared" si="71"/>
        <v>155.69689128000002</v>
      </c>
      <c r="H189">
        <f t="shared" si="67"/>
        <v>0.34988065456179784</v>
      </c>
      <c r="I189">
        <f t="shared" si="68"/>
        <v>0.58546409312425518</v>
      </c>
      <c r="J189">
        <f t="shared" si="63"/>
        <v>2773.3953988024314</v>
      </c>
      <c r="K189">
        <f t="shared" si="69"/>
        <v>2773.3953988024314</v>
      </c>
      <c r="L189">
        <f t="shared" si="64"/>
        <v>1681.3790056896646</v>
      </c>
      <c r="M189">
        <f t="shared" si="70"/>
        <v>4454.7744044920964</v>
      </c>
      <c r="N189">
        <f t="shared" si="65"/>
        <v>0.57190313829720185</v>
      </c>
      <c r="O189" s="69">
        <f>0.5*Drag!$C$97*G189^2*Drag!$C$95*Drag!$C$19</f>
        <v>165.53168826740807</v>
      </c>
    </row>
    <row r="190" spans="4:15">
      <c r="D190">
        <f t="shared" si="66"/>
        <v>96.677154999999999</v>
      </c>
      <c r="F190">
        <v>0.14499999999999999</v>
      </c>
      <c r="G190">
        <f t="shared" si="71"/>
        <v>161.25749453999998</v>
      </c>
      <c r="H190">
        <f t="shared" si="67"/>
        <v>0.36237639222471901</v>
      </c>
      <c r="I190">
        <f t="shared" si="68"/>
        <v>0.59861237254340782</v>
      </c>
      <c r="J190">
        <f t="shared" si="63"/>
        <v>2737.8978981958235</v>
      </c>
      <c r="K190">
        <f t="shared" si="69"/>
        <v>2737.8978981958235</v>
      </c>
      <c r="L190">
        <f t="shared" si="64"/>
        <v>1676.3621400088109</v>
      </c>
      <c r="M190">
        <f t="shared" si="70"/>
        <v>4414.2600382046348</v>
      </c>
      <c r="N190">
        <f t="shared" si="65"/>
        <v>0.57247158582964852</v>
      </c>
      <c r="O190" s="69">
        <f>0.5*Drag!$C$97*G190^2*Drag!$C$95*Drag!$C$19</f>
        <v>177.56651764399251</v>
      </c>
    </row>
    <row r="191" spans="4:15">
      <c r="D191">
        <f t="shared" si="66"/>
        <v>100.01085</v>
      </c>
      <c r="F191">
        <v>0.15</v>
      </c>
      <c r="G191">
        <f t="shared" si="71"/>
        <v>166.8180978</v>
      </c>
      <c r="H191">
        <f t="shared" si="67"/>
        <v>0.37487212988764046</v>
      </c>
      <c r="I191">
        <f t="shared" si="68"/>
        <v>0.61146326706259035</v>
      </c>
      <c r="J191">
        <f t="shared" si="63"/>
        <v>2703.4520748624286</v>
      </c>
      <c r="K191">
        <f t="shared" si="69"/>
        <v>2703.4520748624282</v>
      </c>
      <c r="L191">
        <f t="shared" si="64"/>
        <v>1671.5058739889957</v>
      </c>
      <c r="M191">
        <f t="shared" si="70"/>
        <v>4374.9579488514246</v>
      </c>
      <c r="N191">
        <f t="shared" si="65"/>
        <v>0.57306040384109003</v>
      </c>
      <c r="O191" s="69">
        <f>0.5*Drag!$C$97*G191^2*Drag!$C$95*Drag!$C$19</f>
        <v>190.02362173554494</v>
      </c>
    </row>
    <row r="192" spans="4:15">
      <c r="D192">
        <f t="shared" si="66"/>
        <v>103.34454500000001</v>
      </c>
      <c r="F192">
        <v>0.155</v>
      </c>
      <c r="G192">
        <f t="shared" si="71"/>
        <v>172.37870106</v>
      </c>
      <c r="H192">
        <f t="shared" si="67"/>
        <v>0.3873678675505618</v>
      </c>
      <c r="I192">
        <f t="shared" si="68"/>
        <v>0.62401677668180255</v>
      </c>
      <c r="J192">
        <f t="shared" si="63"/>
        <v>2669.9561535822577</v>
      </c>
      <c r="K192">
        <f t="shared" si="69"/>
        <v>2669.9561535822577</v>
      </c>
      <c r="L192">
        <f t="shared" si="64"/>
        <v>1666.8043028610571</v>
      </c>
      <c r="M192">
        <f t="shared" si="70"/>
        <v>4336.760456443315</v>
      </c>
      <c r="N192">
        <f t="shared" si="65"/>
        <v>0.5736696364923225</v>
      </c>
      <c r="O192" s="69">
        <f>0.5*Drag!$C$97*G192^2*Drag!$C$95*Drag!$C$19</f>
        <v>202.9030005420652</v>
      </c>
    </row>
    <row r="193" spans="4:15">
      <c r="D193">
        <f t="shared" si="66"/>
        <v>106.67824</v>
      </c>
      <c r="F193">
        <v>0.16</v>
      </c>
      <c r="G193">
        <f t="shared" si="71"/>
        <v>177.93930431999999</v>
      </c>
      <c r="H193">
        <f t="shared" si="67"/>
        <v>0.39986360521348313</v>
      </c>
      <c r="I193">
        <f t="shared" si="68"/>
        <v>0.63627290140104409</v>
      </c>
      <c r="J193">
        <f t="shared" si="63"/>
        <v>2637.3210810378205</v>
      </c>
      <c r="K193">
        <f t="shared" si="69"/>
        <v>2637.3210810378205</v>
      </c>
      <c r="L193">
        <f t="shared" si="64"/>
        <v>1662.2519792327239</v>
      </c>
      <c r="M193">
        <f t="shared" si="70"/>
        <v>4299.5730602705444</v>
      </c>
      <c r="N193">
        <f t="shared" si="65"/>
        <v>0.5742993294750981</v>
      </c>
      <c r="O193" s="69">
        <f>0.5*Drag!$C$97*G193^2*Drag!$C$95*Drag!$C$19</f>
        <v>216.20465406355333</v>
      </c>
    </row>
    <row r="194" spans="4:15">
      <c r="D194">
        <f t="shared" si="66"/>
        <v>110.01193500000001</v>
      </c>
      <c r="F194">
        <v>0.16500000000000001</v>
      </c>
      <c r="G194">
        <f t="shared" si="71"/>
        <v>183.49990758000001</v>
      </c>
      <c r="H194">
        <f t="shared" si="67"/>
        <v>0.41235934287640452</v>
      </c>
      <c r="I194">
        <f t="shared" si="68"/>
        <v>0.64823164122031551</v>
      </c>
      <c r="J194">
        <f t="shared" ref="J194:J225" si="72">(I194*550*$B$19)/G194</f>
        <v>2605.4685982531419</v>
      </c>
      <c r="K194">
        <f t="shared" si="69"/>
        <v>2605.4685982531419</v>
      </c>
      <c r="L194">
        <f t="shared" ref="L194:L225" si="73">$C$41*N194*(1-0.49*(SQRT(F194)))</f>
        <v>1657.8438641369246</v>
      </c>
      <c r="M194">
        <f t="shared" si="70"/>
        <v>4263.3124623900667</v>
      </c>
      <c r="N194">
        <f t="shared" ref="N194:N225" si="74">($AB$51/$AB$52)*(1+((1.4-1)/2)*F194^2)^(1.4/(1.4-1))</f>
        <v>0.57494953001553162</v>
      </c>
      <c r="O194" s="69">
        <f>0.5*Drag!$C$97*G194^2*Drag!$C$95*Drag!$C$19</f>
        <v>229.92858230000937</v>
      </c>
    </row>
    <row r="195" spans="4:15">
      <c r="D195">
        <f t="shared" si="66"/>
        <v>113.34563000000001</v>
      </c>
      <c r="F195">
        <v>0.17</v>
      </c>
      <c r="G195">
        <f t="shared" si="71"/>
        <v>189.06051084000001</v>
      </c>
      <c r="H195">
        <f t="shared" si="67"/>
        <v>0.42485508053932586</v>
      </c>
      <c r="I195">
        <f t="shared" si="68"/>
        <v>0.65989299613961638</v>
      </c>
      <c r="J195">
        <f t="shared" si="72"/>
        <v>2574.3296531905953</v>
      </c>
      <c r="K195">
        <f t="shared" si="69"/>
        <v>2574.3296531905958</v>
      </c>
      <c r="L195">
        <f t="shared" si="73"/>
        <v>1653.575284686334</v>
      </c>
      <c r="M195">
        <f t="shared" si="70"/>
        <v>4227.9049378769296</v>
      </c>
      <c r="N195">
        <f t="shared" si="74"/>
        <v>0.57562028687761968</v>
      </c>
      <c r="O195" s="69">
        <f>0.5*Drag!$C$97*G195^2*Drag!$C$95*Drag!$C$19</f>
        <v>244.07478525143327</v>
      </c>
    </row>
    <row r="196" spans="4:15">
      <c r="D196">
        <f t="shared" si="66"/>
        <v>116.67932499999999</v>
      </c>
      <c r="F196">
        <v>0.17499999999999999</v>
      </c>
      <c r="G196">
        <f t="shared" si="71"/>
        <v>194.62111409999997</v>
      </c>
      <c r="H196">
        <f t="shared" si="67"/>
        <v>0.43735081820224714</v>
      </c>
      <c r="I196">
        <f t="shared" si="68"/>
        <v>0.67125696615894681</v>
      </c>
      <c r="J196">
        <f t="shared" si="72"/>
        <v>2543.8430854739995</v>
      </c>
      <c r="K196">
        <f t="shared" si="69"/>
        <v>2543.8430854739995</v>
      </c>
      <c r="L196">
        <f t="shared" si="73"/>
        <v>1649.4418972740586</v>
      </c>
      <c r="M196">
        <f t="shared" si="70"/>
        <v>4193.2849827480586</v>
      </c>
      <c r="N196">
        <f t="shared" si="74"/>
        <v>0.57631165036687138</v>
      </c>
      <c r="O196" s="69">
        <f>0.5*Drag!$C$97*G196^2*Drag!$C$95*Drag!$C$19</f>
        <v>258.64326291782493</v>
      </c>
    </row>
    <row r="197" spans="4:15">
      <c r="D197">
        <f t="shared" si="66"/>
        <v>120.01302</v>
      </c>
      <c r="F197">
        <v>0.18</v>
      </c>
      <c r="G197">
        <f t="shared" si="71"/>
        <v>200.18171735999999</v>
      </c>
      <c r="H197">
        <f t="shared" si="67"/>
        <v>0.44984655586516847</v>
      </c>
      <c r="I197">
        <f t="shared" si="68"/>
        <v>0.68232355127830691</v>
      </c>
      <c r="J197">
        <f t="shared" si="72"/>
        <v>2513.9545303245236</v>
      </c>
      <c r="K197">
        <f t="shared" si="69"/>
        <v>2513.9545303245231</v>
      </c>
      <c r="L197">
        <f t="shared" si="73"/>
        <v>1645.4396554558462</v>
      </c>
      <c r="M197">
        <f t="shared" si="70"/>
        <v>4159.3941857803693</v>
      </c>
      <c r="N197">
        <f t="shared" si="74"/>
        <v>0.57702367233405394</v>
      </c>
      <c r="O197" s="69">
        <f>0.5*Drag!$C$97*G197^2*Drag!$C$95*Drag!$C$19</f>
        <v>273.63401529918463</v>
      </c>
    </row>
    <row r="198" spans="4:15">
      <c r="D198">
        <f t="shared" si="66"/>
        <v>123.346715</v>
      </c>
      <c r="F198">
        <v>0.185</v>
      </c>
      <c r="G198">
        <f t="shared" si="71"/>
        <v>205.74232061999999</v>
      </c>
      <c r="H198">
        <f t="shared" si="67"/>
        <v>0.46234229352808986</v>
      </c>
      <c r="I198">
        <f t="shared" si="68"/>
        <v>0.69309275149769678</v>
      </c>
      <c r="J198">
        <f t="shared" si="72"/>
        <v>2484.6155002367263</v>
      </c>
      <c r="K198">
        <f t="shared" si="69"/>
        <v>2484.6155002367263</v>
      </c>
      <c r="L198">
        <f t="shared" si="73"/>
        <v>1641.5647818042255</v>
      </c>
      <c r="M198">
        <f t="shared" si="70"/>
        <v>4126.1802820409521</v>
      </c>
      <c r="N198">
        <f t="shared" si="74"/>
        <v>0.57775640617905022</v>
      </c>
      <c r="O198" s="69">
        <f>0.5*Drag!$C$97*G198^2*Drag!$C$95*Drag!$C$19</f>
        <v>289.04704239551216</v>
      </c>
    </row>
    <row r="199" spans="4:15">
      <c r="D199">
        <f t="shared" si="66"/>
        <v>126.68041000000001</v>
      </c>
      <c r="F199">
        <v>0.19</v>
      </c>
      <c r="G199">
        <f t="shared" si="71"/>
        <v>211.30292388000001</v>
      </c>
      <c r="H199">
        <f t="shared" si="67"/>
        <v>0.47483803119101126</v>
      </c>
      <c r="I199">
        <f t="shared" si="68"/>
        <v>0.70356456681711621</v>
      </c>
      <c r="J199">
        <f t="shared" si="72"/>
        <v>2455.7826116531069</v>
      </c>
      <c r="K199">
        <f t="shared" si="69"/>
        <v>2455.7826116531069</v>
      </c>
      <c r="L199">
        <f t="shared" si="73"/>
        <v>1637.8137431488149</v>
      </c>
      <c r="M199">
        <f t="shared" si="70"/>
        <v>4093.5963548019217</v>
      </c>
      <c r="N199">
        <f t="shared" si="74"/>
        <v>0.5785099068548315</v>
      </c>
      <c r="O199" s="69">
        <f>0.5*Drag!$C$97*G199^2*Drag!$C$95*Drag!$C$19</f>
        <v>304.88234420680766</v>
      </c>
    </row>
    <row r="200" spans="4:15">
      <c r="D200">
        <f t="shared" si="66"/>
        <v>130.014105</v>
      </c>
      <c r="F200">
        <v>0.19500000000000001</v>
      </c>
      <c r="G200">
        <f t="shared" si="71"/>
        <v>216.86352714</v>
      </c>
      <c r="H200">
        <f t="shared" si="67"/>
        <v>0.48733376885393259</v>
      </c>
      <c r="I200">
        <f t="shared" si="68"/>
        <v>0.71373899723656509</v>
      </c>
      <c r="J200">
        <f t="shared" si="72"/>
        <v>2427.4169306118047</v>
      </c>
      <c r="K200">
        <f t="shared" si="69"/>
        <v>2427.4169306118047</v>
      </c>
      <c r="L200">
        <f t="shared" si="73"/>
        <v>1634.1832287165066</v>
      </c>
      <c r="M200">
        <f t="shared" si="70"/>
        <v>4061.6001593283113</v>
      </c>
      <c r="N200">
        <f t="shared" si="74"/>
        <v>0.57928423087154191</v>
      </c>
      <c r="O200" s="69">
        <f>0.5*Drag!$C$97*G200^2*Drag!$C$95*Drag!$C$19</f>
        <v>321.13992073307094</v>
      </c>
    </row>
    <row r="201" spans="4:15">
      <c r="D201">
        <f t="shared" si="66"/>
        <v>133.34780000000001</v>
      </c>
      <c r="F201">
        <v>0.2</v>
      </c>
      <c r="G201">
        <f t="shared" si="71"/>
        <v>222.4241304</v>
      </c>
      <c r="H201">
        <f t="shared" si="67"/>
        <v>0.49982950651685387</v>
      </c>
      <c r="I201">
        <f t="shared" si="68"/>
        <v>0.72361604275604374</v>
      </c>
      <c r="J201">
        <f t="shared" si="72"/>
        <v>2399.4834165471466</v>
      </c>
      <c r="K201">
        <f t="shared" si="69"/>
        <v>2399.483416547147</v>
      </c>
      <c r="L201">
        <f t="shared" si="73"/>
        <v>1630.6701307657963</v>
      </c>
      <c r="M201">
        <f t="shared" si="70"/>
        <v>4030.1535473129429</v>
      </c>
      <c r="N201">
        <f t="shared" si="74"/>
        <v>0.58007943630069669</v>
      </c>
      <c r="O201" s="69">
        <f>0.5*Drag!$C$97*G201^2*Drag!$C$95*Drag!$C$19</f>
        <v>337.81977197430206</v>
      </c>
    </row>
    <row r="202" spans="4:15">
      <c r="D202">
        <f t="shared" si="66"/>
        <v>136.68149500000001</v>
      </c>
      <c r="F202">
        <v>0.20499999999999999</v>
      </c>
      <c r="G202">
        <f t="shared" si="71"/>
        <v>227.98473366000002</v>
      </c>
      <c r="H202">
        <f t="shared" si="67"/>
        <v>0.51232524417977532</v>
      </c>
      <c r="I202">
        <f t="shared" si="68"/>
        <v>0.73319570337555218</v>
      </c>
      <c r="J202">
        <f t="shared" si="72"/>
        <v>2371.9504474852324</v>
      </c>
      <c r="K202">
        <f t="shared" si="69"/>
        <v>2371.9504474852324</v>
      </c>
      <c r="L202">
        <f t="shared" si="73"/>
        <v>1627.2715273749868</v>
      </c>
      <c r="M202">
        <f t="shared" si="70"/>
        <v>3999.2219748602192</v>
      </c>
      <c r="N202">
        <f t="shared" si="74"/>
        <v>0.58089558277949682</v>
      </c>
      <c r="O202" s="69">
        <f>0.5*Drag!$C$97*G202^2*Drag!$C$95*Drag!$C$19</f>
        <v>354.92189793050119</v>
      </c>
    </row>
    <row r="203" spans="4:15">
      <c r="D203">
        <f t="shared" si="66"/>
        <v>140.01518999999999</v>
      </c>
      <c r="F203">
        <v>0.21</v>
      </c>
      <c r="G203">
        <f t="shared" si="71"/>
        <v>233.54533691999998</v>
      </c>
      <c r="H203">
        <f t="shared" si="67"/>
        <v>0.52482098184269654</v>
      </c>
      <c r="I203">
        <f t="shared" si="68"/>
        <v>0.74247797909508984</v>
      </c>
      <c r="J203">
        <f t="shared" si="72"/>
        <v>2344.7894130687214</v>
      </c>
      <c r="K203">
        <f t="shared" si="69"/>
        <v>2344.7894130687209</v>
      </c>
      <c r="L203">
        <f t="shared" si="73"/>
        <v>1623.9846670975887</v>
      </c>
      <c r="M203">
        <f t="shared" si="70"/>
        <v>3968.7740801663103</v>
      </c>
      <c r="N203">
        <f t="shared" si="74"/>
        <v>0.58173273151525406</v>
      </c>
      <c r="O203" s="69">
        <f>0.5*Drag!$C$97*G203^2*Drag!$C$95*Drag!$C$19</f>
        <v>372.44629860166799</v>
      </c>
    </row>
    <row r="204" spans="4:15">
      <c r="D204">
        <f t="shared" si="66"/>
        <v>143.348885</v>
      </c>
      <c r="F204">
        <v>0.215</v>
      </c>
      <c r="G204">
        <f t="shared" si="71"/>
        <v>239.10594017999998</v>
      </c>
      <c r="H204">
        <f t="shared" si="67"/>
        <v>0.53731671950561799</v>
      </c>
      <c r="I204">
        <f t="shared" si="68"/>
        <v>0.75146286991465727</v>
      </c>
      <c r="J204">
        <f t="shared" si="72"/>
        <v>2317.9743643688657</v>
      </c>
      <c r="K204">
        <f t="shared" si="69"/>
        <v>2317.9743643688657</v>
      </c>
      <c r="L204">
        <f t="shared" si="73"/>
        <v>1620.8069552423312</v>
      </c>
      <c r="M204">
        <f t="shared" si="70"/>
        <v>3938.781319611197</v>
      </c>
      <c r="N204">
        <f t="shared" si="74"/>
        <v>0.58259094528993249</v>
      </c>
      <c r="O204" s="69">
        <f>0.5*Drag!$C$97*G204^2*Drag!$C$95*Drag!$C$19</f>
        <v>390.3929739878028</v>
      </c>
    </row>
    <row r="205" spans="4:15">
      <c r="D205">
        <f t="shared" si="66"/>
        <v>146.68258</v>
      </c>
      <c r="F205">
        <v>0.22</v>
      </c>
      <c r="G205">
        <f t="shared" si="71"/>
        <v>244.66654344</v>
      </c>
      <c r="H205">
        <f t="shared" si="67"/>
        <v>0.54981245716853933</v>
      </c>
      <c r="I205">
        <f t="shared" si="68"/>
        <v>0.76015037583425449</v>
      </c>
      <c r="J205">
        <f t="shared" si="72"/>
        <v>2291.481711450439</v>
      </c>
      <c r="K205">
        <f t="shared" si="69"/>
        <v>2291.481711450439</v>
      </c>
      <c r="L205">
        <f t="shared" si="73"/>
        <v>1617.7359415716221</v>
      </c>
      <c r="M205">
        <f t="shared" si="70"/>
        <v>3909.2176530220613</v>
      </c>
      <c r="N205">
        <f t="shared" si="74"/>
        <v>0.58347028846480409</v>
      </c>
      <c r="O205" s="69">
        <f>0.5*Drag!$C$97*G205^2*Drag!$C$95*Drag!$C$19</f>
        <v>408.76192408890552</v>
      </c>
    </row>
    <row r="206" spans="4:15">
      <c r="D206">
        <f t="shared" si="66"/>
        <v>150.01627500000001</v>
      </c>
      <c r="F206">
        <v>0.22500000000000001</v>
      </c>
      <c r="G206">
        <f t="shared" si="71"/>
        <v>250.22714669999999</v>
      </c>
      <c r="H206">
        <f t="shared" si="67"/>
        <v>0.56230819483146066</v>
      </c>
      <c r="I206">
        <f t="shared" si="68"/>
        <v>0.76854049685388115</v>
      </c>
      <c r="J206">
        <f t="shared" si="72"/>
        <v>2265.2899612613455</v>
      </c>
      <c r="K206">
        <f t="shared" si="69"/>
        <v>2265.2899612613455</v>
      </c>
      <c r="L206">
        <f t="shared" si="73"/>
        <v>1614.7693092425459</v>
      </c>
      <c r="M206">
        <f t="shared" si="70"/>
        <v>3880.0592705038916</v>
      </c>
      <c r="N206">
        <f t="shared" si="74"/>
        <v>0.58437082698521814</v>
      </c>
      <c r="O206" s="69">
        <f>0.5*Drag!$C$97*G206^2*Drag!$C$95*Drag!$C$19</f>
        <v>427.55314890497607</v>
      </c>
    </row>
    <row r="207" spans="4:15">
      <c r="D207">
        <f t="shared" si="66"/>
        <v>153.34997000000001</v>
      </c>
      <c r="F207">
        <v>0.23</v>
      </c>
      <c r="G207">
        <f t="shared" si="71"/>
        <v>255.78774996000001</v>
      </c>
      <c r="H207">
        <f t="shared" si="67"/>
        <v>0.57480393249438211</v>
      </c>
      <c r="I207">
        <f t="shared" si="68"/>
        <v>0.77663323297353748</v>
      </c>
      <c r="J207">
        <f t="shared" si="72"/>
        <v>2239.3794897105422</v>
      </c>
      <c r="K207">
        <f t="shared" si="69"/>
        <v>2239.3794897105422</v>
      </c>
      <c r="L207">
        <f t="shared" si="73"/>
        <v>1611.9048648397531</v>
      </c>
      <c r="M207">
        <f t="shared" si="70"/>
        <v>3851.2843545502956</v>
      </c>
      <c r="N207">
        <f t="shared" si="74"/>
        <v>0.58529262838548557</v>
      </c>
      <c r="O207" s="69">
        <f>0.5*Drag!$C$97*G207^2*Drag!$C$95*Drag!$C$19</f>
        <v>446.76664843601452</v>
      </c>
    </row>
    <row r="208" spans="4:15">
      <c r="D208">
        <f t="shared" si="66"/>
        <v>156.68366499999999</v>
      </c>
      <c r="F208">
        <v>0.23499999999999999</v>
      </c>
      <c r="G208">
        <f t="shared" si="71"/>
        <v>261.34835321999998</v>
      </c>
      <c r="H208">
        <f t="shared" si="67"/>
        <v>0.58729967015730333</v>
      </c>
      <c r="I208">
        <f t="shared" si="68"/>
        <v>0.78442858419322348</v>
      </c>
      <c r="J208">
        <f t="shared" si="72"/>
        <v>2213.7323428423938</v>
      </c>
      <c r="K208">
        <f t="shared" si="69"/>
        <v>2213.7323428423933</v>
      </c>
      <c r="L208">
        <f t="shared" si="73"/>
        <v>1609.1405293707282</v>
      </c>
      <c r="M208">
        <f t="shared" si="70"/>
        <v>3822.8728722131218</v>
      </c>
      <c r="N208">
        <f t="shared" si="74"/>
        <v>0.58623576179387726</v>
      </c>
      <c r="O208" s="69">
        <f>0.5*Drag!$C$97*G208^2*Drag!$C$95*Drag!$C$19</f>
        <v>466.4024226820207</v>
      </c>
    </row>
    <row r="209" spans="4:15">
      <c r="D209">
        <f t="shared" si="66"/>
        <v>160.01736</v>
      </c>
      <c r="F209">
        <v>0.24</v>
      </c>
      <c r="G209">
        <f t="shared" si="71"/>
        <v>266.90895647999997</v>
      </c>
      <c r="H209">
        <f t="shared" si="67"/>
        <v>0.59979540782022467</v>
      </c>
      <c r="I209">
        <f t="shared" si="68"/>
        <v>0.79192655051293892</v>
      </c>
      <c r="J209">
        <f t="shared" si="72"/>
        <v>2188.3320628642332</v>
      </c>
      <c r="K209">
        <f t="shared" si="69"/>
        <v>2188.3320628642332</v>
      </c>
      <c r="L209">
        <f t="shared" si="73"/>
        <v>1606.4743301117412</v>
      </c>
      <c r="M209">
        <f t="shared" si="70"/>
        <v>3794.8063929759746</v>
      </c>
      <c r="N209">
        <f t="shared" si="74"/>
        <v>0.58720029793774031</v>
      </c>
      <c r="O209" s="69">
        <f>0.5*Drag!$C$97*G209^2*Drag!$C$95*Drag!$C$19</f>
        <v>486.46047164299495</v>
      </c>
    </row>
    <row r="210" spans="4:15">
      <c r="D210">
        <f t="shared" si="66"/>
        <v>163.351055</v>
      </c>
      <c r="F210">
        <v>0.245</v>
      </c>
      <c r="G210">
        <f t="shared" si="71"/>
        <v>272.46955973999997</v>
      </c>
      <c r="H210">
        <f t="shared" si="67"/>
        <v>0.612291145483146</v>
      </c>
      <c r="I210">
        <f t="shared" si="68"/>
        <v>0.79912713193268403</v>
      </c>
      <c r="J210">
        <f t="shared" si="72"/>
        <v>2163.1635354766736</v>
      </c>
      <c r="K210">
        <f t="shared" si="69"/>
        <v>2163.1635354766736</v>
      </c>
      <c r="L210">
        <f t="shared" si="73"/>
        <v>1603.9043932077846</v>
      </c>
      <c r="M210">
        <f t="shared" si="70"/>
        <v>3767.0679286844579</v>
      </c>
      <c r="N210">
        <f t="shared" si="74"/>
        <v>0.58818630914872516</v>
      </c>
      <c r="O210" s="69">
        <f>0.5*Drag!$C$97*G210^2*Drag!$C$95*Drag!$C$19</f>
        <v>506.94079531893698</v>
      </c>
    </row>
    <row r="211" spans="4:15">
      <c r="D211">
        <f t="shared" si="66"/>
        <v>166.68475000000001</v>
      </c>
      <c r="F211">
        <v>0.25</v>
      </c>
      <c r="G211">
        <f t="shared" si="71"/>
        <v>278.03016300000002</v>
      </c>
      <c r="H211">
        <f t="shared" si="67"/>
        <v>0.62478688314606745</v>
      </c>
      <c r="I211">
        <f t="shared" si="68"/>
        <v>0.80603032845245903</v>
      </c>
      <c r="J211">
        <f t="shared" si="72"/>
        <v>2138.2128555242803</v>
      </c>
      <c r="K211">
        <f t="shared" si="69"/>
        <v>2138.2128555242803</v>
      </c>
      <c r="L211">
        <f t="shared" si="73"/>
        <v>1601.4289369425794</v>
      </c>
      <c r="M211">
        <f t="shared" si="70"/>
        <v>3739.6417924668594</v>
      </c>
      <c r="N211">
        <f t="shared" si="74"/>
        <v>0.58919386936813078</v>
      </c>
      <c r="O211" s="69">
        <f>0.5*Drag!$C$97*G211^2*Drag!$C$95*Drag!$C$19</f>
        <v>527.84339370984708</v>
      </c>
    </row>
    <row r="212" spans="4:15">
      <c r="D212">
        <f t="shared" si="66"/>
        <v>170.01844500000001</v>
      </c>
      <c r="F212">
        <v>0.255</v>
      </c>
      <c r="G212">
        <f t="shared" si="71"/>
        <v>283.59076626000001</v>
      </c>
      <c r="H212">
        <f t="shared" si="67"/>
        <v>0.63728262080898879</v>
      </c>
      <c r="I212">
        <f t="shared" si="68"/>
        <v>0.81263614007226326</v>
      </c>
      <c r="J212">
        <f t="shared" si="72"/>
        <v>2113.4672084520421</v>
      </c>
      <c r="K212">
        <f t="shared" si="69"/>
        <v>2113.4672084520421</v>
      </c>
      <c r="L212">
        <f t="shared" si="73"/>
        <v>1599.0462656055547</v>
      </c>
      <c r="M212">
        <f t="shared" si="70"/>
        <v>3712.5134740575968</v>
      </c>
      <c r="N212">
        <f t="shared" si="74"/>
        <v>0.59022305415236587</v>
      </c>
      <c r="O212" s="69">
        <f>0.5*Drag!$C$97*G212^2*Drag!$C$95*Drag!$C$19</f>
        <v>549.16826681572491</v>
      </c>
    </row>
    <row r="213" spans="4:15">
      <c r="D213">
        <f t="shared" si="66"/>
        <v>173.35214000000002</v>
      </c>
      <c r="F213">
        <v>0.26</v>
      </c>
      <c r="G213">
        <f t="shared" si="71"/>
        <v>289.15136952</v>
      </c>
      <c r="H213">
        <f t="shared" si="67"/>
        <v>0.64977835847191012</v>
      </c>
      <c r="I213">
        <f t="shared" si="68"/>
        <v>0.81894456679209726</v>
      </c>
      <c r="J213">
        <f t="shared" si="72"/>
        <v>2088.9147654399508</v>
      </c>
      <c r="K213">
        <f t="shared" si="69"/>
        <v>2088.9147654399508</v>
      </c>
      <c r="L213">
        <f t="shared" si="73"/>
        <v>1596.7547638919532</v>
      </c>
      <c r="M213">
        <f t="shared" si="70"/>
        <v>3685.669529331904</v>
      </c>
      <c r="N213">
        <f t="shared" si="74"/>
        <v>0.5912739406785229</v>
      </c>
      <c r="O213" s="69">
        <f>0.5*Drag!$C$97*G213^2*Drag!$C$95*Drag!$C$19</f>
        <v>570.91541463657052</v>
      </c>
    </row>
    <row r="214" spans="4:15">
      <c r="D214">
        <f t="shared" si="66"/>
        <v>176.68583500000003</v>
      </c>
      <c r="F214">
        <v>0.26500000000000001</v>
      </c>
      <c r="G214">
        <f t="shared" si="71"/>
        <v>294.71197278000005</v>
      </c>
      <c r="H214">
        <f t="shared" si="67"/>
        <v>0.66227409613483157</v>
      </c>
      <c r="I214">
        <f t="shared" si="68"/>
        <v>0.82495560861196093</v>
      </c>
      <c r="J214">
        <f t="shared" si="72"/>
        <v>2064.5445904091298</v>
      </c>
      <c r="K214">
        <f t="shared" si="69"/>
        <v>2064.5445904091298</v>
      </c>
      <c r="L214">
        <f t="shared" si="73"/>
        <v>1594.5528917801762</v>
      </c>
      <c r="M214">
        <f t="shared" si="70"/>
        <v>3659.097482189306</v>
      </c>
      <c r="N214">
        <f t="shared" si="74"/>
        <v>0.59234660775007109</v>
      </c>
      <c r="O214" s="69">
        <f>0.5*Drag!$C$97*G214^2*Drag!$C$95*Drag!$C$19</f>
        <v>593.08483717238437</v>
      </c>
    </row>
    <row r="215" spans="4:15">
      <c r="D215">
        <f t="shared" si="66"/>
        <v>180.01953000000003</v>
      </c>
      <c r="F215">
        <v>0.27</v>
      </c>
      <c r="G215">
        <f t="shared" si="71"/>
        <v>300.27257604000005</v>
      </c>
      <c r="H215">
        <f t="shared" si="67"/>
        <v>0.6747698337977529</v>
      </c>
      <c r="I215">
        <f t="shared" si="68"/>
        <v>0.83066926553185427</v>
      </c>
      <c r="J215">
        <f t="shared" si="72"/>
        <v>2040.3465573606202</v>
      </c>
      <c r="K215">
        <f t="shared" si="69"/>
        <v>2040.34655736062</v>
      </c>
      <c r="L215">
        <f t="shared" si="73"/>
        <v>1592.4391798372499</v>
      </c>
      <c r="M215">
        <f t="shared" si="70"/>
        <v>3632.7857371978698</v>
      </c>
      <c r="N215">
        <f t="shared" si="74"/>
        <v>0.59344113580266256</v>
      </c>
      <c r="O215" s="69">
        <f>0.5*Drag!$C$97*G215^2*Drag!$C$95*Drag!$C$19</f>
        <v>615.67653442316566</v>
      </c>
    </row>
    <row r="216" spans="4:15">
      <c r="D216">
        <f t="shared" si="66"/>
        <v>183.35322500000004</v>
      </c>
      <c r="F216">
        <v>0.27500000000000002</v>
      </c>
      <c r="G216">
        <f t="shared" si="71"/>
        <v>305.83317930000004</v>
      </c>
      <c r="H216">
        <f t="shared" si="67"/>
        <v>0.68726557146067424</v>
      </c>
      <c r="I216">
        <f t="shared" si="68"/>
        <v>0.83608553755177706</v>
      </c>
      <c r="J216">
        <f t="shared" si="72"/>
        <v>2016.3112767317496</v>
      </c>
      <c r="K216">
        <f t="shared" si="69"/>
        <v>2016.3112767317496</v>
      </c>
      <c r="L216">
        <f t="shared" si="73"/>
        <v>1590.4122249092195</v>
      </c>
      <c r="M216">
        <f t="shared" si="70"/>
        <v>3606.7235016409691</v>
      </c>
      <c r="N216">
        <f t="shared" si="74"/>
        <v>0.59455760691005866</v>
      </c>
      <c r="O216" s="69">
        <f>0.5*Drag!$C$97*G216^2*Drag!$C$95*Drag!$C$19</f>
        <v>638.69050638891508</v>
      </c>
    </row>
    <row r="217" spans="4:15">
      <c r="D217">
        <f t="shared" si="66"/>
        <v>186.68692000000001</v>
      </c>
      <c r="F217">
        <v>0.28000000000000003</v>
      </c>
      <c r="G217">
        <f t="shared" si="71"/>
        <v>311.39378256000003</v>
      </c>
      <c r="H217">
        <f t="shared" si="67"/>
        <v>0.69976130912359569</v>
      </c>
      <c r="I217">
        <f t="shared" si="68"/>
        <v>0.84120442467172951</v>
      </c>
      <c r="J217">
        <f t="shared" si="72"/>
        <v>1992.4300296428951</v>
      </c>
      <c r="K217">
        <f t="shared" si="69"/>
        <v>1992.4300296428953</v>
      </c>
      <c r="L217">
        <f t="shared" si="73"/>
        <v>1588.4706861582899</v>
      </c>
      <c r="M217">
        <f t="shared" si="70"/>
        <v>3580.900715801185</v>
      </c>
      <c r="N217">
        <f t="shared" si="74"/>
        <v>0.59569610479016799</v>
      </c>
      <c r="O217" s="69">
        <f>0.5*Drag!$C$97*G217^2*Drag!$C$95*Drag!$C$19</f>
        <v>662.12675306963229</v>
      </c>
    </row>
    <row r="218" spans="4:15">
      <c r="D218">
        <f t="shared" si="66"/>
        <v>190.02061499999999</v>
      </c>
      <c r="F218">
        <v>0.28499999999999998</v>
      </c>
      <c r="G218">
        <f t="shared" si="71"/>
        <v>316.95438581999997</v>
      </c>
      <c r="H218">
        <f t="shared" si="67"/>
        <v>0.7122570467865168</v>
      </c>
      <c r="I218">
        <f t="shared" si="68"/>
        <v>0.84602592689171163</v>
      </c>
      <c r="J218">
        <f t="shared" si="72"/>
        <v>1968.6947090656352</v>
      </c>
      <c r="K218">
        <f t="shared" si="69"/>
        <v>1968.6947090656352</v>
      </c>
      <c r="L218">
        <f t="shared" si="73"/>
        <v>1586.6132814130001</v>
      </c>
      <c r="M218">
        <f t="shared" si="70"/>
        <v>3555.3079904786355</v>
      </c>
      <c r="N218">
        <f t="shared" si="74"/>
        <v>0.59685671481120584</v>
      </c>
      <c r="O218" s="69">
        <f>0.5*Drag!$C$97*G218^2*Drag!$C$95*Drag!$C$19</f>
        <v>685.98527446531705</v>
      </c>
    </row>
    <row r="219" spans="4:15">
      <c r="D219">
        <f t="shared" si="66"/>
        <v>193.35431</v>
      </c>
      <c r="F219">
        <v>0.28999999999999998</v>
      </c>
      <c r="G219">
        <f t="shared" si="71"/>
        <v>322.51498907999996</v>
      </c>
      <c r="H219">
        <f t="shared" si="67"/>
        <v>0.72475278444943803</v>
      </c>
      <c r="I219">
        <f t="shared" si="68"/>
        <v>0.85055004421172331</v>
      </c>
      <c r="J219">
        <f t="shared" si="72"/>
        <v>1945.0977670769553</v>
      </c>
      <c r="K219">
        <f t="shared" si="69"/>
        <v>1945.0977670769553</v>
      </c>
      <c r="L219">
        <f t="shared" si="73"/>
        <v>1584.8387838014728</v>
      </c>
      <c r="M219">
        <f t="shared" si="70"/>
        <v>3529.9365508784281</v>
      </c>
      <c r="N219">
        <f t="shared" si="74"/>
        <v>0.59803952399796545</v>
      </c>
      <c r="O219" s="69">
        <f>0.5*Drag!$C$97*G219^2*Drag!$C$95*Drag!$C$19</f>
        <v>710.26607057597005</v>
      </c>
    </row>
    <row r="220" spans="4:15">
      <c r="D220">
        <f t="shared" si="66"/>
        <v>196.688005</v>
      </c>
      <c r="F220">
        <v>0.29499999999999998</v>
      </c>
      <c r="G220">
        <f t="shared" si="71"/>
        <v>328.07559234000001</v>
      </c>
      <c r="H220">
        <f t="shared" si="67"/>
        <v>0.73724852211235958</v>
      </c>
      <c r="I220">
        <f t="shared" si="68"/>
        <v>0.85477677663176477</v>
      </c>
      <c r="J220">
        <f t="shared" si="72"/>
        <v>1921.6321674774367</v>
      </c>
      <c r="K220">
        <f t="shared" si="69"/>
        <v>1921.6321674774365</v>
      </c>
      <c r="L220">
        <f t="shared" si="73"/>
        <v>1583.1460186411784</v>
      </c>
      <c r="M220">
        <f t="shared" si="70"/>
        <v>3504.7781861186149</v>
      </c>
      <c r="N220">
        <f t="shared" si="74"/>
        <v>0.5992446210382113</v>
      </c>
      <c r="O220" s="69">
        <f>0.5*Drag!$C$97*G220^2*Drag!$C$95*Drag!$C$19</f>
        <v>734.96914140159106</v>
      </c>
    </row>
    <row r="221" spans="4:15">
      <c r="D221">
        <f t="shared" si="66"/>
        <v>200.02170000000001</v>
      </c>
      <c r="F221">
        <v>0.3</v>
      </c>
      <c r="G221">
        <f t="shared" si="71"/>
        <v>333.63619560000001</v>
      </c>
      <c r="H221">
        <f t="shared" si="67"/>
        <v>0.74974425977528092</v>
      </c>
      <c r="I221">
        <f t="shared" si="68"/>
        <v>0.85870612415183556</v>
      </c>
      <c r="J221">
        <f t="shared" si="72"/>
        <v>1898.2913431476209</v>
      </c>
      <c r="K221">
        <f t="shared" si="69"/>
        <v>1898.2913431476204</v>
      </c>
      <c r="L221">
        <f t="shared" si="73"/>
        <v>1581.5338605615118</v>
      </c>
      <c r="M221">
        <f t="shared" si="70"/>
        <v>3479.8252037091324</v>
      </c>
      <c r="N221">
        <f t="shared" si="74"/>
        <v>0.60047209628918774</v>
      </c>
      <c r="O221" s="69">
        <f>0.5*Drag!$C$97*G221^2*Drag!$C$95*Drag!$C$19</f>
        <v>760.09448694217974</v>
      </c>
    </row>
    <row r="222" spans="4:15">
      <c r="D222">
        <f t="shared" si="66"/>
        <v>203.35539500000002</v>
      </c>
      <c r="F222">
        <v>0.30499999999999999</v>
      </c>
      <c r="G222">
        <f t="shared" si="71"/>
        <v>339.19679886</v>
      </c>
      <c r="H222">
        <f t="shared" si="67"/>
        <v>0.76223999743820225</v>
      </c>
      <c r="I222">
        <f t="shared" si="68"/>
        <v>0.86233808677193613</v>
      </c>
      <c r="J222">
        <f t="shared" si="72"/>
        <v>1875.0691575988344</v>
      </c>
      <c r="K222">
        <f t="shared" si="69"/>
        <v>1875.0691575988344</v>
      </c>
      <c r="L222">
        <f t="shared" si="73"/>
        <v>1580.0012308380431</v>
      </c>
      <c r="M222">
        <f t="shared" si="70"/>
        <v>3455.0703884368777</v>
      </c>
      <c r="N222">
        <f t="shared" si="74"/>
        <v>0.60172204178424205</v>
      </c>
      <c r="O222" s="69">
        <f>0.5*Drag!$C$97*G222^2*Drag!$C$95*Drag!$C$19</f>
        <v>785.64210719773632</v>
      </c>
    </row>
    <row r="223" spans="4:15">
      <c r="D223">
        <f t="shared" si="66"/>
        <v>206.68909000000002</v>
      </c>
      <c r="F223">
        <v>0.31</v>
      </c>
      <c r="G223">
        <f t="shared" si="71"/>
        <v>344.75740211999999</v>
      </c>
      <c r="H223">
        <f t="shared" si="67"/>
        <v>0.77473573510112359</v>
      </c>
      <c r="I223">
        <f t="shared" si="68"/>
        <v>0.86567266449206637</v>
      </c>
      <c r="J223">
        <f t="shared" si="72"/>
        <v>1851.9598702448984</v>
      </c>
      <c r="K223">
        <f t="shared" si="69"/>
        <v>1851.9598702448986</v>
      </c>
      <c r="L223">
        <f t="shared" si="73"/>
        <v>1578.5470949195712</v>
      </c>
      <c r="M223">
        <f t="shared" si="70"/>
        <v>3430.5069651644699</v>
      </c>
      <c r="N223">
        <f t="shared" si="74"/>
        <v>0.60299455123957135</v>
      </c>
      <c r="O223" s="69">
        <f>0.5*Drag!$C$97*G223^2*Drag!$C$95*Drag!$C$19</f>
        <v>811.6120021682608</v>
      </c>
    </row>
    <row r="224" spans="4:15">
      <c r="D224">
        <f t="shared" si="66"/>
        <v>210.022785</v>
      </c>
      <c r="F224">
        <v>0.315</v>
      </c>
      <c r="G224">
        <f t="shared" si="71"/>
        <v>350.31800537999999</v>
      </c>
      <c r="H224">
        <f t="shared" si="67"/>
        <v>0.78723147276404493</v>
      </c>
      <c r="I224">
        <f t="shared" si="68"/>
        <v>0.86870985731222616</v>
      </c>
      <c r="J224">
        <f t="shared" si="72"/>
        <v>1828.9581049812966</v>
      </c>
      <c r="K224">
        <f t="shared" si="69"/>
        <v>1828.9581049812964</v>
      </c>
      <c r="L224">
        <f t="shared" si="73"/>
        <v>1577.1704601310248</v>
      </c>
      <c r="M224">
        <f t="shared" si="70"/>
        <v>3406.1285651123217</v>
      </c>
      <c r="N224">
        <f t="shared" si="74"/>
        <v>0.60428972006108195</v>
      </c>
      <c r="O224" s="69">
        <f>0.5*Drag!$C$97*G224^2*Drag!$C$95*Drag!$C$19</f>
        <v>838.00417185375318</v>
      </c>
    </row>
    <row r="225" spans="4:15">
      <c r="D225">
        <f t="shared" si="66"/>
        <v>213.35648</v>
      </c>
      <c r="F225">
        <v>0.32</v>
      </c>
      <c r="G225">
        <f t="shared" si="71"/>
        <v>355.87860863999998</v>
      </c>
      <c r="H225">
        <f t="shared" si="67"/>
        <v>0.79972721042696626</v>
      </c>
      <c r="I225">
        <f t="shared" si="68"/>
        <v>0.8714496652324154</v>
      </c>
      <c r="J225">
        <f t="shared" si="72"/>
        <v>1806.058821710043</v>
      </c>
      <c r="K225">
        <f t="shared" si="69"/>
        <v>1806.0588217100433</v>
      </c>
      <c r="L225">
        <f t="shared" si="73"/>
        <v>1575.8703735370316</v>
      </c>
      <c r="M225">
        <f t="shared" si="70"/>
        <v>3381.9291952470749</v>
      </c>
      <c r="N225">
        <f t="shared" si="74"/>
        <v>0.60560764535137124</v>
      </c>
      <c r="O225" s="69">
        <f>0.5*Drag!$C$97*G225^2*Drag!$C$95*Drag!$C$19</f>
        <v>864.81861625421334</v>
      </c>
    </row>
    <row r="226" spans="4:15">
      <c r="D226">
        <f t="shared" si="66"/>
        <v>216.69017500000001</v>
      </c>
      <c r="F226">
        <v>0.32500000000000001</v>
      </c>
      <c r="G226">
        <f t="shared" si="71"/>
        <v>361.43921189999998</v>
      </c>
      <c r="H226">
        <f t="shared" si="67"/>
        <v>0.81222294808988749</v>
      </c>
      <c r="I226">
        <f t="shared" si="68"/>
        <v>0.87389208825263465</v>
      </c>
      <c r="J226">
        <f t="shared" ref="J226:J257" si="75">(I226*550*$B$19)/G226</f>
        <v>1783.2572904930316</v>
      </c>
      <c r="K226">
        <f t="shared" si="69"/>
        <v>1783.2572904930316</v>
      </c>
      <c r="L226">
        <f t="shared" ref="L226:L256" si="76">$C$41*N226*(1-0.49*(SQRT(F226)))</f>
        <v>1574.6459199524879</v>
      </c>
      <c r="M226">
        <f t="shared" si="70"/>
        <v>3357.9032104455196</v>
      </c>
      <c r="N226">
        <f t="shared" ref="N226:N257" si="77">($AB$51/$AB$52)*(1+((1.4-1)/2)*F226^2)^(1.4/(1.4-1))</f>
        <v>0.60694842591682341</v>
      </c>
      <c r="O226" s="69">
        <f>0.5*Drag!$C$97*G226^2*Drag!$C$95*Drag!$C$19</f>
        <v>892.05533536964128</v>
      </c>
    </row>
    <row r="227" spans="4:15">
      <c r="D227">
        <f t="shared" ref="D227:D290" si="78">F227*666.739</f>
        <v>220.02387000000002</v>
      </c>
      <c r="F227">
        <v>0.33</v>
      </c>
      <c r="G227">
        <f t="shared" si="71"/>
        <v>366.99981516000003</v>
      </c>
      <c r="H227">
        <f t="shared" ref="H227:H290" si="79">(60*G227)/($C$153*$C$158)</f>
        <v>0.82471868575280904</v>
      </c>
      <c r="I227">
        <f t="shared" ref="I227:I290" si="80">0.096574+(1.73049*H227)-(0.952281*H227^2)</f>
        <v>0.87603712637288322</v>
      </c>
      <c r="J227">
        <f t="shared" si="75"/>
        <v>1760.5490680550677</v>
      </c>
      <c r="K227">
        <f t="shared" ref="K227:K290" si="81">I227*(($B$19*550)/G227)</f>
        <v>1760.5490680550674</v>
      </c>
      <c r="L227">
        <f t="shared" si="76"/>
        <v>1573.4962200878238</v>
      </c>
      <c r="M227">
        <f t="shared" ref="M227:M290" si="82">J227+L227</f>
        <v>3334.0452881428914</v>
      </c>
      <c r="N227">
        <f t="shared" si="77"/>
        <v>0.60831216227482776</v>
      </c>
      <c r="O227" s="69">
        <f>0.5*Drag!$C$97*G227^2*Drag!$C$95*Drag!$C$19</f>
        <v>919.71432920003747</v>
      </c>
    </row>
    <row r="228" spans="4:15">
      <c r="D228">
        <f t="shared" si="78"/>
        <v>223.35756500000002</v>
      </c>
      <c r="F228">
        <v>0.33500000000000002</v>
      </c>
      <c r="G228">
        <f t="shared" ref="G228:G291" si="83">D228*1.668</f>
        <v>372.56041842000002</v>
      </c>
      <c r="H228">
        <f t="shared" si="79"/>
        <v>0.83721442341573038</v>
      </c>
      <c r="I228">
        <f t="shared" si="80"/>
        <v>0.87788477959316147</v>
      </c>
      <c r="J228">
        <f t="shared" si="75"/>
        <v>1737.9299763911195</v>
      </c>
      <c r="K228">
        <f t="shared" si="81"/>
        <v>1737.9299763911197</v>
      </c>
      <c r="L228">
        <f t="shared" si="76"/>
        <v>1572.420428817876</v>
      </c>
      <c r="M228">
        <f t="shared" si="82"/>
        <v>3310.3504052089957</v>
      </c>
      <c r="N228">
        <f t="shared" si="77"/>
        <v>0.60969895666111595</v>
      </c>
      <c r="O228" s="69">
        <f>0.5*Drag!$C$97*G228^2*Drag!$C$95*Drag!$C$19</f>
        <v>947.79559774540121</v>
      </c>
    </row>
    <row r="229" spans="4:15">
      <c r="D229">
        <f t="shared" si="78"/>
        <v>226.69126000000003</v>
      </c>
      <c r="F229">
        <v>0.34</v>
      </c>
      <c r="G229">
        <f t="shared" si="83"/>
        <v>378.12102168000001</v>
      </c>
      <c r="H229">
        <f t="shared" si="79"/>
        <v>0.84971016107865172</v>
      </c>
      <c r="I229">
        <f t="shared" si="80"/>
        <v>0.87943504791346949</v>
      </c>
      <c r="J229">
        <f t="shared" si="75"/>
        <v>1715.3960832611581</v>
      </c>
      <c r="K229">
        <f t="shared" si="81"/>
        <v>1715.3960832611579</v>
      </c>
      <c r="L229">
        <f t="shared" si="76"/>
        <v>1571.4177335643058</v>
      </c>
      <c r="M229">
        <f t="shared" si="82"/>
        <v>3286.8138168254636</v>
      </c>
      <c r="N229">
        <f t="shared" si="77"/>
        <v>0.61110891303721337</v>
      </c>
      <c r="O229" s="69">
        <f>0.5*Drag!$C$97*G229^2*Drag!$C$95*Drag!$C$19</f>
        <v>976.29914100573308</v>
      </c>
    </row>
    <row r="230" spans="4:15">
      <c r="D230">
        <f t="shared" si="78"/>
        <v>230.02495500000001</v>
      </c>
      <c r="F230">
        <v>0.34499999999999997</v>
      </c>
      <c r="G230">
        <f t="shared" si="83"/>
        <v>383.68162494000001</v>
      </c>
      <c r="H230">
        <f t="shared" si="79"/>
        <v>0.86220589874157305</v>
      </c>
      <c r="I230">
        <f t="shared" si="80"/>
        <v>0.88068793133380685</v>
      </c>
      <c r="J230">
        <f t="shared" si="75"/>
        <v>1692.9436843810954</v>
      </c>
      <c r="K230">
        <f t="shared" si="81"/>
        <v>1692.9436843810954</v>
      </c>
      <c r="L230">
        <f t="shared" si="76"/>
        <v>1570.4873527825175</v>
      </c>
      <c r="M230">
        <f t="shared" si="82"/>
        <v>3263.4310371636129</v>
      </c>
      <c r="N230">
        <f t="shared" si="77"/>
        <v>0.61254213709801697</v>
      </c>
      <c r="O230" s="69">
        <f>0.5*Drag!$C$97*G230^2*Drag!$C$95*Drag!$C$19</f>
        <v>1005.2249589810327</v>
      </c>
    </row>
    <row r="231" spans="4:15">
      <c r="D231">
        <f t="shared" si="78"/>
        <v>233.35864999999998</v>
      </c>
      <c r="F231">
        <v>0.35</v>
      </c>
      <c r="G231">
        <f t="shared" si="83"/>
        <v>389.24222819999994</v>
      </c>
      <c r="H231">
        <f t="shared" si="79"/>
        <v>0.87470163640449428</v>
      </c>
      <c r="I231">
        <f t="shared" si="80"/>
        <v>0.8816434298541741</v>
      </c>
      <c r="J231">
        <f t="shared" si="75"/>
        <v>1670.5692871402237</v>
      </c>
      <c r="K231">
        <f t="shared" si="81"/>
        <v>1670.5692871402237</v>
      </c>
      <c r="L231">
        <f t="shared" si="76"/>
        <v>1569.6285345448166</v>
      </c>
      <c r="M231">
        <f t="shared" si="82"/>
        <v>3240.1978216850403</v>
      </c>
      <c r="N231">
        <f t="shared" si="77"/>
        <v>0.61399873627948642</v>
      </c>
      <c r="O231" s="69">
        <f>0.5*Drag!$C$97*G231^2*Drag!$C$95*Drag!$C$19</f>
        <v>1034.5730516712997</v>
      </c>
    </row>
    <row r="232" spans="4:15">
      <c r="D232">
        <f t="shared" si="78"/>
        <v>236.69234499999999</v>
      </c>
      <c r="F232">
        <v>0.35499999999999998</v>
      </c>
      <c r="G232">
        <f t="shared" si="83"/>
        <v>394.80283145999994</v>
      </c>
      <c r="H232">
        <f t="shared" si="79"/>
        <v>0.88719737406741561</v>
      </c>
      <c r="I232">
        <f t="shared" si="80"/>
        <v>0.88230154347457068</v>
      </c>
      <c r="J232">
        <f t="shared" si="75"/>
        <v>1648.2695956946309</v>
      </c>
      <c r="K232">
        <f t="shared" si="81"/>
        <v>1648.2695956946309</v>
      </c>
      <c r="L232">
        <f t="shared" si="76"/>
        <v>1568.840555212365</v>
      </c>
      <c r="M232">
        <f t="shared" si="82"/>
        <v>3217.1101509069958</v>
      </c>
      <c r="N232">
        <f t="shared" si="77"/>
        <v>0.61547881976646113</v>
      </c>
      <c r="O232" s="69">
        <f>0.5*Drag!$C$97*G232^2*Drag!$C$95*Drag!$C$19</f>
        <v>1064.3434190765352</v>
      </c>
    </row>
    <row r="233" spans="4:15">
      <c r="D233">
        <f t="shared" si="78"/>
        <v>240.02603999999999</v>
      </c>
      <c r="F233">
        <v>0.36</v>
      </c>
      <c r="G233">
        <f t="shared" si="83"/>
        <v>400.36343471999999</v>
      </c>
      <c r="H233">
        <f t="shared" si="79"/>
        <v>0.89969311173033695</v>
      </c>
      <c r="I233">
        <f t="shared" si="80"/>
        <v>0.88266227219499693</v>
      </c>
      <c r="J233">
        <f t="shared" si="75"/>
        <v>1626.0414973028485</v>
      </c>
      <c r="K233">
        <f t="shared" si="81"/>
        <v>1626.0414973028483</v>
      </c>
      <c r="L233">
        <f t="shared" si="76"/>
        <v>1568.1227181891031</v>
      </c>
      <c r="M233">
        <f t="shared" si="82"/>
        <v>3194.1642154919518</v>
      </c>
      <c r="N233">
        <f t="shared" si="77"/>
        <v>0.61698249850059139</v>
      </c>
      <c r="O233" s="69">
        <f>0.5*Drag!$C$97*G233^2*Drag!$C$95*Drag!$C$19</f>
        <v>1094.5360611967385</v>
      </c>
    </row>
    <row r="234" spans="4:15">
      <c r="D234">
        <f t="shared" si="78"/>
        <v>243.359735</v>
      </c>
      <c r="F234">
        <v>0.36499999999999999</v>
      </c>
      <c r="G234">
        <f t="shared" si="83"/>
        <v>405.92403797999998</v>
      </c>
      <c r="H234">
        <f t="shared" si="79"/>
        <v>0.91218884939325828</v>
      </c>
      <c r="I234">
        <f t="shared" si="80"/>
        <v>0.88272561601545318</v>
      </c>
      <c r="J234">
        <f t="shared" si="75"/>
        <v>1603.8820497845836</v>
      </c>
      <c r="K234">
        <f t="shared" si="81"/>
        <v>1603.8820497845834</v>
      </c>
      <c r="L234">
        <f t="shared" si="76"/>
        <v>1567.4743527514906</v>
      </c>
      <c r="M234">
        <f t="shared" si="82"/>
        <v>3171.3564025360743</v>
      </c>
      <c r="N234">
        <f t="shared" si="77"/>
        <v>0.61850988518839434</v>
      </c>
      <c r="O234" s="69">
        <f>0.5*Drag!$C$97*G234^2*Drag!$C$95*Drag!$C$19</f>
        <v>1125.1509780319097</v>
      </c>
    </row>
    <row r="235" spans="4:15">
      <c r="D235">
        <f t="shared" si="78"/>
        <v>246.69343000000001</v>
      </c>
      <c r="F235">
        <v>0.37</v>
      </c>
      <c r="G235">
        <f t="shared" si="83"/>
        <v>411.48464123999997</v>
      </c>
      <c r="H235">
        <f t="shared" si="79"/>
        <v>0.92468458705617973</v>
      </c>
      <c r="I235">
        <f t="shared" si="80"/>
        <v>0.88249157493593866</v>
      </c>
      <c r="J235">
        <f t="shared" si="75"/>
        <v>1581.7884699963133</v>
      </c>
      <c r="K235">
        <f t="shared" si="81"/>
        <v>1581.7884699963136</v>
      </c>
      <c r="L235">
        <f t="shared" si="76"/>
        <v>1566.8948129484033</v>
      </c>
      <c r="M235">
        <f t="shared" si="82"/>
        <v>3148.6832829447167</v>
      </c>
      <c r="N235">
        <f t="shared" si="77"/>
        <v>0.62006109430942813</v>
      </c>
      <c r="O235" s="69">
        <f>0.5*Drag!$C$97*G235^2*Drag!$C$95*Drag!$C$19</f>
        <v>1156.1881695820487</v>
      </c>
    </row>
    <row r="236" spans="4:15">
      <c r="D236">
        <f t="shared" si="78"/>
        <v>250.02712500000001</v>
      </c>
      <c r="F236">
        <v>0.375</v>
      </c>
      <c r="G236">
        <f t="shared" si="83"/>
        <v>417.04524450000002</v>
      </c>
      <c r="H236">
        <f t="shared" si="79"/>
        <v>0.93718032471910118</v>
      </c>
      <c r="I236">
        <f t="shared" si="80"/>
        <v>0.8819601489564538</v>
      </c>
      <c r="J236">
        <f t="shared" si="75"/>
        <v>1559.7581232288394</v>
      </c>
      <c r="K236">
        <f t="shared" si="81"/>
        <v>1559.7581232288394</v>
      </c>
      <c r="L236">
        <f t="shared" si="76"/>
        <v>1566.3834765660529</v>
      </c>
      <c r="M236">
        <f t="shared" si="82"/>
        <v>3126.1415997948925</v>
      </c>
      <c r="N236">
        <f t="shared" si="77"/>
        <v>0.62163624212458968</v>
      </c>
      <c r="O236" s="69">
        <f>0.5*Drag!$C$97*G236^2*Drag!$C$95*Drag!$C$19</f>
        <v>1187.6476358471559</v>
      </c>
    </row>
    <row r="237" spans="4:15">
      <c r="D237">
        <f t="shared" si="78"/>
        <v>253.36082000000002</v>
      </c>
      <c r="F237">
        <v>0.38</v>
      </c>
      <c r="G237">
        <f t="shared" si="83"/>
        <v>422.60584776000002</v>
      </c>
      <c r="H237">
        <f t="shared" si="79"/>
        <v>0.94967606238202251</v>
      </c>
      <c r="I237">
        <f t="shared" si="80"/>
        <v>0.88113133807699884</v>
      </c>
      <c r="J237">
        <f t="shared" si="75"/>
        <v>1537.7885134418671</v>
      </c>
      <c r="K237">
        <f t="shared" si="81"/>
        <v>1537.7885134418673</v>
      </c>
      <c r="L237">
        <f t="shared" si="76"/>
        <v>1565.9397441532149</v>
      </c>
      <c r="M237">
        <f t="shared" si="82"/>
        <v>3103.7282575950821</v>
      </c>
      <c r="N237">
        <f t="shared" si="77"/>
        <v>0.62323544668453035</v>
      </c>
      <c r="O237" s="69">
        <f>0.5*Drag!$C$97*G237^2*Drag!$C$95*Drag!$C$19</f>
        <v>1219.5293768272306</v>
      </c>
    </row>
    <row r="238" spans="4:15">
      <c r="D238">
        <f t="shared" si="78"/>
        <v>256.69451500000002</v>
      </c>
      <c r="F238">
        <v>0.38500000000000001</v>
      </c>
      <c r="G238">
        <f t="shared" si="83"/>
        <v>428.16645102000001</v>
      </c>
      <c r="H238">
        <f t="shared" si="79"/>
        <v>0.96217180004494385</v>
      </c>
      <c r="I238">
        <f t="shared" si="80"/>
        <v>0.8800051422975731</v>
      </c>
      <c r="J238">
        <f t="shared" si="75"/>
        <v>1515.8772742595322</v>
      </c>
      <c r="K238">
        <f t="shared" si="81"/>
        <v>1515.877274259532</v>
      </c>
      <c r="L238">
        <f t="shared" si="76"/>
        <v>1565.5630381024664</v>
      </c>
      <c r="M238">
        <f t="shared" si="82"/>
        <v>3081.4403123619986</v>
      </c>
      <c r="N238">
        <f t="shared" si="77"/>
        <v>0.62485882783819502</v>
      </c>
      <c r="O238" s="69">
        <f>0.5*Drag!$C$97*G238^2*Drag!$C$95*Drag!$C$19</f>
        <v>1251.8333925222732</v>
      </c>
    </row>
    <row r="239" spans="4:15">
      <c r="D239">
        <f t="shared" si="78"/>
        <v>260.02821</v>
      </c>
      <c r="F239">
        <v>0.39</v>
      </c>
      <c r="G239">
        <f t="shared" si="83"/>
        <v>433.72705428</v>
      </c>
      <c r="H239">
        <f t="shared" si="79"/>
        <v>0.97466753770786518</v>
      </c>
      <c r="I239">
        <f t="shared" si="80"/>
        <v>0.87858156161817702</v>
      </c>
      <c r="J239">
        <f t="shared" si="75"/>
        <v>1494.022160658579</v>
      </c>
      <c r="K239">
        <f t="shared" si="81"/>
        <v>1494.0221606585792</v>
      </c>
      <c r="L239">
        <f t="shared" si="76"/>
        <v>1565.2528017834907</v>
      </c>
      <c r="M239">
        <f t="shared" si="82"/>
        <v>3059.2749624420694</v>
      </c>
      <c r="N239">
        <f t="shared" si="77"/>
        <v>0.62650650724148371</v>
      </c>
      <c r="O239" s="69">
        <f>0.5*Drag!$C$97*G239^2*Drag!$C$95*Drag!$C$19</f>
        <v>1284.5596829322837</v>
      </c>
    </row>
    <row r="240" spans="4:15">
      <c r="D240">
        <f t="shared" si="78"/>
        <v>263.36190500000004</v>
      </c>
      <c r="F240">
        <v>0.39500000000000002</v>
      </c>
      <c r="G240">
        <f t="shared" si="83"/>
        <v>439.28765754000005</v>
      </c>
      <c r="H240">
        <f t="shared" si="79"/>
        <v>0.98716327537078652</v>
      </c>
      <c r="I240">
        <f t="shared" si="80"/>
        <v>0.87686059603881084</v>
      </c>
      <c r="J240">
        <f t="shared" si="75"/>
        <v>1472.2210412878171</v>
      </c>
      <c r="K240">
        <f t="shared" si="81"/>
        <v>1472.2210412878173</v>
      </c>
      <c r="L240">
        <f t="shared" si="76"/>
        <v>1565.0084987248199</v>
      </c>
      <c r="M240">
        <f t="shared" si="82"/>
        <v>3037.2295400126368</v>
      </c>
      <c r="N240">
        <f t="shared" si="77"/>
        <v>0.62817860836603334</v>
      </c>
      <c r="O240" s="69">
        <f>0.5*Drag!$C$97*G240^2*Drag!$C$95*Drag!$C$19</f>
        <v>1317.7082480572624</v>
      </c>
    </row>
    <row r="241" spans="4:15">
      <c r="D241">
        <f t="shared" si="78"/>
        <v>266.69560000000001</v>
      </c>
      <c r="F241">
        <v>0.4</v>
      </c>
      <c r="G241">
        <f t="shared" si="83"/>
        <v>444.84826079999999</v>
      </c>
      <c r="H241">
        <f t="shared" si="79"/>
        <v>0.99965901303370774</v>
      </c>
      <c r="I241">
        <f t="shared" si="80"/>
        <v>0.8748422455594741</v>
      </c>
      <c r="J241">
        <f t="shared" si="75"/>
        <v>1450.4718913636138</v>
      </c>
      <c r="K241">
        <f t="shared" si="81"/>
        <v>1450.4718913636138</v>
      </c>
      <c r="L241">
        <f t="shared" si="76"/>
        <v>1564.8296118407027</v>
      </c>
      <c r="M241">
        <f>J241+L241</f>
        <v>3015.3015032043168</v>
      </c>
      <c r="N241">
        <f t="shared" si="77"/>
        <v>0.62987525650812237</v>
      </c>
      <c r="O241" s="69">
        <f>0.5*Drag!$C$97*G241^2*Drag!$C$95*Drag!$C$19</f>
        <v>1351.2790878972082</v>
      </c>
    </row>
    <row r="242" spans="4:15">
      <c r="D242">
        <f t="shared" si="78"/>
        <v>270.02929500000005</v>
      </c>
      <c r="F242">
        <v>0.40500000000000003</v>
      </c>
      <c r="G242">
        <f t="shared" si="83"/>
        <v>450.40886406000004</v>
      </c>
      <c r="H242">
        <f t="shared" si="79"/>
        <v>1.0121547506966293</v>
      </c>
      <c r="I242">
        <f t="shared" si="80"/>
        <v>0.87252651018016691</v>
      </c>
      <c r="J242">
        <f t="shared" si="75"/>
        <v>1428.7727860916514</v>
      </c>
      <c r="K242">
        <f t="shared" si="81"/>
        <v>1428.7727860916514</v>
      </c>
      <c r="L242">
        <f t="shared" si="76"/>
        <v>1564.7156427000359</v>
      </c>
      <c r="M242">
        <f t="shared" si="82"/>
        <v>2993.4884287916875</v>
      </c>
      <c r="N242">
        <f t="shared" si="77"/>
        <v>0.63159657879769915</v>
      </c>
      <c r="O242" s="69">
        <f>0.5*Drag!$C$97*G242^2*Drag!$C$95*Drag!$C$19</f>
        <v>1385.2722024521229</v>
      </c>
    </row>
    <row r="243" spans="4:15">
      <c r="D243">
        <f t="shared" si="78"/>
        <v>273.36299000000002</v>
      </c>
      <c r="F243">
        <v>0.41</v>
      </c>
      <c r="G243">
        <f t="shared" si="83"/>
        <v>455.96946732000004</v>
      </c>
      <c r="H243">
        <f t="shared" si="79"/>
        <v>1.0246504883595506</v>
      </c>
      <c r="I243">
        <f t="shared" si="80"/>
        <v>0.86991338990088962</v>
      </c>
      <c r="J243">
        <f t="shared" si="75"/>
        <v>1407.1218945700198</v>
      </c>
      <c r="K243">
        <f t="shared" si="81"/>
        <v>1407.1218945700198</v>
      </c>
      <c r="L243">
        <f t="shared" si="76"/>
        <v>1564.6661108345484</v>
      </c>
      <c r="M243">
        <f t="shared" si="82"/>
        <v>2971.7880054045681</v>
      </c>
      <c r="N243">
        <f t="shared" si="77"/>
        <v>0.63334270420753214</v>
      </c>
      <c r="O243" s="69">
        <f>0.5*Drag!$C$97*G243^2*Drag!$C$95*Drag!$C$19</f>
        <v>1419.6875917220048</v>
      </c>
    </row>
    <row r="244" spans="4:15">
      <c r="D244">
        <f t="shared" si="78"/>
        <v>276.696685</v>
      </c>
      <c r="F244">
        <v>0.41499999999999998</v>
      </c>
      <c r="G244">
        <f t="shared" si="83"/>
        <v>461.53007057999997</v>
      </c>
      <c r="H244">
        <f t="shared" si="79"/>
        <v>1.0371462260224718</v>
      </c>
      <c r="I244">
        <f t="shared" si="80"/>
        <v>0.86700288472164178</v>
      </c>
      <c r="J244">
        <f t="shared" si="75"/>
        <v>1385.5174741330436</v>
      </c>
      <c r="K244">
        <f t="shared" si="81"/>
        <v>1385.5174741330436</v>
      </c>
      <c r="L244">
        <f t="shared" si="76"/>
        <v>1564.6805530836455</v>
      </c>
      <c r="M244">
        <f t="shared" si="82"/>
        <v>2950.1980272166893</v>
      </c>
      <c r="N244">
        <f t="shared" si="77"/>
        <v>0.63511376356248384</v>
      </c>
      <c r="O244" s="69">
        <f>0.5*Drag!$C$97*G244^2*Drag!$C$95*Drag!$C$19</f>
        <v>1454.5252557068543</v>
      </c>
    </row>
    <row r="245" spans="4:15">
      <c r="D245">
        <f t="shared" si="78"/>
        <v>280.03037999999998</v>
      </c>
      <c r="F245">
        <v>0.42</v>
      </c>
      <c r="G245">
        <f t="shared" si="83"/>
        <v>467.09067383999997</v>
      </c>
      <c r="H245">
        <f t="shared" si="79"/>
        <v>1.0496419636853931</v>
      </c>
      <c r="I245">
        <f t="shared" si="80"/>
        <v>0.86379499464242349</v>
      </c>
      <c r="J245">
        <f t="shared" si="75"/>
        <v>1363.957865099128</v>
      </c>
      <c r="K245">
        <f t="shared" si="81"/>
        <v>1363.957865099128</v>
      </c>
      <c r="L245">
        <f t="shared" si="76"/>
        <v>1564.7585229735196</v>
      </c>
      <c r="M245">
        <f t="shared" si="82"/>
        <v>2928.7163880726475</v>
      </c>
      <c r="N245">
        <f t="shared" si="77"/>
        <v>0.63690988954890693</v>
      </c>
      <c r="O245" s="69">
        <f>0.5*Drag!$C$97*G245^2*Drag!$C$95*Drag!$C$19</f>
        <v>1489.785194406672</v>
      </c>
    </row>
    <row r="246" spans="4:15">
      <c r="D246">
        <f t="shared" si="78"/>
        <v>283.36407500000001</v>
      </c>
      <c r="F246">
        <v>0.42499999999999999</v>
      </c>
      <c r="G246">
        <f t="shared" si="83"/>
        <v>472.65127710000002</v>
      </c>
      <c r="H246">
        <f t="shared" si="79"/>
        <v>1.0621377013483146</v>
      </c>
      <c r="I246">
        <f t="shared" si="80"/>
        <v>0.86028971966323464</v>
      </c>
      <c r="J246">
        <f t="shared" si="75"/>
        <v>1342.441485889341</v>
      </c>
      <c r="K246">
        <f t="shared" si="81"/>
        <v>1342.441485889341</v>
      </c>
      <c r="L246">
        <f t="shared" si="76"/>
        <v>1564.8995901283326</v>
      </c>
      <c r="M246">
        <f t="shared" si="82"/>
        <v>2907.3410760176739</v>
      </c>
      <c r="N246">
        <f t="shared" si="77"/>
        <v>0.63873121672416777</v>
      </c>
      <c r="O246" s="69">
        <f>0.5*Drag!$C$97*G246^2*Drag!$C$95*Drag!$C$19</f>
        <v>1525.467407821458</v>
      </c>
    </row>
    <row r="247" spans="4:15">
      <c r="D247">
        <f t="shared" si="78"/>
        <v>286.69776999999999</v>
      </c>
      <c r="F247">
        <v>0.43</v>
      </c>
      <c r="G247">
        <f t="shared" si="83"/>
        <v>478.21188035999995</v>
      </c>
      <c r="H247">
        <f t="shared" si="79"/>
        <v>1.074633439011236</v>
      </c>
      <c r="I247">
        <f t="shared" si="80"/>
        <v>0.85648705978407569</v>
      </c>
      <c r="J247">
        <f t="shared" si="75"/>
        <v>1320.9668284865634</v>
      </c>
      <c r="K247">
        <f t="shared" si="81"/>
        <v>1320.9668284865634</v>
      </c>
      <c r="L247">
        <f t="shared" si="76"/>
        <v>1565.1033397114061</v>
      </c>
      <c r="M247">
        <f t="shared" si="82"/>
        <v>2886.0701681979695</v>
      </c>
      <c r="N247">
        <f t="shared" si="77"/>
        <v>0.64057788152628914</v>
      </c>
      <c r="O247" s="69">
        <f>0.5*Drag!$C$97*G247^2*Drag!$C$95*Drag!$C$19</f>
        <v>1561.5718959512112</v>
      </c>
    </row>
    <row r="248" spans="4:15">
      <c r="D248">
        <f t="shared" si="78"/>
        <v>290.03146500000003</v>
      </c>
      <c r="F248">
        <v>0.435</v>
      </c>
      <c r="G248">
        <f t="shared" si="83"/>
        <v>483.77248362</v>
      </c>
      <c r="H248">
        <f t="shared" si="79"/>
        <v>1.0871291766741573</v>
      </c>
      <c r="I248">
        <f t="shared" si="80"/>
        <v>0.8523870150049464</v>
      </c>
      <c r="J248">
        <f t="shared" si="75"/>
        <v>1299.5324542077935</v>
      </c>
      <c r="K248">
        <f t="shared" si="81"/>
        <v>1299.5324542077935</v>
      </c>
      <c r="L248">
        <f t="shared" si="76"/>
        <v>1565.369371894554</v>
      </c>
      <c r="M248">
        <f t="shared" si="82"/>
        <v>2864.9018261023475</v>
      </c>
      <c r="N248">
        <f t="shared" si="77"/>
        <v>0.64245002228371983</v>
      </c>
      <c r="O248" s="69">
        <f>0.5*Drag!$C$97*G248^2*Drag!$C$95*Drag!$C$19</f>
        <v>1598.0986587959328</v>
      </c>
    </row>
    <row r="249" spans="4:15">
      <c r="D249">
        <f t="shared" si="78"/>
        <v>293.36516</v>
      </c>
      <c r="F249">
        <v>0.44</v>
      </c>
      <c r="G249">
        <f t="shared" si="83"/>
        <v>489.33308688</v>
      </c>
      <c r="H249">
        <f t="shared" si="79"/>
        <v>1.0996249143370787</v>
      </c>
      <c r="I249">
        <f t="shared" si="80"/>
        <v>0.84798958532584656</v>
      </c>
      <c r="J249">
        <f t="shared" si="75"/>
        <v>1278.1369897647132</v>
      </c>
      <c r="K249">
        <f t="shared" si="81"/>
        <v>1278.1369897647132</v>
      </c>
      <c r="L249">
        <f t="shared" si="76"/>
        <v>1565.6973013538086</v>
      </c>
      <c r="M249">
        <f t="shared" si="82"/>
        <v>2843.8342911185218</v>
      </c>
      <c r="N249">
        <f t="shared" si="77"/>
        <v>0.64434777922523212</v>
      </c>
      <c r="O249" s="69">
        <f>0.5*Drag!$C$97*G249^2*Drag!$C$95*Drag!$C$19</f>
        <v>1635.0476963556221</v>
      </c>
    </row>
    <row r="250" spans="4:15">
      <c r="D250">
        <f t="shared" si="78"/>
        <v>296.69885500000004</v>
      </c>
      <c r="F250">
        <v>0.44500000000000001</v>
      </c>
      <c r="G250">
        <f t="shared" si="83"/>
        <v>494.89369014000005</v>
      </c>
      <c r="H250">
        <f t="shared" si="79"/>
        <v>1.112120652</v>
      </c>
      <c r="I250">
        <f t="shared" si="80"/>
        <v>0.84329477074677661</v>
      </c>
      <c r="J250">
        <f t="shared" si="75"/>
        <v>1256.7791235898278</v>
      </c>
      <c r="K250">
        <f t="shared" si="81"/>
        <v>1256.7791235898278</v>
      </c>
      <c r="L250">
        <f t="shared" si="76"/>
        <v>1566.0867567898902</v>
      </c>
      <c r="M250">
        <f t="shared" si="82"/>
        <v>2822.865880379718</v>
      </c>
      <c r="N250">
        <f t="shared" si="77"/>
        <v>0.64627129448993614</v>
      </c>
      <c r="O250" s="69">
        <f>0.5*Drag!$C$97*G250^2*Drag!$C$95*Drag!$C$19</f>
        <v>1672.4190086302797</v>
      </c>
    </row>
    <row r="251" spans="4:15">
      <c r="D251">
        <f t="shared" si="78"/>
        <v>300.03255000000001</v>
      </c>
      <c r="F251">
        <v>0.45</v>
      </c>
      <c r="G251">
        <f t="shared" si="83"/>
        <v>500.45429339999998</v>
      </c>
      <c r="H251">
        <f t="shared" si="79"/>
        <v>1.1246163896629213</v>
      </c>
      <c r="I251">
        <f t="shared" si="80"/>
        <v>0.83830257126773589</v>
      </c>
      <c r="J251">
        <f t="shared" si="75"/>
        <v>1235.45760240753</v>
      </c>
      <c r="K251">
        <f t="shared" si="81"/>
        <v>1235.4576024075302</v>
      </c>
      <c r="L251">
        <f t="shared" si="76"/>
        <v>1566.5373804719718</v>
      </c>
      <c r="M251">
        <f t="shared" si="82"/>
        <v>2801.9949828795015</v>
      </c>
      <c r="N251">
        <f t="shared" si="77"/>
        <v>0.64822071213743016</v>
      </c>
      <c r="O251" s="69">
        <f>0.5*Drag!$C$97*G251^2*Drag!$C$95*Drag!$C$19</f>
        <v>1710.2125956199043</v>
      </c>
    </row>
    <row r="252" spans="4:15">
      <c r="D252">
        <f t="shared" si="78"/>
        <v>303.36624500000005</v>
      </c>
      <c r="F252">
        <v>0.45500000000000002</v>
      </c>
      <c r="G252">
        <f t="shared" si="83"/>
        <v>506.01489666000003</v>
      </c>
      <c r="H252">
        <f t="shared" si="79"/>
        <v>1.1371121273258429</v>
      </c>
      <c r="I252">
        <f t="shared" si="80"/>
        <v>0.83301298688872483</v>
      </c>
      <c r="J252">
        <f t="shared" si="75"/>
        <v>1214.1712280312513</v>
      </c>
      <c r="K252">
        <f t="shared" si="81"/>
        <v>1214.1712280312513</v>
      </c>
      <c r="L252">
        <f t="shared" si="76"/>
        <v>1567.0488278032781</v>
      </c>
      <c r="M252">
        <f t="shared" si="82"/>
        <v>2781.2200558345294</v>
      </c>
      <c r="N252">
        <f t="shared" si="77"/>
        <v>0.65019617815806607</v>
      </c>
      <c r="O252" s="69">
        <f>0.5*Drag!$C$97*G252^2*Drag!$C$95*Drag!$C$19</f>
        <v>1748.4284573244975</v>
      </c>
    </row>
    <row r="253" spans="4:15">
      <c r="D253">
        <f t="shared" si="78"/>
        <v>306.69994000000003</v>
      </c>
      <c r="F253">
        <v>0.46</v>
      </c>
      <c r="G253">
        <f t="shared" si="83"/>
        <v>511.57549992000003</v>
      </c>
      <c r="H253">
        <f t="shared" si="79"/>
        <v>1.1496078649887642</v>
      </c>
      <c r="I253">
        <f t="shared" si="80"/>
        <v>0.82742601760974344</v>
      </c>
      <c r="J253">
        <f t="shared" si="75"/>
        <v>1192.9188543694916</v>
      </c>
      <c r="K253">
        <f t="shared" si="81"/>
        <v>1192.9188543694916</v>
      </c>
      <c r="L253">
        <f t="shared" si="76"/>
        <v>1567.6207669072826</v>
      </c>
      <c r="M253">
        <f t="shared" si="82"/>
        <v>2760.5396212767741</v>
      </c>
      <c r="N253">
        <f t="shared" si="77"/>
        <v>0.6521978404833495</v>
      </c>
      <c r="O253" s="69">
        <f>0.5*Drag!$C$97*G253^2*Drag!$C$95*Drag!$C$19</f>
        <v>1787.0665937440581</v>
      </c>
    </row>
    <row r="254" spans="4:15">
      <c r="D254">
        <f t="shared" si="78"/>
        <v>310.033635</v>
      </c>
      <c r="F254">
        <v>0.46500000000000002</v>
      </c>
      <c r="G254">
        <f t="shared" si="83"/>
        <v>517.13610317999996</v>
      </c>
      <c r="H254">
        <f t="shared" si="79"/>
        <v>1.1621036026516853</v>
      </c>
      <c r="I254">
        <f t="shared" si="80"/>
        <v>0.82154166343079171</v>
      </c>
      <c r="J254">
        <f t="shared" si="75"/>
        <v>1171.6993846250077</v>
      </c>
      <c r="K254">
        <f t="shared" si="81"/>
        <v>1171.6993846250075</v>
      </c>
      <c r="L254">
        <f t="shared" si="76"/>
        <v>1568.2528782332499</v>
      </c>
      <c r="M254">
        <f t="shared" si="82"/>
        <v>2739.9522628582577</v>
      </c>
      <c r="N254">
        <f t="shared" si="77"/>
        <v>0.65422584899646086</v>
      </c>
      <c r="O254" s="69">
        <f>0.5*Drag!$C$97*G254^2*Drag!$C$95*Drag!$C$19</f>
        <v>1826.1270048785864</v>
      </c>
    </row>
    <row r="255" spans="4:15">
      <c r="D255">
        <f t="shared" si="78"/>
        <v>313.36732999999998</v>
      </c>
      <c r="F255">
        <v>0.47</v>
      </c>
      <c r="G255">
        <f t="shared" si="83"/>
        <v>522.69670643999996</v>
      </c>
      <c r="H255">
        <f t="shared" si="79"/>
        <v>1.1745993403146067</v>
      </c>
      <c r="I255">
        <f t="shared" si="80"/>
        <v>0.81535992435186988</v>
      </c>
      <c r="J255">
        <f t="shared" si="75"/>
        <v>1150.5117686727808</v>
      </c>
      <c r="K255">
        <f t="shared" si="81"/>
        <v>1150.5117686727808</v>
      </c>
      <c r="L255">
        <f t="shared" si="76"/>
        <v>1568.9448541800284</v>
      </c>
      <c r="M255">
        <f t="shared" si="82"/>
        <v>2719.4566228528092</v>
      </c>
      <c r="N255">
        <f t="shared" si="77"/>
        <v>0.65628035554290476</v>
      </c>
      <c r="O255" s="69">
        <f>0.5*Drag!$C$97*G255^2*Drag!$C$95*Drag!$C$19</f>
        <v>1865.6096907280828</v>
      </c>
    </row>
    <row r="256" spans="4:15">
      <c r="D256">
        <f t="shared" si="78"/>
        <v>316.70102500000002</v>
      </c>
      <c r="F256">
        <v>0.47499999999999998</v>
      </c>
      <c r="G256">
        <f t="shared" si="83"/>
        <v>528.25730969999995</v>
      </c>
      <c r="H256">
        <f t="shared" si="79"/>
        <v>1.187095077977528</v>
      </c>
      <c r="I256">
        <f t="shared" si="80"/>
        <v>0.80888080037297749</v>
      </c>
      <c r="J256">
        <f t="shared" si="75"/>
        <v>1129.3550006035809</v>
      </c>
      <c r="K256">
        <f t="shared" si="81"/>
        <v>1129.3550006035812</v>
      </c>
      <c r="L256">
        <f t="shared" si="76"/>
        <v>1569.6963987370391</v>
      </c>
      <c r="M256">
        <f t="shared" si="82"/>
        <v>2699.0513993406203</v>
      </c>
      <c r="N256">
        <f t="shared" si="77"/>
        <v>0.65836151394128795</v>
      </c>
      <c r="O256" s="69">
        <f>0.5*Drag!$C$97*G256^2*Drag!$C$95*Drag!$C$19</f>
        <v>1905.5146512925471</v>
      </c>
    </row>
    <row r="257" spans="4:15">
      <c r="D257">
        <f t="shared" si="78"/>
        <v>320.03471999999999</v>
      </c>
      <c r="F257">
        <v>0.48</v>
      </c>
      <c r="G257">
        <f t="shared" si="83"/>
        <v>533.81791295999994</v>
      </c>
      <c r="H257">
        <f t="shared" si="79"/>
        <v>1.1995908156404493</v>
      </c>
      <c r="I257">
        <f t="shared" si="80"/>
        <v>0.80210429149411455</v>
      </c>
      <c r="J257">
        <f t="shared" si="75"/>
        <v>1108.228116421064</v>
      </c>
      <c r="K257">
        <f t="shared" si="81"/>
        <v>1108.228116421064</v>
      </c>
      <c r="L257">
        <f>($C$41*N257)*(1-0.49*(SQRT(F257))-((3*(AF96-AE96)/(1.5+F257))))</f>
        <v>1952.4281613245578</v>
      </c>
      <c r="M257">
        <f t="shared" si="82"/>
        <v>3060.656277745622</v>
      </c>
      <c r="N257">
        <f t="shared" si="77"/>
        <v>0.66046947999422079</v>
      </c>
      <c r="O257" s="69">
        <f>0.5*Drag!$C$97*G257^2*Drag!$C$95*Drag!$C$19</f>
        <v>1945.8418865719798</v>
      </c>
    </row>
    <row r="258" spans="4:15">
      <c r="D258">
        <f t="shared" si="78"/>
        <v>323.36841500000003</v>
      </c>
      <c r="F258">
        <v>0.48499999999999999</v>
      </c>
      <c r="G258">
        <f t="shared" si="83"/>
        <v>539.37851622000005</v>
      </c>
      <c r="H258">
        <f t="shared" si="79"/>
        <v>1.2120865533033709</v>
      </c>
      <c r="I258">
        <f t="shared" si="80"/>
        <v>0.79503039771528128</v>
      </c>
      <c r="J258">
        <f t="shared" ref="J258:J289" si="84">(I258*550*$B$19)/G258</f>
        <v>1087.1301918813112</v>
      </c>
      <c r="K258">
        <f t="shared" si="81"/>
        <v>1087.1301918813115</v>
      </c>
      <c r="L258">
        <f t="shared" ref="L258:L289" si="85">$C$41*N258*(1-0.49*(SQRT(F258)))</f>
        <v>1571.377065550811</v>
      </c>
      <c r="M258">
        <f t="shared" si="82"/>
        <v>2658.5072574321221</v>
      </c>
      <c r="N258">
        <f t="shared" ref="N258:N289" si="86">($AB$51/$AB$52)*(1+((1.4-1)/2)*F258^2)^(1.4/(1.4-1))</f>
        <v>0.66260441149935212</v>
      </c>
      <c r="O258" s="69">
        <f>0.5*Drag!$C$97*G258^2*Drag!$C$95*Drag!$C$19</f>
        <v>1986.5913965663806</v>
      </c>
    </row>
    <row r="259" spans="4:15">
      <c r="D259">
        <f t="shared" si="78"/>
        <v>326.70211</v>
      </c>
      <c r="F259">
        <v>0.49</v>
      </c>
      <c r="G259">
        <f t="shared" si="83"/>
        <v>544.93911947999993</v>
      </c>
      <c r="H259">
        <f t="shared" si="79"/>
        <v>1.224582290966292</v>
      </c>
      <c r="I259">
        <f t="shared" si="80"/>
        <v>0.78765911903647745</v>
      </c>
      <c r="J259">
        <f t="shared" si="84"/>
        <v>1066.0603404646474</v>
      </c>
      <c r="K259">
        <f t="shared" si="81"/>
        <v>1066.0603404646474</v>
      </c>
      <c r="L259">
        <f t="shared" si="85"/>
        <v>1572.3056507297949</v>
      </c>
      <c r="M259">
        <f t="shared" si="82"/>
        <v>2638.3659911944424</v>
      </c>
      <c r="N259">
        <f t="shared" si="86"/>
        <v>0.66476646826052554</v>
      </c>
      <c r="O259" s="69">
        <f>0.5*Drag!$C$97*G259^2*Drag!$C$95*Drag!$C$19</f>
        <v>2027.7631812757479</v>
      </c>
    </row>
    <row r="260" spans="4:15">
      <c r="D260">
        <f t="shared" si="78"/>
        <v>330.03580500000004</v>
      </c>
      <c r="F260">
        <v>0.495</v>
      </c>
      <c r="G260">
        <f t="shared" si="83"/>
        <v>550.49972274000004</v>
      </c>
      <c r="H260">
        <f t="shared" si="79"/>
        <v>1.2370780286292136</v>
      </c>
      <c r="I260">
        <f t="shared" si="80"/>
        <v>0.77999045545770329</v>
      </c>
      <c r="J260">
        <f t="shared" si="84"/>
        <v>1045.0177114703718</v>
      </c>
      <c r="K260">
        <f t="shared" si="81"/>
        <v>1045.0177114703718</v>
      </c>
      <c r="L260">
        <f t="shared" si="85"/>
        <v>1573.2927297510637</v>
      </c>
      <c r="M260">
        <f t="shared" si="82"/>
        <v>2618.3104412214352</v>
      </c>
      <c r="N260">
        <f t="shared" si="86"/>
        <v>0.66695581209906962</v>
      </c>
      <c r="O260" s="69">
        <f>0.5*Drag!$C$97*G260^2*Drag!$C$95*Drag!$C$19</f>
        <v>2069.3572407000847</v>
      </c>
    </row>
    <row r="261" spans="4:15">
      <c r="D261">
        <f t="shared" si="78"/>
        <v>333.36950000000002</v>
      </c>
      <c r="F261">
        <v>0.5</v>
      </c>
      <c r="G261">
        <f t="shared" si="83"/>
        <v>556.06032600000003</v>
      </c>
      <c r="H261">
        <f t="shared" si="79"/>
        <v>1.2495737662921349</v>
      </c>
      <c r="I261">
        <f t="shared" si="80"/>
        <v>0.77202440697895924</v>
      </c>
      <c r="J261">
        <f t="shared" si="84"/>
        <v>1024.0014882258142</v>
      </c>
      <c r="K261">
        <f t="shared" si="81"/>
        <v>1024.001488225814</v>
      </c>
      <c r="L261">
        <f t="shared" si="85"/>
        <v>1574.3380597087121</v>
      </c>
      <c r="M261">
        <f t="shared" si="82"/>
        <v>2598.3395479345263</v>
      </c>
      <c r="N261">
        <f t="shared" si="86"/>
        <v>0.66917260686521396</v>
      </c>
      <c r="O261" s="69">
        <f>0.5*Drag!$C$97*G261^2*Drag!$C$95*Drag!$C$19</f>
        <v>2111.3735748393883</v>
      </c>
    </row>
    <row r="262" spans="4:15">
      <c r="D262">
        <f t="shared" si="78"/>
        <v>336.70319499999999</v>
      </c>
      <c r="F262">
        <v>0.505</v>
      </c>
      <c r="G262">
        <f t="shared" si="83"/>
        <v>561.62092925999991</v>
      </c>
      <c r="H262">
        <f t="shared" si="79"/>
        <v>1.262069503955056</v>
      </c>
      <c r="I262">
        <f t="shared" si="80"/>
        <v>0.76376097360024464</v>
      </c>
      <c r="J262">
        <f t="shared" si="84"/>
        <v>1003.0108864017737</v>
      </c>
      <c r="K262">
        <f t="shared" si="81"/>
        <v>1003.0108864017739</v>
      </c>
      <c r="L262">
        <f t="shared" si="85"/>
        <v>1575.4414074440756</v>
      </c>
      <c r="M262">
        <f t="shared" si="82"/>
        <v>2578.4522938458495</v>
      </c>
      <c r="N262">
        <f t="shared" si="86"/>
        <v>0.67141701844963408</v>
      </c>
      <c r="O262" s="69">
        <f>0.5*Drag!$C$97*G262^2*Drag!$C$95*Drag!$C$19</f>
        <v>2153.8121836936589</v>
      </c>
    </row>
    <row r="263" spans="4:15">
      <c r="D263">
        <f t="shared" si="78"/>
        <v>340.03689000000003</v>
      </c>
      <c r="F263">
        <v>0.51</v>
      </c>
      <c r="G263">
        <f t="shared" si="83"/>
        <v>567.18153252000002</v>
      </c>
      <c r="H263">
        <f t="shared" si="79"/>
        <v>1.2745652416179776</v>
      </c>
      <c r="I263">
        <f t="shared" si="80"/>
        <v>0.75520015532155926</v>
      </c>
      <c r="J263">
        <f t="shared" si="84"/>
        <v>982.0451524270585</v>
      </c>
      <c r="K263">
        <f t="shared" si="81"/>
        <v>982.0451524270585</v>
      </c>
      <c r="L263">
        <f t="shared" si="85"/>
        <v>1576.6025492830945</v>
      </c>
      <c r="M263">
        <f t="shared" si="82"/>
        <v>2558.6477017101529</v>
      </c>
      <c r="N263">
        <f t="shared" si="86"/>
        <v>0.67368921479512889</v>
      </c>
      <c r="O263" s="69">
        <f>0.5*Drag!$C$97*G263^2*Drag!$C$95*Drag!$C$19</f>
        <v>2196.6730672628996</v>
      </c>
    </row>
    <row r="264" spans="4:15">
      <c r="D264">
        <f t="shared" si="78"/>
        <v>343.37058500000001</v>
      </c>
      <c r="F264">
        <v>0.51500000000000001</v>
      </c>
      <c r="G264">
        <f t="shared" si="83"/>
        <v>572.74213578000001</v>
      </c>
      <c r="H264">
        <f t="shared" si="79"/>
        <v>1.2870609792808989</v>
      </c>
      <c r="I264">
        <f t="shared" si="80"/>
        <v>0.74634195214290355</v>
      </c>
      <c r="J264">
        <f t="shared" si="84"/>
        <v>961.10356199537807</v>
      </c>
      <c r="K264">
        <f t="shared" si="81"/>
        <v>961.10356199537807</v>
      </c>
      <c r="L264">
        <f t="shared" si="85"/>
        <v>1577.8212707846344</v>
      </c>
      <c r="M264">
        <f t="shared" si="82"/>
        <v>2538.9248327800124</v>
      </c>
      <c r="N264">
        <f t="shared" si="86"/>
        <v>0.6759893659084234</v>
      </c>
      <c r="O264" s="69">
        <f>0.5*Drag!$C$97*G264^2*Drag!$C$95*Drag!$C$19</f>
        <v>2239.9562255471069</v>
      </c>
    </row>
    <row r="265" spans="4:15">
      <c r="D265">
        <f t="shared" si="78"/>
        <v>346.70428000000004</v>
      </c>
      <c r="F265">
        <v>0.52</v>
      </c>
      <c r="G265">
        <f t="shared" si="83"/>
        <v>578.30273904000001</v>
      </c>
      <c r="H265">
        <f t="shared" si="79"/>
        <v>1.2995567169438202</v>
      </c>
      <c r="I265">
        <f t="shared" si="80"/>
        <v>0.73718636406427773</v>
      </c>
      <c r="J265">
        <f t="shared" si="84"/>
        <v>940.18541865837619</v>
      </c>
      <c r="K265">
        <f t="shared" si="81"/>
        <v>940.18541865837608</v>
      </c>
      <c r="L265">
        <f t="shared" si="85"/>
        <v>1579.097366499208</v>
      </c>
      <c r="M265">
        <f t="shared" si="82"/>
        <v>2519.2827851575839</v>
      </c>
      <c r="N265">
        <f t="shared" si="86"/>
        <v>0.67831764387210514</v>
      </c>
      <c r="O265" s="69">
        <f>0.5*Drag!$C$97*G265^2*Drag!$C$95*Drag!$C$19</f>
        <v>2283.6616585462821</v>
      </c>
    </row>
    <row r="266" spans="4:15">
      <c r="D266">
        <f t="shared" si="78"/>
        <v>350.03797500000002</v>
      </c>
      <c r="F266">
        <v>0.52500000000000002</v>
      </c>
      <c r="G266">
        <f t="shared" si="83"/>
        <v>583.8633423</v>
      </c>
      <c r="H266">
        <f t="shared" si="79"/>
        <v>1.3120524546067416</v>
      </c>
      <c r="I266">
        <f t="shared" si="80"/>
        <v>0.72773339108568136</v>
      </c>
      <c r="J266">
        <f t="shared" si="84"/>
        <v>919.29005249906118</v>
      </c>
      <c r="K266">
        <f t="shared" si="81"/>
        <v>919.29005249906106</v>
      </c>
      <c r="L266">
        <f t="shared" si="85"/>
        <v>1580.4306397375506</v>
      </c>
      <c r="M266">
        <f t="shared" si="82"/>
        <v>2499.7206922366117</v>
      </c>
      <c r="N266">
        <f t="shared" si="86"/>
        <v>0.68067422285669088</v>
      </c>
      <c r="O266" s="69">
        <f>0.5*Drag!$C$97*G266^2*Drag!$C$95*Drag!$C$19</f>
        <v>2327.7893662604251</v>
      </c>
    </row>
    <row r="267" spans="4:15">
      <c r="D267">
        <f t="shared" si="78"/>
        <v>353.37167000000005</v>
      </c>
      <c r="F267">
        <v>0.53</v>
      </c>
      <c r="G267">
        <f t="shared" si="83"/>
        <v>589.42394556000011</v>
      </c>
      <c r="H267">
        <f t="shared" si="79"/>
        <v>1.3245481922696631</v>
      </c>
      <c r="I267">
        <f t="shared" si="80"/>
        <v>0.71798303320711443</v>
      </c>
      <c r="J267">
        <f t="shared" si="84"/>
        <v>898.41681888032849</v>
      </c>
      <c r="K267">
        <f t="shared" si="81"/>
        <v>898.41681888032849</v>
      </c>
      <c r="L267">
        <f t="shared" si="85"/>
        <v>1581.8209023485392</v>
      </c>
      <c r="M267">
        <f t="shared" si="82"/>
        <v>2480.2377212288675</v>
      </c>
      <c r="N267">
        <f t="shared" si="86"/>
        <v>0.68305927913282005</v>
      </c>
      <c r="O267" s="69">
        <f>0.5*Drag!$C$97*G267^2*Drag!$C$95*Drag!$C$19</f>
        <v>2372.3393486895375</v>
      </c>
    </row>
    <row r="268" spans="4:15">
      <c r="D268">
        <f t="shared" si="78"/>
        <v>356.70536500000003</v>
      </c>
      <c r="F268">
        <v>0.53500000000000003</v>
      </c>
      <c r="G268">
        <f t="shared" si="83"/>
        <v>594.98454881999999</v>
      </c>
      <c r="H268">
        <f t="shared" si="79"/>
        <v>1.337043929932584</v>
      </c>
      <c r="I268">
        <f t="shared" si="80"/>
        <v>0.70793529042857783</v>
      </c>
      <c r="J268">
        <f t="shared" si="84"/>
        <v>877.56509726365903</v>
      </c>
      <c r="K268">
        <f t="shared" si="81"/>
        <v>877.56509726365903</v>
      </c>
      <c r="L268">
        <f t="shared" si="85"/>
        <v>1583.2679745060079</v>
      </c>
      <c r="M268">
        <f t="shared" si="82"/>
        <v>2460.8330717696672</v>
      </c>
      <c r="N268">
        <f t="shared" si="86"/>
        <v>0.6854729910835875</v>
      </c>
      <c r="O268" s="69">
        <f>0.5*Drag!$C$97*G268^2*Drag!$C$95*Drag!$C$19</f>
        <v>2417.3116058336154</v>
      </c>
    </row>
    <row r="269" spans="4:15">
      <c r="D269">
        <f t="shared" si="78"/>
        <v>360.03906000000006</v>
      </c>
      <c r="F269">
        <v>0.54</v>
      </c>
      <c r="G269">
        <f t="shared" si="83"/>
        <v>600.54515208000009</v>
      </c>
      <c r="H269">
        <f t="shared" si="79"/>
        <v>1.3495396675955058</v>
      </c>
      <c r="I269">
        <f t="shared" si="80"/>
        <v>0.69759016275007024</v>
      </c>
      <c r="J269">
        <f t="shared" si="84"/>
        <v>856.73429009343749</v>
      </c>
      <c r="K269">
        <f t="shared" si="81"/>
        <v>856.73429009343738</v>
      </c>
      <c r="L269">
        <f t="shared" si="85"/>
        <v>1584.7716845039704</v>
      </c>
      <c r="M269">
        <f t="shared" si="82"/>
        <v>2441.5059745974077</v>
      </c>
      <c r="N269">
        <f t="shared" si="86"/>
        <v>0.68791553921699844</v>
      </c>
      <c r="O269" s="69">
        <f>0.5*Drag!$C$97*G269^2*Drag!$C$95*Drag!$C$19</f>
        <v>2462.7061376926627</v>
      </c>
    </row>
    <row r="270" spans="4:15">
      <c r="D270">
        <f t="shared" si="78"/>
        <v>363.37275500000004</v>
      </c>
      <c r="F270">
        <v>0.54500000000000004</v>
      </c>
      <c r="G270">
        <f t="shared" si="83"/>
        <v>606.10575534000009</v>
      </c>
      <c r="H270">
        <f t="shared" si="79"/>
        <v>1.3620354052584271</v>
      </c>
      <c r="I270">
        <f t="shared" si="80"/>
        <v>0.68694765017159232</v>
      </c>
      <c r="J270">
        <f t="shared" si="84"/>
        <v>835.92382174269858</v>
      </c>
      <c r="K270">
        <f t="shared" si="81"/>
        <v>835.92382174269858</v>
      </c>
      <c r="L270">
        <f t="shared" si="85"/>
        <v>1586.3318685598806</v>
      </c>
      <c r="M270">
        <f t="shared" si="82"/>
        <v>2422.2556903025793</v>
      </c>
      <c r="N270">
        <f t="shared" si="86"/>
        <v>0.69038710617856347</v>
      </c>
      <c r="O270" s="69">
        <f>0.5*Drag!$C$97*G270^2*Drag!$C$95*Drag!$C$19</f>
        <v>2508.5229442666778</v>
      </c>
    </row>
    <row r="271" spans="4:15">
      <c r="D271">
        <f t="shared" si="78"/>
        <v>366.70645000000007</v>
      </c>
      <c r="F271">
        <v>0.55000000000000004</v>
      </c>
      <c r="G271">
        <f t="shared" si="83"/>
        <v>611.66635860000008</v>
      </c>
      <c r="H271">
        <f t="shared" si="79"/>
        <v>1.3745311429213485</v>
      </c>
      <c r="I271">
        <f t="shared" si="80"/>
        <v>0.67600775269314406</v>
      </c>
      <c r="J271">
        <f t="shared" si="84"/>
        <v>815.13313751636542</v>
      </c>
      <c r="K271">
        <f t="shared" si="81"/>
        <v>815.13313751636542</v>
      </c>
      <c r="L271">
        <f t="shared" si="85"/>
        <v>1587.9483706254925</v>
      </c>
      <c r="M271">
        <f t="shared" si="82"/>
        <v>2403.0815081418577</v>
      </c>
      <c r="N271">
        <f t="shared" si="86"/>
        <v>0.69288787676402108</v>
      </c>
      <c r="O271" s="69">
        <f>0.5*Drag!$C$97*G271^2*Drag!$C$95*Drag!$C$19</f>
        <v>2554.7620255556603</v>
      </c>
    </row>
    <row r="272" spans="4:15">
      <c r="D272">
        <f t="shared" si="78"/>
        <v>370.04014500000005</v>
      </c>
      <c r="F272">
        <v>0.55500000000000005</v>
      </c>
      <c r="G272">
        <f t="shared" si="83"/>
        <v>617.22696186000007</v>
      </c>
      <c r="H272">
        <f t="shared" si="79"/>
        <v>1.3870268805842698</v>
      </c>
      <c r="I272">
        <f t="shared" si="80"/>
        <v>0.66477047031472525</v>
      </c>
      <c r="J272">
        <f t="shared" si="84"/>
        <v>794.36170270837295</v>
      </c>
      <c r="K272">
        <f t="shared" si="81"/>
        <v>794.36170270837295</v>
      </c>
      <c r="L272">
        <f t="shared" si="85"/>
        <v>1589.621042204976</v>
      </c>
      <c r="M272">
        <f t="shared" si="82"/>
        <v>2383.9827449133491</v>
      </c>
      <c r="N272">
        <f t="shared" si="86"/>
        <v>0.69541803793219403</v>
      </c>
      <c r="O272" s="69">
        <f>0.5*Drag!$C$97*G272^2*Drag!$C$95*Drag!$C$19</f>
        <v>2601.4233815596103</v>
      </c>
    </row>
    <row r="273" spans="4:15">
      <c r="D273">
        <f t="shared" si="78"/>
        <v>373.37384000000003</v>
      </c>
      <c r="F273">
        <v>0.56000000000000005</v>
      </c>
      <c r="G273">
        <f t="shared" si="83"/>
        <v>622.78756512000007</v>
      </c>
      <c r="H273">
        <f t="shared" si="79"/>
        <v>1.3995226182471914</v>
      </c>
      <c r="I273">
        <f t="shared" si="80"/>
        <v>0.6532358030363361</v>
      </c>
      <c r="J273">
        <f t="shared" si="84"/>
        <v>773.60900170930131</v>
      </c>
      <c r="K273">
        <f t="shared" si="81"/>
        <v>773.60900170930131</v>
      </c>
      <c r="L273">
        <f t="shared" si="85"/>
        <v>1591.3497421799343</v>
      </c>
      <c r="M273">
        <f t="shared" si="82"/>
        <v>2364.9587438892358</v>
      </c>
      <c r="N273">
        <f t="shared" si="86"/>
        <v>0.69797777881798206</v>
      </c>
      <c r="O273" s="69">
        <f>0.5*Drag!$C$97*G273^2*Drag!$C$95*Drag!$C$19</f>
        <v>2648.5070122785291</v>
      </c>
    </row>
    <row r="274" spans="4:15">
      <c r="D274">
        <f t="shared" si="78"/>
        <v>376.70753500000001</v>
      </c>
      <c r="F274">
        <v>0.56499999999999995</v>
      </c>
      <c r="G274">
        <f t="shared" si="83"/>
        <v>628.34816837999995</v>
      </c>
      <c r="H274">
        <f t="shared" si="79"/>
        <v>1.4120183559101123</v>
      </c>
      <c r="I274">
        <f t="shared" si="80"/>
        <v>0.6414037508579773</v>
      </c>
      <c r="J274">
        <f t="shared" si="84"/>
        <v>752.87453716139248</v>
      </c>
      <c r="K274">
        <f t="shared" si="81"/>
        <v>752.87453716139237</v>
      </c>
      <c r="L274">
        <f t="shared" si="85"/>
        <v>1593.1343366409681</v>
      </c>
      <c r="M274">
        <f t="shared" si="82"/>
        <v>2346.0088738023605</v>
      </c>
      <c r="N274">
        <f t="shared" si="86"/>
        <v>0.70056729074548096</v>
      </c>
      <c r="O274" s="69">
        <f>0.5*Drag!$C$97*G274^2*Drag!$C$95*Drag!$C$19</f>
        <v>2696.012917712414</v>
      </c>
    </row>
    <row r="275" spans="4:15">
      <c r="D275">
        <f t="shared" si="78"/>
        <v>380.04122999999998</v>
      </c>
      <c r="F275">
        <v>0.56999999999999995</v>
      </c>
      <c r="G275">
        <f t="shared" si="83"/>
        <v>633.90877163999994</v>
      </c>
      <c r="H275">
        <f t="shared" si="79"/>
        <v>1.4245140935730336</v>
      </c>
      <c r="I275">
        <f t="shared" si="80"/>
        <v>0.62927431377964749</v>
      </c>
      <c r="J275">
        <f t="shared" si="84"/>
        <v>732.15782915803516</v>
      </c>
      <c r="K275">
        <f t="shared" si="81"/>
        <v>732.15782915803516</v>
      </c>
      <c r="L275">
        <f t="shared" si="85"/>
        <v>1594.9746987255251</v>
      </c>
      <c r="M275">
        <f t="shared" si="82"/>
        <v>2327.1325278835602</v>
      </c>
      <c r="N275">
        <f t="shared" si="86"/>
        <v>0.70318676724124618</v>
      </c>
      <c r="O275" s="69">
        <f>0.5*Drag!$C$97*G275^2*Drag!$C$95*Drag!$C$19</f>
        <v>2743.9410978612682</v>
      </c>
    </row>
    <row r="276" spans="4:15">
      <c r="D276">
        <f t="shared" si="78"/>
        <v>383.37492499999996</v>
      </c>
      <c r="F276">
        <v>0.57499999999999996</v>
      </c>
      <c r="G276">
        <f t="shared" si="83"/>
        <v>639.46937489999993</v>
      </c>
      <c r="H276">
        <f t="shared" si="79"/>
        <v>1.4370098312359549</v>
      </c>
      <c r="I276">
        <f t="shared" si="80"/>
        <v>0.61684749180134713</v>
      </c>
      <c r="J276">
        <f t="shared" si="84"/>
        <v>711.45841448502438</v>
      </c>
      <c r="K276">
        <f t="shared" si="81"/>
        <v>711.45841448502438</v>
      </c>
      <c r="L276">
        <f t="shared" si="85"/>
        <v>1596.8707084616758</v>
      </c>
      <c r="M276">
        <f t="shared" si="82"/>
        <v>2308.3291229467004</v>
      </c>
      <c r="N276">
        <f t="shared" si="86"/>
        <v>0.70583640404767878</v>
      </c>
      <c r="O276" s="69">
        <f>0.5*Drag!$C$97*G276^2*Drag!$C$95*Drag!$C$19</f>
        <v>2792.2915527250902</v>
      </c>
    </row>
    <row r="277" spans="4:15">
      <c r="D277">
        <f t="shared" si="78"/>
        <v>386.70862</v>
      </c>
      <c r="F277">
        <v>0.57999999999999996</v>
      </c>
      <c r="G277">
        <f t="shared" si="83"/>
        <v>645.02997815999993</v>
      </c>
      <c r="H277">
        <f t="shared" si="79"/>
        <v>1.4495055688988761</v>
      </c>
      <c r="I277">
        <f t="shared" si="80"/>
        <v>0.6041232849230771</v>
      </c>
      <c r="J277">
        <f t="shared" si="84"/>
        <v>690.77584590105891</v>
      </c>
      <c r="K277">
        <f t="shared" si="81"/>
        <v>690.77584590105891</v>
      </c>
      <c r="L277">
        <f t="shared" si="85"/>
        <v>1598.8222526176012</v>
      </c>
      <c r="M277">
        <f t="shared" si="82"/>
        <v>2289.5980985186602</v>
      </c>
      <c r="N277">
        <f t="shared" si="86"/>
        <v>0.70851639913655673</v>
      </c>
      <c r="O277" s="69">
        <f>0.5*Drag!$C$97*G277^2*Drag!$C$95*Drag!$C$19</f>
        <v>2841.0642823038802</v>
      </c>
    </row>
    <row r="278" spans="4:15">
      <c r="D278">
        <f t="shared" si="78"/>
        <v>390.04231499999997</v>
      </c>
      <c r="F278">
        <v>0.58499999999999996</v>
      </c>
      <c r="G278">
        <f t="shared" si="83"/>
        <v>650.59058141999992</v>
      </c>
      <c r="H278">
        <f t="shared" si="79"/>
        <v>1.4620013065617976</v>
      </c>
      <c r="I278">
        <f t="shared" si="80"/>
        <v>0.59110169314483629</v>
      </c>
      <c r="J278">
        <f t="shared" si="84"/>
        <v>670.10969145513661</v>
      </c>
      <c r="K278">
        <f t="shared" si="81"/>
        <v>670.1096914551365</v>
      </c>
      <c r="L278">
        <f t="shared" si="85"/>
        <v>1600.8292245564801</v>
      </c>
      <c r="M278">
        <f t="shared" si="82"/>
        <v>2270.9389160116166</v>
      </c>
      <c r="N278">
        <f t="shared" si="86"/>
        <v>0.71122695272269443</v>
      </c>
      <c r="O278" s="69">
        <f>0.5*Drag!$C$97*G278^2*Drag!$C$95*Drag!$C$19</f>
        <v>2890.2592865976376</v>
      </c>
    </row>
    <row r="279" spans="4:15">
      <c r="D279">
        <f t="shared" si="78"/>
        <v>393.37601000000001</v>
      </c>
      <c r="F279">
        <v>0.59</v>
      </c>
      <c r="G279">
        <f t="shared" si="83"/>
        <v>656.15118468000003</v>
      </c>
      <c r="H279">
        <f t="shared" si="79"/>
        <v>1.4744970442247192</v>
      </c>
      <c r="I279">
        <f t="shared" si="80"/>
        <v>0.57778271646662471</v>
      </c>
      <c r="J279">
        <f t="shared" si="84"/>
        <v>649.45953383866265</v>
      </c>
      <c r="K279">
        <f t="shared" si="81"/>
        <v>649.45953383866265</v>
      </c>
      <c r="L279">
        <f t="shared" si="85"/>
        <v>1602.8915240965582</v>
      </c>
      <c r="M279">
        <f t="shared" si="82"/>
        <v>2252.351057935221</v>
      </c>
      <c r="N279">
        <f t="shared" si="86"/>
        <v>0.71396826727774043</v>
      </c>
      <c r="O279" s="69">
        <f>0.5*Drag!$C$97*G279^2*Drag!$C$95*Drag!$C$19</f>
        <v>2939.8765656063642</v>
      </c>
    </row>
    <row r="280" spans="4:15">
      <c r="D280">
        <f t="shared" si="78"/>
        <v>396.70970499999999</v>
      </c>
      <c r="F280">
        <v>0.59499999999999997</v>
      </c>
      <c r="G280">
        <f t="shared" si="83"/>
        <v>661.71178793999991</v>
      </c>
      <c r="H280">
        <f t="shared" si="79"/>
        <v>1.4869927818876403</v>
      </c>
      <c r="I280">
        <f t="shared" si="80"/>
        <v>0.56416635488844324</v>
      </c>
      <c r="J280">
        <f t="shared" si="84"/>
        <v>628.82496977022402</v>
      </c>
      <c r="K280">
        <f t="shared" si="81"/>
        <v>628.8249697702239</v>
      </c>
      <c r="L280">
        <f t="shared" si="85"/>
        <v>1605.0090573761534</v>
      </c>
      <c r="M280">
        <f t="shared" si="82"/>
        <v>2233.8340271463776</v>
      </c>
      <c r="N280">
        <f t="shared" si="86"/>
        <v>0.71674054754411254</v>
      </c>
      <c r="O280" s="69">
        <f>0.5*Drag!$C$97*G280^2*Drag!$C$95*Drag!$C$19</f>
        <v>2989.9161193300565</v>
      </c>
    </row>
    <row r="281" spans="4:15">
      <c r="D281">
        <f t="shared" si="78"/>
        <v>400.04340000000002</v>
      </c>
      <c r="F281">
        <v>0.6</v>
      </c>
      <c r="G281">
        <f t="shared" si="83"/>
        <v>667.27239120000002</v>
      </c>
      <c r="H281">
        <f t="shared" si="79"/>
        <v>1.4994885195505618</v>
      </c>
      <c r="I281">
        <f t="shared" si="80"/>
        <v>0.55025260841029056</v>
      </c>
      <c r="J281">
        <f t="shared" si="84"/>
        <v>608.20560941111785</v>
      </c>
      <c r="K281">
        <f t="shared" si="81"/>
        <v>608.20560941111773</v>
      </c>
      <c r="L281">
        <f t="shared" si="85"/>
        <v>1607.181736723368</v>
      </c>
      <c r="M281">
        <f t="shared" si="82"/>
        <v>2215.3873461344856</v>
      </c>
      <c r="N281">
        <f t="shared" si="86"/>
        <v>0.71954400054906587</v>
      </c>
      <c r="O281" s="69">
        <f>0.5*Drag!$C$97*G281^2*Drag!$C$95*Drag!$C$19</f>
        <v>3040.377947768719</v>
      </c>
    </row>
    <row r="282" spans="4:15">
      <c r="D282">
        <f t="shared" si="78"/>
        <v>403.377095</v>
      </c>
      <c r="F282">
        <v>0.60499999999999998</v>
      </c>
      <c r="G282">
        <f t="shared" si="83"/>
        <v>672.83299446000001</v>
      </c>
      <c r="H282">
        <f t="shared" si="79"/>
        <v>1.511984257213483</v>
      </c>
      <c r="I282">
        <f t="shared" si="80"/>
        <v>0.53604147703216842</v>
      </c>
      <c r="J282">
        <f t="shared" si="84"/>
        <v>587.60107580987517</v>
      </c>
      <c r="K282">
        <f t="shared" si="81"/>
        <v>587.60107580987517</v>
      </c>
      <c r="L282">
        <f t="shared" si="85"/>
        <v>1609.4094805303116</v>
      </c>
      <c r="M282">
        <f t="shared" si="82"/>
        <v>2197.0105563401867</v>
      </c>
      <c r="N282">
        <f t="shared" si="86"/>
        <v>0.72237883561889982</v>
      </c>
      <c r="O282" s="69">
        <f>0.5*Drag!$C$97*G282^2*Drag!$C$95*Drag!$C$19</f>
        <v>3091.2620509223484</v>
      </c>
    </row>
    <row r="283" spans="4:15">
      <c r="D283">
        <f t="shared" si="78"/>
        <v>406.71079000000003</v>
      </c>
      <c r="F283">
        <v>0.61</v>
      </c>
      <c r="G283">
        <f t="shared" si="83"/>
        <v>678.39359772</v>
      </c>
      <c r="H283">
        <f t="shared" si="79"/>
        <v>1.5244799948764045</v>
      </c>
      <c r="I283">
        <f t="shared" si="80"/>
        <v>0.52153296075407551</v>
      </c>
      <c r="J283">
        <f t="shared" si="84"/>
        <v>567.01100437408832</v>
      </c>
      <c r="K283">
        <f t="shared" si="81"/>
        <v>567.0110043740882</v>
      </c>
      <c r="L283">
        <f t="shared" si="85"/>
        <v>1611.6922131316287</v>
      </c>
      <c r="M283">
        <f t="shared" si="82"/>
        <v>2178.703217505717</v>
      </c>
      <c r="N283">
        <f t="shared" si="86"/>
        <v>0.7252452643933035</v>
      </c>
      <c r="O283" s="69">
        <f>0.5*Drag!$C$97*G283^2*Drag!$C$95*Drag!$C$19</f>
        <v>3142.5684287909453</v>
      </c>
    </row>
    <row r="284" spans="4:15">
      <c r="D284">
        <f t="shared" si="78"/>
        <v>410.04448500000001</v>
      </c>
      <c r="F284">
        <v>0.61499999999999999</v>
      </c>
      <c r="G284">
        <f t="shared" si="83"/>
        <v>683.95420098</v>
      </c>
      <c r="H284">
        <f t="shared" si="79"/>
        <v>1.5369757325393256</v>
      </c>
      <c r="I284">
        <f t="shared" si="80"/>
        <v>0.50672705957601272</v>
      </c>
      <c r="J284">
        <f t="shared" si="84"/>
        <v>546.43504236801505</v>
      </c>
      <c r="K284">
        <f t="shared" si="81"/>
        <v>546.43504236801505</v>
      </c>
      <c r="L284">
        <f t="shared" si="85"/>
        <v>1614.0298646871302</v>
      </c>
      <c r="M284">
        <f t="shared" si="82"/>
        <v>2160.464907055145</v>
      </c>
      <c r="N284">
        <f t="shared" si="86"/>
        <v>0.72814350083983559</v>
      </c>
      <c r="O284" s="69">
        <f>0.5*Drag!$C$97*G284^2*Drag!$C$95*Drag!$C$19</f>
        <v>3194.2970813745101</v>
      </c>
    </row>
    <row r="285" spans="4:15">
      <c r="D285">
        <f t="shared" si="78"/>
        <v>413.37818000000004</v>
      </c>
      <c r="F285">
        <v>0.62</v>
      </c>
      <c r="G285">
        <f t="shared" si="83"/>
        <v>689.51480423999999</v>
      </c>
      <c r="H285">
        <f t="shared" si="79"/>
        <v>1.5494714702022472</v>
      </c>
      <c r="I285">
        <f t="shared" si="80"/>
        <v>0.4916237734979787</v>
      </c>
      <c r="J285">
        <f t="shared" si="84"/>
        <v>525.87284843448367</v>
      </c>
      <c r="K285">
        <f t="shared" si="81"/>
        <v>525.87284843448367</v>
      </c>
      <c r="L285">
        <f t="shared" si="85"/>
        <v>1616.4223710683734</v>
      </c>
      <c r="M285">
        <f t="shared" si="82"/>
        <v>2142.295219502857</v>
      </c>
      <c r="N285">
        <f t="shared" si="86"/>
        <v>0.73107376126854495</v>
      </c>
      <c r="O285" s="69">
        <f>0.5*Drag!$C$97*G285^2*Drag!$C$95*Drag!$C$19</f>
        <v>3246.4480086730432</v>
      </c>
    </row>
    <row r="286" spans="4:15">
      <c r="D286">
        <f t="shared" si="78"/>
        <v>416.71187500000002</v>
      </c>
      <c r="F286">
        <v>0.625</v>
      </c>
      <c r="G286">
        <f t="shared" si="83"/>
        <v>695.07540749999998</v>
      </c>
      <c r="H286">
        <f t="shared" si="79"/>
        <v>1.5619672078651685</v>
      </c>
      <c r="I286">
        <f t="shared" si="80"/>
        <v>0.47622310251997479</v>
      </c>
      <c r="J286">
        <f t="shared" si="84"/>
        <v>505.3240921397545</v>
      </c>
      <c r="K286">
        <f t="shared" si="81"/>
        <v>505.32409213975455</v>
      </c>
      <c r="L286">
        <f t="shared" si="85"/>
        <v>1618.869673748995</v>
      </c>
      <c r="M286">
        <f t="shared" si="82"/>
        <v>2124.1937658887496</v>
      </c>
      <c r="N286">
        <f t="shared" si="86"/>
        <v>0.73403626434672775</v>
      </c>
      <c r="O286" s="69">
        <f>0.5*Drag!$C$97*G286^2*Drag!$C$95*Drag!$C$19</f>
        <v>3299.0212106865438</v>
      </c>
    </row>
    <row r="287" spans="4:15">
      <c r="D287">
        <f t="shared" si="78"/>
        <v>420.04557</v>
      </c>
      <c r="F287">
        <v>0.63</v>
      </c>
      <c r="G287">
        <f t="shared" si="83"/>
        <v>700.63601075999998</v>
      </c>
      <c r="H287">
        <f t="shared" si="79"/>
        <v>1.5744629455280899</v>
      </c>
      <c r="I287">
        <f t="shared" si="80"/>
        <v>0.46052504664200056</v>
      </c>
      <c r="J287">
        <f t="shared" si="84"/>
        <v>484.78845354004613</v>
      </c>
      <c r="K287">
        <f t="shared" si="81"/>
        <v>484.78845354004608</v>
      </c>
      <c r="L287">
        <f t="shared" si="85"/>
        <v>1621.3717196986611</v>
      </c>
      <c r="M287">
        <f t="shared" si="82"/>
        <v>2106.1601732387071</v>
      </c>
      <c r="N287">
        <f t="shared" si="86"/>
        <v>0.73703123111382651</v>
      </c>
      <c r="O287" s="69">
        <f>0.5*Drag!$C$97*G287^2*Drag!$C$95*Drag!$C$19</f>
        <v>3352.0166874150127</v>
      </c>
    </row>
    <row r="288" spans="4:15">
      <c r="D288">
        <f t="shared" si="78"/>
        <v>423.37926500000003</v>
      </c>
      <c r="F288">
        <v>0.63500000000000001</v>
      </c>
      <c r="G288">
        <f t="shared" si="83"/>
        <v>706.19661401999997</v>
      </c>
      <c r="H288">
        <f t="shared" si="79"/>
        <v>1.5869586831910112</v>
      </c>
      <c r="I288">
        <f t="shared" si="80"/>
        <v>0.44452960586405599</v>
      </c>
      <c r="J288">
        <f t="shared" si="84"/>
        <v>464.26562276854708</v>
      </c>
      <c r="K288">
        <f t="shared" si="81"/>
        <v>464.26562276854696</v>
      </c>
      <c r="L288">
        <f t="shared" si="85"/>
        <v>1623.9284612804486</v>
      </c>
      <c r="M288">
        <f t="shared" si="82"/>
        <v>2088.1940840489956</v>
      </c>
      <c r="N288">
        <f t="shared" si="86"/>
        <v>0.74005888499646455</v>
      </c>
      <c r="O288" s="69">
        <f>0.5*Drag!$C$97*G288^2*Drag!$C$95*Drag!$C$19</f>
        <v>3405.4344388584486</v>
      </c>
    </row>
    <row r="289" spans="4:15">
      <c r="D289">
        <f t="shared" si="78"/>
        <v>426.71296000000001</v>
      </c>
      <c r="F289">
        <v>0.64</v>
      </c>
      <c r="G289">
        <f t="shared" si="83"/>
        <v>711.75721727999996</v>
      </c>
      <c r="H289">
        <f t="shared" si="79"/>
        <v>1.5994544208539325</v>
      </c>
      <c r="I289">
        <f t="shared" si="80"/>
        <v>0.4282367801861402</v>
      </c>
      <c r="J289">
        <f t="shared" si="84"/>
        <v>443.75529964178253</v>
      </c>
      <c r="K289">
        <f t="shared" si="81"/>
        <v>443.75529964178259</v>
      </c>
      <c r="L289">
        <f t="shared" si="85"/>
        <v>1626.5398561515456</v>
      </c>
      <c r="M289">
        <f t="shared" si="82"/>
        <v>2070.2951557933279</v>
      </c>
      <c r="N289">
        <f t="shared" si="86"/>
        <v>0.74311945182362271</v>
      </c>
      <c r="O289" s="69">
        <f>0.5*Drag!$C$97*G289^2*Drag!$C$95*Drag!$C$19</f>
        <v>3459.2744650168534</v>
      </c>
    </row>
    <row r="290" spans="4:15">
      <c r="D290">
        <f t="shared" si="78"/>
        <v>430.04665500000004</v>
      </c>
      <c r="F290">
        <v>0.64500000000000002</v>
      </c>
      <c r="G290">
        <f t="shared" si="83"/>
        <v>717.31782054000007</v>
      </c>
      <c r="H290">
        <f t="shared" si="79"/>
        <v>1.6119501585168541</v>
      </c>
      <c r="I290">
        <f t="shared" si="80"/>
        <v>0.41164656960825496</v>
      </c>
      <c r="J290">
        <f t="shared" ref="J290:J321" si="87">(I290*550*$B$19)/G290</f>
        <v>423.25719328429557</v>
      </c>
      <c r="K290">
        <f t="shared" si="81"/>
        <v>423.25719328429557</v>
      </c>
      <c r="L290">
        <f t="shared" ref="L290:L321" si="88">$C$41*N290*(1-0.49*(SQRT(F290)))</f>
        <v>1629.205867167112</v>
      </c>
      <c r="M290">
        <f t="shared" si="82"/>
        <v>2052.4630604514077</v>
      </c>
      <c r="N290">
        <f t="shared" ref="N290:N321" si="89">($AB$51/$AB$52)*(1+((1.4-1)/2)*F290^2)^(1.4/(1.4-1))</f>
        <v>0.74621315984195724</v>
      </c>
      <c r="O290" s="69">
        <f>0.5*Drag!$C$97*G290^2*Drag!$C$95*Drag!$C$19</f>
        <v>3513.5367658902264</v>
      </c>
    </row>
    <row r="291" spans="4:15">
      <c r="D291">
        <f t="shared" ref="D291:D354" si="90">F291*666.739</f>
        <v>433.38035000000002</v>
      </c>
      <c r="F291">
        <v>0.65</v>
      </c>
      <c r="G291">
        <f t="shared" si="83"/>
        <v>722.87842379999995</v>
      </c>
      <c r="H291">
        <f t="shared" ref="H291:H354" si="91">(60*G291)/($C$153*$C$158)</f>
        <v>1.624445896179775</v>
      </c>
      <c r="I291">
        <f t="shared" ref="I291:I354" si="92">0.096574+(1.73049*H291)-(0.952281*H291^2)</f>
        <v>0.39475897413039984</v>
      </c>
      <c r="J291">
        <f t="shared" si="87"/>
        <v>402.77102177064097</v>
      </c>
      <c r="K291">
        <f t="shared" ref="K291:K354" si="93">I291*(($B$19*550)/G291)</f>
        <v>402.77102177064097</v>
      </c>
      <c r="L291">
        <f t="shared" si="88"/>
        <v>1631.9264622871688</v>
      </c>
      <c r="M291">
        <f t="shared" ref="M291:M354" si="94">J291+L291</f>
        <v>2034.6974840578098</v>
      </c>
      <c r="N291">
        <f t="shared" si="89"/>
        <v>0.7493402397312553</v>
      </c>
      <c r="O291" s="69">
        <f>0.5*Drag!$C$97*G291^2*Drag!$C$95*Drag!$C$19</f>
        <v>3568.2213414785651</v>
      </c>
    </row>
    <row r="292" spans="4:15">
      <c r="D292">
        <f t="shared" si="90"/>
        <v>436.71404500000006</v>
      </c>
      <c r="F292">
        <v>0.65500000000000003</v>
      </c>
      <c r="G292">
        <f t="shared" ref="G292:G355" si="95">D292*1.668</f>
        <v>728.43902706000006</v>
      </c>
      <c r="H292">
        <f t="shared" si="91"/>
        <v>1.6369416338426968</v>
      </c>
      <c r="I292">
        <f t="shared" si="92"/>
        <v>0.37757399375257261</v>
      </c>
      <c r="J292">
        <f t="shared" si="87"/>
        <v>382.29651178378191</v>
      </c>
      <c r="K292">
        <f t="shared" si="93"/>
        <v>382.29651178378185</v>
      </c>
      <c r="L292">
        <f t="shared" si="88"/>
        <v>1634.7016144863974</v>
      </c>
      <c r="M292">
        <f t="shared" si="94"/>
        <v>2016.9981262701792</v>
      </c>
      <c r="N292">
        <f t="shared" si="89"/>
        <v>0.75250092462003282</v>
      </c>
      <c r="O292" s="69">
        <f>0.5*Drag!$C$97*G292^2*Drag!$C$95*Drag!$C$19</f>
        <v>3623.3281917818745</v>
      </c>
    </row>
    <row r="293" spans="4:15">
      <c r="D293">
        <f t="shared" si="90"/>
        <v>440.04774000000003</v>
      </c>
      <c r="F293">
        <v>0.66</v>
      </c>
      <c r="G293">
        <f t="shared" si="95"/>
        <v>733.99963032000005</v>
      </c>
      <c r="H293">
        <f t="shared" si="91"/>
        <v>1.6494373715056181</v>
      </c>
      <c r="I293">
        <f t="shared" si="92"/>
        <v>0.36009162847477594</v>
      </c>
      <c r="J293">
        <f t="shared" si="87"/>
        <v>361.83339828902132</v>
      </c>
      <c r="K293">
        <f t="shared" si="93"/>
        <v>361.83339828902132</v>
      </c>
      <c r="L293">
        <f t="shared" si="88"/>
        <v>1637.5313016667328</v>
      </c>
      <c r="M293">
        <f t="shared" si="94"/>
        <v>1999.3646999557541</v>
      </c>
      <c r="N293">
        <f t="shared" si="89"/>
        <v>0.75569545010127703</v>
      </c>
      <c r="O293" s="69">
        <f>0.5*Drag!$C$97*G293^2*Drag!$C$95*Drag!$C$19</f>
        <v>3678.8573168001499</v>
      </c>
    </row>
    <row r="294" spans="4:15">
      <c r="D294">
        <f t="shared" si="90"/>
        <v>443.38143500000007</v>
      </c>
      <c r="F294">
        <v>0.66500000000000004</v>
      </c>
      <c r="G294">
        <f t="shared" si="95"/>
        <v>739.56023358000004</v>
      </c>
      <c r="H294">
        <f t="shared" si="91"/>
        <v>1.6619331091685394</v>
      </c>
      <c r="I294">
        <f t="shared" si="92"/>
        <v>0.34231187829700893</v>
      </c>
      <c r="J294">
        <f t="shared" si="87"/>
        <v>341.38142422262678</v>
      </c>
      <c r="K294">
        <f t="shared" si="93"/>
        <v>341.38142422262678</v>
      </c>
      <c r="L294">
        <f t="shared" si="88"/>
        <v>1640.4155065726156</v>
      </c>
      <c r="M294">
        <f t="shared" si="94"/>
        <v>1981.7969307952424</v>
      </c>
      <c r="N294">
        <f t="shared" si="89"/>
        <v>0.75892405424832399</v>
      </c>
      <c r="O294" s="69">
        <f>0.5*Drag!$C$97*G294^2*Drag!$C$95*Drag!$C$19</f>
        <v>3734.8087165333941</v>
      </c>
    </row>
    <row r="295" spans="4:15">
      <c r="D295">
        <f t="shared" si="90"/>
        <v>446.71513000000004</v>
      </c>
      <c r="F295">
        <v>0.67</v>
      </c>
      <c r="G295">
        <f t="shared" si="95"/>
        <v>745.12083684000004</v>
      </c>
      <c r="H295">
        <f t="shared" si="91"/>
        <v>1.6744288468314608</v>
      </c>
      <c r="I295">
        <f t="shared" si="92"/>
        <v>0.32423474321927159</v>
      </c>
      <c r="J295">
        <f t="shared" si="87"/>
        <v>320.94034019441085</v>
      </c>
      <c r="K295">
        <f t="shared" si="93"/>
        <v>320.94034019441091</v>
      </c>
      <c r="L295">
        <f t="shared" si="88"/>
        <v>1643.354216708834</v>
      </c>
      <c r="M295">
        <f t="shared" si="94"/>
        <v>1964.2945569032449</v>
      </c>
      <c r="N295">
        <f t="shared" si="89"/>
        <v>0.76218697763088838</v>
      </c>
      <c r="O295" s="69">
        <f>0.5*Drag!$C$97*G295^2*Drag!$C$95*Drag!$C$19</f>
        <v>3791.1823909816048</v>
      </c>
    </row>
    <row r="296" spans="4:15">
      <c r="D296">
        <f t="shared" si="90"/>
        <v>450.04882500000008</v>
      </c>
      <c r="F296">
        <v>0.67500000000000004</v>
      </c>
      <c r="G296">
        <f t="shared" si="95"/>
        <v>750.68144010000015</v>
      </c>
      <c r="H296">
        <f t="shared" si="91"/>
        <v>1.6869245844943823</v>
      </c>
      <c r="I296">
        <f t="shared" si="92"/>
        <v>0.30586022324156392</v>
      </c>
      <c r="J296">
        <f t="shared" si="87"/>
        <v>300.50990420352531</v>
      </c>
      <c r="K296">
        <f t="shared" si="93"/>
        <v>300.50990420352531</v>
      </c>
      <c r="L296">
        <f t="shared" si="88"/>
        <v>1646.3474242607963</v>
      </c>
      <c r="M296">
        <f t="shared" si="94"/>
        <v>1946.8573284643217</v>
      </c>
      <c r="N296">
        <f t="shared" si="89"/>
        <v>0.76548446333122455</v>
      </c>
      <c r="O296" s="69">
        <f>0.5*Drag!$C$97*G296^2*Drag!$C$95*Drag!$C$19</f>
        <v>3847.9783401447858</v>
      </c>
    </row>
    <row r="297" spans="4:15">
      <c r="D297">
        <f t="shared" si="90"/>
        <v>453.38252000000006</v>
      </c>
      <c r="F297">
        <v>0.68</v>
      </c>
      <c r="G297">
        <f t="shared" si="95"/>
        <v>756.24204336000003</v>
      </c>
      <c r="H297">
        <f t="shared" si="91"/>
        <v>1.6994203221573034</v>
      </c>
      <c r="I297">
        <f t="shared" si="92"/>
        <v>0.28718831836388592</v>
      </c>
      <c r="J297">
        <f t="shared" si="87"/>
        <v>280.08988136679369</v>
      </c>
      <c r="K297">
        <f t="shared" si="93"/>
        <v>280.08988136679369</v>
      </c>
      <c r="L297">
        <f t="shared" si="88"/>
        <v>1649.3951260171989</v>
      </c>
      <c r="M297">
        <f t="shared" si="94"/>
        <v>1929.4850073839925</v>
      </c>
      <c r="N297">
        <f t="shared" si="89"/>
        <v>0.76881675696044238</v>
      </c>
      <c r="O297" s="69">
        <f>0.5*Drag!$C$97*G297^2*Drag!$C$95*Drag!$C$19</f>
        <v>3905.1965640229323</v>
      </c>
    </row>
    <row r="298" spans="4:15">
      <c r="D298">
        <f t="shared" si="90"/>
        <v>456.71621500000003</v>
      </c>
      <c r="F298">
        <v>0.68500000000000005</v>
      </c>
      <c r="G298">
        <f t="shared" si="95"/>
        <v>761.80264662000002</v>
      </c>
      <c r="H298">
        <f t="shared" si="91"/>
        <v>1.7119160598202245</v>
      </c>
      <c r="I298">
        <f t="shared" si="92"/>
        <v>0.26821902858623714</v>
      </c>
      <c r="J298">
        <f t="shared" si="87"/>
        <v>259.68004365894205</v>
      </c>
      <c r="K298">
        <f t="shared" si="93"/>
        <v>259.68004365894205</v>
      </c>
      <c r="L298">
        <f t="shared" si="88"/>
        <v>1652.4973232949392</v>
      </c>
      <c r="M298">
        <f t="shared" si="94"/>
        <v>1912.1773669538811</v>
      </c>
      <c r="N298">
        <f t="shared" si="89"/>
        <v>0.77218410667495807</v>
      </c>
      <c r="O298" s="69">
        <f>0.5*Drag!$C$97*G298^2*Drag!$C$95*Drag!$C$19</f>
        <v>3962.8370626160481</v>
      </c>
    </row>
    <row r="299" spans="4:15">
      <c r="D299">
        <f t="shared" si="90"/>
        <v>460.04991000000001</v>
      </c>
      <c r="F299">
        <v>0.69</v>
      </c>
      <c r="G299">
        <f t="shared" si="95"/>
        <v>767.36324988000001</v>
      </c>
      <c r="H299">
        <f t="shared" si="91"/>
        <v>1.7244117974831461</v>
      </c>
      <c r="I299">
        <f t="shared" si="92"/>
        <v>0.24895235390861803</v>
      </c>
      <c r="J299">
        <f t="shared" si="87"/>
        <v>239.28016966412559</v>
      </c>
      <c r="K299">
        <f t="shared" si="93"/>
        <v>239.28016966412559</v>
      </c>
      <c r="L299">
        <f t="shared" si="88"/>
        <v>1655.6540218662237</v>
      </c>
      <c r="M299">
        <f t="shared" si="94"/>
        <v>1894.9341915303494</v>
      </c>
      <c r="N299">
        <f t="shared" si="89"/>
        <v>0.77558676319309405</v>
      </c>
      <c r="O299" s="69">
        <f>0.5*Drag!$C$97*G299^2*Drag!$C$95*Drag!$C$19</f>
        <v>4020.8998359241309</v>
      </c>
    </row>
    <row r="300" spans="4:15">
      <c r="D300">
        <f t="shared" si="90"/>
        <v>463.38360499999999</v>
      </c>
      <c r="F300">
        <v>0.69499999999999995</v>
      </c>
      <c r="G300">
        <f t="shared" si="95"/>
        <v>772.92385313999989</v>
      </c>
      <c r="H300">
        <f t="shared" si="91"/>
        <v>1.736907535146067</v>
      </c>
      <c r="I300">
        <f t="shared" si="92"/>
        <v>0.22938829433102992</v>
      </c>
      <c r="J300">
        <f t="shared" si="87"/>
        <v>218.89004433817954</v>
      </c>
      <c r="K300">
        <f t="shared" si="93"/>
        <v>218.89004433817951</v>
      </c>
      <c r="L300">
        <f t="shared" si="88"/>
        <v>1658.8652318877664</v>
      </c>
      <c r="M300">
        <f t="shared" si="94"/>
        <v>1877.7552762259459</v>
      </c>
      <c r="N300">
        <f t="shared" si="89"/>
        <v>0.77902497981182384</v>
      </c>
      <c r="O300" s="69">
        <f>0.5*Drag!$C$97*G300^2*Drag!$C$95*Drag!$C$19</f>
        <v>4079.3848839471807</v>
      </c>
    </row>
    <row r="301" spans="4:15">
      <c r="D301">
        <f t="shared" si="90"/>
        <v>466.71729999999997</v>
      </c>
      <c r="F301">
        <v>0.7</v>
      </c>
      <c r="G301">
        <f t="shared" si="95"/>
        <v>778.48445639999989</v>
      </c>
      <c r="H301">
        <f t="shared" si="91"/>
        <v>1.7494032728089886</v>
      </c>
      <c r="I301">
        <f t="shared" si="92"/>
        <v>0.2095268498534697</v>
      </c>
      <c r="J301">
        <f t="shared" si="87"/>
        <v>198.50945878105344</v>
      </c>
      <c r="K301">
        <f t="shared" si="93"/>
        <v>198.50945878105347</v>
      </c>
      <c r="L301">
        <f t="shared" si="88"/>
        <v>1662.1309678319883</v>
      </c>
      <c r="M301">
        <f t="shared" si="94"/>
        <v>1860.6404266130417</v>
      </c>
      <c r="N301">
        <f t="shared" si="89"/>
        <v>0.78249901242365616</v>
      </c>
      <c r="O301" s="69">
        <f>0.5*Drag!$C$97*G301^2*Drag!$C$95*Drag!$C$19</f>
        <v>4138.2922066851988</v>
      </c>
    </row>
    <row r="302" spans="4:15">
      <c r="D302">
        <f t="shared" si="90"/>
        <v>470.050995</v>
      </c>
      <c r="F302">
        <v>0.70499999999999996</v>
      </c>
      <c r="G302">
        <f t="shared" si="95"/>
        <v>784.04505965999999</v>
      </c>
      <c r="H302">
        <f t="shared" si="91"/>
        <v>1.7618990104719101</v>
      </c>
      <c r="I302">
        <f t="shared" si="92"/>
        <v>0.18936802047593915</v>
      </c>
      <c r="J302">
        <f t="shared" si="87"/>
        <v>178.13821001894445</v>
      </c>
      <c r="K302">
        <f t="shared" si="93"/>
        <v>178.13821001894445</v>
      </c>
      <c r="L302">
        <f t="shared" si="88"/>
        <v>1665.4512484201798</v>
      </c>
      <c r="M302">
        <f t="shared" si="94"/>
        <v>1843.5894584391242</v>
      </c>
      <c r="N302">
        <f t="shared" si="89"/>
        <v>0.78600911953367614</v>
      </c>
      <c r="O302" s="69">
        <f>0.5*Drag!$C$97*G302^2*Drag!$C$95*Drag!$C$19</f>
        <v>4197.6218041381881</v>
      </c>
    </row>
    <row r="303" spans="4:15">
      <c r="D303">
        <f t="shared" si="90"/>
        <v>473.38468999999998</v>
      </c>
      <c r="F303">
        <v>0.71</v>
      </c>
      <c r="G303">
        <f t="shared" si="95"/>
        <v>789.60566291999987</v>
      </c>
      <c r="H303">
        <f t="shared" si="91"/>
        <v>1.7743947481348312</v>
      </c>
      <c r="I303">
        <f t="shared" si="92"/>
        <v>0.16891180619843871</v>
      </c>
      <c r="J303">
        <f t="shared" si="87"/>
        <v>157.77610079562029</v>
      </c>
      <c r="K303">
        <f t="shared" si="93"/>
        <v>157.77610079562027</v>
      </c>
      <c r="L303">
        <f t="shared" si="88"/>
        <v>1668.8260965574846</v>
      </c>
      <c r="M303">
        <f t="shared" si="94"/>
        <v>1826.6021973531049</v>
      </c>
      <c r="N303">
        <f t="shared" si="89"/>
        <v>0.7895555622767183</v>
      </c>
      <c r="O303" s="69">
        <f>0.5*Drag!$C$97*G303^2*Drag!$C$95*Drag!$C$19</f>
        <v>4257.3736763061406</v>
      </c>
    </row>
    <row r="304" spans="4:15">
      <c r="D304">
        <f t="shared" si="90"/>
        <v>476.71838500000001</v>
      </c>
      <c r="F304">
        <v>0.71499999999999997</v>
      </c>
      <c r="G304">
        <f t="shared" si="95"/>
        <v>795.16626617999998</v>
      </c>
      <c r="H304">
        <f t="shared" si="91"/>
        <v>1.7868904857977528</v>
      </c>
      <c r="I304">
        <f t="shared" si="92"/>
        <v>0.14815820702096749</v>
      </c>
      <c r="J304">
        <f t="shared" si="87"/>
        <v>137.42293937250406</v>
      </c>
      <c r="K304">
        <f t="shared" si="93"/>
        <v>137.42293937250409</v>
      </c>
      <c r="L304">
        <f t="shared" si="88"/>
        <v>1672.2555392697052</v>
      </c>
      <c r="M304">
        <f t="shared" si="94"/>
        <v>1809.6784786422093</v>
      </c>
      <c r="N304">
        <f t="shared" si="89"/>
        <v>0.79313860443469952</v>
      </c>
      <c r="O304" s="69">
        <f>0.5*Drag!$C$97*G304^2*Drag!$C$95*Drag!$C$19</f>
        <v>4317.5478231890647</v>
      </c>
    </row>
    <row r="305" spans="4:15">
      <c r="D305">
        <f t="shared" si="90"/>
        <v>480.05207999999999</v>
      </c>
      <c r="F305">
        <v>0.72</v>
      </c>
      <c r="G305">
        <f t="shared" si="95"/>
        <v>800.72686943999997</v>
      </c>
      <c r="H305">
        <f t="shared" si="91"/>
        <v>1.7993862234606739</v>
      </c>
      <c r="I305">
        <f t="shared" si="92"/>
        <v>0.12710722294352639</v>
      </c>
      <c r="J305">
        <f t="shared" si="87"/>
        <v>117.07853933709239</v>
      </c>
      <c r="K305">
        <f t="shared" si="93"/>
        <v>117.07853933709239</v>
      </c>
      <c r="L305">
        <f t="shared" si="88"/>
        <v>1675.7396076418079</v>
      </c>
      <c r="M305">
        <f t="shared" si="94"/>
        <v>1792.8181469789004</v>
      </c>
      <c r="N305">
        <f t="shared" si="89"/>
        <v>0.79675851245408991</v>
      </c>
      <c r="O305" s="69">
        <f>0.5*Drag!$C$97*G305^2*Drag!$C$95*Drag!$C$19</f>
        <v>4378.144244786954</v>
      </c>
    </row>
    <row r="306" spans="4:15">
      <c r="D306">
        <f t="shared" si="90"/>
        <v>483.38577500000002</v>
      </c>
      <c r="F306">
        <v>0.72499999999999998</v>
      </c>
      <c r="G306">
        <f t="shared" si="95"/>
        <v>806.28747269999997</v>
      </c>
      <c r="H306">
        <f t="shared" si="91"/>
        <v>1.8118819611235955</v>
      </c>
      <c r="I306">
        <f t="shared" si="92"/>
        <v>0.10575885396611451</v>
      </c>
      <c r="J306">
        <f t="shared" si="87"/>
        <v>96.742719419293977</v>
      </c>
      <c r="K306">
        <f t="shared" si="93"/>
        <v>96.742719419293991</v>
      </c>
      <c r="L306">
        <f t="shared" si="88"/>
        <v>1679.2783367580894</v>
      </c>
      <c r="M306">
        <f t="shared" si="94"/>
        <v>1776.0210561773833</v>
      </c>
      <c r="N306">
        <f t="shared" si="89"/>
        <v>0.80041555546353493</v>
      </c>
      <c r="O306" s="69">
        <f>0.5*Drag!$C$97*G306^2*Drag!$C$95*Drag!$C$19</f>
        <v>4439.162941099813</v>
      </c>
    </row>
    <row r="307" spans="4:15">
      <c r="D307">
        <f t="shared" si="90"/>
        <v>486.71947</v>
      </c>
      <c r="F307">
        <v>0.73</v>
      </c>
      <c r="G307">
        <f t="shared" si="95"/>
        <v>811.84807595999996</v>
      </c>
      <c r="H307">
        <f t="shared" si="91"/>
        <v>1.8243776987865166</v>
      </c>
      <c r="I307">
        <f t="shared" si="92"/>
        <v>8.4113100088733628E-2</v>
      </c>
      <c r="J307">
        <f t="shared" si="87"/>
        <v>76.415303315323868</v>
      </c>
      <c r="K307">
        <f t="shared" si="93"/>
        <v>76.415303315323868</v>
      </c>
      <c r="L307">
        <f t="shared" si="88"/>
        <v>1682.8717656439364</v>
      </c>
      <c r="M307">
        <f t="shared" si="94"/>
        <v>1759.2870689592603</v>
      </c>
      <c r="N307">
        <f t="shared" si="89"/>
        <v>0.80411000529162691</v>
      </c>
      <c r="O307" s="69">
        <f>0.5*Drag!$C$97*G307^2*Drag!$C$95*Drag!$C$19</f>
        <v>4500.603912127639</v>
      </c>
    </row>
    <row r="308" spans="4:15">
      <c r="D308">
        <f t="shared" si="90"/>
        <v>490.05316500000004</v>
      </c>
      <c r="F308">
        <v>0.73499999999999999</v>
      </c>
      <c r="G308">
        <f t="shared" si="95"/>
        <v>817.40867922000007</v>
      </c>
      <c r="H308">
        <f t="shared" si="91"/>
        <v>1.8368734364494383</v>
      </c>
      <c r="I308">
        <f t="shared" si="92"/>
        <v>6.2169961311380195E-2</v>
      </c>
      <c r="J308">
        <f t="shared" si="87"/>
        <v>56.096119518774174</v>
      </c>
      <c r="K308">
        <f t="shared" si="93"/>
        <v>56.096119518774174</v>
      </c>
      <c r="L308">
        <f t="shared" si="88"/>
        <v>1686.5199372091147</v>
      </c>
      <c r="M308">
        <f t="shared" si="94"/>
        <v>1742.6160567278889</v>
      </c>
      <c r="N308">
        <f t="shared" si="89"/>
        <v>0.80784213648482184</v>
      </c>
      <c r="O308" s="69">
        <f>0.5*Drag!$C$97*G308^2*Drag!$C$95*Drag!$C$19</f>
        <v>4562.4671578704347</v>
      </c>
    </row>
    <row r="309" spans="4:15">
      <c r="D309">
        <f t="shared" si="90"/>
        <v>493.38686000000001</v>
      </c>
      <c r="F309">
        <v>0.74</v>
      </c>
      <c r="G309">
        <f t="shared" si="95"/>
        <v>822.96928247999995</v>
      </c>
      <c r="H309">
        <f t="shared" si="91"/>
        <v>1.8493691741123595</v>
      </c>
      <c r="I309">
        <f t="shared" si="92"/>
        <v>3.9929437634057763E-2</v>
      </c>
      <c r="J309">
        <f t="shared" si="87"/>
        <v>35.785001158551751</v>
      </c>
      <c r="K309">
        <f t="shared" si="93"/>
        <v>35.785001158551751</v>
      </c>
      <c r="L309">
        <f t="shared" si="88"/>
        <v>1690.2228981925305</v>
      </c>
      <c r="M309">
        <f t="shared" si="94"/>
        <v>1726.0078993510822</v>
      </c>
      <c r="N309">
        <f t="shared" si="89"/>
        <v>0.811612226325507</v>
      </c>
      <c r="O309" s="69">
        <f>0.5*Drag!$C$97*G309^2*Drag!$C$95*Drag!$C$19</f>
        <v>4624.7526783281946</v>
      </c>
    </row>
    <row r="310" spans="4:15">
      <c r="D310">
        <f t="shared" si="90"/>
        <v>496.72055500000005</v>
      </c>
      <c r="F310">
        <v>0.745</v>
      </c>
      <c r="G310">
        <f t="shared" si="95"/>
        <v>828.52988574000005</v>
      </c>
      <c r="H310">
        <f t="shared" si="91"/>
        <v>1.861864911775281</v>
      </c>
      <c r="I310">
        <f t="shared" si="92"/>
        <v>1.739152905676411E-2</v>
      </c>
      <c r="J310">
        <f t="shared" si="87"/>
        <v>15.481785843319154</v>
      </c>
      <c r="K310">
        <f t="shared" si="93"/>
        <v>15.481785843319155</v>
      </c>
      <c r="L310">
        <f t="shared" si="88"/>
        <v>1693.9806991084163</v>
      </c>
      <c r="M310">
        <f t="shared" si="94"/>
        <v>1709.4624849517354</v>
      </c>
      <c r="N310">
        <f t="shared" si="89"/>
        <v>0.81542055485021792</v>
      </c>
      <c r="O310" s="69">
        <f>0.5*Drag!$C$97*G310^2*Drag!$C$95*Drag!$C$19</f>
        <v>4687.4604735009261</v>
      </c>
    </row>
    <row r="311" spans="4:15">
      <c r="D311">
        <f t="shared" si="90"/>
        <v>500.05425000000002</v>
      </c>
      <c r="F311">
        <v>0.75</v>
      </c>
      <c r="G311">
        <f t="shared" si="95"/>
        <v>834.09048900000005</v>
      </c>
      <c r="H311">
        <f t="shared" si="91"/>
        <v>1.8743606494382024</v>
      </c>
      <c r="I311">
        <f t="shared" si="92"/>
        <v>-5.4437644204994307E-3</v>
      </c>
      <c r="J311">
        <f t="shared" si="87"/>
        <v>-4.8136844878222256</v>
      </c>
      <c r="K311">
        <f t="shared" si="93"/>
        <v>-4.8136844878222256</v>
      </c>
      <c r="L311">
        <f t="shared" si="88"/>
        <v>1697.7933941938791</v>
      </c>
      <c r="M311">
        <f t="shared" si="94"/>
        <v>1692.9797097060568</v>
      </c>
      <c r="N311">
        <f t="shared" si="89"/>
        <v>0.81926740486800609</v>
      </c>
      <c r="O311" s="69">
        <f>0.5*Drag!$C$97*G311^2*Drag!$C$95*Drag!$C$19</f>
        <v>4750.5905433886237</v>
      </c>
    </row>
    <row r="312" spans="4:15">
      <c r="D312">
        <f t="shared" si="90"/>
        <v>503.387945</v>
      </c>
      <c r="F312">
        <v>0.755</v>
      </c>
      <c r="G312">
        <f t="shared" si="95"/>
        <v>839.65109225999993</v>
      </c>
      <c r="H312">
        <f t="shared" si="91"/>
        <v>1.8868563871011235</v>
      </c>
      <c r="I312">
        <f t="shared" si="92"/>
        <v>-2.8576442797732859E-2</v>
      </c>
      <c r="J312">
        <f t="shared" si="87"/>
        <v>-25.101563708728513</v>
      </c>
      <c r="K312">
        <f t="shared" si="93"/>
        <v>-25.101563708728513</v>
      </c>
      <c r="L312">
        <f t="shared" si="88"/>
        <v>1701.6610413577673</v>
      </c>
      <c r="M312">
        <f t="shared" si="94"/>
        <v>1676.5594776490389</v>
      </c>
      <c r="N312">
        <f t="shared" si="89"/>
        <v>0.82315306197895521</v>
      </c>
      <c r="O312" s="69">
        <f>0.5*Drag!$C$97*G312^2*Drag!$C$95*Drag!$C$19</f>
        <v>4814.1428879912883</v>
      </c>
    </row>
    <row r="313" spans="4:15">
      <c r="D313">
        <f t="shared" si="90"/>
        <v>506.72164000000004</v>
      </c>
      <c r="F313">
        <v>0.76</v>
      </c>
      <c r="G313">
        <f t="shared" si="95"/>
        <v>845.21169552000003</v>
      </c>
      <c r="H313">
        <f t="shared" si="91"/>
        <v>1.899352124764045</v>
      </c>
      <c r="I313">
        <f t="shared" si="92"/>
        <v>-5.2006506074937064E-2</v>
      </c>
      <c r="J313">
        <f t="shared" si="87"/>
        <v>-45.382001643944584</v>
      </c>
      <c r="K313">
        <f t="shared" si="93"/>
        <v>-45.382001643944584</v>
      </c>
      <c r="L313">
        <f t="shared" si="88"/>
        <v>1705.5837021308041</v>
      </c>
      <c r="M313">
        <f t="shared" si="94"/>
        <v>1660.2017004868596</v>
      </c>
      <c r="N313">
        <f t="shared" si="89"/>
        <v>0.82707781459285157</v>
      </c>
      <c r="O313" s="69">
        <f>0.5*Drag!$C$97*G313^2*Drag!$C$95*Drag!$C$19</f>
        <v>4878.1175073089225</v>
      </c>
    </row>
    <row r="314" spans="4:15">
      <c r="D314">
        <f t="shared" si="90"/>
        <v>510.05533500000001</v>
      </c>
      <c r="F314">
        <v>0.76500000000000001</v>
      </c>
      <c r="G314">
        <f t="shared" si="95"/>
        <v>850.77229878000003</v>
      </c>
      <c r="H314">
        <f t="shared" si="91"/>
        <v>1.9118478624269664</v>
      </c>
      <c r="I314">
        <f t="shared" si="92"/>
        <v>-7.5733954252112046E-2</v>
      </c>
      <c r="J314">
        <f t="shared" si="87"/>
        <v>-65.655144201032996</v>
      </c>
      <c r="K314">
        <f t="shared" si="93"/>
        <v>-65.655144201033011</v>
      </c>
      <c r="L314">
        <f t="shared" si="88"/>
        <v>1709.5614416169358</v>
      </c>
      <c r="M314">
        <f t="shared" si="94"/>
        <v>1643.9062974159028</v>
      </c>
      <c r="N314">
        <f t="shared" si="89"/>
        <v>0.83104195394800084</v>
      </c>
      <c r="O314" s="69">
        <f>0.5*Drag!$C$97*G314^2*Drag!$C$95*Drag!$C$19</f>
        <v>4942.5144013415247</v>
      </c>
    </row>
    <row r="315" spans="4:15">
      <c r="D315">
        <f t="shared" si="90"/>
        <v>513.38903000000005</v>
      </c>
      <c r="F315">
        <v>0.77</v>
      </c>
      <c r="G315">
        <f t="shared" si="95"/>
        <v>856.33290204000002</v>
      </c>
      <c r="H315">
        <f t="shared" si="91"/>
        <v>1.9243436000898877</v>
      </c>
      <c r="I315">
        <f t="shared" si="92"/>
        <v>-9.9758787329257359E-2</v>
      </c>
      <c r="J315">
        <f t="shared" si="87"/>
        <v>-85.921133497749125</v>
      </c>
      <c r="K315">
        <f t="shared" si="93"/>
        <v>-85.921133497749125</v>
      </c>
      <c r="L315">
        <f t="shared" si="88"/>
        <v>1713.5943284458688</v>
      </c>
      <c r="M315">
        <f t="shared" si="94"/>
        <v>1627.6731949481195</v>
      </c>
      <c r="N315">
        <f t="shared" si="89"/>
        <v>0.83504577413020276</v>
      </c>
      <c r="O315" s="69">
        <f>0.5*Drag!$C$97*G315^2*Drag!$C$95*Drag!$C$19</f>
        <v>5007.333570089093</v>
      </c>
    </row>
    <row r="316" spans="4:15">
      <c r="D316">
        <f t="shared" si="90"/>
        <v>516.72272500000008</v>
      </c>
      <c r="F316">
        <v>0.77500000000000002</v>
      </c>
      <c r="G316">
        <f t="shared" si="95"/>
        <v>861.89350530000013</v>
      </c>
      <c r="H316">
        <f t="shared" si="91"/>
        <v>1.9368393377528093</v>
      </c>
      <c r="I316">
        <f t="shared" si="92"/>
        <v>-0.12408100530637345</v>
      </c>
      <c r="J316">
        <f t="shared" si="87"/>
        <v>-106.18010798429405</v>
      </c>
      <c r="K316">
        <f t="shared" si="93"/>
        <v>-106.18010798429405</v>
      </c>
      <c r="L316">
        <f t="shared" si="88"/>
        <v>1717.6824347267293</v>
      </c>
      <c r="M316">
        <f t="shared" si="94"/>
        <v>1611.5023267424353</v>
      </c>
      <c r="N316">
        <f t="shared" si="89"/>
        <v>0.83908957209187618</v>
      </c>
      <c r="O316" s="69">
        <f>0.5*Drag!$C$97*G316^2*Drag!$C$95*Drag!$C$19</f>
        <v>5072.5750135516309</v>
      </c>
    </row>
    <row r="317" spans="4:15">
      <c r="D317">
        <f t="shared" si="90"/>
        <v>520.05642</v>
      </c>
      <c r="F317">
        <v>0.78</v>
      </c>
      <c r="G317">
        <f t="shared" si="95"/>
        <v>867.45410856000001</v>
      </c>
      <c r="H317">
        <f t="shared" si="91"/>
        <v>1.9493350754157304</v>
      </c>
      <c r="I317">
        <f t="shared" si="92"/>
        <v>-0.14870060818345898</v>
      </c>
      <c r="J317">
        <f t="shared" si="87"/>
        <v>-126.43220256086232</v>
      </c>
      <c r="K317">
        <f t="shared" si="93"/>
        <v>-126.43220256086232</v>
      </c>
      <c r="L317">
        <f t="shared" si="88"/>
        <v>1721.8258360028155</v>
      </c>
      <c r="M317">
        <f t="shared" si="94"/>
        <v>1595.3936334419532</v>
      </c>
      <c r="N317">
        <f t="shared" si="89"/>
        <v>0.84317364767133307</v>
      </c>
      <c r="O317" s="69">
        <f>0.5*Drag!$C$97*G317^2*Drag!$C$95*Drag!$C$19</f>
        <v>5138.238731729135</v>
      </c>
    </row>
    <row r="318" spans="4:15">
      <c r="D318">
        <f t="shared" si="90"/>
        <v>523.39011500000004</v>
      </c>
      <c r="F318">
        <v>0.78500000000000003</v>
      </c>
      <c r="G318">
        <f t="shared" si="95"/>
        <v>873.01471182</v>
      </c>
      <c r="H318">
        <f t="shared" si="91"/>
        <v>1.9618308130786517</v>
      </c>
      <c r="I318">
        <f t="shared" si="92"/>
        <v>-0.17361759596051485</v>
      </c>
      <c r="J318">
        <f t="shared" si="87"/>
        <v>-146.67754869070259</v>
      </c>
      <c r="K318">
        <f t="shared" si="93"/>
        <v>-146.67754869070257</v>
      </c>
      <c r="L318">
        <f t="shared" si="88"/>
        <v>1726.0246112074065</v>
      </c>
      <c r="M318">
        <f t="shared" si="94"/>
        <v>1579.3470625167038</v>
      </c>
      <c r="N318">
        <f t="shared" si="89"/>
        <v>0.84729830361221314</v>
      </c>
      <c r="O318" s="69">
        <f>0.5*Drag!$C$97*G318^2*Drag!$C$95*Drag!$C$19</f>
        <v>5204.3247246216069</v>
      </c>
    </row>
    <row r="319" spans="4:15">
      <c r="D319">
        <f t="shared" si="90"/>
        <v>526.72381000000007</v>
      </c>
      <c r="F319">
        <v>0.79</v>
      </c>
      <c r="G319">
        <f t="shared" si="95"/>
        <v>878.57531508000011</v>
      </c>
      <c r="H319">
        <f t="shared" si="91"/>
        <v>1.974326550741573</v>
      </c>
      <c r="I319">
        <f t="shared" si="92"/>
        <v>-0.19883196863754149</v>
      </c>
      <c r="J319">
        <f t="shared" si="87"/>
        <v>-166.91627450887967</v>
      </c>
      <c r="K319">
        <f t="shared" si="93"/>
        <v>-166.91627450887967</v>
      </c>
      <c r="L319">
        <f t="shared" si="88"/>
        <v>1730.2788426205811</v>
      </c>
      <c r="M319">
        <f t="shared" si="94"/>
        <v>1563.3625681117014</v>
      </c>
      <c r="N319">
        <f t="shared" si="89"/>
        <v>0.85146384558306665</v>
      </c>
      <c r="O319" s="69">
        <f>0.5*Drag!$C$97*G319^2*Drag!$C$95*Drag!$C$19</f>
        <v>5270.8329922290495</v>
      </c>
    </row>
    <row r="320" spans="4:15">
      <c r="D320">
        <f t="shared" si="90"/>
        <v>530.05750500000011</v>
      </c>
      <c r="F320">
        <v>0.79500000000000004</v>
      </c>
      <c r="G320">
        <f t="shared" si="95"/>
        <v>884.1359183400001</v>
      </c>
      <c r="H320">
        <f t="shared" si="91"/>
        <v>1.9868222884044946</v>
      </c>
      <c r="I320">
        <f t="shared" si="92"/>
        <v>-0.22434372621453846</v>
      </c>
      <c r="J320">
        <f t="shared" si="87"/>
        <v>-187.14850492693401</v>
      </c>
      <c r="K320">
        <f t="shared" si="93"/>
        <v>-187.14850492693401</v>
      </c>
      <c r="L320">
        <f t="shared" si="88"/>
        <v>1734.5886158270187</v>
      </c>
      <c r="M320">
        <f t="shared" si="94"/>
        <v>1547.4401109000846</v>
      </c>
      <c r="N320">
        <f t="shared" si="89"/>
        <v>0.85567058219709646</v>
      </c>
      <c r="O320" s="69">
        <f>0.5*Drag!$C$97*G320^2*Drag!$C$95*Drag!$C$19</f>
        <v>5337.7635345514582</v>
      </c>
    </row>
    <row r="321" spans="4:15">
      <c r="D321">
        <f t="shared" si="90"/>
        <v>533.39120000000003</v>
      </c>
      <c r="F321">
        <v>0.8</v>
      </c>
      <c r="G321">
        <f t="shared" si="95"/>
        <v>889.69652159999998</v>
      </c>
      <c r="H321">
        <f t="shared" si="91"/>
        <v>1.9993180260674155</v>
      </c>
      <c r="I321">
        <f t="shared" si="92"/>
        <v>-0.25015286869150533</v>
      </c>
      <c r="J321">
        <f t="shared" si="87"/>
        <v>-207.37436173361766</v>
      </c>
      <c r="K321">
        <f t="shared" si="93"/>
        <v>-207.37436173361766</v>
      </c>
      <c r="L321">
        <f t="shared" si="88"/>
        <v>1738.9540196747305</v>
      </c>
      <c r="M321">
        <f t="shared" si="94"/>
        <v>1531.5796579411128</v>
      </c>
      <c r="N321">
        <f t="shared" si="89"/>
        <v>0.85991882503204886</v>
      </c>
      <c r="O321" s="69">
        <f>0.5*Drag!$C$97*G321^2*Drag!$C$95*Drag!$C$19</f>
        <v>5405.1163515888329</v>
      </c>
    </row>
    <row r="322" spans="4:15">
      <c r="D322">
        <f t="shared" si="90"/>
        <v>536.72489500000006</v>
      </c>
      <c r="F322">
        <v>0.80500000000000005</v>
      </c>
      <c r="G322">
        <f t="shared" si="95"/>
        <v>895.25712486000009</v>
      </c>
      <c r="H322">
        <f t="shared" si="91"/>
        <v>2.0118137637303373</v>
      </c>
      <c r="I322">
        <f t="shared" si="92"/>
        <v>-0.27625939606844385</v>
      </c>
      <c r="J322">
        <f t="shared" ref="J322:J353" si="96">(I322*550*$B$19)/G322</f>
        <v>-227.59396369187664</v>
      </c>
      <c r="K322">
        <f t="shared" si="93"/>
        <v>-227.59396369187667</v>
      </c>
      <c r="L322">
        <f t="shared" ref="L322:L353" si="97">$C$41*N322*(1-0.49*(SQRT(F322)))</f>
        <v>1743.3751462347138</v>
      </c>
      <c r="M322">
        <f t="shared" si="94"/>
        <v>1515.7811825428371</v>
      </c>
      <c r="N322">
        <f t="shared" ref="N322:N354" si="98">($AB$51/$AB$52)*(1+((1.4-1)/2)*F322^2)^(1.4/(1.4-1))</f>
        <v>0.86420888865026768</v>
      </c>
      <c r="O322" s="69">
        <f>0.5*Drag!$C$97*G322^2*Drag!$C$95*Drag!$C$19</f>
        <v>5472.8914433411792</v>
      </c>
    </row>
    <row r="323" spans="4:15">
      <c r="D323">
        <f t="shared" si="90"/>
        <v>540.05859000000009</v>
      </c>
      <c r="F323">
        <v>0.81</v>
      </c>
      <c r="G323">
        <f t="shared" si="95"/>
        <v>900.81772812000008</v>
      </c>
      <c r="H323">
        <f t="shared" si="91"/>
        <v>2.0243095013932586</v>
      </c>
      <c r="I323">
        <f t="shared" si="92"/>
        <v>-0.30266330834535227</v>
      </c>
      <c r="J323">
        <f t="shared" si="96"/>
        <v>-247.80742663223614</v>
      </c>
      <c r="K323">
        <f t="shared" si="93"/>
        <v>-247.80742663223614</v>
      </c>
      <c r="L323">
        <f t="shared" si="97"/>
        <v>1747.8520907614729</v>
      </c>
      <c r="M323">
        <f t="shared" si="94"/>
        <v>1500.0446641292367</v>
      </c>
      <c r="N323">
        <f t="shared" si="98"/>
        <v>0.86854109061889939</v>
      </c>
      <c r="O323" s="69">
        <f>0.5*Drag!$C$97*G323^2*Drag!$C$95*Drag!$C$19</f>
        <v>5541.0888098084915</v>
      </c>
    </row>
    <row r="324" spans="4:15">
      <c r="D324">
        <f t="shared" si="90"/>
        <v>543.39228500000002</v>
      </c>
      <c r="F324">
        <v>0.81499999999999995</v>
      </c>
      <c r="G324">
        <f t="shared" si="95"/>
        <v>906.37833137999996</v>
      </c>
      <c r="H324">
        <f t="shared" si="91"/>
        <v>2.0368052390561799</v>
      </c>
      <c r="I324">
        <f t="shared" si="92"/>
        <v>-0.32936460552223101</v>
      </c>
      <c r="J324">
        <f t="shared" si="96"/>
        <v>-268.0148635427559</v>
      </c>
      <c r="K324">
        <f t="shared" si="93"/>
        <v>-268.0148635427559</v>
      </c>
      <c r="L324">
        <f t="shared" si="97"/>
        <v>1752.3849516543817</v>
      </c>
      <c r="M324">
        <f t="shared" si="94"/>
        <v>1484.3700881116258</v>
      </c>
      <c r="N324">
        <f t="shared" si="98"/>
        <v>0.87291575153025525</v>
      </c>
      <c r="O324" s="69">
        <f>0.5*Drag!$C$97*G324^2*Drag!$C$95*Drag!$C$19</f>
        <v>5609.7084509907691</v>
      </c>
    </row>
    <row r="325" spans="4:15">
      <c r="D325">
        <f t="shared" si="90"/>
        <v>546.72598000000005</v>
      </c>
      <c r="F325">
        <v>0.82</v>
      </c>
      <c r="G325">
        <f t="shared" si="95"/>
        <v>911.93893464000007</v>
      </c>
      <c r="H325">
        <f t="shared" si="91"/>
        <v>2.0493009767191013</v>
      </c>
      <c r="I325">
        <f t="shared" si="92"/>
        <v>-0.3563632875990792</v>
      </c>
      <c r="J325">
        <f t="shared" si="96"/>
        <v>-288.21638465568833</v>
      </c>
      <c r="K325">
        <f t="shared" si="93"/>
        <v>-288.21638465568833</v>
      </c>
      <c r="L325">
        <f t="shared" si="97"/>
        <v>1756.9738304198645</v>
      </c>
      <c r="M325">
        <f t="shared" si="94"/>
        <v>1468.7574457641763</v>
      </c>
      <c r="N325">
        <f t="shared" si="98"/>
        <v>0.87733319502233265</v>
      </c>
      <c r="O325" s="69">
        <f>0.5*Drag!$C$97*G325^2*Drag!$C$95*Drag!$C$19</f>
        <v>5678.750366888019</v>
      </c>
    </row>
    <row r="326" spans="4:15">
      <c r="D326">
        <f t="shared" si="90"/>
        <v>550.05967499999997</v>
      </c>
      <c r="F326">
        <v>0.82499999999999996</v>
      </c>
      <c r="G326">
        <f t="shared" si="95"/>
        <v>917.49953789999995</v>
      </c>
      <c r="H326">
        <f t="shared" si="91"/>
        <v>2.0617967143820226</v>
      </c>
      <c r="I326">
        <f t="shared" si="92"/>
        <v>-0.38365935457589906</v>
      </c>
      <c r="J326">
        <f t="shared" si="96"/>
        <v>-308.41209753099145</v>
      </c>
      <c r="K326">
        <f t="shared" si="93"/>
        <v>-308.41209753099145</v>
      </c>
      <c r="L326">
        <f t="shared" si="97"/>
        <v>1761.6188316343587</v>
      </c>
      <c r="M326">
        <f t="shared" si="94"/>
        <v>1453.2067341033671</v>
      </c>
      <c r="N326">
        <f t="shared" si="98"/>
        <v>0.88179374779949204</v>
      </c>
      <c r="O326" s="69">
        <f>0.5*Drag!$C$97*G326^2*Drag!$C$95*Drag!$C$19</f>
        <v>5748.2145575002323</v>
      </c>
    </row>
    <row r="327" spans="4:15">
      <c r="D327">
        <f t="shared" si="90"/>
        <v>553.39337</v>
      </c>
      <c r="F327">
        <v>0.83</v>
      </c>
      <c r="G327">
        <f t="shared" si="95"/>
        <v>923.06014115999994</v>
      </c>
      <c r="H327">
        <f t="shared" si="91"/>
        <v>2.0742924520449435</v>
      </c>
      <c r="I327">
        <f t="shared" si="92"/>
        <v>-0.41125280645268703</v>
      </c>
      <c r="J327">
        <f t="shared" si="96"/>
        <v>-328.60210713681215</v>
      </c>
      <c r="K327">
        <f t="shared" si="93"/>
        <v>-328.60210713681226</v>
      </c>
      <c r="L327">
        <f t="shared" si="97"/>
        <v>1766.3200629080306</v>
      </c>
      <c r="M327">
        <f t="shared" si="94"/>
        <v>1437.7179557712184</v>
      </c>
      <c r="N327">
        <f t="shared" si="98"/>
        <v>0.88629773965329295</v>
      </c>
      <c r="O327" s="69">
        <f>0.5*Drag!$C$97*G327^2*Drag!$C$95*Drag!$C$19</f>
        <v>5818.1010228274172</v>
      </c>
    </row>
    <row r="328" spans="4:15">
      <c r="D328">
        <f t="shared" si="90"/>
        <v>556.72706500000004</v>
      </c>
      <c r="F328">
        <v>0.83499999999999996</v>
      </c>
      <c r="G328">
        <f t="shared" si="95"/>
        <v>928.62074442000005</v>
      </c>
      <c r="H328">
        <f t="shared" si="91"/>
        <v>2.0867881897078653</v>
      </c>
      <c r="I328">
        <f t="shared" si="92"/>
        <v>-0.43914364322944888</v>
      </c>
      <c r="J328">
        <f t="shared" si="96"/>
        <v>-348.78651592709809</v>
      </c>
      <c r="K328">
        <f t="shared" si="93"/>
        <v>-348.78651592709809</v>
      </c>
      <c r="L328">
        <f t="shared" si="97"/>
        <v>1771.0776348492298</v>
      </c>
      <c r="M328">
        <f t="shared" si="94"/>
        <v>1422.2911189221318</v>
      </c>
      <c r="N328">
        <f t="shared" si="98"/>
        <v>0.89084550348349056</v>
      </c>
      <c r="O328" s="69">
        <f>0.5*Drag!$C$97*G328^2*Drag!$C$95*Drag!$C$19</f>
        <v>5888.4097628695699</v>
      </c>
    </row>
    <row r="329" spans="4:15">
      <c r="D329">
        <f t="shared" si="90"/>
        <v>560.06075999999996</v>
      </c>
      <c r="F329">
        <v>0.84</v>
      </c>
      <c r="G329">
        <f t="shared" si="95"/>
        <v>934.18134767999993</v>
      </c>
      <c r="H329">
        <f t="shared" si="91"/>
        <v>2.0992839273707862</v>
      </c>
      <c r="I329">
        <f t="shared" si="92"/>
        <v>-0.46733186490617795</v>
      </c>
      <c r="J329">
        <f t="shared" si="96"/>
        <v>-368.96542391640696</v>
      </c>
      <c r="K329">
        <f t="shared" si="93"/>
        <v>-368.96542391640696</v>
      </c>
      <c r="L329">
        <f t="shared" si="97"/>
        <v>1775.8916610296285</v>
      </c>
      <c r="M329">
        <f t="shared" si="94"/>
        <v>1406.9262371132215</v>
      </c>
      <c r="N329">
        <f t="shared" si="98"/>
        <v>0.89543737531918699</v>
      </c>
      <c r="O329" s="69">
        <f>0.5*Drag!$C$97*G329^2*Drag!$C$95*Drag!$C$19</f>
        <v>5959.1407776266878</v>
      </c>
    </row>
    <row r="330" spans="4:15">
      <c r="D330">
        <f t="shared" si="90"/>
        <v>563.39445499999999</v>
      </c>
      <c r="F330">
        <v>0.84499999999999997</v>
      </c>
      <c r="G330">
        <f t="shared" si="95"/>
        <v>939.74195093999992</v>
      </c>
      <c r="H330">
        <f t="shared" si="91"/>
        <v>2.1117796650337075</v>
      </c>
      <c r="I330">
        <f t="shared" si="92"/>
        <v>-0.49581747148287958</v>
      </c>
      <c r="J330">
        <f t="shared" si="96"/>
        <v>-389.13892875209763</v>
      </c>
      <c r="K330">
        <f t="shared" si="93"/>
        <v>-389.13892875209763</v>
      </c>
      <c r="L330">
        <f t="shared" si="97"/>
        <v>1780.7622579500592</v>
      </c>
      <c r="M330">
        <f t="shared" si="94"/>
        <v>1391.6233291979615</v>
      </c>
      <c r="N330">
        <f t="shared" si="98"/>
        <v>0.90007369434014883</v>
      </c>
      <c r="O330" s="69">
        <f>0.5*Drag!$C$97*G330^2*Drag!$C$95*Drag!$C$19</f>
        <v>6030.2940670987755</v>
      </c>
    </row>
    <row r="331" spans="4:15">
      <c r="D331">
        <f t="shared" si="90"/>
        <v>566.72815000000003</v>
      </c>
      <c r="F331">
        <v>0.85</v>
      </c>
      <c r="G331">
        <f t="shared" si="95"/>
        <v>945.30255420000003</v>
      </c>
      <c r="H331">
        <f t="shared" si="91"/>
        <v>2.1242754026966293</v>
      </c>
      <c r="I331">
        <f t="shared" si="92"/>
        <v>-0.52460046295955154</v>
      </c>
      <c r="J331">
        <f t="shared" si="96"/>
        <v>-409.30712578393792</v>
      </c>
      <c r="K331">
        <f t="shared" si="93"/>
        <v>-409.30712578393792</v>
      </c>
      <c r="L331">
        <f t="shared" si="97"/>
        <v>1785.6895450069799</v>
      </c>
      <c r="M331">
        <f t="shared" si="94"/>
        <v>1376.382419223042</v>
      </c>
      <c r="N331">
        <f t="shared" si="98"/>
        <v>0.90475480289827603</v>
      </c>
      <c r="O331" s="69">
        <f>0.5*Drag!$C$97*G331^2*Drag!$C$95*Drag!$C$19</f>
        <v>6101.8696312858319</v>
      </c>
    </row>
    <row r="332" spans="4:15">
      <c r="D332">
        <f t="shared" si="90"/>
        <v>570.06184500000006</v>
      </c>
      <c r="F332">
        <v>0.85499999999999998</v>
      </c>
      <c r="G332">
        <f t="shared" si="95"/>
        <v>950.86315746000002</v>
      </c>
      <c r="H332">
        <f t="shared" si="91"/>
        <v>2.1367711403595506</v>
      </c>
      <c r="I332">
        <f t="shared" si="92"/>
        <v>-0.55368083933619294</v>
      </c>
      <c r="J332">
        <f t="shared" si="96"/>
        <v>-429.47010813129322</v>
      </c>
      <c r="K332">
        <f t="shared" si="93"/>
        <v>-429.47010813129322</v>
      </c>
      <c r="L332">
        <f t="shared" si="97"/>
        <v>1790.6736444595965</v>
      </c>
      <c r="M332">
        <f t="shared" si="94"/>
        <v>1361.2035363283032</v>
      </c>
      <c r="N332">
        <f t="shared" si="98"/>
        <v>0.90948104653924355</v>
      </c>
      <c r="O332" s="69">
        <f>0.5*Drag!$C$97*G332^2*Drag!$C$95*Drag!$C$19</f>
        <v>6173.8674701878554</v>
      </c>
    </row>
    <row r="333" spans="4:15">
      <c r="D333">
        <f t="shared" si="90"/>
        <v>573.39553999999998</v>
      </c>
      <c r="F333">
        <v>0.86</v>
      </c>
      <c r="G333">
        <f t="shared" si="95"/>
        <v>956.4237607199999</v>
      </c>
      <c r="H333">
        <f t="shared" si="91"/>
        <v>2.149266878022472</v>
      </c>
      <c r="I333">
        <f t="shared" si="92"/>
        <v>-0.58305860061280468</v>
      </c>
      <c r="J333">
        <f t="shared" si="96"/>
        <v>-449.62796674796328</v>
      </c>
      <c r="K333">
        <f t="shared" si="93"/>
        <v>-449.62796674796328</v>
      </c>
      <c r="L333">
        <f t="shared" si="97"/>
        <v>1795.7146813975648</v>
      </c>
      <c r="M333">
        <f t="shared" si="94"/>
        <v>1346.0867146496016</v>
      </c>
      <c r="N333">
        <f t="shared" si="98"/>
        <v>0.9142527740242925</v>
      </c>
      <c r="O333" s="69">
        <f>0.5*Drag!$C$97*G333^2*Drag!$C$95*Drag!$C$19</f>
        <v>6246.2875838048449</v>
      </c>
    </row>
    <row r="334" spans="4:15">
      <c r="D334">
        <f t="shared" si="90"/>
        <v>576.72923500000002</v>
      </c>
      <c r="F334">
        <v>0.86499999999999999</v>
      </c>
      <c r="G334">
        <f t="shared" si="95"/>
        <v>961.98436398000001</v>
      </c>
      <c r="H334">
        <f t="shared" si="91"/>
        <v>2.1617626156853933</v>
      </c>
      <c r="I334">
        <f t="shared" si="92"/>
        <v>-0.61273374678938675</v>
      </c>
      <c r="J334">
        <f t="shared" si="96"/>
        <v>-469.780790484769</v>
      </c>
      <c r="K334">
        <f t="shared" si="93"/>
        <v>-469.78079048476906</v>
      </c>
      <c r="L334">
        <f t="shared" si="97"/>
        <v>1800.8127837092934</v>
      </c>
      <c r="M334">
        <f t="shared" si="94"/>
        <v>1331.0319932245243</v>
      </c>
      <c r="N334">
        <f t="shared" si="98"/>
        <v>0.91907033735219057</v>
      </c>
      <c r="O334" s="69">
        <f>0.5*Drag!$C$97*G334^2*Drag!$C$95*Drag!$C$19</f>
        <v>6319.1299721368041</v>
      </c>
    </row>
    <row r="335" spans="4:15">
      <c r="D335">
        <f t="shared" si="90"/>
        <v>580.06293000000005</v>
      </c>
      <c r="F335">
        <v>0.87</v>
      </c>
      <c r="G335">
        <f t="shared" si="95"/>
        <v>967.54496724000001</v>
      </c>
      <c r="H335">
        <f t="shared" si="91"/>
        <v>2.1742583533483146</v>
      </c>
      <c r="I335">
        <f t="shared" si="92"/>
        <v>-0.64270627786593959</v>
      </c>
      <c r="J335">
        <f t="shared" si="96"/>
        <v>-489.92866614998456</v>
      </c>
      <c r="K335">
        <f t="shared" si="93"/>
        <v>-489.92866614998456</v>
      </c>
      <c r="L335">
        <f t="shared" si="97"/>
        <v>1805.9680820508063</v>
      </c>
      <c r="M335">
        <f t="shared" si="94"/>
        <v>1316.0394159008217</v>
      </c>
      <c r="N335">
        <f t="shared" si="98"/>
        <v>0.92393409178135455</v>
      </c>
      <c r="O335" s="69">
        <f>0.5*Drag!$C$97*G335^2*Drag!$C$95*Drag!$C$19</f>
        <v>6392.3946351837312</v>
      </c>
    </row>
    <row r="336" spans="4:15">
      <c r="D336">
        <f t="shared" si="90"/>
        <v>583.39662500000009</v>
      </c>
      <c r="F336">
        <v>0.875</v>
      </c>
      <c r="G336">
        <f t="shared" si="95"/>
        <v>973.10557050000011</v>
      </c>
      <c r="H336">
        <f t="shared" si="91"/>
        <v>2.1867540910112364</v>
      </c>
      <c r="I336">
        <f t="shared" si="92"/>
        <v>-0.67297619384246454</v>
      </c>
      <c r="J336">
        <f t="shared" si="96"/>
        <v>-510.07167856769519</v>
      </c>
      <c r="K336">
        <f t="shared" si="93"/>
        <v>-510.07167856769519</v>
      </c>
      <c r="L336">
        <f t="shared" si="97"/>
        <v>1811.1807098151392</v>
      </c>
      <c r="M336">
        <f t="shared" si="94"/>
        <v>1301.1090312474439</v>
      </c>
      <c r="N336">
        <f t="shared" si="98"/>
        <v>0.92884439585213163</v>
      </c>
      <c r="O336" s="69">
        <f>0.5*Drag!$C$97*G336^2*Drag!$C$95*Drag!$C$19</f>
        <v>6466.0815729456272</v>
      </c>
    </row>
    <row r="337" spans="4:15">
      <c r="D337">
        <f t="shared" si="90"/>
        <v>586.73032000000001</v>
      </c>
      <c r="F337">
        <v>0.88</v>
      </c>
      <c r="G337">
        <f t="shared" si="95"/>
        <v>978.66617375999999</v>
      </c>
      <c r="H337">
        <f t="shared" si="91"/>
        <v>2.1992498286741573</v>
      </c>
      <c r="I337">
        <f t="shared" si="92"/>
        <v>-0.70354349471895627</v>
      </c>
      <c r="J337">
        <f t="shared" si="96"/>
        <v>-530.20991063416125</v>
      </c>
      <c r="K337">
        <f t="shared" si="93"/>
        <v>-530.20991063416136</v>
      </c>
      <c r="L337">
        <f t="shared" si="97"/>
        <v>1816.4508031022715</v>
      </c>
      <c r="M337">
        <f t="shared" si="94"/>
        <v>1286.2408924681104</v>
      </c>
      <c r="N337">
        <f t="shared" si="98"/>
        <v>0.93380161140924978</v>
      </c>
      <c r="O337" s="69">
        <f>0.5*Drag!$C$97*G337^2*Drag!$C$95*Drag!$C$19</f>
        <v>6540.1907854224883</v>
      </c>
    </row>
    <row r="338" spans="4:15">
      <c r="D338">
        <f t="shared" si="90"/>
        <v>590.06401500000004</v>
      </c>
      <c r="F338">
        <v>0.88500000000000001</v>
      </c>
      <c r="G338">
        <f t="shared" si="95"/>
        <v>984.22677701999999</v>
      </c>
      <c r="H338">
        <f t="shared" si="91"/>
        <v>2.2117455663370786</v>
      </c>
      <c r="I338">
        <f t="shared" si="92"/>
        <v>-0.73440818049542056</v>
      </c>
      <c r="J338">
        <f t="shared" si="96"/>
        <v>-550.34344337228947</v>
      </c>
      <c r="K338">
        <f t="shared" si="93"/>
        <v>-550.34344337228958</v>
      </c>
      <c r="L338">
        <f t="shared" si="97"/>
        <v>1821.7785006895513</v>
      </c>
      <c r="M338">
        <f t="shared" si="94"/>
        <v>1271.4350573172619</v>
      </c>
      <c r="N338">
        <f t="shared" si="98"/>
        <v>0.9388061036244284</v>
      </c>
      <c r="O338" s="69">
        <f>0.5*Drag!$C$97*G338^2*Drag!$C$95*Drag!$C$19</f>
        <v>6614.7222726143191</v>
      </c>
    </row>
    <row r="339" spans="4:15">
      <c r="D339">
        <f t="shared" si="90"/>
        <v>593.39771000000007</v>
      </c>
      <c r="F339">
        <v>0.89</v>
      </c>
      <c r="G339">
        <f t="shared" si="95"/>
        <v>989.78738028000009</v>
      </c>
      <c r="H339">
        <f t="shared" si="91"/>
        <v>2.224241304</v>
      </c>
      <c r="I339">
        <f t="shared" si="92"/>
        <v>-0.76557025117185429</v>
      </c>
      <c r="J339">
        <f t="shared" si="96"/>
        <v>-570.47235598424061</v>
      </c>
      <c r="K339">
        <f t="shared" si="93"/>
        <v>-570.47235598424061</v>
      </c>
      <c r="L339">
        <f t="shared" si="97"/>
        <v>1827.1639440026045</v>
      </c>
      <c r="M339">
        <f t="shared" si="94"/>
        <v>1256.6915880183637</v>
      </c>
      <c r="N339">
        <f t="shared" si="98"/>
        <v>0.94385824101915439</v>
      </c>
      <c r="O339" s="69">
        <f>0.5*Drag!$C$97*G339^2*Drag!$C$95*Drag!$C$19</f>
        <v>6689.6760345211187</v>
      </c>
    </row>
    <row r="340" spans="4:15">
      <c r="D340">
        <f t="shared" si="90"/>
        <v>596.731405</v>
      </c>
      <c r="F340">
        <v>0.89500000000000002</v>
      </c>
      <c r="G340">
        <f t="shared" si="95"/>
        <v>995.34798353999997</v>
      </c>
      <c r="H340">
        <f t="shared" si="91"/>
        <v>2.2367370416629213</v>
      </c>
      <c r="I340">
        <f t="shared" si="92"/>
        <v>-0.79702970674825924</v>
      </c>
      <c r="J340">
        <f t="shared" si="96"/>
        <v>-590.5967259022982</v>
      </c>
      <c r="K340">
        <f t="shared" si="93"/>
        <v>-590.5967259022982</v>
      </c>
      <c r="L340">
        <f t="shared" si="97"/>
        <v>1832.6072770867147</v>
      </c>
      <c r="M340">
        <f t="shared" si="94"/>
        <v>1242.0105511844165</v>
      </c>
      <c r="N340">
        <f t="shared" si="98"/>
        <v>0.9489583954876244</v>
      </c>
      <c r="O340" s="69">
        <f>0.5*Drag!$C$97*G340^2*Drag!$C$95*Drag!$C$19</f>
        <v>6765.0520711428826</v>
      </c>
    </row>
    <row r="341" spans="4:15">
      <c r="D341">
        <f t="shared" si="90"/>
        <v>600.06510000000003</v>
      </c>
      <c r="F341">
        <v>0.9</v>
      </c>
      <c r="G341">
        <f t="shared" si="95"/>
        <v>1000.9085868</v>
      </c>
      <c r="H341">
        <f t="shared" si="91"/>
        <v>2.2492327793258426</v>
      </c>
      <c r="I341">
        <f t="shared" si="92"/>
        <v>-0.82878654722463407</v>
      </c>
      <c r="J341">
        <f t="shared" si="96"/>
        <v>-610.71662883802617</v>
      </c>
      <c r="K341">
        <f t="shared" si="93"/>
        <v>-610.71662883802617</v>
      </c>
      <c r="L341">
        <f t="shared" si="97"/>
        <v>1838.1086465786559</v>
      </c>
      <c r="M341">
        <f t="shared" si="94"/>
        <v>1227.3920177406299</v>
      </c>
      <c r="N341">
        <f t="shared" si="98"/>
        <v>0.95410694231985416</v>
      </c>
      <c r="O341" s="69">
        <f>0.5*Drag!$C$97*G341^2*Drag!$C$95*Drag!$C$19</f>
        <v>6840.8503824796171</v>
      </c>
    </row>
    <row r="342" spans="4:15">
      <c r="D342">
        <f t="shared" si="90"/>
        <v>603.39879500000006</v>
      </c>
      <c r="F342">
        <v>0.90500000000000003</v>
      </c>
      <c r="G342">
        <f t="shared" si="95"/>
        <v>1006.4691900600001</v>
      </c>
      <c r="H342">
        <f t="shared" si="91"/>
        <v>2.261728516988764</v>
      </c>
      <c r="I342">
        <f t="shared" si="92"/>
        <v>-0.86084077260097924</v>
      </c>
      <c r="J342">
        <f t="shared" si="96"/>
        <v>-630.8321388298059</v>
      </c>
      <c r="K342">
        <f t="shared" si="93"/>
        <v>-630.83213882980579</v>
      </c>
      <c r="L342">
        <f t="shared" si="97"/>
        <v>1843.6682016789416</v>
      </c>
      <c r="M342">
        <f t="shared" si="94"/>
        <v>1212.8360628491357</v>
      </c>
      <c r="N342">
        <f t="shared" si="98"/>
        <v>0.9593042602249503</v>
      </c>
      <c r="O342" s="69">
        <f>0.5*Drag!$C$97*G342^2*Drag!$C$95*Drag!$C$19</f>
        <v>6917.0709685313195</v>
      </c>
    </row>
    <row r="343" spans="4:15">
      <c r="D343">
        <f t="shared" si="90"/>
        <v>606.7324900000001</v>
      </c>
      <c r="F343">
        <v>0.91</v>
      </c>
      <c r="G343">
        <f t="shared" si="95"/>
        <v>1012.0297933200001</v>
      </c>
      <c r="H343">
        <f t="shared" si="91"/>
        <v>2.2742242546516858</v>
      </c>
      <c r="I343">
        <f t="shared" si="92"/>
        <v>-0.89319238287729608</v>
      </c>
      <c r="J343">
        <f t="shared" si="96"/>
        <v>-650.94332828880238</v>
      </c>
      <c r="K343">
        <f t="shared" si="93"/>
        <v>-650.94332828880249</v>
      </c>
      <c r="L343">
        <f t="shared" si="97"/>
        <v>1849.2860941245035</v>
      </c>
      <c r="M343">
        <f t="shared" si="94"/>
        <v>1198.3427658357011</v>
      </c>
      <c r="N343">
        <f t="shared" si="98"/>
        <v>0.96455073135455238</v>
      </c>
      <c r="O343" s="69">
        <f>0.5*Drag!$C$97*G343^2*Drag!$C$95*Drag!$C$19</f>
        <v>6993.7138292979898</v>
      </c>
    </row>
    <row r="344" spans="4:15">
      <c r="D344">
        <f t="shared" si="90"/>
        <v>610.06618500000002</v>
      </c>
      <c r="F344">
        <v>0.91500000000000004</v>
      </c>
      <c r="G344">
        <f t="shared" si="95"/>
        <v>1017.5903965799999</v>
      </c>
      <c r="H344">
        <f t="shared" si="91"/>
        <v>2.2867199923146067</v>
      </c>
      <c r="I344">
        <f t="shared" si="92"/>
        <v>-0.92584137805358147</v>
      </c>
      <c r="J344">
        <f t="shared" si="96"/>
        <v>-671.05026804342003</v>
      </c>
      <c r="K344">
        <f t="shared" si="93"/>
        <v>-671.05026804342003</v>
      </c>
      <c r="L344">
        <f t="shared" si="97"/>
        <v>1854.9624781617692</v>
      </c>
      <c r="M344">
        <f t="shared" si="94"/>
        <v>1183.9122101183493</v>
      </c>
      <c r="N344">
        <f t="shared" si="98"/>
        <v>0.96984674132644355</v>
      </c>
      <c r="O344" s="69">
        <f>0.5*Drag!$C$97*G344^2*Drag!$C$95*Drag!$C$19</f>
        <v>7070.7789647796262</v>
      </c>
    </row>
    <row r="345" spans="4:15">
      <c r="D345">
        <f t="shared" si="90"/>
        <v>613.39988000000005</v>
      </c>
      <c r="F345">
        <v>0.92</v>
      </c>
      <c r="G345">
        <f t="shared" si="95"/>
        <v>1023.1509998400001</v>
      </c>
      <c r="H345">
        <f t="shared" si="91"/>
        <v>2.2992157299775284</v>
      </c>
      <c r="I345">
        <f t="shared" si="92"/>
        <v>-0.95878775812983896</v>
      </c>
      <c r="J345">
        <f t="shared" si="96"/>
        <v>-691.15302738231901</v>
      </c>
      <c r="K345">
        <f t="shared" si="93"/>
        <v>-691.15302738231912</v>
      </c>
      <c r="L345">
        <f t="shared" si="97"/>
        <v>1860.6975105201063</v>
      </c>
      <c r="M345">
        <f t="shared" si="94"/>
        <v>1169.5444831377872</v>
      </c>
      <c r="N345">
        <f t="shared" si="98"/>
        <v>0.97519267924832176</v>
      </c>
      <c r="O345" s="69">
        <f>0.5*Drag!$C$97*G345^2*Drag!$C$95*Drag!$C$19</f>
        <v>7148.2663749762323</v>
      </c>
    </row>
    <row r="346" spans="4:15">
      <c r="D346">
        <f t="shared" si="90"/>
        <v>616.73357500000009</v>
      </c>
      <c r="F346">
        <v>0.92500000000000004</v>
      </c>
      <c r="G346">
        <f t="shared" si="95"/>
        <v>1028.7116031</v>
      </c>
      <c r="H346">
        <f t="shared" si="91"/>
        <v>2.3117114676404493</v>
      </c>
      <c r="I346">
        <f t="shared" si="92"/>
        <v>-0.99203152310606502</v>
      </c>
      <c r="J346">
        <f t="shared" si="96"/>
        <v>-711.25167409602261</v>
      </c>
      <c r="K346">
        <f t="shared" si="93"/>
        <v>-711.25167409602261</v>
      </c>
      <c r="L346">
        <f t="shared" si="97"/>
        <v>1866.4913503856662</v>
      </c>
      <c r="M346">
        <f t="shared" si="94"/>
        <v>1155.2396762896437</v>
      </c>
      <c r="N346">
        <f t="shared" si="98"/>
        <v>0.98058893774175349</v>
      </c>
      <c r="O346" s="69">
        <f>0.5*Drag!$C$97*G346^2*Drag!$C$95*Drag!$C$19</f>
        <v>7226.1760598878072</v>
      </c>
    </row>
    <row r="347" spans="4:15">
      <c r="D347">
        <f t="shared" si="90"/>
        <v>620.06727000000001</v>
      </c>
      <c r="F347">
        <v>0.93</v>
      </c>
      <c r="G347">
        <f t="shared" si="95"/>
        <v>1034.2722063599999</v>
      </c>
      <c r="H347">
        <f t="shared" si="91"/>
        <v>2.3242072053033707</v>
      </c>
      <c r="I347">
        <f t="shared" si="92"/>
        <v>-1.0255726729822623</v>
      </c>
      <c r="J347">
        <f t="shared" si="96"/>
        <v>-731.34627451719689</v>
      </c>
      <c r="K347">
        <f t="shared" si="93"/>
        <v>-731.346274517197</v>
      </c>
      <c r="L347">
        <f t="shared" si="97"/>
        <v>1872.3441593755481</v>
      </c>
      <c r="M347">
        <f t="shared" si="94"/>
        <v>1140.9978848583512</v>
      </c>
      <c r="N347">
        <f t="shared" si="98"/>
        <v>0.98603591296628013</v>
      </c>
      <c r="O347" s="69">
        <f>0.5*Drag!$C$97*G347^2*Drag!$C$95*Drag!$C$19</f>
        <v>7304.5080195143455</v>
      </c>
    </row>
    <row r="348" spans="4:15">
      <c r="D348">
        <f t="shared" si="90"/>
        <v>623.40096500000004</v>
      </c>
      <c r="F348">
        <v>0.93500000000000005</v>
      </c>
      <c r="G348">
        <f t="shared" si="95"/>
        <v>1039.83280962</v>
      </c>
      <c r="H348">
        <f t="shared" si="91"/>
        <v>2.336702942966292</v>
      </c>
      <c r="I348">
        <f t="shared" si="92"/>
        <v>-1.0594112077584308</v>
      </c>
      <c r="J348">
        <f t="shared" si="96"/>
        <v>-751.4368935596259</v>
      </c>
      <c r="K348">
        <f t="shared" si="93"/>
        <v>-751.4368935596259</v>
      </c>
      <c r="L348">
        <f t="shared" si="97"/>
        <v>1878.2561015123308</v>
      </c>
      <c r="M348">
        <f t="shared" si="94"/>
        <v>1126.8192079527048</v>
      </c>
      <c r="N348">
        <f t="shared" si="98"/>
        <v>0.99153400464370789</v>
      </c>
      <c r="O348" s="69">
        <f>0.5*Drag!$C$97*G348^2*Drag!$C$95*Drag!$C$19</f>
        <v>7383.262253855858</v>
      </c>
    </row>
    <row r="349" spans="4:15">
      <c r="D349">
        <f t="shared" si="90"/>
        <v>626.73465999999996</v>
      </c>
      <c r="F349">
        <v>0.94</v>
      </c>
      <c r="G349">
        <f t="shared" si="95"/>
        <v>1045.3934128799999</v>
      </c>
      <c r="H349">
        <f t="shared" si="91"/>
        <v>2.3491986806292133</v>
      </c>
      <c r="I349">
        <f t="shared" si="92"/>
        <v>-1.0935471274345678</v>
      </c>
      <c r="J349">
        <f t="shared" si="96"/>
        <v>-771.52359475594722</v>
      </c>
      <c r="K349">
        <f t="shared" si="93"/>
        <v>-771.52359475594699</v>
      </c>
      <c r="L349">
        <f t="shared" si="97"/>
        <v>1884.2273431989145</v>
      </c>
      <c r="M349">
        <f t="shared" si="94"/>
        <v>1112.7037484429673</v>
      </c>
      <c r="N349">
        <f t="shared" si="98"/>
        <v>0.99708361608256069</v>
      </c>
      <c r="O349" s="69">
        <f>0.5*Drag!$C$97*G349^2*Drag!$C$95*Drag!$C$19</f>
        <v>7462.4387629123312</v>
      </c>
    </row>
    <row r="350" spans="4:15">
      <c r="D350">
        <f t="shared" si="90"/>
        <v>630.068355</v>
      </c>
      <c r="F350">
        <v>0.94499999999999995</v>
      </c>
      <c r="G350">
        <f t="shared" si="95"/>
        <v>1050.95401614</v>
      </c>
      <c r="H350">
        <f t="shared" si="91"/>
        <v>2.3616944182921347</v>
      </c>
      <c r="I350">
        <f t="shared" si="92"/>
        <v>-1.1279804320106761</v>
      </c>
      <c r="J350">
        <f t="shared" si="96"/>
        <v>-791.60644029419575</v>
      </c>
      <c r="K350">
        <f t="shared" si="93"/>
        <v>-791.60644029419575</v>
      </c>
      <c r="L350">
        <f t="shared" si="97"/>
        <v>1890.2580531936801</v>
      </c>
      <c r="M350">
        <f t="shared" si="94"/>
        <v>1098.6516128994845</v>
      </c>
      <c r="N350">
        <f t="shared" si="98"/>
        <v>1.0026851542027051</v>
      </c>
      <c r="O350" s="69">
        <f>0.5*Drag!$C$97*G350^2*Drag!$C$95*Drag!$C$19</f>
        <v>7542.0375466837786</v>
      </c>
    </row>
    <row r="351" spans="4:15">
      <c r="D351">
        <f t="shared" si="90"/>
        <v>633.40205000000003</v>
      </c>
      <c r="F351">
        <v>0.95</v>
      </c>
      <c r="G351">
        <f t="shared" si="95"/>
        <v>1056.5146193999999</v>
      </c>
      <c r="H351">
        <f t="shared" si="91"/>
        <v>2.374190155955056</v>
      </c>
      <c r="I351">
        <f t="shared" si="92"/>
        <v>-1.1627111214867547</v>
      </c>
      <c r="J351">
        <f t="shared" si="96"/>
        <v>-811.68549105318334</v>
      </c>
      <c r="K351">
        <f t="shared" si="93"/>
        <v>-811.68549105318334</v>
      </c>
      <c r="L351">
        <f t="shared" si="97"/>
        <v>1896.3484025859568</v>
      </c>
      <c r="M351">
        <f t="shared" si="94"/>
        <v>1084.6629115327735</v>
      </c>
      <c r="N351">
        <f t="shared" si="98"/>
        <v>1.0083390295601504</v>
      </c>
      <c r="O351" s="69">
        <f>0.5*Drag!$C$97*G351^2*Drag!$C$95*Drag!$C$19</f>
        <v>7622.0586051701885</v>
      </c>
    </row>
    <row r="352" spans="4:15">
      <c r="D352">
        <f t="shared" si="90"/>
        <v>636.73574499999995</v>
      </c>
      <c r="F352">
        <v>0.95499999999999996</v>
      </c>
      <c r="G352">
        <f t="shared" si="95"/>
        <v>1062.0752226599998</v>
      </c>
      <c r="H352">
        <f t="shared" si="91"/>
        <v>2.3866858936179769</v>
      </c>
      <c r="I352">
        <f t="shared" si="92"/>
        <v>-1.1977391958628036</v>
      </c>
      <c r="J352">
        <f t="shared" si="96"/>
        <v>-831.76080663677203</v>
      </c>
      <c r="K352">
        <f t="shared" si="93"/>
        <v>-831.76080663677214</v>
      </c>
      <c r="L352">
        <f t="shared" si="97"/>
        <v>1902.498564771764</v>
      </c>
      <c r="M352">
        <f t="shared" si="94"/>
        <v>1070.737758134992</v>
      </c>
      <c r="N352">
        <f t="shared" si="98"/>
        <v>1.0140456563720157</v>
      </c>
      <c r="O352" s="69">
        <f>0.5*Drag!$C$97*G352^2*Drag!$C$95*Drag!$C$19</f>
        <v>7702.5019383715671</v>
      </c>
    </row>
    <row r="353" spans="4:15">
      <c r="D353">
        <f t="shared" si="90"/>
        <v>640.06943999999999</v>
      </c>
      <c r="F353">
        <v>0.96</v>
      </c>
      <c r="G353">
        <f t="shared" si="95"/>
        <v>1067.6358259199999</v>
      </c>
      <c r="H353">
        <f t="shared" si="91"/>
        <v>2.3991816312808987</v>
      </c>
      <c r="I353">
        <f t="shared" si="92"/>
        <v>-1.2330646551388238</v>
      </c>
      <c r="J353">
        <f t="shared" si="96"/>
        <v>-851.83244540707847</v>
      </c>
      <c r="K353">
        <f t="shared" si="93"/>
        <v>-851.83244540707858</v>
      </c>
      <c r="L353">
        <f t="shared" si="97"/>
        <v>1908.7087154298358</v>
      </c>
      <c r="M353">
        <f t="shared" si="94"/>
        <v>1056.8762700227574</v>
      </c>
      <c r="N353">
        <f t="shared" si="98"/>
        <v>1.0198054525416729</v>
      </c>
      <c r="O353" s="69">
        <f>0.5*Drag!$C$97*G353^2*Drag!$C$95*Drag!$C$19</f>
        <v>7783.3675462879191</v>
      </c>
    </row>
    <row r="354" spans="4:15">
      <c r="D354">
        <f t="shared" si="90"/>
        <v>643.40313500000002</v>
      </c>
      <c r="F354">
        <v>0.96499999999999997</v>
      </c>
      <c r="G354">
        <f t="shared" si="95"/>
        <v>1073.19642918</v>
      </c>
      <c r="H354">
        <f t="shared" si="91"/>
        <v>2.4116773689438205</v>
      </c>
      <c r="I354">
        <f t="shared" si="92"/>
        <v>-1.2686874993148152</v>
      </c>
      <c r="J354">
        <f t="shared" ref="J354:J361" si="99">(I354*550*$B$19)/G354</f>
        <v>-871.90046451664045</v>
      </c>
      <c r="K354">
        <f t="shared" si="93"/>
        <v>-871.90046451664057</v>
      </c>
      <c r="L354">
        <f t="shared" ref="L354:L361" si="100">$C$41*N354*(1-0.49*(SQRT(F354)))</f>
        <v>1914.9790324979108</v>
      </c>
      <c r="M354">
        <f t="shared" si="94"/>
        <v>1043.0785679812702</v>
      </c>
      <c r="N354">
        <f t="shared" si="98"/>
        <v>1.0256188396840611</v>
      </c>
      <c r="O354" s="69">
        <f>0.5*Drag!$C$97*G354^2*Drag!$C$95*Drag!$C$19</f>
        <v>7864.6554289192363</v>
      </c>
    </row>
    <row r="355" spans="4:15">
      <c r="D355">
        <f t="shared" ref="D355:D361" si="101">F355*666.739</f>
        <v>646.73683000000005</v>
      </c>
      <c r="F355">
        <v>0.97</v>
      </c>
      <c r="G355">
        <f t="shared" si="95"/>
        <v>1078.7570324400001</v>
      </c>
      <c r="H355">
        <f t="shared" ref="H355:H361" si="102">(60*G355)/($C$153*$C$158)</f>
        <v>2.4241731066067418</v>
      </c>
      <c r="I355">
        <f t="shared" ref="I355:I361" si="103">0.096574+(1.73049*H355)-(0.952281*H355^2)</f>
        <v>-1.3046077283907751</v>
      </c>
      <c r="J355">
        <f t="shared" si="99"/>
        <v>-891.96491993959171</v>
      </c>
      <c r="K355">
        <f t="shared" ref="K355:K361" si="104">I355*(($B$19*550)/G355)</f>
        <v>-891.96491993959171</v>
      </c>
      <c r="L355">
        <f t="shared" si="100"/>
        <v>1921.3096961492699</v>
      </c>
      <c r="M355">
        <f t="shared" ref="M355:M361" si="105">J355+L355</f>
        <v>1029.3447762096782</v>
      </c>
      <c r="N355">
        <f t="shared" ref="N355:N361" si="106">($AB$51/$AB$52)*(1+((1.4-1)/2)*F355^2)^(1.4/(1.4-1))</f>
        <v>1.0314862431511789</v>
      </c>
      <c r="O355" s="69">
        <f>0.5*Drag!$C$97*G355^2*Drag!$C$95*Drag!$C$19</f>
        <v>7946.3655862655223</v>
      </c>
    </row>
    <row r="356" spans="4:15">
      <c r="D356">
        <f t="shared" si="101"/>
        <v>650.07052499999998</v>
      </c>
      <c r="F356">
        <v>0.97499999999999998</v>
      </c>
      <c r="G356">
        <f t="shared" ref="G356:G361" si="107">D356*1.668</f>
        <v>1084.3176357</v>
      </c>
      <c r="H356">
        <f t="shared" si="102"/>
        <v>2.4366688442696631</v>
      </c>
      <c r="I356">
        <f t="shared" si="103"/>
        <v>-1.3408253423667063</v>
      </c>
      <c r="J356">
        <f t="shared" si="99"/>
        <v>-912.02586650188186</v>
      </c>
      <c r="K356">
        <f t="shared" si="104"/>
        <v>-912.02586650188175</v>
      </c>
      <c r="L356">
        <f t="shared" si="100"/>
        <v>1927.700888769517</v>
      </c>
      <c r="M356">
        <f t="shared" si="105"/>
        <v>1015.6750222676351</v>
      </c>
      <c r="N356">
        <f t="shared" si="106"/>
        <v>1.0374080920577444</v>
      </c>
      <c r="O356" s="69">
        <f>0.5*Drag!$C$97*G356^2*Drag!$C$95*Drag!$C$19</f>
        <v>8028.4980183267717</v>
      </c>
    </row>
    <row r="357" spans="4:15">
      <c r="D357">
        <f t="shared" si="101"/>
        <v>653.40422000000001</v>
      </c>
      <c r="F357">
        <v>0.98</v>
      </c>
      <c r="G357">
        <f t="shared" si="107"/>
        <v>1089.8782389599999</v>
      </c>
      <c r="H357">
        <f t="shared" si="102"/>
        <v>2.449164581932584</v>
      </c>
      <c r="I357">
        <f t="shared" si="103"/>
        <v>-1.3773403412426068</v>
      </c>
      <c r="J357">
        <f t="shared" si="99"/>
        <v>-932.08335791056027</v>
      </c>
      <c r="K357">
        <f t="shared" si="104"/>
        <v>-932.08335791056027</v>
      </c>
      <c r="L357">
        <f t="shared" si="100"/>
        <v>1934.1527949335907</v>
      </c>
      <c r="M357">
        <f t="shared" si="105"/>
        <v>1002.0694370230304</v>
      </c>
      <c r="N357">
        <f t="shared" si="106"/>
        <v>1.0433848193070385</v>
      </c>
      <c r="O357" s="69">
        <f>0.5*Drag!$C$97*G357^2*Drag!$C$95*Drag!$C$19</f>
        <v>8111.0527251029916</v>
      </c>
    </row>
    <row r="358" spans="4:15">
      <c r="D358">
        <f t="shared" si="101"/>
        <v>656.73791500000004</v>
      </c>
      <c r="F358">
        <v>0.98499999999999999</v>
      </c>
      <c r="G358">
        <f t="shared" si="107"/>
        <v>1095.43884222</v>
      </c>
      <c r="H358">
        <f t="shared" si="102"/>
        <v>2.4616603195955058</v>
      </c>
      <c r="I358">
        <f t="shared" si="103"/>
        <v>-1.4141527250184796</v>
      </c>
      <c r="J358">
        <f t="shared" si="99"/>
        <v>-952.13744678218131</v>
      </c>
      <c r="K358">
        <f t="shared" si="104"/>
        <v>-952.13744678218143</v>
      </c>
      <c r="L358">
        <f t="shared" si="100"/>
        <v>1940.6656013829866</v>
      </c>
      <c r="M358">
        <f t="shared" si="105"/>
        <v>988.52815460080524</v>
      </c>
      <c r="N358">
        <f t="shared" si="106"/>
        <v>1.0494168616169135</v>
      </c>
      <c r="O358" s="69">
        <f>0.5*Drag!$C$97*G358^2*Drag!$C$95*Drag!$C$19</f>
        <v>8194.0297065941795</v>
      </c>
    </row>
    <row r="359" spans="4:15">
      <c r="D359">
        <f t="shared" si="101"/>
        <v>660.07161000000008</v>
      </c>
      <c r="F359">
        <v>0.99</v>
      </c>
      <c r="G359">
        <f t="shared" si="107"/>
        <v>1100.9994454800001</v>
      </c>
      <c r="H359">
        <f t="shared" si="102"/>
        <v>2.4741560572584271</v>
      </c>
      <c r="I359">
        <f t="shared" si="103"/>
        <v>-1.4512624936943217</v>
      </c>
      <c r="J359">
        <f t="shared" si="99"/>
        <v>-972.18818467033532</v>
      </c>
      <c r="K359">
        <f t="shared" si="104"/>
        <v>-972.1881846703352</v>
      </c>
      <c r="L359">
        <f t="shared" si="100"/>
        <v>1947.2394970032024</v>
      </c>
      <c r="M359">
        <f t="shared" si="105"/>
        <v>975.05131233286704</v>
      </c>
      <c r="N359">
        <f t="shared" si="106"/>
        <v>1.0555046595459894</v>
      </c>
      <c r="O359" s="69">
        <f>0.5*Drag!$C$97*G359^2*Drag!$C$95*Drag!$C$19</f>
        <v>8277.4289628003389</v>
      </c>
    </row>
    <row r="360" spans="4:15">
      <c r="D360">
        <f t="shared" si="101"/>
        <v>663.405305</v>
      </c>
      <c r="F360">
        <v>0.995</v>
      </c>
      <c r="G360">
        <f t="shared" si="107"/>
        <v>1106.56004874</v>
      </c>
      <c r="H360">
        <f t="shared" si="102"/>
        <v>2.486651794921348</v>
      </c>
      <c r="I360">
        <f t="shared" si="103"/>
        <v>-1.4886696472701324</v>
      </c>
      <c r="J360">
        <f t="shared" si="99"/>
        <v>-992.23562209236013</v>
      </c>
      <c r="K360">
        <f t="shared" si="104"/>
        <v>-992.23562209236002</v>
      </c>
      <c r="L360">
        <f t="shared" si="100"/>
        <v>1953.8746728013714</v>
      </c>
      <c r="M360">
        <f t="shared" si="105"/>
        <v>961.63905070901126</v>
      </c>
      <c r="N360">
        <f t="shared" si="106"/>
        <v>1.0616486575200195</v>
      </c>
      <c r="O360" s="69">
        <f>0.5*Drag!$C$97*G360^2*Drag!$C$95*Drag!$C$19</f>
        <v>8361.2504937214599</v>
      </c>
    </row>
    <row r="361" spans="4:15">
      <c r="D361">
        <f t="shared" si="101"/>
        <v>666.73900000000003</v>
      </c>
      <c r="F361">
        <v>1</v>
      </c>
      <c r="G361">
        <f t="shared" si="107"/>
        <v>1112.1206520000001</v>
      </c>
      <c r="H361">
        <f t="shared" si="102"/>
        <v>2.4991475325842698</v>
      </c>
      <c r="I361">
        <f t="shared" si="103"/>
        <v>-1.5263741857459161</v>
      </c>
      <c r="J361">
        <f t="shared" si="99"/>
        <v>-1012.2798085552506</v>
      </c>
      <c r="K361">
        <f t="shared" si="104"/>
        <v>-1012.2798085552505</v>
      </c>
      <c r="L361">
        <f t="shared" si="100"/>
        <v>1960.5713218840833</v>
      </c>
      <c r="M361">
        <f t="shared" si="105"/>
        <v>948.29151332883271</v>
      </c>
      <c r="N361">
        <f t="shared" si="106"/>
        <v>1.0678493038584331</v>
      </c>
      <c r="O361" s="69">
        <f>0.5*Drag!$C$97*G361^2*Drag!$C$95*Drag!$C$19</f>
        <v>8445.4942993575532</v>
      </c>
    </row>
  </sheetData>
  <mergeCells count="2">
    <mergeCell ref="A20:F20"/>
    <mergeCell ref="A1:D1"/>
  </mergeCells>
  <pageMargins left="0.7" right="0.7" top="0.75" bottom="0.75" header="0.3" footer="0.3"/>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A0B39-8A15-43A0-9454-ADF25D84275D}">
  <dimension ref="A1:AP369"/>
  <sheetViews>
    <sheetView topLeftCell="A370" zoomScale="67" zoomScaleNormal="80" workbookViewId="0">
      <selection activeCell="D75" sqref="D75"/>
    </sheetView>
  </sheetViews>
  <sheetFormatPr defaultColWidth="8.42578125" defaultRowHeight="15"/>
  <cols>
    <col min="1" max="1" width="19.42578125" customWidth="1"/>
    <col min="2" max="3" width="13" customWidth="1"/>
    <col min="4" max="4" width="9.42578125" bestFit="1" customWidth="1"/>
    <col min="5" max="5" width="10.42578125" customWidth="1"/>
    <col min="6" max="6" width="9.42578125" customWidth="1"/>
    <col min="11" max="11" width="8.42578125" bestFit="1" customWidth="1"/>
    <col min="27" max="27" width="11.42578125" bestFit="1" customWidth="1"/>
    <col min="35" max="35" width="13.28515625" bestFit="1" customWidth="1"/>
    <col min="36" max="36" width="12.7109375" bestFit="1" customWidth="1"/>
    <col min="40" max="40" width="11.42578125" bestFit="1" customWidth="1"/>
    <col min="41" max="41" width="13.28515625" bestFit="1" customWidth="1"/>
  </cols>
  <sheetData>
    <row r="1" spans="1:12">
      <c r="A1" s="309" t="s">
        <v>1901</v>
      </c>
      <c r="B1" s="309"/>
      <c r="C1" s="309"/>
      <c r="D1" s="309"/>
      <c r="E1" s="309"/>
      <c r="F1" s="309"/>
      <c r="G1" s="309"/>
      <c r="H1" s="309"/>
      <c r="I1" s="309"/>
      <c r="J1" s="309"/>
      <c r="K1" s="309"/>
      <c r="L1" s="309"/>
    </row>
    <row r="2" spans="1:12">
      <c r="A2" s="7"/>
    </row>
    <row r="3" spans="1:12">
      <c r="A3" s="7"/>
    </row>
    <row r="4" spans="1:12">
      <c r="A4" s="18"/>
      <c r="B4" s="8"/>
      <c r="C4" s="8"/>
      <c r="D4" s="8"/>
      <c r="E4" s="18" t="s">
        <v>193</v>
      </c>
    </row>
    <row r="5" spans="1:12">
      <c r="B5" s="9"/>
      <c r="C5" s="6"/>
      <c r="E5" t="s">
        <v>1902</v>
      </c>
    </row>
    <row r="6" spans="1:12">
      <c r="B6" s="9"/>
      <c r="C6" s="5"/>
    </row>
    <row r="7" spans="1:12">
      <c r="B7" s="9"/>
      <c r="C7" s="6"/>
      <c r="E7" t="s">
        <v>1902</v>
      </c>
    </row>
    <row r="8" spans="1:12">
      <c r="B8" s="9"/>
      <c r="C8" s="6"/>
      <c r="E8" t="s">
        <v>1902</v>
      </c>
    </row>
    <row r="9" spans="1:12">
      <c r="B9" s="9"/>
      <c r="C9" s="6"/>
      <c r="E9" t="s">
        <v>1902</v>
      </c>
    </row>
    <row r="10" spans="1:12">
      <c r="B10" s="9"/>
      <c r="C10" s="6"/>
      <c r="E10" t="s">
        <v>1902</v>
      </c>
    </row>
    <row r="12" spans="1:12">
      <c r="A12" s="7"/>
      <c r="B12" s="9"/>
    </row>
    <row r="13" spans="1:12">
      <c r="B13" s="9"/>
      <c r="C13" s="5"/>
    </row>
    <row r="14" spans="1:12">
      <c r="B14" s="10"/>
      <c r="C14" s="5"/>
      <c r="D14" s="11"/>
    </row>
    <row r="15" spans="1:12">
      <c r="B15" s="9"/>
      <c r="C15" s="6"/>
    </row>
    <row r="16" spans="1:12">
      <c r="B16" s="9"/>
      <c r="C16" s="6"/>
      <c r="D16" s="11"/>
    </row>
    <row r="17" spans="1:5">
      <c r="B17" s="10"/>
      <c r="C17" s="6"/>
      <c r="D17" s="11"/>
    </row>
    <row r="18" spans="1:5">
      <c r="B18" s="10"/>
      <c r="C18" s="6"/>
    </row>
    <row r="20" spans="1:5">
      <c r="A20" s="7"/>
    </row>
    <row r="21" spans="1:5">
      <c r="B21" s="10"/>
      <c r="C21" s="5"/>
      <c r="E21" t="s">
        <v>1903</v>
      </c>
    </row>
    <row r="22" spans="1:5">
      <c r="B22" s="10"/>
      <c r="C22" s="6"/>
    </row>
    <row r="23" spans="1:5">
      <c r="B23" s="10"/>
      <c r="C23" s="5"/>
    </row>
    <row r="24" spans="1:5">
      <c r="B24" s="10"/>
      <c r="C24" s="6"/>
    </row>
    <row r="25" spans="1:5">
      <c r="B25" s="10"/>
      <c r="C25" s="5"/>
    </row>
    <row r="26" spans="1:5">
      <c r="B26" s="10"/>
      <c r="C26" s="5"/>
    </row>
    <row r="28" spans="1:5">
      <c r="A28" s="7"/>
    </row>
    <row r="29" spans="1:5">
      <c r="B29" s="10"/>
      <c r="C29" s="6"/>
    </row>
    <row r="30" spans="1:5">
      <c r="B30" s="10"/>
      <c r="C30" s="6"/>
    </row>
    <row r="32" spans="1:5">
      <c r="B32" s="9"/>
      <c r="C32" s="47"/>
    </row>
    <row r="33" spans="2:26">
      <c r="B33" s="9"/>
      <c r="C33" s="6"/>
    </row>
    <row r="34" spans="2:26">
      <c r="B34" s="9"/>
      <c r="C34" s="6"/>
    </row>
    <row r="36" spans="2:26">
      <c r="B36" s="9"/>
      <c r="C36" s="47"/>
    </row>
    <row r="37" spans="2:26">
      <c r="B37" s="9"/>
      <c r="C37" s="6"/>
    </row>
    <row r="38" spans="2:26">
      <c r="B38" s="9"/>
      <c r="C38" s="6"/>
    </row>
    <row r="40" spans="2:26">
      <c r="B40" s="9"/>
      <c r="C40" s="47"/>
      <c r="X40">
        <v>182</v>
      </c>
      <c r="Y40">
        <v>0</v>
      </c>
      <c r="Z40">
        <v>-500</v>
      </c>
    </row>
    <row r="41" spans="2:26">
      <c r="B41" s="9"/>
      <c r="C41" s="6"/>
      <c r="X41">
        <v>182</v>
      </c>
      <c r="Y41">
        <v>-0.5</v>
      </c>
      <c r="Z41">
        <v>-1000</v>
      </c>
    </row>
    <row r="42" spans="2:26">
      <c r="B42" s="9"/>
      <c r="C42" s="6"/>
      <c r="X42">
        <v>182</v>
      </c>
      <c r="Y42">
        <v>-1</v>
      </c>
      <c r="Z42">
        <v>-1500</v>
      </c>
    </row>
    <row r="43" spans="2:26">
      <c r="X43">
        <v>182</v>
      </c>
      <c r="Y43">
        <v>-1.5</v>
      </c>
      <c r="Z43">
        <v>-2000</v>
      </c>
    </row>
    <row r="44" spans="2:26">
      <c r="B44" s="9"/>
      <c r="C44" s="6"/>
      <c r="X44">
        <v>182</v>
      </c>
      <c r="Y44">
        <v>-2</v>
      </c>
      <c r="Z44">
        <v>-2500</v>
      </c>
    </row>
    <row r="45" spans="2:26">
      <c r="B45" s="9"/>
      <c r="C45" s="6"/>
      <c r="X45">
        <v>182</v>
      </c>
      <c r="Y45">
        <v>-2.5</v>
      </c>
      <c r="Z45">
        <v>-3000</v>
      </c>
    </row>
    <row r="46" spans="2:26">
      <c r="B46" s="9"/>
      <c r="C46" s="6"/>
      <c r="X46">
        <v>182</v>
      </c>
      <c r="Y46">
        <v>-3</v>
      </c>
      <c r="Z46">
        <v>-3500</v>
      </c>
    </row>
    <row r="47" spans="2:26">
      <c r="X47">
        <v>182</v>
      </c>
      <c r="Y47">
        <v>-3.5</v>
      </c>
      <c r="Z47">
        <v>-4000</v>
      </c>
    </row>
    <row r="48" spans="2:26">
      <c r="B48" s="9"/>
      <c r="C48" s="6"/>
      <c r="X48">
        <v>182</v>
      </c>
      <c r="Y48">
        <v>-4</v>
      </c>
      <c r="Z48">
        <v>-4500</v>
      </c>
    </row>
    <row r="49" spans="2:26">
      <c r="B49" s="9"/>
      <c r="C49" s="6"/>
      <c r="X49">
        <v>182</v>
      </c>
      <c r="Y49">
        <v>-4.5</v>
      </c>
      <c r="Z49">
        <v>-5000</v>
      </c>
    </row>
    <row r="50" spans="2:26">
      <c r="B50" s="9"/>
      <c r="C50" s="6"/>
      <c r="X50">
        <v>182</v>
      </c>
      <c r="Y50">
        <v>-5</v>
      </c>
    </row>
    <row r="51" spans="2:26">
      <c r="X51">
        <v>182</v>
      </c>
      <c r="Y51">
        <v>-5.5</v>
      </c>
    </row>
    <row r="52" spans="2:26">
      <c r="B52" s="9"/>
      <c r="C52" s="6"/>
      <c r="X52">
        <v>182</v>
      </c>
      <c r="Y52">
        <v>-6</v>
      </c>
    </row>
    <row r="53" spans="2:26">
      <c r="B53" s="9"/>
      <c r="C53" s="6"/>
      <c r="X53">
        <v>182</v>
      </c>
      <c r="Y53">
        <v>-6.5</v>
      </c>
    </row>
    <row r="54" spans="2:26">
      <c r="B54" s="9"/>
      <c r="C54" s="6"/>
      <c r="X54">
        <v>182</v>
      </c>
      <c r="Y54">
        <v>-7</v>
      </c>
    </row>
    <row r="55" spans="2:26">
      <c r="X55">
        <v>182</v>
      </c>
      <c r="Y55">
        <v>-7.5</v>
      </c>
    </row>
    <row r="56" spans="2:26">
      <c r="B56" s="9"/>
      <c r="C56" s="6"/>
      <c r="X56">
        <v>182</v>
      </c>
      <c r="Y56">
        <v>-8</v>
      </c>
    </row>
    <row r="57" spans="2:26">
      <c r="B57" s="9"/>
      <c r="C57" s="6"/>
      <c r="X57">
        <v>182</v>
      </c>
      <c r="Y57">
        <v>-8.5</v>
      </c>
    </row>
    <row r="58" spans="2:26">
      <c r="B58" s="9"/>
      <c r="C58" s="6"/>
    </row>
    <row r="60" spans="2:26">
      <c r="B60" s="9"/>
      <c r="C60" s="6"/>
    </row>
    <row r="61" spans="2:26">
      <c r="B61" s="9"/>
      <c r="C61" s="6"/>
    </row>
    <row r="62" spans="2:26">
      <c r="B62" s="9"/>
      <c r="C62" s="6"/>
    </row>
    <row r="65" spans="1:14">
      <c r="A65" s="7" t="s">
        <v>1904</v>
      </c>
    </row>
    <row r="66" spans="1:14">
      <c r="A66" t="s">
        <v>500</v>
      </c>
      <c r="C66" s="9" t="s">
        <v>501</v>
      </c>
      <c r="D66" s="202">
        <f>General!C7</f>
        <v>18875</v>
      </c>
      <c r="E66" t="s">
        <v>14</v>
      </c>
      <c r="F66" t="s">
        <v>502</v>
      </c>
      <c r="I66" s="9" t="s">
        <v>503</v>
      </c>
      <c r="J66" s="63">
        <f>Lift!$C$156</f>
        <v>0.38974047295225855</v>
      </c>
    </row>
    <row r="67" spans="1:14">
      <c r="A67" s="394" t="s">
        <v>504</v>
      </c>
      <c r="B67" s="394"/>
      <c r="C67" s="9" t="s">
        <v>505</v>
      </c>
      <c r="D67" s="5">
        <v>3300</v>
      </c>
      <c r="E67" t="s">
        <v>14</v>
      </c>
      <c r="F67" t="s">
        <v>164</v>
      </c>
      <c r="I67" s="9" t="s">
        <v>506</v>
      </c>
      <c r="J67" s="63">
        <f>Lift!$C$157*180/PI()</f>
        <v>6.8042247117882937</v>
      </c>
      <c r="K67" t="s">
        <v>167</v>
      </c>
      <c r="L67" s="208">
        <f>2*PI()*D71/(2+SQRT(4+D71^2))</f>
        <v>5.1509798363297206</v>
      </c>
    </row>
    <row r="68" spans="1:14">
      <c r="A68" t="s">
        <v>507</v>
      </c>
      <c r="C68" s="9" t="s">
        <v>508</v>
      </c>
      <c r="D68" s="5">
        <f>D66-D67</f>
        <v>15575</v>
      </c>
      <c r="E68" t="s">
        <v>14</v>
      </c>
      <c r="F68" t="s">
        <v>509</v>
      </c>
      <c r="I68" s="9" t="s">
        <v>510</v>
      </c>
      <c r="J68" s="63">
        <v>0.1</v>
      </c>
      <c r="K68" t="s">
        <v>511</v>
      </c>
    </row>
    <row r="69" spans="1:14">
      <c r="A69" s="394" t="s">
        <v>43</v>
      </c>
      <c r="B69" s="394"/>
      <c r="C69" s="9" t="s">
        <v>512</v>
      </c>
      <c r="D69" s="63">
        <f>General!C23</f>
        <v>476.1</v>
      </c>
      <c r="E69" t="s">
        <v>66</v>
      </c>
      <c r="F69" t="s">
        <v>513</v>
      </c>
      <c r="I69" s="9" t="s">
        <v>514</v>
      </c>
      <c r="J69" s="201">
        <f>Drag!C92</f>
        <v>1.5047746178408776E-2</v>
      </c>
      <c r="N69" t="s">
        <v>515</v>
      </c>
    </row>
    <row r="70" spans="1:14">
      <c r="A70" s="394" t="s">
        <v>75</v>
      </c>
      <c r="B70" s="394"/>
      <c r="C70" s="9" t="s">
        <v>516</v>
      </c>
      <c r="D70" s="63">
        <f>General!C39</f>
        <v>69</v>
      </c>
      <c r="E70" t="s">
        <v>66</v>
      </c>
      <c r="F70" t="s">
        <v>517</v>
      </c>
      <c r="I70" s="9" t="s">
        <v>518</v>
      </c>
      <c r="J70" s="207">
        <f>1.78*(1-0.045*D71^0.68)-0.64</f>
        <v>0.75661729604956662</v>
      </c>
    </row>
    <row r="71" spans="1:14">
      <c r="A71" s="394" t="s">
        <v>45</v>
      </c>
      <c r="B71" s="394"/>
      <c r="C71" s="9" t="s">
        <v>519</v>
      </c>
      <c r="D71" s="39">
        <f>(D70^2)/D69</f>
        <v>10</v>
      </c>
      <c r="F71" t="s">
        <v>520</v>
      </c>
      <c r="I71" s="9" t="s">
        <v>521</v>
      </c>
      <c r="J71" s="207">
        <f>1/(PI()*D71*J70)</f>
        <v>4.2070130810614975E-2</v>
      </c>
    </row>
    <row r="74" spans="1:14">
      <c r="A74" t="s">
        <v>522</v>
      </c>
      <c r="C74" s="9" t="s">
        <v>523</v>
      </c>
      <c r="D74" s="39">
        <v>15000</v>
      </c>
      <c r="E74" t="s">
        <v>66</v>
      </c>
      <c r="F74" t="s">
        <v>524</v>
      </c>
      <c r="I74" s="9" t="s">
        <v>525</v>
      </c>
      <c r="J74" s="5">
        <f>Thrust!B6</f>
        <v>0.34</v>
      </c>
      <c r="K74" t="s">
        <v>526</v>
      </c>
    </row>
    <row r="75" spans="1:14">
      <c r="A75" t="s">
        <v>527</v>
      </c>
      <c r="C75" s="9" t="s">
        <v>528</v>
      </c>
      <c r="D75" s="206">
        <f>(1-6.875*(10^-6)*D74)^5.2561</f>
        <v>0.56435741608347367</v>
      </c>
      <c r="F75" t="s">
        <v>376</v>
      </c>
      <c r="I75" s="9" t="s">
        <v>529</v>
      </c>
      <c r="J75" s="5">
        <f>Thrust!C26/12</f>
        <v>8.75</v>
      </c>
      <c r="K75" t="s">
        <v>66</v>
      </c>
    </row>
    <row r="76" spans="1:14">
      <c r="A76" t="s">
        <v>530</v>
      </c>
      <c r="C76" s="9" t="s">
        <v>531</v>
      </c>
      <c r="D76" s="39">
        <f>0.002378*D75</f>
        <v>1.3420419354465004E-3</v>
      </c>
      <c r="E76" t="s">
        <v>319</v>
      </c>
      <c r="F76" t="s">
        <v>532</v>
      </c>
      <c r="I76" s="9" t="s">
        <v>533</v>
      </c>
      <c r="J76" s="202">
        <f>Thrust!C25</f>
        <v>1340.4417364813405</v>
      </c>
      <c r="K76" t="s">
        <v>384</v>
      </c>
    </row>
    <row r="77" spans="1:14">
      <c r="A77" t="s">
        <v>534</v>
      </c>
      <c r="C77" s="9" t="s">
        <v>535</v>
      </c>
      <c r="D77" s="209">
        <f>(1-6.8756*(10^-6)*D74)*518.67</f>
        <v>465.17748821999993</v>
      </c>
      <c r="E77" t="s">
        <v>536</v>
      </c>
      <c r="F77" t="s">
        <v>537</v>
      </c>
      <c r="I77" s="9" t="s">
        <v>538</v>
      </c>
      <c r="J77" s="206">
        <f>(1.132*D75-0.132)</f>
        <v>0.50685259500649216</v>
      </c>
    </row>
    <row r="78" spans="1:14">
      <c r="A78" t="s">
        <v>539</v>
      </c>
      <c r="C78" s="9" t="s">
        <v>540</v>
      </c>
      <c r="D78" s="210">
        <f>SQRT(1.4*1716*D77)</f>
        <v>1057.1387788269465</v>
      </c>
      <c r="E78" t="s">
        <v>183</v>
      </c>
      <c r="F78" t="s">
        <v>541</v>
      </c>
      <c r="I78" s="9" t="s">
        <v>542</v>
      </c>
      <c r="J78" s="209">
        <v>1341</v>
      </c>
      <c r="K78" t="s">
        <v>384</v>
      </c>
    </row>
    <row r="79" spans="1:14">
      <c r="F79" t="s">
        <v>543</v>
      </c>
      <c r="I79" s="9" t="s">
        <v>544</v>
      </c>
      <c r="J79" s="5">
        <f>Thrust!B16</f>
        <v>3200</v>
      </c>
    </row>
    <row r="82" spans="1:42">
      <c r="A82" s="205" t="s">
        <v>562</v>
      </c>
      <c r="B82" s="205" t="s">
        <v>563</v>
      </c>
      <c r="C82" s="205"/>
      <c r="D82" s="205" t="s">
        <v>564</v>
      </c>
      <c r="E82" s="205" t="s">
        <v>565</v>
      </c>
      <c r="F82" s="205" t="s">
        <v>185</v>
      </c>
      <c r="G82" s="205" t="s">
        <v>157</v>
      </c>
      <c r="H82" s="205" t="s">
        <v>312</v>
      </c>
      <c r="I82" s="205" t="s">
        <v>566</v>
      </c>
      <c r="J82" s="205" t="s">
        <v>514</v>
      </c>
      <c r="K82" s="205" t="s">
        <v>567</v>
      </c>
      <c r="L82" s="205" t="s">
        <v>568</v>
      </c>
      <c r="M82" s="205" t="s">
        <v>569</v>
      </c>
      <c r="N82" s="205" t="s">
        <v>570</v>
      </c>
      <c r="O82" s="205" t="s">
        <v>571</v>
      </c>
      <c r="P82" s="205" t="s">
        <v>572</v>
      </c>
      <c r="Q82" s="205" t="s">
        <v>573</v>
      </c>
      <c r="R82" s="205" t="s">
        <v>574</v>
      </c>
      <c r="S82" s="205" t="s">
        <v>575</v>
      </c>
      <c r="T82" s="205" t="s">
        <v>576</v>
      </c>
      <c r="U82" s="205" t="s">
        <v>577</v>
      </c>
      <c r="V82" s="205" t="s">
        <v>578</v>
      </c>
      <c r="W82" s="205" t="s">
        <v>579</v>
      </c>
      <c r="X82" s="205" t="s">
        <v>580</v>
      </c>
      <c r="Y82" s="205" t="s">
        <v>582</v>
      </c>
      <c r="Z82" s="205" t="s">
        <v>583</v>
      </c>
      <c r="AA82" s="205" t="s">
        <v>584</v>
      </c>
      <c r="AB82" s="205" t="s">
        <v>585</v>
      </c>
      <c r="AC82" s="205" t="s">
        <v>586</v>
      </c>
      <c r="AD82" s="205" t="s">
        <v>587</v>
      </c>
      <c r="AE82" s="205" t="s">
        <v>1905</v>
      </c>
      <c r="AF82" s="205" t="s">
        <v>589</v>
      </c>
      <c r="AG82" s="205" t="s">
        <v>590</v>
      </c>
      <c r="AH82" s="205" t="s">
        <v>591</v>
      </c>
      <c r="AI82" s="205" t="s">
        <v>592</v>
      </c>
      <c r="AJ82" s="205" t="s">
        <v>593</v>
      </c>
      <c r="AK82" s="205" t="s">
        <v>594</v>
      </c>
    </row>
    <row r="83" spans="1:42">
      <c r="A83" s="205" t="s">
        <v>173</v>
      </c>
      <c r="B83" s="205" t="s">
        <v>595</v>
      </c>
      <c r="C83" s="205"/>
      <c r="D83" s="205" t="s">
        <v>596</v>
      </c>
      <c r="E83" s="205" t="s">
        <v>183</v>
      </c>
      <c r="F83" s="205"/>
      <c r="G83" s="205" t="s">
        <v>597</v>
      </c>
      <c r="H83" s="205"/>
      <c r="I83" s="205" t="s">
        <v>598</v>
      </c>
      <c r="J83" s="205"/>
      <c r="K83" s="205"/>
      <c r="L83" s="205"/>
      <c r="M83" s="205"/>
      <c r="N83" s="205"/>
      <c r="O83" s="205"/>
      <c r="P83" s="205"/>
      <c r="Q83" s="205"/>
      <c r="R83" s="205" t="s">
        <v>324</v>
      </c>
      <c r="S83" s="205" t="s">
        <v>324</v>
      </c>
      <c r="T83" s="205" t="s">
        <v>324</v>
      </c>
      <c r="U83" s="205" t="s">
        <v>324</v>
      </c>
      <c r="V83" s="205" t="s">
        <v>599</v>
      </c>
      <c r="W83" s="205" t="s">
        <v>599</v>
      </c>
      <c r="X83" s="205" t="s">
        <v>599</v>
      </c>
      <c r="Y83" s="205" t="s">
        <v>600</v>
      </c>
      <c r="Z83" s="205" t="s">
        <v>490</v>
      </c>
      <c r="AA83" s="205" t="s">
        <v>600</v>
      </c>
      <c r="AB83" s="205" t="s">
        <v>490</v>
      </c>
      <c r="AC83" s="205" t="s">
        <v>601</v>
      </c>
      <c r="AD83" s="205" t="s">
        <v>602</v>
      </c>
      <c r="AE83" s="205"/>
      <c r="AF83" s="205"/>
      <c r="AI83" t="s">
        <v>327</v>
      </c>
      <c r="AL83" t="s">
        <v>603</v>
      </c>
      <c r="AN83" t="s">
        <v>326</v>
      </c>
      <c r="AO83" t="s">
        <v>604</v>
      </c>
      <c r="AP83" t="s">
        <v>605</v>
      </c>
    </row>
    <row r="84" spans="1:42">
      <c r="A84">
        <v>65</v>
      </c>
      <c r="B84">
        <f t="shared" ref="B84:B147" si="0">A84</f>
        <v>65</v>
      </c>
      <c r="D84" s="43">
        <f t="shared" ref="D84:D147" si="1">A84/SQRT(D$75)</f>
        <v>86.52393023253704</v>
      </c>
      <c r="E84" s="43">
        <f t="shared" ref="E84:E147" si="2">D84*1.68780986</f>
        <v>146.0359425724281</v>
      </c>
      <c r="F84" s="69">
        <f t="shared" ref="F84:F147" si="3">E84/SQRT(1716.46*1.4*$D$77)</f>
        <v>0.13812412887433559</v>
      </c>
      <c r="G84" s="98">
        <f t="shared" ref="G84:G147" si="4">0.5*$D$76*E84^2</f>
        <v>14.310526335021747</v>
      </c>
      <c r="H84" s="69">
        <f t="shared" ref="H84:H147" si="5">2*$D$66/($D$76*E84^2*$D$69)</f>
        <v>2.7703406309496459</v>
      </c>
      <c r="I84" s="69">
        <f t="shared" ref="I84:I147" si="6">DEGREES((H84-$J$66)/$J$67)</f>
        <v>20.046125391055597</v>
      </c>
      <c r="J84" s="99">
        <f t="shared" ref="J84:J147" si="7">$J$69</f>
        <v>1.5047746178408776E-2</v>
      </c>
      <c r="K84" s="69">
        <f t="shared" ref="K84:K147" si="8">$J$71*(H84-$J$68)^2</f>
        <v>0.29999028469234301</v>
      </c>
      <c r="L84" s="99">
        <f t="shared" ref="L84:L147" si="9">SUM(J84:K84)</f>
        <v>0.31503803087075177</v>
      </c>
      <c r="M84" s="69">
        <f t="shared" ref="M84:M147" si="10">H84/L84</f>
        <v>8.7936704762042268</v>
      </c>
      <c r="N84" s="69">
        <f t="shared" ref="N84:N147" si="11">H84^1.5/L84</f>
        <v>14.636484364706295</v>
      </c>
      <c r="O84" s="69">
        <f t="shared" ref="O84:O147" si="12">H84^0.5/L84</f>
        <v>5.2832796809138411</v>
      </c>
      <c r="P84" s="69">
        <f t="shared" ref="P84:P147" si="13">60*E84/($J$79*$J$75)</f>
        <v>0.31293416265520307</v>
      </c>
      <c r="Q84" s="69">
        <f t="shared" ref="Q84:Q147" si="14">0.096574+1.703049*P84-0.952281*P84^2</f>
        <v>0.53626143883755606</v>
      </c>
      <c r="R84" s="43">
        <f t="shared" ref="R84:R147" si="15">Q84*550*$J$78/E84</f>
        <v>2708.371769631146</v>
      </c>
      <c r="S84" s="43">
        <f t="shared" ref="S84:S147" si="16">$D$69*G84*L84</f>
        <v>2146.430213762952</v>
      </c>
      <c r="T84" s="43">
        <f>R84+Thrust!C$33*0.8</f>
        <v>4520.1317696311462</v>
      </c>
      <c r="U84" s="43">
        <f>T84-R84</f>
        <v>1811.7600000000002</v>
      </c>
      <c r="V84">
        <f>S84*E84</f>
        <v>313455.95943281101</v>
      </c>
      <c r="W84">
        <f>T84*E84</f>
        <v>660101.70352966187</v>
      </c>
      <c r="X84">
        <f>Drag!N151</f>
        <v>9.3269539330772826</v>
      </c>
      <c r="Y84">
        <f>-(E84/M84)*60</f>
        <v>-996.416294885757</v>
      </c>
      <c r="Z84">
        <f>ASIN((Y84/60)/E84)*180/PI()</f>
        <v>-6.5296958366689308</v>
      </c>
      <c r="AA84">
        <f t="shared" ref="AA84:AA147" si="17">60*(((T84*E84)-(S84*E84))/$D$66)</f>
        <v>1101.9202461356847</v>
      </c>
      <c r="AB84">
        <f>ASIN((AA84/60)/E84)*180/PI()</f>
        <v>7.2245904932490141</v>
      </c>
      <c r="AC84">
        <f t="shared" ref="AC84:AC147" si="18">((325.9*Q84)/($J$74*D84))*M84*LN($D$66/$D$68)</f>
        <v>10.039320806272013</v>
      </c>
      <c r="AD84">
        <f t="shared" ref="AD84:AD147" si="19">((325.9*Q84)/($J$74))*M84*LN($D$66/$D$68)</f>
        <v>868.64149302393707</v>
      </c>
      <c r="AE84">
        <f>60*(((R84*E84)-(S84*E84))/$D$66)</f>
        <v>260.86462977005078</v>
      </c>
      <c r="AG84">
        <v>6.5125969056745312</v>
      </c>
      <c r="AH84">
        <f>60*(((T84*E84)-(S84*E84))/$D$66)</f>
        <v>1101.9202461356847</v>
      </c>
      <c r="AI84">
        <f>($J$74*T84)*AC84</f>
        <v>15428.877993462696</v>
      </c>
      <c r="AJ84">
        <f>$J$74*T84</f>
        <v>1536.8448016745899</v>
      </c>
      <c r="AL84">
        <v>0</v>
      </c>
      <c r="AN84" s="43">
        <f>$D$66-2280</f>
        <v>16595</v>
      </c>
      <c r="AO84" s="43">
        <f t="shared" ref="AO84:AO96" si="20">AN84-$D$67</f>
        <v>13295</v>
      </c>
      <c r="AP84">
        <f>((325.9*Q269)/($J$74))*M269*LN(AN84/AO84)</f>
        <v>1985.9171726609709</v>
      </c>
    </row>
    <row r="85" spans="1:42">
      <c r="A85">
        <v>66</v>
      </c>
      <c r="B85">
        <f t="shared" si="0"/>
        <v>66</v>
      </c>
      <c r="D85" s="43">
        <f t="shared" si="1"/>
        <v>87.855067620729912</v>
      </c>
      <c r="E85" s="43">
        <f t="shared" si="2"/>
        <v>148.28264938123468</v>
      </c>
      <c r="F85" s="69">
        <f t="shared" si="3"/>
        <v>0.14024911547240229</v>
      </c>
      <c r="G85" s="98">
        <f t="shared" si="4"/>
        <v>14.754237329078039</v>
      </c>
      <c r="H85" s="69">
        <f t="shared" si="5"/>
        <v>2.6870268975579101</v>
      </c>
      <c r="I85" s="69">
        <f>DEGREES((H85-$J$66)/$J$67)</f>
        <v>19.344572238268842</v>
      </c>
      <c r="J85" s="99">
        <f t="shared" si="7"/>
        <v>1.5047746178408776E-2</v>
      </c>
      <c r="K85" s="69">
        <f t="shared" si="8"/>
        <v>0.28156310813397994</v>
      </c>
      <c r="L85" s="99">
        <f t="shared" si="9"/>
        <v>0.29661085431238871</v>
      </c>
      <c r="M85" s="69">
        <f t="shared" si="10"/>
        <v>9.0590983387544881</v>
      </c>
      <c r="N85" s="69">
        <f t="shared" si="11"/>
        <v>14.849812871346598</v>
      </c>
      <c r="O85" s="69">
        <f t="shared" si="12"/>
        <v>5.5264846380372186</v>
      </c>
      <c r="P85" s="69">
        <f t="shared" si="13"/>
        <v>0.31774853438836004</v>
      </c>
      <c r="Q85" s="69">
        <f t="shared" si="14"/>
        <v>0.5415691000078563</v>
      </c>
      <c r="R85" s="43">
        <f t="shared" si="15"/>
        <v>2693.735857685203</v>
      </c>
      <c r="S85" s="43">
        <f t="shared" si="16"/>
        <v>2083.5406896129439</v>
      </c>
      <c r="T85" s="43">
        <f>R85+Thrust!C$33*0.8</f>
        <v>4505.4958576852032</v>
      </c>
      <c r="U85" s="43"/>
      <c r="V85">
        <f t="shared" ref="V85:V148" si="21">S85*E85</f>
        <v>308952.93354941206</v>
      </c>
      <c r="W85">
        <f t="shared" ref="W85:W148" si="22">T85*E85</f>
        <v>668086.86255374015</v>
      </c>
      <c r="Y85">
        <f t="shared" ref="Y85:Y148" si="23">-(E85/M85)*60</f>
        <v>-982.10204042197211</v>
      </c>
      <c r="Z85">
        <f t="shared" ref="Z85:Z148" si="24">ASIN((Y85/60)/E85)*180/PI()</f>
        <v>-6.3375823350579639</v>
      </c>
      <c r="AA85">
        <f t="shared" si="17"/>
        <v>1141.6177875634271</v>
      </c>
      <c r="AB85">
        <f t="shared" ref="AB85:AB148" si="25">ASIN((AA85/60)/E85)*180/PI()</f>
        <v>7.3722626566375684</v>
      </c>
      <c r="AC85">
        <f t="shared" si="18"/>
        <v>10.286457785680863</v>
      </c>
      <c r="AD85">
        <f t="shared" si="19"/>
        <v>903.71744433877609</v>
      </c>
      <c r="AE85">
        <f t="shared" ref="AE85:AE148" si="26">60*(((R85*E85)-(S85*E85))/$D$66)</f>
        <v>287.62285402293725</v>
      </c>
      <c r="AG85">
        <v>6.6378691250703943</v>
      </c>
      <c r="AH85">
        <v>1141.6177875634271</v>
      </c>
      <c r="AI85">
        <f t="shared" ref="AI85:AI148" si="27">($J$74*T85)*AC85</f>
        <v>15757.501600837204</v>
      </c>
      <c r="AJ85">
        <f t="shared" ref="AJ85:AJ148" si="28">$J$74*T85</f>
        <v>1531.8685916129691</v>
      </c>
      <c r="AL85">
        <v>1</v>
      </c>
      <c r="AM85">
        <f>AL85*190</f>
        <v>190</v>
      </c>
      <c r="AN85" s="43">
        <f t="shared" ref="AN85:AN96" si="29">$D$66-(2280-AM85)</f>
        <v>16785</v>
      </c>
      <c r="AO85" s="43">
        <f t="shared" si="20"/>
        <v>13485</v>
      </c>
      <c r="AP85">
        <f t="shared" ref="AP85:AP96" si="30">((325.9*Q270)/($J$74))*M270*LN(AN85/AO85)</f>
        <v>1939.309024781242</v>
      </c>
    </row>
    <row r="86" spans="1:42">
      <c r="A86">
        <v>67</v>
      </c>
      <c r="B86">
        <f t="shared" si="0"/>
        <v>67</v>
      </c>
      <c r="D86" s="43">
        <f t="shared" si="1"/>
        <v>89.186205008922784</v>
      </c>
      <c r="E86" s="43">
        <f t="shared" si="2"/>
        <v>150.52935619004126</v>
      </c>
      <c r="F86" s="69">
        <f t="shared" si="3"/>
        <v>0.14237410207046899</v>
      </c>
      <c r="G86" s="98">
        <f t="shared" si="4"/>
        <v>15.204722536784047</v>
      </c>
      <c r="H86" s="69">
        <f t="shared" si="5"/>
        <v>2.6074157197064509</v>
      </c>
      <c r="I86" s="69">
        <f t="shared" si="6"/>
        <v>18.674196892632267</v>
      </c>
      <c r="J86" s="99">
        <f t="shared" si="7"/>
        <v>1.5047746178408776E-2</v>
      </c>
      <c r="K86" s="69">
        <f t="shared" si="8"/>
        <v>0.26450053261531448</v>
      </c>
      <c r="L86" s="99">
        <f t="shared" si="9"/>
        <v>0.27954827879372324</v>
      </c>
      <c r="M86" s="69">
        <f t="shared" si="10"/>
        <v>9.327246552751788</v>
      </c>
      <c r="N86" s="69">
        <f t="shared" si="11"/>
        <v>15.061166048810149</v>
      </c>
      <c r="O86" s="69">
        <f t="shared" si="12"/>
        <v>5.7762810644195133</v>
      </c>
      <c r="P86" s="69">
        <f t="shared" si="13"/>
        <v>0.322562906121517</v>
      </c>
      <c r="Q86" s="69">
        <f t="shared" si="14"/>
        <v>0.54683261690646956</v>
      </c>
      <c r="R86" s="43">
        <f t="shared" si="15"/>
        <v>2679.3205445599938</v>
      </c>
      <c r="S86" s="43">
        <f t="shared" si="16"/>
        <v>2023.6411563958677</v>
      </c>
      <c r="T86" s="43">
        <f>R86+Thrust!C$33*0.8</f>
        <v>4491.0805445599935</v>
      </c>
      <c r="U86" s="43"/>
      <c r="V86">
        <f t="shared" si="21"/>
        <v>304617.40043194056</v>
      </c>
      <c r="W86">
        <f t="shared" si="22"/>
        <v>676039.46297023573</v>
      </c>
      <c r="Y86">
        <f t="shared" si="23"/>
        <v>-968.32021329358577</v>
      </c>
      <c r="Z86">
        <f t="shared" si="24"/>
        <v>-6.1546691211458624</v>
      </c>
      <c r="AA86">
        <f t="shared" si="17"/>
        <v>1180.6794040952427</v>
      </c>
      <c r="AB86">
        <f t="shared" si="25"/>
        <v>7.5115046389953477</v>
      </c>
      <c r="AC86">
        <f t="shared" si="18"/>
        <v>10.534259140984776</v>
      </c>
      <c r="AD86">
        <f t="shared" si="19"/>
        <v>939.5105953649869</v>
      </c>
      <c r="AE86">
        <f t="shared" si="26"/>
        <v>313.74515337989737</v>
      </c>
      <c r="AG86">
        <v>6.7560776766415778</v>
      </c>
      <c r="AH86">
        <v>1180.6794040952427</v>
      </c>
      <c r="AI86">
        <f t="shared" si="27"/>
        <v>16085.470135006201</v>
      </c>
      <c r="AJ86">
        <f t="shared" si="28"/>
        <v>1526.9673851503978</v>
      </c>
      <c r="AL86">
        <v>2</v>
      </c>
      <c r="AM86">
        <f t="shared" ref="AM86:AM96" si="31">AL86*190</f>
        <v>380</v>
      </c>
      <c r="AN86" s="43">
        <f t="shared" si="29"/>
        <v>16975</v>
      </c>
      <c r="AO86" s="43">
        <f t="shared" si="20"/>
        <v>13675</v>
      </c>
      <c r="AP86">
        <f t="shared" si="30"/>
        <v>1893.986629203629</v>
      </c>
    </row>
    <row r="87" spans="1:42">
      <c r="A87">
        <v>68</v>
      </c>
      <c r="B87">
        <f t="shared" si="0"/>
        <v>68</v>
      </c>
      <c r="D87" s="43">
        <f t="shared" si="1"/>
        <v>90.517342397115669</v>
      </c>
      <c r="E87" s="43">
        <f t="shared" si="2"/>
        <v>152.77606299884786</v>
      </c>
      <c r="F87" s="69">
        <f t="shared" si="3"/>
        <v>0.14449908866853572</v>
      </c>
      <c r="G87" s="98">
        <f t="shared" si="4"/>
        <v>15.661981958139776</v>
      </c>
      <c r="H87" s="69">
        <f t="shared" si="5"/>
        <v>2.5312909095506608</v>
      </c>
      <c r="I87" s="69">
        <f t="shared" si="6"/>
        <v>18.033178918813018</v>
      </c>
      <c r="J87" s="99">
        <f t="shared" si="7"/>
        <v>1.5047746178408776E-2</v>
      </c>
      <c r="K87" s="69">
        <f t="shared" si="8"/>
        <v>0.24868392597685565</v>
      </c>
      <c r="L87" s="99">
        <f t="shared" si="9"/>
        <v>0.26373167215526444</v>
      </c>
      <c r="M87" s="69">
        <f t="shared" si="10"/>
        <v>9.5979784637335328</v>
      </c>
      <c r="N87" s="69">
        <f t="shared" si="11"/>
        <v>15.270413626296826</v>
      </c>
      <c r="O87" s="69">
        <f t="shared" si="12"/>
        <v>6.0326585019054715</v>
      </c>
      <c r="P87" s="69">
        <f t="shared" si="13"/>
        <v>0.32737727785467396</v>
      </c>
      <c r="Q87" s="69">
        <f t="shared" si="14"/>
        <v>0.5520519895333964</v>
      </c>
      <c r="R87" s="43">
        <f t="shared" si="15"/>
        <v>2665.1160979546062</v>
      </c>
      <c r="S87" s="43">
        <f t="shared" si="16"/>
        <v>1966.5599450259429</v>
      </c>
      <c r="T87" s="43">
        <f>R87+Thrust!C$33*0.8</f>
        <v>4476.8760979546059</v>
      </c>
      <c r="U87" s="43"/>
      <c r="V87">
        <f t="shared" si="21"/>
        <v>300443.28605229425</v>
      </c>
      <c r="W87">
        <f t="shared" si="22"/>
        <v>683959.50477914908</v>
      </c>
      <c r="Y87">
        <f t="shared" si="23"/>
        <v>-955.05150533179631</v>
      </c>
      <c r="Z87">
        <f t="shared" si="24"/>
        <v>-5.9804207254853488</v>
      </c>
      <c r="AA87">
        <f t="shared" si="17"/>
        <v>1219.1244038999359</v>
      </c>
      <c r="AB87">
        <f t="shared" si="25"/>
        <v>7.6428052066541605</v>
      </c>
      <c r="AC87">
        <f t="shared" si="18"/>
        <v>10.78255719009346</v>
      </c>
      <c r="AD87">
        <f t="shared" si="19"/>
        <v>976.00842109217103</v>
      </c>
      <c r="AE87">
        <f t="shared" si="26"/>
        <v>339.25083600973426</v>
      </c>
      <c r="AG87">
        <v>6.8676276948273509</v>
      </c>
      <c r="AH87">
        <v>1219.1244038999359</v>
      </c>
      <c r="AI87">
        <f t="shared" si="27"/>
        <v>16412.538670113718</v>
      </c>
      <c r="AJ87">
        <f t="shared" si="28"/>
        <v>1522.137873304566</v>
      </c>
      <c r="AL87">
        <v>3</v>
      </c>
      <c r="AM87">
        <f t="shared" si="31"/>
        <v>570</v>
      </c>
      <c r="AN87" s="43">
        <f t="shared" si="29"/>
        <v>17165</v>
      </c>
      <c r="AO87" s="43">
        <f t="shared" si="20"/>
        <v>13865</v>
      </c>
      <c r="AP87">
        <f t="shared" si="30"/>
        <v>1849.9023872867833</v>
      </c>
    </row>
    <row r="88" spans="1:42">
      <c r="A88">
        <v>69</v>
      </c>
      <c r="B88">
        <f t="shared" si="0"/>
        <v>69</v>
      </c>
      <c r="D88" s="43">
        <f t="shared" si="1"/>
        <v>91.848479785308541</v>
      </c>
      <c r="E88" s="43">
        <f t="shared" si="2"/>
        <v>155.02276980765444</v>
      </c>
      <c r="F88" s="69">
        <f t="shared" si="3"/>
        <v>0.1466240752666024</v>
      </c>
      <c r="G88" s="98">
        <f t="shared" si="4"/>
        <v>16.126015593145215</v>
      </c>
      <c r="H88" s="69">
        <f t="shared" si="5"/>
        <v>2.4584518306578986</v>
      </c>
      <c r="I88" s="69">
        <f t="shared" si="6"/>
        <v>17.419828833983317</v>
      </c>
      <c r="J88" s="99">
        <f t="shared" si="7"/>
        <v>1.5047746178408776E-2</v>
      </c>
      <c r="K88" s="69">
        <f t="shared" si="8"/>
        <v>0.23400647983627279</v>
      </c>
      <c r="L88" s="99">
        <f t="shared" si="9"/>
        <v>0.24905422601468158</v>
      </c>
      <c r="M88" s="69">
        <f t="shared" si="10"/>
        <v>9.8711508332846947</v>
      </c>
      <c r="N88" s="69">
        <f t="shared" si="11"/>
        <v>15.477422561661015</v>
      </c>
      <c r="O88" s="69">
        <f t="shared" si="12"/>
        <v>6.2955972407721124</v>
      </c>
      <c r="P88" s="69">
        <f t="shared" si="13"/>
        <v>0.33219164958783093</v>
      </c>
      <c r="Q88" s="69">
        <f t="shared" si="14"/>
        <v>0.55722721788863638</v>
      </c>
      <c r="R88" s="43">
        <f t="shared" si="15"/>
        <v>2651.113349759481</v>
      </c>
      <c r="S88" s="43">
        <f t="shared" si="16"/>
        <v>1912.1377353849239</v>
      </c>
      <c r="T88" s="43">
        <f>R88+Thrust!C$33*0.8</f>
        <v>4462.8733497594812</v>
      </c>
      <c r="U88" s="43"/>
      <c r="V88">
        <f t="shared" si="21"/>
        <v>296424.88799310673</v>
      </c>
      <c r="W88">
        <f t="shared" si="22"/>
        <v>691846.98798047972</v>
      </c>
      <c r="Y88">
        <f t="shared" si="23"/>
        <v>-942.27778964696176</v>
      </c>
      <c r="Z88">
        <f t="shared" si="24"/>
        <v>-5.8143410085104312</v>
      </c>
      <c r="AA88">
        <f t="shared" si="17"/>
        <v>1256.9709138671458</v>
      </c>
      <c r="AB88">
        <f t="shared" si="25"/>
        <v>7.7666177991607652</v>
      </c>
      <c r="AC88">
        <f t="shared" si="18"/>
        <v>11.031179495630528</v>
      </c>
      <c r="AD88">
        <f t="shared" si="19"/>
        <v>1013.1970669125307</v>
      </c>
      <c r="AE88">
        <f t="shared" si="26"/>
        <v>364.15802880208838</v>
      </c>
      <c r="AG88">
        <v>6.9728950719574065</v>
      </c>
      <c r="AH88">
        <v>1256.9709138671458</v>
      </c>
      <c r="AI88">
        <f t="shared" si="27"/>
        <v>16738.457375737325</v>
      </c>
      <c r="AJ88">
        <f t="shared" si="28"/>
        <v>1517.3769389182237</v>
      </c>
      <c r="AL88">
        <v>4</v>
      </c>
      <c r="AM88">
        <f t="shared" si="31"/>
        <v>760</v>
      </c>
      <c r="AN88" s="43">
        <f t="shared" si="29"/>
        <v>17355</v>
      </c>
      <c r="AO88" s="43">
        <f t="shared" si="20"/>
        <v>14055</v>
      </c>
      <c r="AP88">
        <f t="shared" si="30"/>
        <v>1807.0109909417502</v>
      </c>
    </row>
    <row r="89" spans="1:42">
      <c r="A89">
        <v>70</v>
      </c>
      <c r="B89">
        <f t="shared" si="0"/>
        <v>70</v>
      </c>
      <c r="D89" s="43">
        <f t="shared" si="1"/>
        <v>93.179617173501427</v>
      </c>
      <c r="E89" s="43">
        <f t="shared" si="2"/>
        <v>157.26947661646105</v>
      </c>
      <c r="F89" s="69">
        <f t="shared" si="3"/>
        <v>0.14874906186466913</v>
      </c>
      <c r="G89" s="98">
        <f t="shared" si="4"/>
        <v>16.596823441800371</v>
      </c>
      <c r="H89" s="69">
        <f t="shared" si="5"/>
        <v>2.3887120746453578</v>
      </c>
      <c r="I89" s="69">
        <f t="shared" si="6"/>
        <v>16.832576964293004</v>
      </c>
      <c r="J89" s="99">
        <f t="shared" si="7"/>
        <v>1.5047746178408776E-2</v>
      </c>
      <c r="K89" s="69">
        <f t="shared" si="8"/>
        <v>0.2203718837661478</v>
      </c>
      <c r="L89" s="99">
        <f t="shared" si="9"/>
        <v>0.23541962994455659</v>
      </c>
      <c r="M89" s="69">
        <f t="shared" si="10"/>
        <v>10.146613836781244</v>
      </c>
      <c r="N89" s="69">
        <f t="shared" si="11"/>
        <v>15.682057235877203</v>
      </c>
      <c r="O89" s="69">
        <f t="shared" si="12"/>
        <v>6.5650680139863473</v>
      </c>
      <c r="P89" s="69">
        <f t="shared" si="13"/>
        <v>0.337006021320988</v>
      </c>
      <c r="Q89" s="69">
        <f t="shared" si="14"/>
        <v>0.56235830197218961</v>
      </c>
      <c r="R89" s="43">
        <f t="shared" si="15"/>
        <v>2637.3036557570363</v>
      </c>
      <c r="S89" s="43">
        <f t="shared" si="16"/>
        <v>1860.2265054750144</v>
      </c>
      <c r="T89" s="43">
        <f>R89+Thrust!C$33*0.8</f>
        <v>4449.063655757036</v>
      </c>
      <c r="U89" s="43"/>
      <c r="V89">
        <f t="shared" si="21"/>
        <v>292556.84890412382</v>
      </c>
      <c r="W89">
        <f t="shared" si="22"/>
        <v>699701.9125742279</v>
      </c>
      <c r="Y89">
        <f t="shared" si="23"/>
        <v>-929.98203625151939</v>
      </c>
      <c r="Z89">
        <f t="shared" si="24"/>
        <v>-5.6559697113238405</v>
      </c>
      <c r="AA89">
        <f t="shared" si="17"/>
        <v>1294.2359639844367</v>
      </c>
      <c r="AB89">
        <f t="shared" si="25"/>
        <v>7.883363550882299</v>
      </c>
      <c r="AC89">
        <f t="shared" si="18"/>
        <v>11.279948987424524</v>
      </c>
      <c r="AD89">
        <f t="shared" si="19"/>
        <v>1051.0613283848422</v>
      </c>
      <c r="AE89">
        <f t="shared" si="26"/>
        <v>388.48376174452341</v>
      </c>
      <c r="AG89">
        <v>7.0722289553195417</v>
      </c>
      <c r="AH89">
        <v>1294.2359639844367</v>
      </c>
      <c r="AI89">
        <f t="shared" si="27"/>
        <v>17062.971766772902</v>
      </c>
      <c r="AJ89">
        <f t="shared" si="28"/>
        <v>1512.6816429573923</v>
      </c>
      <c r="AL89">
        <v>5</v>
      </c>
      <c r="AM89">
        <f t="shared" si="31"/>
        <v>950</v>
      </c>
      <c r="AN89" s="43">
        <f t="shared" si="29"/>
        <v>17545</v>
      </c>
      <c r="AO89" s="43">
        <f t="shared" si="20"/>
        <v>14245</v>
      </c>
      <c r="AP89">
        <f t="shared" si="30"/>
        <v>1765.2692852065509</v>
      </c>
    </row>
    <row r="90" spans="1:42">
      <c r="A90">
        <v>71</v>
      </c>
      <c r="B90">
        <f t="shared" si="0"/>
        <v>71</v>
      </c>
      <c r="D90" s="43">
        <f t="shared" si="1"/>
        <v>94.510754561694299</v>
      </c>
      <c r="E90" s="43">
        <f t="shared" si="2"/>
        <v>159.51618342526763</v>
      </c>
      <c r="F90" s="69">
        <f t="shared" si="3"/>
        <v>0.15087404846273583</v>
      </c>
      <c r="G90" s="98">
        <f t="shared" si="4"/>
        <v>17.074405504105236</v>
      </c>
      <c r="H90" s="69">
        <f t="shared" si="5"/>
        <v>2.3218982673600985</v>
      </c>
      <c r="I90" s="69">
        <f t="shared" si="6"/>
        <v>16.269963392167213</v>
      </c>
      <c r="J90" s="99">
        <f t="shared" si="7"/>
        <v>1.5047746178408776E-2</v>
      </c>
      <c r="K90" s="69">
        <f t="shared" si="8"/>
        <v>0.207693164264661</v>
      </c>
      <c r="L90" s="99">
        <f t="shared" si="9"/>
        <v>0.22274091044306979</v>
      </c>
      <c r="M90" s="69">
        <f t="shared" si="10"/>
        <v>10.424211083367871</v>
      </c>
      <c r="N90" s="69">
        <f t="shared" si="11"/>
        <v>15.88417966495204</v>
      </c>
      <c r="O90" s="69">
        <f t="shared" si="12"/>
        <v>6.8410317059289989</v>
      </c>
      <c r="P90" s="69">
        <f t="shared" si="13"/>
        <v>0.34182039305414491</v>
      </c>
      <c r="Q90" s="69">
        <f t="shared" si="14"/>
        <v>0.56744524178405631</v>
      </c>
      <c r="R90" s="43">
        <f t="shared" si="15"/>
        <v>2623.6788587278634</v>
      </c>
      <c r="S90" s="43">
        <f t="shared" si="16"/>
        <v>1810.6885834378015</v>
      </c>
      <c r="T90" s="43">
        <f>R90+Thrust!C$33*0.8</f>
        <v>4435.4388587278636</v>
      </c>
      <c r="U90" s="43"/>
      <c r="V90">
        <f t="shared" si="21"/>
        <v>288834.13220170233</v>
      </c>
      <c r="W90">
        <f t="shared" si="22"/>
        <v>707524.27856039361</v>
      </c>
      <c r="Y90">
        <f t="shared" si="23"/>
        <v>-918.1482348133585</v>
      </c>
      <c r="Z90">
        <f t="shared" si="24"/>
        <v>-5.5048793583168418</v>
      </c>
      <c r="AA90">
        <f t="shared" si="17"/>
        <v>1330.9355645839191</v>
      </c>
      <c r="AB90">
        <f t="shared" si="25"/>
        <v>7.9934340140703188</v>
      </c>
      <c r="AC90">
        <f t="shared" si="18"/>
        <v>11.528684107601409</v>
      </c>
      <c r="AD90">
        <f t="shared" si="19"/>
        <v>1089.5846341128224</v>
      </c>
      <c r="AE90">
        <f t="shared" si="26"/>
        <v>412.24404516914979</v>
      </c>
      <c r="AG90">
        <v>7.1659539982652589</v>
      </c>
      <c r="AH90">
        <v>1330.9355645839191</v>
      </c>
      <c r="AI90">
        <f t="shared" si="27"/>
        <v>17385.822983490241</v>
      </c>
      <c r="AJ90">
        <f t="shared" si="28"/>
        <v>1508.0492119674736</v>
      </c>
      <c r="AL90">
        <v>6</v>
      </c>
      <c r="AM90">
        <f t="shared" si="31"/>
        <v>1140</v>
      </c>
      <c r="AN90" s="43">
        <f t="shared" si="29"/>
        <v>17735</v>
      </c>
      <c r="AO90" s="43">
        <f t="shared" si="20"/>
        <v>14435</v>
      </c>
      <c r="AP90">
        <f t="shared" si="30"/>
        <v>1724.6361407116426</v>
      </c>
    </row>
    <row r="91" spans="1:42">
      <c r="A91">
        <v>72</v>
      </c>
      <c r="B91">
        <f t="shared" si="0"/>
        <v>72</v>
      </c>
      <c r="D91" s="43">
        <f t="shared" si="1"/>
        <v>95.841891949887184</v>
      </c>
      <c r="E91" s="43">
        <f t="shared" si="2"/>
        <v>161.76289023407421</v>
      </c>
      <c r="F91" s="69">
        <f t="shared" si="3"/>
        <v>0.15299903506080251</v>
      </c>
      <c r="G91" s="98">
        <f t="shared" si="4"/>
        <v>17.558761780059818</v>
      </c>
      <c r="H91" s="69">
        <f t="shared" si="5"/>
        <v>2.257848990309077</v>
      </c>
      <c r="I91" s="69">
        <f t="shared" si="6"/>
        <v>15.730628874080264</v>
      </c>
      <c r="J91" s="99">
        <f t="shared" si="7"/>
        <v>1.5047746178408776E-2</v>
      </c>
      <c r="K91" s="69">
        <f t="shared" si="8"/>
        <v>0.19589166608269126</v>
      </c>
      <c r="L91" s="99">
        <f t="shared" si="9"/>
        <v>0.21093941226110005</v>
      </c>
      <c r="M91" s="69">
        <f t="shared" si="10"/>
        <v>10.703779659319045</v>
      </c>
      <c r="N91" s="69">
        <f t="shared" si="11"/>
        <v>16.083649729313095</v>
      </c>
      <c r="O91" s="69">
        <f t="shared" si="12"/>
        <v>7.1234390777885492</v>
      </c>
      <c r="P91" s="69">
        <f t="shared" si="13"/>
        <v>0.34663476478730187</v>
      </c>
      <c r="Q91" s="69">
        <f t="shared" si="14"/>
        <v>0.57248803732423592</v>
      </c>
      <c r="R91" s="43">
        <f t="shared" si="15"/>
        <v>2610.2312546314074</v>
      </c>
      <c r="S91" s="43">
        <f t="shared" si="16"/>
        <v>1763.3957910901909</v>
      </c>
      <c r="T91" s="43">
        <f>R91+Thrust!C$33*0.8</f>
        <v>4421.9912546314072</v>
      </c>
      <c r="U91" s="43"/>
      <c r="V91">
        <f t="shared" si="21"/>
        <v>285251.99979335099</v>
      </c>
      <c r="W91">
        <f t="shared" si="22"/>
        <v>715314.08593897638</v>
      </c>
      <c r="Y91">
        <f t="shared" si="23"/>
        <v>-906.7613238464138</v>
      </c>
      <c r="Z91">
        <f t="shared" si="24"/>
        <v>-5.3606724706629194</v>
      </c>
      <c r="AA91">
        <f t="shared" si="17"/>
        <v>1367.0847771516569</v>
      </c>
      <c r="AB91">
        <f t="shared" si="25"/>
        <v>8.0971936168632315</v>
      </c>
      <c r="AC91">
        <f t="shared" si="18"/>
        <v>11.777198978857875</v>
      </c>
      <c r="AD91">
        <f t="shared" si="19"/>
        <v>1128.7490320040181</v>
      </c>
      <c r="AE91">
        <f t="shared" si="26"/>
        <v>435.45394056203185</v>
      </c>
      <c r="AG91">
        <v>7.2543723927910309</v>
      </c>
      <c r="AH91">
        <v>1367.0847771516569</v>
      </c>
      <c r="AI91">
        <f t="shared" si="27"/>
        <v>17706.748102111578</v>
      </c>
      <c r="AJ91">
        <f t="shared" si="28"/>
        <v>1503.4770265746786</v>
      </c>
      <c r="AL91">
        <v>7</v>
      </c>
      <c r="AM91">
        <f t="shared" si="31"/>
        <v>1330</v>
      </c>
      <c r="AN91" s="43">
        <f t="shared" si="29"/>
        <v>17925</v>
      </c>
      <c r="AO91" s="43">
        <f t="shared" si="20"/>
        <v>14625</v>
      </c>
      <c r="AP91">
        <f t="shared" si="30"/>
        <v>1685.0723352085713</v>
      </c>
    </row>
    <row r="92" spans="1:42">
      <c r="A92">
        <v>73</v>
      </c>
      <c r="B92">
        <f t="shared" si="0"/>
        <v>73</v>
      </c>
      <c r="D92" s="43">
        <f t="shared" si="1"/>
        <v>97.173029338080056</v>
      </c>
      <c r="E92" s="43">
        <f t="shared" si="2"/>
        <v>164.00959704288078</v>
      </c>
      <c r="F92" s="69">
        <f t="shared" si="3"/>
        <v>0.15512402165886921</v>
      </c>
      <c r="G92" s="98">
        <f t="shared" si="4"/>
        <v>18.049892269664113</v>
      </c>
      <c r="H92" s="69">
        <f t="shared" si="5"/>
        <v>2.1964138047968205</v>
      </c>
      <c r="I92" s="69">
        <f t="shared" si="6"/>
        <v>15.213306623191459</v>
      </c>
      <c r="J92" s="99">
        <f t="shared" si="7"/>
        <v>1.5047746178408776E-2</v>
      </c>
      <c r="K92" s="69">
        <f t="shared" si="8"/>
        <v>0.18489615678468085</v>
      </c>
      <c r="L92" s="99">
        <f t="shared" si="9"/>
        <v>0.19994390296308964</v>
      </c>
      <c r="M92" s="69">
        <f t="shared" si="10"/>
        <v>10.985150195864119</v>
      </c>
      <c r="N92" s="69">
        <f t="shared" si="11"/>
        <v>16.28032542060032</v>
      </c>
      <c r="O92" s="69">
        <f t="shared" si="12"/>
        <v>7.4122305118667446</v>
      </c>
      <c r="P92" s="69">
        <f t="shared" si="13"/>
        <v>0.35144913652045884</v>
      </c>
      <c r="Q92" s="69">
        <f t="shared" si="14"/>
        <v>0.577486688592729</v>
      </c>
      <c r="R92" s="43">
        <f t="shared" si="15"/>
        <v>2596.9535615663262</v>
      </c>
      <c r="S92" s="43">
        <f t="shared" si="16"/>
        <v>1718.2286690177789</v>
      </c>
      <c r="T92" s="43">
        <f>R92+Thrust!C$33*0.8</f>
        <v>4408.7135615663265</v>
      </c>
      <c r="U92" s="43"/>
      <c r="V92">
        <f t="shared" si="21"/>
        <v>281805.99163313129</v>
      </c>
      <c r="W92">
        <f t="shared" si="22"/>
        <v>723071.33470997703</v>
      </c>
      <c r="Y92">
        <f t="shared" si="23"/>
        <v>-895.80712572121217</v>
      </c>
      <c r="Z92">
        <f t="shared" si="24"/>
        <v>-5.2229790550906579</v>
      </c>
      <c r="AA92">
        <f t="shared" si="17"/>
        <v>1402.6977793171254</v>
      </c>
      <c r="AB92">
        <f t="shared" si="25"/>
        <v>8.1949818855016456</v>
      </c>
      <c r="AC92">
        <f t="shared" si="18"/>
        <v>12.025303596391666</v>
      </c>
      <c r="AD92">
        <f t="shared" si="19"/>
        <v>1168.5351791714868</v>
      </c>
      <c r="AE92">
        <f t="shared" si="26"/>
        <v>458.12762555264425</v>
      </c>
      <c r="AG92">
        <v>7.3377657076145129</v>
      </c>
      <c r="AH92">
        <v>1402.6977793171254</v>
      </c>
      <c r="AI92">
        <f t="shared" si="27"/>
        <v>18025.480476103847</v>
      </c>
      <c r="AJ92">
        <f t="shared" si="28"/>
        <v>1498.9626109325511</v>
      </c>
      <c r="AL92">
        <v>8</v>
      </c>
      <c r="AM92">
        <f t="shared" si="31"/>
        <v>1520</v>
      </c>
      <c r="AN92" s="43">
        <f t="shared" si="29"/>
        <v>18115</v>
      </c>
      <c r="AO92" s="43">
        <f t="shared" si="20"/>
        <v>14815</v>
      </c>
      <c r="AP92">
        <f t="shared" si="30"/>
        <v>1646.5404434128091</v>
      </c>
    </row>
    <row r="93" spans="1:42">
      <c r="A93">
        <v>74</v>
      </c>
      <c r="B93">
        <f t="shared" si="0"/>
        <v>74</v>
      </c>
      <c r="D93" s="43">
        <f t="shared" si="1"/>
        <v>98.504166726272928</v>
      </c>
      <c r="E93" s="43">
        <f t="shared" si="2"/>
        <v>166.25630385168736</v>
      </c>
      <c r="F93" s="69">
        <f t="shared" si="3"/>
        <v>0.15724900825693591</v>
      </c>
      <c r="G93" s="98">
        <f t="shared" si="4"/>
        <v>18.547796972918125</v>
      </c>
      <c r="H93" s="69">
        <f t="shared" si="5"/>
        <v>2.1374523677432902</v>
      </c>
      <c r="I93" s="69">
        <f t="shared" si="6"/>
        <v>14.716814863984744</v>
      </c>
      <c r="J93" s="99">
        <f t="shared" si="7"/>
        <v>1.5047746178408776E-2</v>
      </c>
      <c r="K93" s="69">
        <f t="shared" si="8"/>
        <v>0.17464203820772697</v>
      </c>
      <c r="L93" s="99">
        <f t="shared" si="9"/>
        <v>0.18968978438613576</v>
      </c>
      <c r="M93" s="69">
        <f t="shared" si="10"/>
        <v>11.268146962475615</v>
      </c>
      <c r="N93" s="69">
        <f t="shared" si="11"/>
        <v>16.474063105674524</v>
      </c>
      <c r="O93" s="69">
        <f t="shared" si="12"/>
        <v>7.7073357770623669</v>
      </c>
      <c r="P93" s="69">
        <f t="shared" si="13"/>
        <v>0.3562635082536158</v>
      </c>
      <c r="Q93" s="69">
        <f t="shared" si="14"/>
        <v>0.58244119558953544</v>
      </c>
      <c r="R93" s="43">
        <f t="shared" si="15"/>
        <v>2583.838891247563</v>
      </c>
      <c r="S93" s="43">
        <f t="shared" si="16"/>
        <v>1675.0757744690575</v>
      </c>
      <c r="T93" s="43">
        <f>R93+Thrust!C$33*0.8</f>
        <v>4395.5988912475632</v>
      </c>
      <c r="U93" s="43"/>
      <c r="V93">
        <f t="shared" si="21"/>
        <v>278491.90693472815</v>
      </c>
      <c r="W93">
        <f t="shared" si="22"/>
        <v>730796.02487339498</v>
      </c>
      <c r="Y93">
        <f t="shared" si="23"/>
        <v>-885.27228694483131</v>
      </c>
      <c r="Z93">
        <f t="shared" si="24"/>
        <v>-5.0914543369236842</v>
      </c>
      <c r="AA93">
        <f t="shared" si="17"/>
        <v>1437.7879245732456</v>
      </c>
      <c r="AB93">
        <f t="shared" si="25"/>
        <v>8.287115456411259</v>
      </c>
      <c r="AC93">
        <f t="shared" si="18"/>
        <v>12.272804043850581</v>
      </c>
      <c r="AD93">
        <f t="shared" si="19"/>
        <v>1208.922335734334</v>
      </c>
      <c r="AE93">
        <f t="shared" si="26"/>
        <v>480.27845363390833</v>
      </c>
      <c r="AG93">
        <v>7.4163965528168925</v>
      </c>
      <c r="AH93">
        <v>1437.7879245732456</v>
      </c>
      <c r="AI93">
        <f t="shared" si="27"/>
        <v>18341.750108200398</v>
      </c>
      <c r="AJ93">
        <f t="shared" si="28"/>
        <v>1494.5036230241717</v>
      </c>
      <c r="AL93">
        <v>9</v>
      </c>
      <c r="AM93">
        <f t="shared" si="31"/>
        <v>1710</v>
      </c>
      <c r="AN93" s="43">
        <f t="shared" si="29"/>
        <v>18305</v>
      </c>
      <c r="AO93" s="43">
        <f t="shared" si="20"/>
        <v>15005</v>
      </c>
      <c r="AP93">
        <f t="shared" si="30"/>
        <v>1609.0047344820223</v>
      </c>
    </row>
    <row r="94" spans="1:42">
      <c r="A94">
        <v>75</v>
      </c>
      <c r="B94">
        <f t="shared" si="0"/>
        <v>75</v>
      </c>
      <c r="D94" s="43">
        <f t="shared" si="1"/>
        <v>99.835304114465814</v>
      </c>
      <c r="E94" s="43">
        <f t="shared" si="2"/>
        <v>168.50301066049397</v>
      </c>
      <c r="F94" s="69">
        <f t="shared" si="3"/>
        <v>0.15937399485500262</v>
      </c>
      <c r="G94" s="98">
        <f t="shared" si="4"/>
        <v>19.052475889821853</v>
      </c>
      <c r="H94" s="69">
        <f t="shared" si="5"/>
        <v>2.0808336294688452</v>
      </c>
      <c r="I94" s="69">
        <f t="shared" si="6"/>
        <v>14.240050077122069</v>
      </c>
      <c r="J94" s="99">
        <f t="shared" si="7"/>
        <v>1.5047746178408776E-2</v>
      </c>
      <c r="K94" s="69">
        <f t="shared" si="8"/>
        <v>0.16507065083324687</v>
      </c>
      <c r="L94" s="99">
        <f t="shared" si="9"/>
        <v>0.18011839701165566</v>
      </c>
      <c r="M94" s="69">
        <f t="shared" si="10"/>
        <v>11.552587986524175</v>
      </c>
      <c r="N94" s="69">
        <f t="shared" si="11"/>
        <v>16.664717807539418</v>
      </c>
      <c r="O94" s="69">
        <f t="shared" si="12"/>
        <v>8.008673817806983</v>
      </c>
      <c r="P94" s="69">
        <f t="shared" si="13"/>
        <v>0.36107787998677277</v>
      </c>
      <c r="Q94" s="69">
        <f t="shared" si="14"/>
        <v>0.5873515583146548</v>
      </c>
      <c r="R94" s="43">
        <f t="shared" si="15"/>
        <v>2570.8807227652637</v>
      </c>
      <c r="S94" s="43">
        <f t="shared" si="16"/>
        <v>1633.8330443375326</v>
      </c>
      <c r="T94" s="43">
        <f>R94+Thrust!C$33*0.8</f>
        <v>4382.6407227652635</v>
      </c>
      <c r="U94" s="43"/>
      <c r="V94">
        <f t="shared" si="21"/>
        <v>275305.78688747459</v>
      </c>
      <c r="W94">
        <f t="shared" si="22"/>
        <v>738488.15642923024</v>
      </c>
      <c r="Y94">
        <f t="shared" si="23"/>
        <v>-875.14422321846234</v>
      </c>
      <c r="Z94">
        <f t="shared" si="24"/>
        <v>-4.9657767103025661</v>
      </c>
      <c r="AA94">
        <f t="shared" si="17"/>
        <v>1472.3677972188259</v>
      </c>
      <c r="AB94">
        <f t="shared" si="25"/>
        <v>8.373889900684139</v>
      </c>
      <c r="AC94">
        <f t="shared" si="18"/>
        <v>12.519502733536475</v>
      </c>
      <c r="AD94">
        <f t="shared" si="19"/>
        <v>1249.8883627645</v>
      </c>
      <c r="AE94">
        <f t="shared" si="26"/>
        <v>501.91900910463278</v>
      </c>
      <c r="AG94">
        <v>7.4905100895743546</v>
      </c>
      <c r="AH94">
        <v>1472.3677972188259</v>
      </c>
      <c r="AI94">
        <f t="shared" si="27"/>
        <v>18655.284052981118</v>
      </c>
      <c r="AJ94">
        <f t="shared" si="28"/>
        <v>1490.0978457401898</v>
      </c>
      <c r="AL94">
        <v>10</v>
      </c>
      <c r="AM94">
        <f t="shared" si="31"/>
        <v>1900</v>
      </c>
      <c r="AN94" s="43">
        <f t="shared" si="29"/>
        <v>18495</v>
      </c>
      <c r="AO94" s="43">
        <f t="shared" si="20"/>
        <v>15195</v>
      </c>
      <c r="AP94">
        <f t="shared" si="30"/>
        <v>1572.4310765140021</v>
      </c>
    </row>
    <row r="95" spans="1:42">
      <c r="A95">
        <v>76</v>
      </c>
      <c r="B95">
        <f t="shared" si="0"/>
        <v>76</v>
      </c>
      <c r="D95" s="43">
        <f t="shared" si="1"/>
        <v>101.16644150265869</v>
      </c>
      <c r="E95" s="43">
        <f t="shared" si="2"/>
        <v>170.74971746930055</v>
      </c>
      <c r="F95" s="69">
        <f t="shared" si="3"/>
        <v>0.16149898145306932</v>
      </c>
      <c r="G95" s="98">
        <f t="shared" si="4"/>
        <v>19.563929020375291</v>
      </c>
      <c r="H95" s="69">
        <f t="shared" si="5"/>
        <v>2.0264351048757367</v>
      </c>
      <c r="I95" s="69">
        <f t="shared" si="6"/>
        <v>13.781980862340863</v>
      </c>
      <c r="J95" s="99">
        <f t="shared" si="7"/>
        <v>1.5047746178408776E-2</v>
      </c>
      <c r="K95" s="69">
        <f t="shared" si="8"/>
        <v>0.15612865907153292</v>
      </c>
      <c r="L95" s="99">
        <f t="shared" si="9"/>
        <v>0.17117640524994171</v>
      </c>
      <c r="M95" s="69">
        <f t="shared" si="10"/>
        <v>11.838285200094344</v>
      </c>
      <c r="N95" s="69">
        <f t="shared" si="11"/>
        <v>16.852143502749783</v>
      </c>
      <c r="O95" s="69">
        <f t="shared" si="12"/>
        <v>8.3161525687165661</v>
      </c>
      <c r="P95" s="69">
        <f t="shared" si="13"/>
        <v>0.36589225171992973</v>
      </c>
      <c r="Q95" s="69">
        <f t="shared" si="14"/>
        <v>0.59221777676808773</v>
      </c>
      <c r="R95" s="43">
        <f t="shared" si="15"/>
        <v>2558.0728784153598</v>
      </c>
      <c r="S95" s="43">
        <f t="shared" si="16"/>
        <v>1594.4032164261066</v>
      </c>
      <c r="T95" s="43">
        <f>R95+Thrust!C$33*0.8</f>
        <v>4369.83287841536</v>
      </c>
      <c r="U95" s="43"/>
      <c r="V95">
        <f t="shared" si="21"/>
        <v>272243.89873690176</v>
      </c>
      <c r="W95">
        <f t="shared" si="22"/>
        <v>746147.72937748313</v>
      </c>
      <c r="Y95">
        <f t="shared" si="23"/>
        <v>-865.41106883253553</v>
      </c>
      <c r="Z95">
        <f t="shared" si="24"/>
        <v>-4.845645881877914</v>
      </c>
      <c r="AA95">
        <f t="shared" si="17"/>
        <v>1506.4492629634376</v>
      </c>
      <c r="AB95">
        <f t="shared" si="25"/>
        <v>8.4555813807863185</v>
      </c>
      <c r="AC95">
        <f t="shared" si="18"/>
        <v>12.765198670964489</v>
      </c>
      <c r="AD95">
        <f t="shared" si="19"/>
        <v>1291.4097246159456</v>
      </c>
      <c r="AE95">
        <f t="shared" si="26"/>
        <v>523.06115767438848</v>
      </c>
      <c r="AG95">
        <v>7.5603354012934396</v>
      </c>
      <c r="AH95">
        <v>1506.4492629634376</v>
      </c>
      <c r="AI95">
        <f t="shared" si="27"/>
        <v>18965.806849640794</v>
      </c>
      <c r="AJ95">
        <f t="shared" si="28"/>
        <v>1485.7431786612226</v>
      </c>
      <c r="AL95">
        <v>11</v>
      </c>
      <c r="AM95">
        <f t="shared" si="31"/>
        <v>2090</v>
      </c>
      <c r="AN95" s="43">
        <f t="shared" si="29"/>
        <v>18685</v>
      </c>
      <c r="AO95" s="43">
        <f t="shared" si="20"/>
        <v>15385</v>
      </c>
      <c r="AP95">
        <f t="shared" si="30"/>
        <v>1536.7868475048947</v>
      </c>
    </row>
    <row r="96" spans="1:42">
      <c r="A96">
        <v>77</v>
      </c>
      <c r="B96">
        <f t="shared" si="0"/>
        <v>77</v>
      </c>
      <c r="D96" s="43">
        <f t="shared" si="1"/>
        <v>102.49757889085157</v>
      </c>
      <c r="E96" s="43">
        <f t="shared" si="2"/>
        <v>172.99642427810716</v>
      </c>
      <c r="F96" s="69">
        <f t="shared" si="3"/>
        <v>0.16362396805113605</v>
      </c>
      <c r="G96" s="98">
        <f t="shared" si="4"/>
        <v>20.082156364578452</v>
      </c>
      <c r="H96" s="69">
        <f t="shared" si="5"/>
        <v>1.9741422104507087</v>
      </c>
      <c r="I96" s="69">
        <f t="shared" si="6"/>
        <v>13.341642355606</v>
      </c>
      <c r="J96" s="99">
        <f t="shared" si="7"/>
        <v>1.5047746178408776E-2</v>
      </c>
      <c r="K96" s="69">
        <f t="shared" si="8"/>
        <v>0.14776750714184297</v>
      </c>
      <c r="L96" s="99">
        <f t="shared" si="9"/>
        <v>0.16281525332025176</v>
      </c>
      <c r="M96" s="69">
        <f t="shared" si="10"/>
        <v>12.125044614632278</v>
      </c>
      <c r="N96" s="69">
        <f t="shared" si="11"/>
        <v>17.036193434750029</v>
      </c>
      <c r="O96" s="69">
        <f t="shared" si="12"/>
        <v>8.6296687971939772</v>
      </c>
      <c r="P96" s="69">
        <f t="shared" si="13"/>
        <v>0.3707066234530868</v>
      </c>
      <c r="Q96" s="69">
        <f t="shared" si="14"/>
        <v>0.59703985094983403</v>
      </c>
      <c r="R96" s="43">
        <f t="shared" si="15"/>
        <v>2545.4095014134714</v>
      </c>
      <c r="S96" s="43">
        <f t="shared" si="16"/>
        <v>1556.6953029782671</v>
      </c>
      <c r="T96" s="43">
        <f>R96+Thrust!C$33*0.8</f>
        <v>4357.1695014134712</v>
      </c>
      <c r="U96" s="43"/>
      <c r="V96">
        <f t="shared" si="21"/>
        <v>269302.72110576485</v>
      </c>
      <c r="W96">
        <f t="shared" si="22"/>
        <v>753774.74371815345</v>
      </c>
      <c r="Y96">
        <f t="shared" si="23"/>
        <v>-856.06163000508036</v>
      </c>
      <c r="Z96">
        <f t="shared" si="24"/>
        <v>-4.7307811871714129</v>
      </c>
      <c r="AA96">
        <f t="shared" si="17"/>
        <v>1540.0435155890498</v>
      </c>
      <c r="AB96">
        <f t="shared" si="25"/>
        <v>8.5324481569758781</v>
      </c>
      <c r="AC96">
        <f t="shared" si="18"/>
        <v>13.009687743731513</v>
      </c>
      <c r="AD96">
        <f t="shared" si="19"/>
        <v>1333.4614958584657</v>
      </c>
      <c r="AE96">
        <f t="shared" si="26"/>
        <v>543.71609312514511</v>
      </c>
      <c r="AG96">
        <v>7.6260867405477013</v>
      </c>
      <c r="AH96">
        <v>1540.0435155890498</v>
      </c>
      <c r="AI96">
        <f t="shared" si="27"/>
        <v>19273.04098436586</v>
      </c>
      <c r="AJ96">
        <f t="shared" si="28"/>
        <v>1481.4376304805803</v>
      </c>
      <c r="AL96">
        <v>12</v>
      </c>
      <c r="AM96">
        <f t="shared" si="31"/>
        <v>2280</v>
      </c>
      <c r="AN96" s="43">
        <f t="shared" si="29"/>
        <v>18875</v>
      </c>
      <c r="AO96" s="43">
        <f t="shared" si="20"/>
        <v>15575</v>
      </c>
      <c r="AP96">
        <f t="shared" si="30"/>
        <v>1502.0408522590651</v>
      </c>
    </row>
    <row r="97" spans="1:41">
      <c r="A97">
        <v>78</v>
      </c>
      <c r="B97">
        <f t="shared" si="0"/>
        <v>78</v>
      </c>
      <c r="D97" s="43">
        <f t="shared" si="1"/>
        <v>103.82871627904444</v>
      </c>
      <c r="E97" s="43">
        <f t="shared" si="2"/>
        <v>175.24313108691373</v>
      </c>
      <c r="F97" s="69">
        <f t="shared" si="3"/>
        <v>0.16574895464920275</v>
      </c>
      <c r="G97" s="98">
        <f t="shared" si="4"/>
        <v>20.607157922431316</v>
      </c>
      <c r="H97" s="69">
        <f t="shared" si="5"/>
        <v>1.9238476603816985</v>
      </c>
      <c r="I97" s="69">
        <f t="shared" si="6"/>
        <v>12.918131144038986</v>
      </c>
      <c r="J97" s="99">
        <f t="shared" si="7"/>
        <v>1.5047746178408776E-2</v>
      </c>
      <c r="K97" s="69">
        <f t="shared" si="8"/>
        <v>0.13994293665901456</v>
      </c>
      <c r="L97" s="99">
        <f t="shared" si="9"/>
        <v>0.15499068283742334</v>
      </c>
      <c r="M97" s="69">
        <f t="shared" si="10"/>
        <v>12.412666523959432</v>
      </c>
      <c r="N97" s="69">
        <f t="shared" si="11"/>
        <v>17.216720442454189</v>
      </c>
      <c r="O97" s="69">
        <f t="shared" si="12"/>
        <v>8.9491079761680972</v>
      </c>
      <c r="P97" s="69">
        <f t="shared" si="13"/>
        <v>0.37552099518624371</v>
      </c>
      <c r="Q97" s="69">
        <f t="shared" si="14"/>
        <v>0.60181778085989324</v>
      </c>
      <c r="R97" s="43">
        <f t="shared" si="15"/>
        <v>2532.8850353231346</v>
      </c>
      <c r="S97" s="43">
        <f t="shared" si="16"/>
        <v>1520.6241111502277</v>
      </c>
      <c r="T97" s="43">
        <f>R97+Thrust!C$33*0.8</f>
        <v>4344.6450353231348</v>
      </c>
      <c r="U97" s="43"/>
      <c r="V97">
        <f t="shared" si="21"/>
        <v>266478.93044422101</v>
      </c>
      <c r="W97">
        <f t="shared" si="22"/>
        <v>761369.19945124106</v>
      </c>
      <c r="Y97">
        <f t="shared" si="23"/>
        <v>-847.08534180944434</v>
      </c>
      <c r="Z97">
        <f t="shared" si="24"/>
        <v>-4.6209200613131678</v>
      </c>
      <c r="AA97">
        <f t="shared" si="17"/>
        <v>1573.1611200223153</v>
      </c>
      <c r="AB97">
        <f t="shared" si="25"/>
        <v>8.604731958878622</v>
      </c>
      <c r="AC97">
        <f t="shared" si="18"/>
        <v>13.252763034492686</v>
      </c>
      <c r="AD97">
        <f t="shared" si="19"/>
        <v>1376.0173730217493</v>
      </c>
      <c r="AE97">
        <f t="shared" si="26"/>
        <v>563.89438038355456</v>
      </c>
      <c r="AG97">
        <v>7.6879646645444151</v>
      </c>
      <c r="AH97">
        <v>1573.1611200223153</v>
      </c>
      <c r="AI97">
        <f t="shared" si="27"/>
        <v>19576.70738152169</v>
      </c>
      <c r="AJ97">
        <f t="shared" si="28"/>
        <v>1477.179312009866</v>
      </c>
      <c r="AN97" s="43"/>
      <c r="AO97" s="43"/>
    </row>
    <row r="98" spans="1:41">
      <c r="A98">
        <v>79</v>
      </c>
      <c r="B98">
        <f t="shared" si="0"/>
        <v>79</v>
      </c>
      <c r="D98" s="43">
        <f t="shared" si="1"/>
        <v>105.15985366723731</v>
      </c>
      <c r="E98" s="43">
        <f t="shared" si="2"/>
        <v>177.48983789572029</v>
      </c>
      <c r="F98" s="69">
        <f t="shared" si="3"/>
        <v>0.1678739412472694</v>
      </c>
      <c r="G98" s="98">
        <f t="shared" si="4"/>
        <v>21.138933693933893</v>
      </c>
      <c r="H98" s="69">
        <f t="shared" si="5"/>
        <v>1.8754509158407722</v>
      </c>
      <c r="I98" s="69">
        <f t="shared" si="6"/>
        <v>12.510600628539725</v>
      </c>
      <c r="J98" s="99">
        <f t="shared" si="7"/>
        <v>1.5047746178408776E-2</v>
      </c>
      <c r="K98" s="69">
        <f t="shared" si="8"/>
        <v>0.13261455825294799</v>
      </c>
      <c r="L98" s="99">
        <f t="shared" si="9"/>
        <v>0.14766230443135678</v>
      </c>
      <c r="M98" s="69">
        <f t="shared" si="10"/>
        <v>12.700945736036552</v>
      </c>
      <c r="N98" s="69">
        <f t="shared" si="11"/>
        <v>17.393577303243184</v>
      </c>
      <c r="O98" s="69">
        <f t="shared" si="12"/>
        <v>9.2743441890856264</v>
      </c>
      <c r="P98" s="69">
        <f t="shared" si="13"/>
        <v>0.38033536691940056</v>
      </c>
      <c r="Q98" s="69">
        <f t="shared" si="14"/>
        <v>0.60655156649826591</v>
      </c>
      <c r="R98" s="43">
        <f t="shared" si="15"/>
        <v>2520.4942050464456</v>
      </c>
      <c r="S98" s="43">
        <f t="shared" si="16"/>
        <v>1486.1098057009824</v>
      </c>
      <c r="T98" s="43">
        <f>R98+Thrust!C$33*0.8</f>
        <v>4332.2542050464453</v>
      </c>
      <c r="U98" s="43"/>
      <c r="V98">
        <f t="shared" si="21"/>
        <v>263769.38850910775</v>
      </c>
      <c r="W98">
        <f t="shared" si="22"/>
        <v>768931.09657674609</v>
      </c>
      <c r="Y98">
        <f t="shared" si="23"/>
        <v>-838.47222837332265</v>
      </c>
      <c r="Z98">
        <f t="shared" si="24"/>
        <v>-4.5158166480387019</v>
      </c>
      <c r="AA98">
        <f t="shared" si="17"/>
        <v>1605.812052135539</v>
      </c>
      <c r="AB98">
        <f t="shared" si="25"/>
        <v>8.6726592358935299</v>
      </c>
      <c r="AC98">
        <f t="shared" si="18"/>
        <v>13.494215157680847</v>
      </c>
      <c r="AD98">
        <f t="shared" si="19"/>
        <v>1419.0496913359334</v>
      </c>
      <c r="AE98">
        <f t="shared" si="26"/>
        <v>583.60599532192282</v>
      </c>
      <c r="AG98">
        <v>7.7461570703946423</v>
      </c>
      <c r="AH98">
        <v>1605.812052135539</v>
      </c>
      <c r="AI98">
        <f t="shared" si="27"/>
        <v>19876.525922625871</v>
      </c>
      <c r="AJ98">
        <f t="shared" si="28"/>
        <v>1472.9664297157915</v>
      </c>
      <c r="AN98" s="43"/>
      <c r="AO98" s="43"/>
    </row>
    <row r="99" spans="1:41">
      <c r="A99">
        <v>80</v>
      </c>
      <c r="B99">
        <f t="shared" si="0"/>
        <v>80</v>
      </c>
      <c r="D99" s="43">
        <f t="shared" si="1"/>
        <v>106.4909910554302</v>
      </c>
      <c r="E99" s="43">
        <f t="shared" si="2"/>
        <v>179.73654470452689</v>
      </c>
      <c r="F99" s="69">
        <f t="shared" si="3"/>
        <v>0.16999892784533613</v>
      </c>
      <c r="G99" s="98">
        <f t="shared" si="4"/>
        <v>21.677483679086194</v>
      </c>
      <c r="H99" s="69">
        <f t="shared" si="5"/>
        <v>1.8288576821503526</v>
      </c>
      <c r="I99" s="69">
        <f t="shared" si="6"/>
        <v>12.11825678961525</v>
      </c>
      <c r="J99" s="99">
        <f t="shared" si="7"/>
        <v>1.5047746178408776E-2</v>
      </c>
      <c r="K99" s="69">
        <f t="shared" si="8"/>
        <v>0.12574547058367305</v>
      </c>
      <c r="L99" s="99">
        <f t="shared" si="9"/>
        <v>0.14079321676208184</v>
      </c>
      <c r="M99" s="69">
        <f t="shared" si="10"/>
        <v>12.989671833699427</v>
      </c>
      <c r="N99" s="69">
        <f t="shared" si="11"/>
        <v>17.566617089417296</v>
      </c>
      <c r="O99" s="69">
        <f t="shared" si="12"/>
        <v>9.6052400691794908</v>
      </c>
      <c r="P99" s="69">
        <f t="shared" si="13"/>
        <v>0.38514973865255764</v>
      </c>
      <c r="Q99" s="69">
        <f t="shared" si="14"/>
        <v>0.61124120786495173</v>
      </c>
      <c r="R99" s="43">
        <f t="shared" si="15"/>
        <v>2508.23199924039</v>
      </c>
      <c r="S99" s="43">
        <f t="shared" si="16"/>
        <v>1453.0775097052199</v>
      </c>
      <c r="T99" s="43">
        <f>R99+Thrust!C$33*0.8</f>
        <v>4319.9919992403902</v>
      </c>
      <c r="U99" s="43"/>
      <c r="V99">
        <f t="shared" si="21"/>
        <v>261171.13078227485</v>
      </c>
      <c r="W99">
        <f t="shared" si="22"/>
        <v>776460.43509466888</v>
      </c>
      <c r="Y99">
        <f t="shared" si="23"/>
        <v>-830.21286606286048</v>
      </c>
      <c r="Z99">
        <f t="shared" si="24"/>
        <v>-4.4152405327170703</v>
      </c>
      <c r="AA99">
        <f t="shared" si="17"/>
        <v>1638.005735562577</v>
      </c>
      <c r="AB99">
        <f t="shared" si="25"/>
        <v>8.7364422985513404</v>
      </c>
      <c r="AC99">
        <f t="shared" si="18"/>
        <v>13.733832619432508</v>
      </c>
      <c r="AD99">
        <f t="shared" si="19"/>
        <v>1462.5294466327628</v>
      </c>
      <c r="AE99">
        <f t="shared" si="26"/>
        <v>602.86036157410445</v>
      </c>
      <c r="AG99">
        <v>7.8008401401883631</v>
      </c>
      <c r="AH99">
        <v>1638.005735562577</v>
      </c>
      <c r="AI99">
        <f t="shared" si="27"/>
        <v>20172.215991850746</v>
      </c>
      <c r="AJ99">
        <f t="shared" si="28"/>
        <v>1468.7972797417328</v>
      </c>
      <c r="AN99" s="43"/>
      <c r="AO99" s="43"/>
    </row>
    <row r="100" spans="1:41">
      <c r="A100">
        <v>81</v>
      </c>
      <c r="B100">
        <f t="shared" si="0"/>
        <v>81</v>
      </c>
      <c r="D100" s="43">
        <f t="shared" si="1"/>
        <v>107.82212844362307</v>
      </c>
      <c r="E100" s="43">
        <f t="shared" si="2"/>
        <v>181.98325151333347</v>
      </c>
      <c r="F100" s="69">
        <f t="shared" si="3"/>
        <v>0.17212391444340283</v>
      </c>
      <c r="G100" s="98">
        <f t="shared" si="4"/>
        <v>22.222807877888204</v>
      </c>
      <c r="H100" s="69">
        <f t="shared" si="5"/>
        <v>1.783979449133098</v>
      </c>
      <c r="I100" s="69">
        <f t="shared" si="6"/>
        <v>11.740354316841456</v>
      </c>
      <c r="J100" s="99">
        <f t="shared" si="7"/>
        <v>1.5047746178408776E-2</v>
      </c>
      <c r="K100" s="69">
        <f t="shared" si="8"/>
        <v>0.11930192100028018</v>
      </c>
      <c r="L100" s="99">
        <f t="shared" si="9"/>
        <v>0.13434966717868896</v>
      </c>
      <c r="M100" s="69">
        <f t="shared" si="10"/>
        <v>13.278629464413585</v>
      </c>
      <c r="N100" s="69">
        <f t="shared" si="11"/>
        <v>17.735693537004199</v>
      </c>
      <c r="O100" s="69">
        <f t="shared" si="12"/>
        <v>9.9416467749236848</v>
      </c>
      <c r="P100" s="69">
        <f t="shared" si="13"/>
        <v>0.3899641103857146</v>
      </c>
      <c r="Q100" s="69">
        <f t="shared" si="14"/>
        <v>0.61588670495995101</v>
      </c>
      <c r="R100" s="43">
        <f t="shared" si="15"/>
        <v>2496.0936540356865</v>
      </c>
      <c r="S100" s="43">
        <f t="shared" si="16"/>
        <v>1421.4569395572453</v>
      </c>
      <c r="T100" s="43">
        <f>R100+Thrust!C$33*0.8</f>
        <v>4307.8536540356863</v>
      </c>
      <c r="U100" s="43"/>
      <c r="V100">
        <f t="shared" si="21"/>
        <v>258681.35574681943</v>
      </c>
      <c r="W100">
        <f t="shared" si="22"/>
        <v>783957.21500500897</v>
      </c>
      <c r="Y100">
        <f t="shared" si="23"/>
        <v>-822.29834939386308</v>
      </c>
      <c r="Z100">
        <f t="shared" si="24"/>
        <v>-4.318975586824207</v>
      </c>
      <c r="AA100">
        <f t="shared" si="17"/>
        <v>1669.7510757876225</v>
      </c>
      <c r="AB100">
        <f t="shared" si="25"/>
        <v>8.7962803615942136</v>
      </c>
      <c r="AC100">
        <f t="shared" si="18"/>
        <v>13.971402200007113</v>
      </c>
      <c r="AD100">
        <f t="shared" si="19"/>
        <v>1506.4263225466848</v>
      </c>
      <c r="AE100">
        <f t="shared" si="26"/>
        <v>621.6663846242941</v>
      </c>
      <c r="AG100">
        <v>7.8521792047629511</v>
      </c>
      <c r="AH100">
        <v>1669.7510757876225</v>
      </c>
      <c r="AI100">
        <f t="shared" si="27"/>
        <v>20463.497046562978</v>
      </c>
      <c r="AJ100">
        <f t="shared" si="28"/>
        <v>1464.6702423721335</v>
      </c>
      <c r="AN100" s="43"/>
      <c r="AO100" s="43"/>
    </row>
    <row r="101" spans="1:41">
      <c r="A101">
        <v>82</v>
      </c>
      <c r="B101">
        <f t="shared" si="0"/>
        <v>82</v>
      </c>
      <c r="D101" s="43">
        <f t="shared" si="1"/>
        <v>109.15326583181596</v>
      </c>
      <c r="E101" s="43">
        <f t="shared" si="2"/>
        <v>184.22995832214008</v>
      </c>
      <c r="F101" s="69">
        <f t="shared" si="3"/>
        <v>0.17424890104146953</v>
      </c>
      <c r="G101" s="98">
        <f t="shared" si="4"/>
        <v>22.774906290339935</v>
      </c>
      <c r="H101" s="69">
        <f t="shared" si="5"/>
        <v>1.7407330704583959</v>
      </c>
      <c r="I101" s="69">
        <f t="shared" si="6"/>
        <v>11.376193066700473</v>
      </c>
      <c r="J101" s="99">
        <f t="shared" si="7"/>
        <v>1.5047746178408776E-2</v>
      </c>
      <c r="K101" s="69">
        <f t="shared" si="8"/>
        <v>0.11325300285025046</v>
      </c>
      <c r="L101" s="99">
        <f t="shared" si="9"/>
        <v>0.12830074902865923</v>
      </c>
      <c r="M101" s="69">
        <f t="shared" si="10"/>
        <v>13.567598658910081</v>
      </c>
      <c r="N101" s="69">
        <f t="shared" si="11"/>
        <v>17.900661425685712</v>
      </c>
      <c r="O101" s="69">
        <f t="shared" si="12"/>
        <v>10.283404003447719</v>
      </c>
      <c r="P101" s="69">
        <f t="shared" si="13"/>
        <v>0.39477848211887157</v>
      </c>
      <c r="Q101" s="69">
        <f t="shared" si="14"/>
        <v>0.62048805778326344</v>
      </c>
      <c r="R101" s="43">
        <f t="shared" si="15"/>
        <v>2484.0746379469183</v>
      </c>
      <c r="S101" s="43">
        <f t="shared" si="16"/>
        <v>1391.1820709410838</v>
      </c>
      <c r="T101" s="43">
        <f>R101+Thrust!C$33*0.8</f>
        <v>4295.8346379469185</v>
      </c>
      <c r="U101" s="43"/>
      <c r="V101">
        <f t="shared" si="21"/>
        <v>256297.41494798439</v>
      </c>
      <c r="W101">
        <f t="shared" si="22"/>
        <v>791421.43630776647</v>
      </c>
      <c r="Y101">
        <f t="shared" si="23"/>
        <v>-814.72025943730148</v>
      </c>
      <c r="Z101">
        <f t="shared" si="24"/>
        <v>-4.2268189127079001</v>
      </c>
      <c r="AA101">
        <f t="shared" si="17"/>
        <v>1701.0564917397046</v>
      </c>
      <c r="AB101">
        <f t="shared" si="25"/>
        <v>8.8523604983571467</v>
      </c>
      <c r="AC101">
        <f t="shared" si="18"/>
        <v>14.206709357804263</v>
      </c>
      <c r="AD101">
        <f t="shared" si="19"/>
        <v>1550.7087231277555</v>
      </c>
      <c r="AE101">
        <f t="shared" si="26"/>
        <v>640.03248340152015</v>
      </c>
      <c r="AG101">
        <v>7.9003295340763504</v>
      </c>
      <c r="AH101">
        <v>1701.0564917397046</v>
      </c>
      <c r="AI101">
        <f t="shared" si="27"/>
        <v>20750.08921117006</v>
      </c>
      <c r="AJ101">
        <f t="shared" si="28"/>
        <v>1460.5837769019524</v>
      </c>
      <c r="AN101" s="43"/>
      <c r="AO101" s="43"/>
    </row>
    <row r="102" spans="1:41">
      <c r="A102">
        <v>83</v>
      </c>
      <c r="B102">
        <f t="shared" si="0"/>
        <v>83</v>
      </c>
      <c r="D102" s="43">
        <f t="shared" si="1"/>
        <v>110.48440322000883</v>
      </c>
      <c r="E102" s="43">
        <f t="shared" si="2"/>
        <v>186.47666513094666</v>
      </c>
      <c r="F102" s="69">
        <f t="shared" si="3"/>
        <v>0.17637388763953624</v>
      </c>
      <c r="G102" s="98">
        <f t="shared" si="4"/>
        <v>23.333778916441375</v>
      </c>
      <c r="H102" s="69">
        <f t="shared" si="5"/>
        <v>1.6990403782497103</v>
      </c>
      <c r="I102" s="69">
        <f t="shared" si="6"/>
        <v>11.025114817336217</v>
      </c>
      <c r="J102" s="99">
        <f t="shared" si="7"/>
        <v>1.5047746178408776E-2</v>
      </c>
      <c r="K102" s="69">
        <f t="shared" si="8"/>
        <v>0.10757038509625703</v>
      </c>
      <c r="L102" s="99">
        <f t="shared" si="9"/>
        <v>0.12261813127466581</v>
      </c>
      <c r="M102" s="69">
        <f t="shared" si="10"/>
        <v>13.85635517836953</v>
      </c>
      <c r="N102" s="69">
        <f t="shared" si="11"/>
        <v>18.06137696847194</v>
      </c>
      <c r="O102" s="69">
        <f t="shared" si="12"/>
        <v>10.63034004352393</v>
      </c>
      <c r="P102" s="69">
        <f t="shared" si="13"/>
        <v>0.39959285385202858</v>
      </c>
      <c r="Q102" s="69">
        <f t="shared" si="14"/>
        <v>0.62504526633488922</v>
      </c>
      <c r="R102" s="43">
        <f t="shared" si="15"/>
        <v>2472.1706378735112</v>
      </c>
      <c r="S102" s="43">
        <f t="shared" si="16"/>
        <v>1362.1908328003044</v>
      </c>
      <c r="T102" s="43">
        <f>R102+Thrust!C$33*0.8</f>
        <v>4283.9306378735109</v>
      </c>
      <c r="U102" s="43"/>
      <c r="V102">
        <f t="shared" si="21"/>
        <v>254016.80377254772</v>
      </c>
      <c r="W102">
        <f t="shared" si="22"/>
        <v>798853.0990029414</v>
      </c>
      <c r="Y102">
        <f t="shared" si="23"/>
        <v>-807.4706345087609</v>
      </c>
      <c r="Z102">
        <f t="shared" si="24"/>
        <v>-4.1385798787425507</v>
      </c>
      <c r="AA102">
        <f t="shared" si="17"/>
        <v>1731.9299451032382</v>
      </c>
      <c r="AB102">
        <f t="shared" si="25"/>
        <v>8.9048585149885007</v>
      </c>
      <c r="AC102">
        <f t="shared" si="18"/>
        <v>14.439538653899048</v>
      </c>
      <c r="AD102">
        <f t="shared" si="19"/>
        <v>1595.3438109482859</v>
      </c>
      <c r="AE102">
        <f t="shared" si="26"/>
        <v>657.96661959019798</v>
      </c>
      <c r="AG102">
        <v>7.9454370612382803</v>
      </c>
      <c r="AH102">
        <v>1731.9299451032382</v>
      </c>
      <c r="AI102">
        <f t="shared" si="27"/>
        <v>21031.713892306969</v>
      </c>
      <c r="AJ102">
        <f t="shared" si="28"/>
        <v>1456.5364168769938</v>
      </c>
      <c r="AN102" s="43"/>
      <c r="AO102" s="43"/>
    </row>
    <row r="103" spans="1:41">
      <c r="A103">
        <v>84</v>
      </c>
      <c r="B103">
        <f t="shared" si="0"/>
        <v>84</v>
      </c>
      <c r="D103" s="43">
        <f t="shared" si="1"/>
        <v>111.8155406082017</v>
      </c>
      <c r="E103" s="43">
        <f t="shared" si="2"/>
        <v>188.72337193975324</v>
      </c>
      <c r="F103" s="69">
        <f t="shared" si="3"/>
        <v>0.17849887423760294</v>
      </c>
      <c r="G103" s="98">
        <f t="shared" si="4"/>
        <v>23.899425756192528</v>
      </c>
      <c r="H103" s="69">
        <f t="shared" si="5"/>
        <v>1.6588278296148324</v>
      </c>
      <c r="I103" s="69">
        <f t="shared" si="6"/>
        <v>10.686500292120526</v>
      </c>
      <c r="J103" s="99">
        <f t="shared" si="7"/>
        <v>1.5047746178408776E-2</v>
      </c>
      <c r="K103" s="69">
        <f t="shared" si="8"/>
        <v>0.1022280704566931</v>
      </c>
      <c r="L103" s="99">
        <f t="shared" si="9"/>
        <v>0.11727581663510188</v>
      </c>
      <c r="M103" s="69">
        <f t="shared" si="10"/>
        <v>14.144670889619096</v>
      </c>
      <c r="N103" s="69">
        <f t="shared" si="11"/>
        <v>18.217698209620877</v>
      </c>
      <c r="O103" s="69">
        <f t="shared" si="12"/>
        <v>10.982271869559176</v>
      </c>
      <c r="P103" s="69">
        <f t="shared" si="13"/>
        <v>0.40440722558518549</v>
      </c>
      <c r="Q103" s="69">
        <f t="shared" si="14"/>
        <v>0.62955833061482802</v>
      </c>
      <c r="R103" s="43">
        <f t="shared" si="15"/>
        <v>2460.3775461006289</v>
      </c>
      <c r="S103" s="43">
        <f t="shared" si="16"/>
        <v>1334.4248266569805</v>
      </c>
      <c r="T103" s="43">
        <f>R103+Thrust!C$33*0.8</f>
        <v>4272.1375461006292</v>
      </c>
      <c r="U103" s="43"/>
      <c r="V103">
        <f t="shared" si="21"/>
        <v>251837.15288682608</v>
      </c>
      <c r="W103">
        <f t="shared" si="22"/>
        <v>806252.20309053373</v>
      </c>
      <c r="Y103">
        <f t="shared" si="23"/>
        <v>-800.5419429515</v>
      </c>
      <c r="Z103">
        <f t="shared" si="24"/>
        <v>-4.0540792360676878</v>
      </c>
      <c r="AA103">
        <f t="shared" si="17"/>
        <v>1762.3789675349649</v>
      </c>
      <c r="AB103">
        <f t="shared" si="25"/>
        <v>8.9539397521297897</v>
      </c>
      <c r="AC103">
        <f t="shared" si="18"/>
        <v>14.669674195829309</v>
      </c>
      <c r="AD103">
        <f t="shared" si="19"/>
        <v>1640.2975507528408</v>
      </c>
      <c r="AE103">
        <f t="shared" si="26"/>
        <v>675.47632484706844</v>
      </c>
      <c r="AG103">
        <v>7.9876390464966862</v>
      </c>
      <c r="AH103">
        <v>1762.3789675349649</v>
      </c>
      <c r="AI103">
        <f t="shared" si="27"/>
        <v>21308.09441316242</v>
      </c>
      <c r="AJ103">
        <f t="shared" si="28"/>
        <v>1452.5267656742139</v>
      </c>
      <c r="AN103" s="43"/>
      <c r="AO103" s="43"/>
    </row>
    <row r="104" spans="1:41">
      <c r="A104">
        <v>85</v>
      </c>
      <c r="B104">
        <f t="shared" si="0"/>
        <v>85</v>
      </c>
      <c r="D104" s="43">
        <f t="shared" si="1"/>
        <v>113.14667799639459</v>
      </c>
      <c r="E104" s="43">
        <f t="shared" si="2"/>
        <v>190.97007874855981</v>
      </c>
      <c r="F104" s="69">
        <f t="shared" si="3"/>
        <v>0.18062386083566961</v>
      </c>
      <c r="G104" s="98">
        <f t="shared" si="4"/>
        <v>24.471846809593398</v>
      </c>
      <c r="H104" s="69">
        <f t="shared" si="5"/>
        <v>1.6200261821124231</v>
      </c>
      <c r="I104" s="69">
        <f t="shared" si="6"/>
        <v>10.35976642688078</v>
      </c>
      <c r="J104" s="99">
        <f t="shared" si="7"/>
        <v>1.5047746178408776E-2</v>
      </c>
      <c r="K104" s="69">
        <f t="shared" si="8"/>
        <v>9.7202178767763436E-2</v>
      </c>
      <c r="L104" s="99">
        <f t="shared" si="9"/>
        <v>0.11224992494617221</v>
      </c>
      <c r="M104" s="69">
        <f t="shared" si="10"/>
        <v>14.432314167597731</v>
      </c>
      <c r="N104" s="69">
        <f t="shared" si="11"/>
        <v>18.369485429176702</v>
      </c>
      <c r="O104" s="69">
        <f t="shared" si="12"/>
        <v>11.339005277818366</v>
      </c>
      <c r="P104" s="69">
        <f t="shared" si="13"/>
        <v>0.40922159731834246</v>
      </c>
      <c r="Q104" s="69">
        <f t="shared" si="14"/>
        <v>0.63402725062308041</v>
      </c>
      <c r="R104" s="43">
        <f t="shared" si="15"/>
        <v>2448.6914482176676</v>
      </c>
      <c r="S104" s="43">
        <f t="shared" si="16"/>
        <v>1307.8290689082025</v>
      </c>
      <c r="T104" s="43">
        <f>R104+Thrust!C$33*0.8</f>
        <v>4260.4514482176673</v>
      </c>
      <c r="U104" s="43"/>
      <c r="V104">
        <f t="shared" si="21"/>
        <v>249756.22027905509</v>
      </c>
      <c r="W104">
        <f t="shared" si="22"/>
        <v>813618.7485705436</v>
      </c>
      <c r="Y104">
        <f t="shared" si="23"/>
        <v>-793.92705784070495</v>
      </c>
      <c r="Z104">
        <f t="shared" si="24"/>
        <v>-3.9731483090657709</v>
      </c>
      <c r="AA104">
        <f t="shared" si="17"/>
        <v>1792.4106859596986</v>
      </c>
      <c r="AB104">
        <f t="shared" si="25"/>
        <v>8.9997598208661902</v>
      </c>
      <c r="AC104">
        <f t="shared" si="18"/>
        <v>14.896900099183602</v>
      </c>
      <c r="AD104">
        <f t="shared" si="19"/>
        <v>1685.5347586667858</v>
      </c>
      <c r="AE104">
        <f t="shared" si="26"/>
        <v>692.56872609694676</v>
      </c>
      <c r="AG104">
        <v>8.0270646868106699</v>
      </c>
      <c r="AH104">
        <v>1792.4106859596986</v>
      </c>
      <c r="AI104">
        <f t="shared" si="27"/>
        <v>21578.956664517034</v>
      </c>
      <c r="AJ104">
        <f t="shared" si="28"/>
        <v>1448.553492394007</v>
      </c>
      <c r="AN104" s="43"/>
      <c r="AO104" s="43"/>
    </row>
    <row r="105" spans="1:41">
      <c r="A105">
        <v>86</v>
      </c>
      <c r="B105">
        <f t="shared" si="0"/>
        <v>86</v>
      </c>
      <c r="D105" s="43">
        <f t="shared" si="1"/>
        <v>114.47781538458746</v>
      </c>
      <c r="E105" s="43">
        <f t="shared" si="2"/>
        <v>193.21678555736639</v>
      </c>
      <c r="F105" s="69">
        <f t="shared" si="3"/>
        <v>0.18274884743373632</v>
      </c>
      <c r="G105" s="98">
        <f t="shared" si="4"/>
        <v>25.051042076643977</v>
      </c>
      <c r="H105" s="69">
        <f t="shared" si="5"/>
        <v>1.5825701954789426</v>
      </c>
      <c r="I105" s="69">
        <f t="shared" si="6"/>
        <v>10.044363858256201</v>
      </c>
      <c r="J105" s="99">
        <f t="shared" si="7"/>
        <v>1.5047746178408776E-2</v>
      </c>
      <c r="K105" s="69">
        <f t="shared" si="8"/>
        <v>9.2470752680473681E-2</v>
      </c>
      <c r="L105" s="99">
        <f t="shared" si="9"/>
        <v>0.10751849885888246</v>
      </c>
      <c r="M105" s="69">
        <f t="shared" si="10"/>
        <v>14.719050324131281</v>
      </c>
      <c r="N105" s="69">
        <f t="shared" si="11"/>
        <v>18.516601552382387</v>
      </c>
      <c r="O105" s="69">
        <f t="shared" si="12"/>
        <v>11.700335065882243</v>
      </c>
      <c r="P105" s="69">
        <f t="shared" si="13"/>
        <v>0.41403596905149942</v>
      </c>
      <c r="Q105" s="69">
        <f t="shared" si="14"/>
        <v>0.63845202635964593</v>
      </c>
      <c r="R105" s="43">
        <f t="shared" si="15"/>
        <v>2437.1086118796279</v>
      </c>
      <c r="S105" s="43">
        <f t="shared" si="16"/>
        <v>1282.351753975269</v>
      </c>
      <c r="T105" s="43">
        <f>R105+Thrust!C$33*0.8</f>
        <v>4248.8686118796277</v>
      </c>
      <c r="U105" s="43"/>
      <c r="V105">
        <f t="shared" si="21"/>
        <v>247771.88385695222</v>
      </c>
      <c r="W105">
        <f t="shared" si="22"/>
        <v>820952.735442971</v>
      </c>
      <c r="Y105">
        <f t="shared" si="23"/>
        <v>-787.61923345256332</v>
      </c>
      <c r="Z105">
        <f t="shared" si="24"/>
        <v>-3.8956282525800114</v>
      </c>
      <c r="AA105">
        <f t="shared" si="17"/>
        <v>1822.0318461012519</v>
      </c>
      <c r="AB105">
        <f t="shared" si="25"/>
        <v>9.042465279045409</v>
      </c>
      <c r="AC105">
        <f t="shared" si="18"/>
        <v>15.121000965355579</v>
      </c>
      <c r="AD105">
        <f t="shared" si="19"/>
        <v>1731.0191569421447</v>
      </c>
      <c r="AE105">
        <f t="shared" si="26"/>
        <v>709.25056906364432</v>
      </c>
      <c r="AG105">
        <v>8.0638356760521113</v>
      </c>
      <c r="AH105">
        <v>1822.0318461012519</v>
      </c>
      <c r="AI105">
        <f t="shared" si="27"/>
        <v>21844.029769846296</v>
      </c>
      <c r="AJ105">
        <f t="shared" si="28"/>
        <v>1444.6153280390736</v>
      </c>
      <c r="AN105" s="43"/>
      <c r="AO105" s="43"/>
    </row>
    <row r="106" spans="1:41">
      <c r="A106">
        <v>87</v>
      </c>
      <c r="B106">
        <f t="shared" si="0"/>
        <v>87</v>
      </c>
      <c r="D106" s="43">
        <f t="shared" si="1"/>
        <v>115.80895277278034</v>
      </c>
      <c r="E106" s="43">
        <f t="shared" si="2"/>
        <v>195.463492366173</v>
      </c>
      <c r="F106" s="69">
        <f t="shared" si="3"/>
        <v>0.18487383403180305</v>
      </c>
      <c r="G106" s="98">
        <f t="shared" si="4"/>
        <v>25.637011557344284</v>
      </c>
      <c r="H106" s="69">
        <f t="shared" si="5"/>
        <v>1.5463983572152538</v>
      </c>
      <c r="I106" s="69">
        <f t="shared" si="6"/>
        <v>9.7397746129673735</v>
      </c>
      <c r="J106" s="99">
        <f t="shared" si="7"/>
        <v>1.5047746178408776E-2</v>
      </c>
      <c r="K106" s="69">
        <f t="shared" si="8"/>
        <v>8.8013583164981021E-2</v>
      </c>
      <c r="L106" s="99">
        <f t="shared" si="9"/>
        <v>0.1030613293433898</v>
      </c>
      <c r="M106" s="69">
        <f t="shared" si="10"/>
        <v>15.004642061842738</v>
      </c>
      <c r="N106" s="69">
        <f t="shared" si="11"/>
        <v>18.658912562113485</v>
      </c>
      <c r="O106" s="69">
        <f t="shared" si="12"/>
        <v>12.066045256097116</v>
      </c>
      <c r="P106" s="69">
        <f t="shared" si="13"/>
        <v>0.41885034078465644</v>
      </c>
      <c r="Q106" s="69">
        <f t="shared" si="14"/>
        <v>0.64283265782452481</v>
      </c>
      <c r="R106" s="43">
        <f t="shared" si="15"/>
        <v>2425.6254763435809</v>
      </c>
      <c r="S106" s="43">
        <f t="shared" si="16"/>
        <v>1257.9440363992221</v>
      </c>
      <c r="T106" s="43">
        <f>R106+Thrust!C$33*0.8</f>
        <v>4237.3854763435811</v>
      </c>
      <c r="U106" s="43"/>
      <c r="V106">
        <f t="shared" si="21"/>
        <v>245882.1345557922</v>
      </c>
      <c r="W106">
        <f t="shared" si="22"/>
        <v>828254.16370781593</v>
      </c>
      <c r="Y106">
        <f t="shared" si="23"/>
        <v>-781.61208335616061</v>
      </c>
      <c r="Z106">
        <f t="shared" si="24"/>
        <v>-3.8213693696172202</v>
      </c>
      <c r="AA106">
        <f t="shared" si="17"/>
        <v>1851.2488343905391</v>
      </c>
      <c r="AB106">
        <f t="shared" si="25"/>
        <v>9.0821942534313322</v>
      </c>
      <c r="AC106">
        <f t="shared" si="18"/>
        <v>15.341762373652831</v>
      </c>
      <c r="AD106">
        <f t="shared" si="19"/>
        <v>1776.7134341815793</v>
      </c>
      <c r="AE106">
        <f t="shared" si="26"/>
        <v>725.52824017807484</v>
      </c>
      <c r="AG106">
        <v>8.0980667203576111</v>
      </c>
      <c r="AH106">
        <v>1851.2488343905391</v>
      </c>
      <c r="AI106">
        <f t="shared" si="27"/>
        <v>22103.046761634519</v>
      </c>
      <c r="AJ106">
        <f t="shared" si="28"/>
        <v>1440.7110619568177</v>
      </c>
      <c r="AN106" s="43"/>
      <c r="AO106" s="43"/>
    </row>
    <row r="107" spans="1:41">
      <c r="A107">
        <v>88</v>
      </c>
      <c r="B107">
        <f t="shared" si="0"/>
        <v>88</v>
      </c>
      <c r="D107" s="43">
        <f t="shared" si="1"/>
        <v>117.14009016097322</v>
      </c>
      <c r="E107" s="43">
        <f t="shared" si="2"/>
        <v>197.71019917497958</v>
      </c>
      <c r="F107" s="69">
        <f t="shared" si="3"/>
        <v>0.18699882062986975</v>
      </c>
      <c r="G107" s="98">
        <f t="shared" si="4"/>
        <v>26.229755251694296</v>
      </c>
      <c r="H107" s="69">
        <f t="shared" si="5"/>
        <v>1.5114526298763242</v>
      </c>
      <c r="I107" s="69">
        <f t="shared" si="6"/>
        <v>9.4455099798392652</v>
      </c>
      <c r="J107" s="99">
        <f t="shared" si="7"/>
        <v>1.5047746178408776E-2</v>
      </c>
      <c r="K107" s="69">
        <f t="shared" si="8"/>
        <v>8.3812052605722581E-2</v>
      </c>
      <c r="L107" s="99">
        <f t="shared" si="9"/>
        <v>9.8859798784131356E-2</v>
      </c>
      <c r="M107" s="69">
        <f t="shared" si="10"/>
        <v>15.288849951806068</v>
      </c>
      <c r="N107" s="69">
        <f t="shared" si="11"/>
        <v>18.796287912382173</v>
      </c>
      <c r="O107" s="69">
        <f t="shared" si="12"/>
        <v>12.435909363510911</v>
      </c>
      <c r="P107" s="69">
        <f t="shared" si="13"/>
        <v>0.4236647125178134</v>
      </c>
      <c r="Q107" s="69">
        <f t="shared" si="14"/>
        <v>0.64716914501771683</v>
      </c>
      <c r="R107" s="43">
        <f t="shared" si="15"/>
        <v>2414.2386427185511</v>
      </c>
      <c r="S107" s="43">
        <f t="shared" si="16"/>
        <v>1234.5598301702412</v>
      </c>
      <c r="T107" s="43">
        <f>R107+Thrust!C$33*0.8</f>
        <v>4225.9986427185513</v>
      </c>
      <c r="U107" s="43"/>
      <c r="V107">
        <f t="shared" si="21"/>
        <v>244085.06991638735</v>
      </c>
      <c r="W107">
        <f t="shared" si="22"/>
        <v>835523.03336507815</v>
      </c>
      <c r="Y107">
        <f t="shared" si="23"/>
        <v>-775.89955999911217</v>
      </c>
      <c r="Z107">
        <f t="shared" si="24"/>
        <v>-3.7502304839374223</v>
      </c>
      <c r="AA107">
        <f t="shared" si="17"/>
        <v>1880.0676983799444</v>
      </c>
      <c r="AB107">
        <f t="shared" si="25"/>
        <v>9.1190770125997354</v>
      </c>
      <c r="AC107">
        <f t="shared" si="18"/>
        <v>15.558971385776907</v>
      </c>
      <c r="AD107">
        <f t="shared" si="19"/>
        <v>1822.5793109419092</v>
      </c>
      <c r="AE107">
        <f t="shared" si="26"/>
        <v>741.40778699262444</v>
      </c>
      <c r="AG107">
        <v>8.1298660126907158</v>
      </c>
      <c r="AH107">
        <v>1880.0676983799444</v>
      </c>
      <c r="AI107">
        <f t="shared" si="27"/>
        <v>22355.745265852594</v>
      </c>
      <c r="AJ107">
        <f t="shared" si="28"/>
        <v>1436.8395385243075</v>
      </c>
      <c r="AN107" s="43"/>
      <c r="AO107" s="43"/>
    </row>
    <row r="108" spans="1:41">
      <c r="A108">
        <v>89</v>
      </c>
      <c r="B108">
        <f t="shared" si="0"/>
        <v>89</v>
      </c>
      <c r="D108" s="43">
        <f t="shared" si="1"/>
        <v>118.4712275491661</v>
      </c>
      <c r="E108" s="43">
        <f t="shared" si="2"/>
        <v>199.95690598378619</v>
      </c>
      <c r="F108" s="69">
        <f t="shared" si="3"/>
        <v>0.18912380722793645</v>
      </c>
      <c r="G108" s="98">
        <f t="shared" si="4"/>
        <v>26.829273159694026</v>
      </c>
      <c r="H108" s="69">
        <f t="shared" si="5"/>
        <v>1.4776782181242589</v>
      </c>
      <c r="I108" s="69">
        <f t="shared" si="6"/>
        <v>9.1611085482437158</v>
      </c>
      <c r="J108" s="99">
        <f t="shared" si="7"/>
        <v>1.5047746178408776E-2</v>
      </c>
      <c r="K108" s="69">
        <f t="shared" si="8"/>
        <v>7.9848993540428417E-2</v>
      </c>
      <c r="L108" s="99">
        <f t="shared" si="9"/>
        <v>9.4896739718837192E-2</v>
      </c>
      <c r="M108" s="69">
        <f t="shared" si="10"/>
        <v>15.571432933337507</v>
      </c>
      <c r="N108" s="69">
        <f t="shared" si="11"/>
        <v>18.928600940874773</v>
      </c>
      <c r="O108" s="69">
        <f t="shared" si="12"/>
        <v>12.809690708510567</v>
      </c>
      <c r="P108" s="69">
        <f t="shared" si="13"/>
        <v>0.42847908425097037</v>
      </c>
      <c r="Q108" s="69">
        <f t="shared" si="14"/>
        <v>0.65146148793922198</v>
      </c>
      <c r="R108" s="43">
        <f t="shared" si="15"/>
        <v>2402.9448648727043</v>
      </c>
      <c r="S108" s="43">
        <f t="shared" si="16"/>
        <v>1212.1556237505768</v>
      </c>
      <c r="T108" s="43">
        <f>R108+Thrust!C$33*0.8</f>
        <v>4214.7048648727041</v>
      </c>
      <c r="U108" s="43"/>
      <c r="V108">
        <f t="shared" si="21"/>
        <v>242378.88809601177</v>
      </c>
      <c r="W108">
        <f t="shared" si="22"/>
        <v>842759.34441475756</v>
      </c>
      <c r="Y108">
        <f t="shared" si="23"/>
        <v>-770.47593566944147</v>
      </c>
      <c r="Z108">
        <f t="shared" si="24"/>
        <v>-3.6820783625121853</v>
      </c>
      <c r="AA108">
        <f t="shared" si="17"/>
        <v>1908.4941657814438</v>
      </c>
      <c r="AB108">
        <f t="shared" si="25"/>
        <v>9.1532364949873894</v>
      </c>
      <c r="AC108">
        <f t="shared" si="18"/>
        <v>15.772417060529641</v>
      </c>
      <c r="AD108">
        <f t="shared" si="19"/>
        <v>1868.5776105783566</v>
      </c>
      <c r="AE108">
        <f t="shared" si="26"/>
        <v>756.89493721926794</v>
      </c>
      <c r="AG108">
        <v>8.1593356702647739</v>
      </c>
      <c r="AH108">
        <v>1908.4941657814438</v>
      </c>
      <c r="AI108">
        <f t="shared" si="27"/>
        <v>22601.868191377274</v>
      </c>
      <c r="AJ108">
        <f t="shared" si="28"/>
        <v>1432.9996540567195</v>
      </c>
      <c r="AN108" s="43"/>
      <c r="AO108" s="43"/>
    </row>
    <row r="109" spans="1:41">
      <c r="A109">
        <v>90</v>
      </c>
      <c r="B109">
        <f t="shared" si="0"/>
        <v>90</v>
      </c>
      <c r="D109" s="43">
        <f t="shared" si="1"/>
        <v>119.80236493735897</v>
      </c>
      <c r="E109" s="43">
        <f t="shared" si="2"/>
        <v>202.20361279259276</v>
      </c>
      <c r="F109" s="69">
        <f t="shared" si="3"/>
        <v>0.19124879382600316</v>
      </c>
      <c r="G109" s="98">
        <f t="shared" si="4"/>
        <v>27.435565281343468</v>
      </c>
      <c r="H109" s="69">
        <f t="shared" si="5"/>
        <v>1.4450233537978092</v>
      </c>
      <c r="I109" s="69">
        <f t="shared" si="6"/>
        <v>8.8861343982518157</v>
      </c>
      <c r="J109" s="99">
        <f t="shared" si="7"/>
        <v>1.5047746178408776E-2</v>
      </c>
      <c r="K109" s="69">
        <f t="shared" si="8"/>
        <v>7.6108561330432145E-2</v>
      </c>
      <c r="L109" s="99">
        <f t="shared" si="9"/>
        <v>9.115630750884092E-2</v>
      </c>
      <c r="M109" s="69">
        <f t="shared" si="10"/>
        <v>15.85214883410741</v>
      </c>
      <c r="N109" s="69">
        <f t="shared" si="11"/>
        <v>19.055729278413992</v>
      </c>
      <c r="O109" s="69">
        <f t="shared" si="12"/>
        <v>13.187142774081638</v>
      </c>
      <c r="P109" s="69">
        <f t="shared" si="13"/>
        <v>0.43329345598412738</v>
      </c>
      <c r="Q109" s="69">
        <f t="shared" si="14"/>
        <v>0.65570968658904061</v>
      </c>
      <c r="R109" s="43">
        <f t="shared" si="15"/>
        <v>2391.7410409467379</v>
      </c>
      <c r="S109" s="43">
        <f t="shared" si="16"/>
        <v>1190.6903094038985</v>
      </c>
      <c r="T109" s="43">
        <f>R109+Thrust!C$33*0.8</f>
        <v>4203.5010409467377</v>
      </c>
      <c r="U109" s="43"/>
      <c r="V109">
        <f t="shared" si="21"/>
        <v>240761.88227859835</v>
      </c>
      <c r="W109">
        <f t="shared" si="22"/>
        <v>849963.09685685474</v>
      </c>
      <c r="Y109">
        <f t="shared" si="23"/>
        <v>-765.33578472667023</v>
      </c>
      <c r="Z109">
        <f t="shared" si="24"/>
        <v>-3.6167871833474869</v>
      </c>
      <c r="AA109">
        <f t="shared" si="17"/>
        <v>1936.5336622355167</v>
      </c>
      <c r="AB109">
        <f t="shared" si="25"/>
        <v>9.1847887960652006</v>
      </c>
      <c r="AC109">
        <f t="shared" si="18"/>
        <v>15.981890976449959</v>
      </c>
      <c r="AD109">
        <f t="shared" si="19"/>
        <v>1914.6683351497422</v>
      </c>
      <c r="AE109">
        <f t="shared" si="26"/>
        <v>771.99511649848569</v>
      </c>
      <c r="AG109">
        <v>8.1865721381127408</v>
      </c>
      <c r="AH109">
        <v>1936.5336622355167</v>
      </c>
      <c r="AI109">
        <f t="shared" si="27"/>
        <v>22841.16442097359</v>
      </c>
      <c r="AJ109">
        <f t="shared" si="28"/>
        <v>1429.1903539218908</v>
      </c>
      <c r="AN109" s="43"/>
      <c r="AO109" s="43"/>
    </row>
    <row r="110" spans="1:41">
      <c r="A110">
        <v>91</v>
      </c>
      <c r="B110">
        <f t="shared" si="0"/>
        <v>91</v>
      </c>
      <c r="D110" s="43">
        <f t="shared" si="1"/>
        <v>121.13350232555185</v>
      </c>
      <c r="E110" s="43">
        <f t="shared" si="2"/>
        <v>204.45031960139934</v>
      </c>
      <c r="F110" s="69">
        <f t="shared" si="3"/>
        <v>0.19337378042406986</v>
      </c>
      <c r="G110" s="98">
        <f t="shared" si="4"/>
        <v>28.048631616642623</v>
      </c>
      <c r="H110" s="69">
        <f t="shared" si="5"/>
        <v>1.4134390974232889</v>
      </c>
      <c r="I110" s="69">
        <f t="shared" si="6"/>
        <v>8.6201754292330559</v>
      </c>
      <c r="J110" s="99">
        <f t="shared" si="7"/>
        <v>1.5047746178408776E-2</v>
      </c>
      <c r="K110" s="69">
        <f t="shared" si="8"/>
        <v>7.257611925357324E-2</v>
      </c>
      <c r="L110" s="99">
        <f t="shared" si="9"/>
        <v>8.7623865431982015E-2</v>
      </c>
      <c r="M110" s="69">
        <f t="shared" si="10"/>
        <v>16.130754908552515</v>
      </c>
      <c r="N110" s="69">
        <f t="shared" si="11"/>
        <v>19.177555253180671</v>
      </c>
      <c r="O110" s="69">
        <f t="shared" si="12"/>
        <v>13.568009607305692</v>
      </c>
      <c r="P110" s="69">
        <f t="shared" si="13"/>
        <v>0.43810782771728429</v>
      </c>
      <c r="Q110" s="69">
        <f t="shared" si="14"/>
        <v>0.65991374096717248</v>
      </c>
      <c r="R110" s="43">
        <f t="shared" si="15"/>
        <v>2380.6242054268073</v>
      </c>
      <c r="S110" s="43">
        <f t="shared" si="16"/>
        <v>1170.1250255803272</v>
      </c>
      <c r="T110" s="43">
        <f>R110+Thrust!C$33*0.8</f>
        <v>4192.3842054268071</v>
      </c>
      <c r="U110" s="43"/>
      <c r="V110">
        <f t="shared" si="21"/>
        <v>239232.4354534935</v>
      </c>
      <c r="W110">
        <f t="shared" si="22"/>
        <v>857134.29069136933</v>
      </c>
      <c r="Y110">
        <f t="shared" si="23"/>
        <v>-760.47396700448257</v>
      </c>
      <c r="Z110">
        <f t="shared" si="24"/>
        <v>-3.5542380446222941</v>
      </c>
      <c r="AA110">
        <f t="shared" si="17"/>
        <v>1964.1913279084797</v>
      </c>
      <c r="AB110">
        <f t="shared" si="25"/>
        <v>9.213843618213895</v>
      </c>
      <c r="AC110">
        <f t="shared" si="18"/>
        <v>16.187187759948745</v>
      </c>
      <c r="AD110">
        <f t="shared" si="19"/>
        <v>1960.8107461638961</v>
      </c>
      <c r="AE110">
        <f t="shared" si="26"/>
        <v>786.71346499659205</v>
      </c>
      <c r="AG110">
        <v>8.2116665617661582</v>
      </c>
      <c r="AH110">
        <v>1964.1913279084797</v>
      </c>
      <c r="AI110">
        <f t="shared" si="27"/>
        <v>23073.389500329671</v>
      </c>
      <c r="AJ110">
        <f t="shared" si="28"/>
        <v>1425.4106298451145</v>
      </c>
      <c r="AN110" s="43"/>
      <c r="AO110" s="43"/>
    </row>
    <row r="111" spans="1:41">
      <c r="A111">
        <v>92</v>
      </c>
      <c r="B111">
        <f t="shared" si="0"/>
        <v>92</v>
      </c>
      <c r="D111" s="43">
        <f t="shared" si="1"/>
        <v>122.46463971374473</v>
      </c>
      <c r="E111" s="43">
        <f t="shared" si="2"/>
        <v>206.69702641020592</v>
      </c>
      <c r="F111" s="69">
        <f t="shared" si="3"/>
        <v>0.19549876702213653</v>
      </c>
      <c r="G111" s="98">
        <f t="shared" si="4"/>
        <v>28.668472165591488</v>
      </c>
      <c r="H111" s="69">
        <f t="shared" si="5"/>
        <v>1.3828791547450683</v>
      </c>
      <c r="I111" s="69">
        <f t="shared" si="6"/>
        <v>8.3628418149286592</v>
      </c>
      <c r="J111" s="99">
        <f t="shared" si="7"/>
        <v>1.5047746178408776E-2</v>
      </c>
      <c r="K111" s="69">
        <f t="shared" si="8"/>
        <v>6.9238134688686601E-2</v>
      </c>
      <c r="L111" s="99">
        <f t="shared" si="9"/>
        <v>8.4285880867095375E-2</v>
      </c>
      <c r="M111" s="69">
        <f t="shared" si="10"/>
        <v>16.407008392373992</v>
      </c>
      <c r="N111" s="69">
        <f t="shared" si="11"/>
        <v>19.293966287489436</v>
      </c>
      <c r="O111" s="69">
        <f t="shared" si="12"/>
        <v>13.952026264396364</v>
      </c>
      <c r="P111" s="69">
        <f t="shared" si="13"/>
        <v>0.44292219945044126</v>
      </c>
      <c r="Q111" s="69">
        <f t="shared" si="14"/>
        <v>0.66407365107361749</v>
      </c>
      <c r="R111" s="43">
        <f t="shared" si="15"/>
        <v>2369.5915217344545</v>
      </c>
      <c r="S111" s="43">
        <f t="shared" si="16"/>
        <v>1150.4230112281246</v>
      </c>
      <c r="T111" s="43">
        <f>R111+Thrust!C$33*0.8</f>
        <v>4181.3515217344548</v>
      </c>
      <c r="U111" s="43"/>
      <c r="V111">
        <f t="shared" si="21"/>
        <v>237789.01553472827</v>
      </c>
      <c r="W111">
        <f t="shared" si="22"/>
        <v>864272.92591830133</v>
      </c>
      <c r="Y111">
        <f t="shared" si="23"/>
        <v>-755.88561229582501</v>
      </c>
      <c r="Z111">
        <f t="shared" si="24"/>
        <v>-3.4943185114986806</v>
      </c>
      <c r="AA111">
        <f t="shared" si="17"/>
        <v>1991.4720330073847</v>
      </c>
      <c r="AB111">
        <f t="shared" si="25"/>
        <v>9.2405046865314588</v>
      </c>
      <c r="AC111">
        <f t="shared" si="18"/>
        <v>16.388105616387683</v>
      </c>
      <c r="AD111">
        <f t="shared" si="19"/>
        <v>2006.9634499017145</v>
      </c>
      <c r="AE111">
        <f t="shared" si="26"/>
        <v>801.05485292064111</v>
      </c>
      <c r="AG111">
        <v>8.234705131716705</v>
      </c>
      <c r="AH111">
        <v>1991.4720330073847</v>
      </c>
      <c r="AI111">
        <f t="shared" si="27"/>
        <v>23298.306321525386</v>
      </c>
      <c r="AJ111">
        <f t="shared" si="28"/>
        <v>1421.6595173897147</v>
      </c>
      <c r="AN111" s="43"/>
      <c r="AO111" s="43"/>
    </row>
    <row r="112" spans="1:41">
      <c r="A112">
        <v>93</v>
      </c>
      <c r="B112">
        <f t="shared" si="0"/>
        <v>93</v>
      </c>
      <c r="D112" s="43">
        <f t="shared" si="1"/>
        <v>123.7957771019376</v>
      </c>
      <c r="E112" s="43">
        <f t="shared" si="2"/>
        <v>208.9437332190125</v>
      </c>
      <c r="F112" s="69">
        <f t="shared" si="3"/>
        <v>0.19762375362020324</v>
      </c>
      <c r="G112" s="98">
        <f t="shared" si="4"/>
        <v>29.295086928190074</v>
      </c>
      <c r="H112" s="69">
        <f t="shared" si="5"/>
        <v>1.3532997069906645</v>
      </c>
      <c r="I112" s="69">
        <f t="shared" si="6"/>
        <v>8.1137645741786795</v>
      </c>
      <c r="J112" s="99">
        <f t="shared" si="7"/>
        <v>1.5047746178408776E-2</v>
      </c>
      <c r="K112" s="69">
        <f t="shared" si="8"/>
        <v>6.6082085215791106E-2</v>
      </c>
      <c r="L112" s="99">
        <f t="shared" si="9"/>
        <v>8.1129831394199881E-2</v>
      </c>
      <c r="M112" s="69">
        <f t="shared" si="10"/>
        <v>16.680667070724546</v>
      </c>
      <c r="N112" s="69">
        <f t="shared" si="11"/>
        <v>19.404855284890619</v>
      </c>
      <c r="O112" s="69">
        <f t="shared" si="12"/>
        <v>14.338919298254515</v>
      </c>
      <c r="P112" s="69">
        <f t="shared" si="13"/>
        <v>0.44773657118359822</v>
      </c>
      <c r="Q112" s="69">
        <f t="shared" si="14"/>
        <v>0.66818941690837597</v>
      </c>
      <c r="R112" s="43">
        <f t="shared" si="15"/>
        <v>2358.6402752945983</v>
      </c>
      <c r="S112" s="43">
        <f t="shared" si="16"/>
        <v>1131.5494710116614</v>
      </c>
      <c r="T112" s="43">
        <f>R112+Thrust!C$33*0.8</f>
        <v>4170.400275294598</v>
      </c>
      <c r="U112" s="43"/>
      <c r="V112">
        <f t="shared" si="21"/>
        <v>236430.17079517528</v>
      </c>
      <c r="W112">
        <f t="shared" si="22"/>
        <v>871379.00253765075</v>
      </c>
      <c r="Y112">
        <f t="shared" si="23"/>
        <v>-751.56610583896781</v>
      </c>
      <c r="Z112">
        <f t="shared" si="24"/>
        <v>-3.43692219731905</v>
      </c>
      <c r="AA112">
        <f t="shared" si="17"/>
        <v>2018.3803922939619</v>
      </c>
      <c r="AB112">
        <f t="shared" si="25"/>
        <v>9.2648701334897154</v>
      </c>
      <c r="AC112">
        <f t="shared" si="18"/>
        <v>16.584446861444469</v>
      </c>
      <c r="AD112">
        <f t="shared" si="19"/>
        <v>2053.0844870183082</v>
      </c>
      <c r="AE112">
        <f t="shared" si="26"/>
        <v>815.0238950323627</v>
      </c>
      <c r="AG112">
        <v>8.255769402075849</v>
      </c>
      <c r="AH112">
        <v>2018.3803922939619</v>
      </c>
      <c r="AI112">
        <f t="shared" si="27"/>
        <v>23515.685797236063</v>
      </c>
      <c r="AJ112">
        <f t="shared" si="28"/>
        <v>1417.9360936001635</v>
      </c>
      <c r="AN112" s="43"/>
      <c r="AO112" s="43"/>
    </row>
    <row r="113" spans="1:41">
      <c r="A113">
        <v>94</v>
      </c>
      <c r="B113">
        <f t="shared" si="0"/>
        <v>94</v>
      </c>
      <c r="D113" s="43">
        <f t="shared" si="1"/>
        <v>125.12691449013049</v>
      </c>
      <c r="E113" s="43">
        <f t="shared" si="2"/>
        <v>211.19044002781911</v>
      </c>
      <c r="F113" s="69">
        <f t="shared" si="3"/>
        <v>0.19974874021826997</v>
      </c>
      <c r="G113" s="98">
        <f t="shared" si="4"/>
        <v>29.928475904438383</v>
      </c>
      <c r="H113" s="69">
        <f t="shared" si="5"/>
        <v>1.3246592537078152</v>
      </c>
      <c r="I113" s="69">
        <f t="shared" si="6"/>
        <v>7.8725942475129722</v>
      </c>
      <c r="J113" s="99">
        <f t="shared" si="7"/>
        <v>1.5047746178408776E-2</v>
      </c>
      <c r="K113" s="69">
        <f t="shared" si="8"/>
        <v>6.3096373591699992E-2</v>
      </c>
      <c r="L113" s="99">
        <f t="shared" si="9"/>
        <v>7.8144119770108766E-2</v>
      </c>
      <c r="M113" s="69">
        <f t="shared" si="10"/>
        <v>16.951489857519849</v>
      </c>
      <c r="N113" s="69">
        <f t="shared" si="11"/>
        <v>19.510121005366955</v>
      </c>
      <c r="O113" s="69">
        <f t="shared" si="12"/>
        <v>14.728407287199891</v>
      </c>
      <c r="P113" s="69">
        <f t="shared" si="13"/>
        <v>0.45255094291675524</v>
      </c>
      <c r="Q113" s="69">
        <f t="shared" si="14"/>
        <v>0.67226103847144758</v>
      </c>
      <c r="R113" s="43">
        <f t="shared" si="15"/>
        <v>2347.7678670459863</v>
      </c>
      <c r="S113" s="43">
        <f t="shared" si="16"/>
        <v>1113.4714505124671</v>
      </c>
      <c r="T113" s="43">
        <f>R113+Thrust!C$33*0.8</f>
        <v>4159.5278670459866</v>
      </c>
      <c r="U113" s="43"/>
      <c r="V113">
        <f t="shared" si="21"/>
        <v>235154.52559214193</v>
      </c>
      <c r="W113">
        <f t="shared" si="22"/>
        <v>878452.52054941771</v>
      </c>
      <c r="Y113">
        <f t="shared" si="23"/>
        <v>-747.51107472998763</v>
      </c>
      <c r="Z113">
        <f t="shared" si="24"/>
        <v>-3.3819483762265294</v>
      </c>
      <c r="AA113">
        <f t="shared" si="17"/>
        <v>2044.9207786721349</v>
      </c>
      <c r="AB113">
        <f t="shared" si="25"/>
        <v>9.2870328550788468</v>
      </c>
      <c r="AC113">
        <f t="shared" si="18"/>
        <v>16.776018450022463</v>
      </c>
      <c r="AD113">
        <f t="shared" si="19"/>
        <v>2099.1314260808122</v>
      </c>
      <c r="AE113">
        <f t="shared" si="26"/>
        <v>828.62496423567961</v>
      </c>
      <c r="AG113">
        <v>8.2749365856177519</v>
      </c>
      <c r="AH113">
        <v>2044.9207786721349</v>
      </c>
      <c r="AI113">
        <f t="shared" si="27"/>
        <v>23725.307521921659</v>
      </c>
      <c r="AJ113">
        <f t="shared" si="28"/>
        <v>1414.2394747956355</v>
      </c>
      <c r="AN113" s="43"/>
      <c r="AO113" s="43"/>
    </row>
    <row r="114" spans="1:41">
      <c r="A114">
        <v>95</v>
      </c>
      <c r="B114">
        <f t="shared" si="0"/>
        <v>95</v>
      </c>
      <c r="D114" s="43">
        <f t="shared" si="1"/>
        <v>126.45805187832336</v>
      </c>
      <c r="E114" s="43">
        <f t="shared" si="2"/>
        <v>213.43714683662569</v>
      </c>
      <c r="F114" s="69">
        <f t="shared" si="3"/>
        <v>0.20187372681633664</v>
      </c>
      <c r="G114" s="98">
        <f t="shared" si="4"/>
        <v>30.56863909433639</v>
      </c>
      <c r="H114" s="69">
        <f t="shared" si="5"/>
        <v>1.2969184671204717</v>
      </c>
      <c r="I114" s="69">
        <f t="shared" si="6"/>
        <v>7.638999670738599</v>
      </c>
      <c r="J114" s="99">
        <f t="shared" si="7"/>
        <v>1.5047746178408776E-2</v>
      </c>
      <c r="K114" s="69">
        <f t="shared" si="8"/>
        <v>6.0270250679508613E-2</v>
      </c>
      <c r="L114" s="99">
        <f t="shared" si="9"/>
        <v>7.5317996857917388E-2</v>
      </c>
      <c r="M114" s="69">
        <f t="shared" si="10"/>
        <v>17.219237383158582</v>
      </c>
      <c r="N114" s="69">
        <f t="shared" si="11"/>
        <v>19.609668426409559</v>
      </c>
      <c r="O114" s="69">
        <f t="shared" si="12"/>
        <v>15.120201403214351</v>
      </c>
      <c r="P114" s="69">
        <f t="shared" si="13"/>
        <v>0.4573653146499122</v>
      </c>
      <c r="Q114" s="69">
        <f t="shared" si="14"/>
        <v>0.67628851576283255</v>
      </c>
      <c r="R114" s="43">
        <f t="shared" si="15"/>
        <v>2336.971807361529</v>
      </c>
      <c r="S114" s="43">
        <f t="shared" si="16"/>
        <v>1096.1577205771523</v>
      </c>
      <c r="T114" s="43">
        <f>R114+Thrust!C$33*0.8</f>
        <v>4148.7318073615288</v>
      </c>
      <c r="U114" s="43"/>
      <c r="V114">
        <f t="shared" si="21"/>
        <v>233960.77636292655</v>
      </c>
      <c r="W114">
        <f t="shared" si="22"/>
        <v>885493.47995360207</v>
      </c>
      <c r="Y114">
        <f t="shared" si="23"/>
        <v>-743.71637519340891</v>
      </c>
      <c r="Z114">
        <f t="shared" si="24"/>
        <v>-3.3293016245305109</v>
      </c>
      <c r="AA114">
        <f t="shared" si="17"/>
        <v>2071.097335917379</v>
      </c>
      <c r="AB114">
        <f t="shared" si="25"/>
        <v>9.3070808408295438</v>
      </c>
      <c r="AC114">
        <f t="shared" si="18"/>
        <v>16.962632499900209</v>
      </c>
      <c r="AD114">
        <f t="shared" si="19"/>
        <v>2145.0614606653144</v>
      </c>
      <c r="AE114">
        <f t="shared" si="26"/>
        <v>841.86220430606841</v>
      </c>
      <c r="AG114">
        <v>8.292279827184375</v>
      </c>
      <c r="AH114">
        <v>2071.097335917379</v>
      </c>
      <c r="AI114">
        <f t="shared" si="27"/>
        <v>23926.960416232938</v>
      </c>
      <c r="AJ114">
        <f t="shared" si="28"/>
        <v>1410.5688145029198</v>
      </c>
      <c r="AN114" s="43"/>
      <c r="AO114" s="43"/>
    </row>
    <row r="115" spans="1:41">
      <c r="A115">
        <v>96</v>
      </c>
      <c r="B115">
        <f t="shared" si="0"/>
        <v>96</v>
      </c>
      <c r="D115" s="43">
        <f t="shared" si="1"/>
        <v>127.78918926651623</v>
      </c>
      <c r="E115" s="43">
        <f t="shared" si="2"/>
        <v>215.68385364543227</v>
      </c>
      <c r="F115" s="69">
        <f t="shared" si="3"/>
        <v>0.20399871341440334</v>
      </c>
      <c r="G115" s="98">
        <f t="shared" si="4"/>
        <v>31.215576497884118</v>
      </c>
      <c r="H115" s="69">
        <f t="shared" si="5"/>
        <v>1.2700400570488561</v>
      </c>
      <c r="I115" s="69">
        <f t="shared" si="6"/>
        <v>7.4126668374831928</v>
      </c>
      <c r="J115" s="99">
        <f t="shared" si="7"/>
        <v>1.5047746178408776E-2</v>
      </c>
      <c r="K115" s="69">
        <f t="shared" si="8"/>
        <v>5.7593745514522704E-2</v>
      </c>
      <c r="L115" s="99">
        <f t="shared" si="9"/>
        <v>7.2641491692931479E-2</v>
      </c>
      <c r="M115" s="69">
        <f t="shared" si="10"/>
        <v>17.483672587803422</v>
      </c>
      <c r="N115" s="69">
        <f t="shared" si="11"/>
        <v>19.703409087793634</v>
      </c>
      <c r="O115" s="69">
        <f t="shared" si="12"/>
        <v>15.51400601771388</v>
      </c>
      <c r="P115" s="69">
        <f t="shared" si="13"/>
        <v>0.46217968638306911</v>
      </c>
      <c r="Q115" s="69">
        <f t="shared" si="14"/>
        <v>0.68027184878253066</v>
      </c>
      <c r="R115" s="43">
        <f t="shared" si="15"/>
        <v>2326.2497103485944</v>
      </c>
      <c r="S115" s="43">
        <f t="shared" si="16"/>
        <v>1079.5786700539775</v>
      </c>
      <c r="T115" s="43">
        <f>R115+Thrust!C$33*0.8</f>
        <v>4138.0097103485941</v>
      </c>
      <c r="U115" s="43"/>
      <c r="V115">
        <f t="shared" si="21"/>
        <v>232847.68787065247</v>
      </c>
      <c r="W115">
        <f t="shared" si="22"/>
        <v>892501.88075020374</v>
      </c>
      <c r="Y115">
        <f t="shared" si="23"/>
        <v>-740.17808064843166</v>
      </c>
      <c r="Z115">
        <f t="shared" si="24"/>
        <v>-3.2788914883947249</v>
      </c>
      <c r="AA115">
        <f t="shared" si="17"/>
        <v>2096.9139906104942</v>
      </c>
      <c r="AB115">
        <f t="shared" si="25"/>
        <v>9.3250974798789894</v>
      </c>
      <c r="AC115">
        <f t="shared" si="18"/>
        <v>17.144106807275676</v>
      </c>
      <c r="AD115">
        <f t="shared" si="19"/>
        <v>2190.8315096003207</v>
      </c>
      <c r="AE115">
        <f t="shared" si="26"/>
        <v>854.73954182432715</v>
      </c>
      <c r="AG115">
        <v>8.3078684572469079</v>
      </c>
      <c r="AH115">
        <v>2096.9139906104942</v>
      </c>
      <c r="AI115">
        <f t="shared" si="27"/>
        <v>24120.443350878464</v>
      </c>
      <c r="AJ115">
        <f t="shared" si="28"/>
        <v>1406.9233015185221</v>
      </c>
      <c r="AN115" s="43"/>
      <c r="AO115" s="43"/>
    </row>
    <row r="116" spans="1:41">
      <c r="A116">
        <v>97</v>
      </c>
      <c r="B116">
        <f t="shared" si="0"/>
        <v>97</v>
      </c>
      <c r="D116" s="43">
        <f t="shared" si="1"/>
        <v>129.12032665470912</v>
      </c>
      <c r="E116" s="43">
        <f t="shared" si="2"/>
        <v>217.93056045423887</v>
      </c>
      <c r="F116" s="69">
        <f t="shared" si="3"/>
        <v>0.20612370001247007</v>
      </c>
      <c r="G116" s="98">
        <f t="shared" si="4"/>
        <v>31.869288115081567</v>
      </c>
      <c r="H116" s="69">
        <f t="shared" si="5"/>
        <v>1.2439886455268632</v>
      </c>
      <c r="I116" s="69">
        <f t="shared" si="6"/>
        <v>7.1932978433959329</v>
      </c>
      <c r="J116" s="99">
        <f t="shared" si="7"/>
        <v>1.5047746178408776E-2</v>
      </c>
      <c r="K116" s="69">
        <f t="shared" si="8"/>
        <v>5.5057601780603531E-2</v>
      </c>
      <c r="L116" s="99">
        <f t="shared" si="9"/>
        <v>7.0105347959012312E-2</v>
      </c>
      <c r="M116" s="69">
        <f t="shared" si="10"/>
        <v>17.74456131726458</v>
      </c>
      <c r="N116" s="69">
        <f t="shared" si="11"/>
        <v>19.791261417930553</v>
      </c>
      <c r="O116" s="69">
        <f t="shared" si="12"/>
        <v>15.90951934255671</v>
      </c>
      <c r="P116" s="69">
        <f t="shared" si="13"/>
        <v>0.46699405811622619</v>
      </c>
      <c r="Q116" s="69">
        <f t="shared" si="14"/>
        <v>0.68421103753054224</v>
      </c>
      <c r="R116" s="43">
        <f t="shared" si="15"/>
        <v>2315.5992885018795</v>
      </c>
      <c r="S116" s="43">
        <f t="shared" si="16"/>
        <v>1063.7062062298244</v>
      </c>
      <c r="T116" s="43">
        <f>R116+Thrust!C$33*0.8</f>
        <v>4127.3592885018797</v>
      </c>
      <c r="U116" s="43"/>
      <c r="V116">
        <f t="shared" si="21"/>
        <v>231814.08968231783</v>
      </c>
      <c r="W116">
        <f t="shared" si="22"/>
        <v>899477.72293922328</v>
      </c>
      <c r="Y116">
        <f t="shared" si="23"/>
        <v>-736.89247051332813</v>
      </c>
      <c r="Z116">
        <f t="shared" si="24"/>
        <v>-3.2306321756536489</v>
      </c>
      <c r="AA116">
        <f t="shared" si="17"/>
        <v>2122.3744633332094</v>
      </c>
      <c r="AB116">
        <f t="shared" si="25"/>
        <v>9.3411618450469032</v>
      </c>
      <c r="AC116">
        <f t="shared" si="18"/>
        <v>17.320265351344133</v>
      </c>
      <c r="AD116">
        <f t="shared" si="19"/>
        <v>2236.3983199117947</v>
      </c>
      <c r="AE116">
        <f t="shared" si="26"/>
        <v>867.26069737218586</v>
      </c>
      <c r="AG116">
        <v>8.3217682272519138</v>
      </c>
      <c r="AH116">
        <v>2122.3744633332094</v>
      </c>
      <c r="AI116">
        <f t="shared" si="27"/>
        <v>24305.565746243748</v>
      </c>
      <c r="AJ116">
        <f t="shared" si="28"/>
        <v>1403.3021580906393</v>
      </c>
      <c r="AN116" s="43"/>
      <c r="AO116" s="43"/>
    </row>
    <row r="117" spans="1:41">
      <c r="A117">
        <v>98</v>
      </c>
      <c r="B117">
        <f t="shared" si="0"/>
        <v>98</v>
      </c>
      <c r="D117" s="43">
        <f t="shared" si="1"/>
        <v>130.45146404290199</v>
      </c>
      <c r="E117" s="43">
        <f t="shared" si="2"/>
        <v>220.17726726304545</v>
      </c>
      <c r="F117" s="69">
        <f t="shared" si="3"/>
        <v>0.20824868661053678</v>
      </c>
      <c r="G117" s="98">
        <f t="shared" si="4"/>
        <v>32.529773945928724</v>
      </c>
      <c r="H117" s="69">
        <f t="shared" si="5"/>
        <v>1.2187306503292643</v>
      </c>
      <c r="I117" s="69">
        <f t="shared" si="6"/>
        <v>6.9806099053745898</v>
      </c>
      <c r="J117" s="99">
        <f t="shared" si="7"/>
        <v>1.5047746178408776E-2</v>
      </c>
      <c r="K117" s="69">
        <f t="shared" si="8"/>
        <v>5.2653220051283554E-2</v>
      </c>
      <c r="L117" s="99">
        <f t="shared" si="9"/>
        <v>6.7700966229692336E-2</v>
      </c>
      <c r="M117" s="69">
        <f t="shared" si="10"/>
        <v>18.001672918439866</v>
      </c>
      <c r="N117" s="69">
        <f t="shared" si="11"/>
        <v>19.873151039749672</v>
      </c>
      <c r="O117" s="69">
        <f t="shared" si="12"/>
        <v>16.30643410369678</v>
      </c>
      <c r="P117" s="69">
        <f t="shared" si="13"/>
        <v>0.47180842984938309</v>
      </c>
      <c r="Q117" s="69">
        <f t="shared" si="14"/>
        <v>0.68810608200686685</v>
      </c>
      <c r="R117" s="43">
        <f t="shared" si="15"/>
        <v>2305.0183476836419</v>
      </c>
      <c r="S117" s="43">
        <f t="shared" si="16"/>
        <v>1048.5136623422122</v>
      </c>
      <c r="T117" s="43">
        <f>R117+Thrust!C$33*0.8</f>
        <v>4116.7783476836421</v>
      </c>
      <c r="U117" s="43"/>
      <c r="V117">
        <f t="shared" si="21"/>
        <v>230858.87286247587</v>
      </c>
      <c r="W117">
        <f t="shared" si="22"/>
        <v>906421.0065206599</v>
      </c>
      <c r="Y117">
        <f t="shared" si="23"/>
        <v>-733.85601969528739</v>
      </c>
      <c r="Z117">
        <f t="shared" si="24"/>
        <v>-3.1844422697677266</v>
      </c>
      <c r="AA117">
        <f t="shared" si="17"/>
        <v>2147.4822791783331</v>
      </c>
      <c r="AB117">
        <f t="shared" si="25"/>
        <v>9.355348956707676</v>
      </c>
      <c r="AC117">
        <f t="shared" si="18"/>
        <v>17.490938785056859</v>
      </c>
      <c r="AD117">
        <f t="shared" si="19"/>
        <v>2281.7185719954446</v>
      </c>
      <c r="AE117">
        <f t="shared" si="26"/>
        <v>879.42919604245446</v>
      </c>
      <c r="AG117">
        <v>8.3340415282317224</v>
      </c>
      <c r="AH117">
        <v>2147.4822791783331</v>
      </c>
      <c r="AI117">
        <f t="shared" si="27"/>
        <v>24482.148144133917</v>
      </c>
      <c r="AJ117">
        <f t="shared" si="28"/>
        <v>1399.7046382124383</v>
      </c>
      <c r="AN117" s="43"/>
      <c r="AO117" s="43"/>
    </row>
    <row r="118" spans="1:41">
      <c r="A118">
        <v>99</v>
      </c>
      <c r="B118">
        <f t="shared" si="0"/>
        <v>99</v>
      </c>
      <c r="D118" s="43">
        <f t="shared" si="1"/>
        <v>131.78260143109486</v>
      </c>
      <c r="E118" s="43">
        <f t="shared" si="2"/>
        <v>222.42397407185203</v>
      </c>
      <c r="F118" s="69">
        <f t="shared" si="3"/>
        <v>0.21037367320860345</v>
      </c>
      <c r="G118" s="98">
        <f t="shared" si="4"/>
        <v>33.197033990425595</v>
      </c>
      <c r="H118" s="69">
        <f t="shared" si="5"/>
        <v>1.1942341766924043</v>
      </c>
      <c r="I118" s="69">
        <f t="shared" si="6"/>
        <v>6.7743344497868385</v>
      </c>
      <c r="J118" s="99">
        <f t="shared" si="7"/>
        <v>1.5047746178408776E-2</v>
      </c>
      <c r="K118" s="69">
        <f t="shared" si="8"/>
        <v>5.037260522077739E-2</v>
      </c>
      <c r="L118" s="99">
        <f t="shared" si="9"/>
        <v>6.5420351399186172E-2</v>
      </c>
      <c r="M118" s="69">
        <f t="shared" si="10"/>
        <v>18.254780831202638</v>
      </c>
      <c r="N118" s="69">
        <f t="shared" si="11"/>
        <v>19.949011054160028</v>
      </c>
      <c r="O118" s="69">
        <f t="shared" si="12"/>
        <v>16.704438244609239</v>
      </c>
      <c r="P118" s="69">
        <f t="shared" si="13"/>
        <v>0.47662280158254006</v>
      </c>
      <c r="Q118" s="69">
        <f t="shared" si="14"/>
        <v>0.69195698221150492</v>
      </c>
      <c r="R118" s="43">
        <f t="shared" si="15"/>
        <v>2294.5047824081707</v>
      </c>
      <c r="S118" s="43">
        <f t="shared" si="16"/>
        <v>1033.9757115975467</v>
      </c>
      <c r="T118" s="43">
        <f>R118+Thrust!C$33*0.8</f>
        <v>4106.2647824081705</v>
      </c>
      <c r="U118" s="43"/>
      <c r="V118">
        <f t="shared" si="21"/>
        <v>229980.98686729747</v>
      </c>
      <c r="W118">
        <f t="shared" si="22"/>
        <v>913331.73149451404</v>
      </c>
      <c r="Y118">
        <f t="shared" si="23"/>
        <v>-731.06538871723694</v>
      </c>
      <c r="Z118">
        <f t="shared" si="24"/>
        <v>-3.1402444641113703</v>
      </c>
      <c r="AA118">
        <f t="shared" si="17"/>
        <v>2172.2407776229402</v>
      </c>
      <c r="AB118">
        <f t="shared" si="25"/>
        <v>9.3677300280832299</v>
      </c>
      <c r="AC118">
        <f t="shared" si="18"/>
        <v>17.65596490924235</v>
      </c>
      <c r="AD118">
        <f t="shared" si="19"/>
        <v>2326.7489865160815</v>
      </c>
      <c r="AE118">
        <f t="shared" si="26"/>
        <v>891.24837731220555</v>
      </c>
      <c r="AG118">
        <v>8.3447475940246072</v>
      </c>
      <c r="AH118">
        <v>2172.2407776229402</v>
      </c>
      <c r="AI118">
        <f t="shared" si="27"/>
        <v>24650.022748127158</v>
      </c>
      <c r="AJ118">
        <f t="shared" si="28"/>
        <v>1396.1300260187782</v>
      </c>
      <c r="AN118" s="43"/>
      <c r="AO118" s="43"/>
    </row>
    <row r="119" spans="1:41">
      <c r="A119">
        <v>100</v>
      </c>
      <c r="B119">
        <f t="shared" si="0"/>
        <v>100</v>
      </c>
      <c r="D119" s="43">
        <f t="shared" si="1"/>
        <v>133.11373881928776</v>
      </c>
      <c r="E119" s="43">
        <f t="shared" si="2"/>
        <v>224.67068088065864</v>
      </c>
      <c r="F119" s="69">
        <f t="shared" si="3"/>
        <v>0.21249865980667018</v>
      </c>
      <c r="G119" s="98">
        <f t="shared" si="4"/>
        <v>33.871068248572186</v>
      </c>
      <c r="H119" s="69">
        <f t="shared" si="5"/>
        <v>1.1704689165762252</v>
      </c>
      <c r="I119" s="69">
        <f t="shared" si="6"/>
        <v>6.5742162641942032</v>
      </c>
      <c r="J119" s="99">
        <f t="shared" si="7"/>
        <v>1.5047746178408776E-2</v>
      </c>
      <c r="K119" s="69">
        <f t="shared" si="8"/>
        <v>4.820831861240963E-2</v>
      </c>
      <c r="L119" s="99">
        <f t="shared" si="9"/>
        <v>6.3256064790818411E-2</v>
      </c>
      <c r="M119" s="69">
        <f t="shared" si="10"/>
        <v>18.503663173592141</v>
      </c>
      <c r="N119" s="69">
        <f t="shared" si="11"/>
        <v>20.018782299258294</v>
      </c>
      <c r="O119" s="69">
        <f t="shared" si="12"/>
        <v>17.103215656350667</v>
      </c>
      <c r="P119" s="69">
        <f t="shared" si="13"/>
        <v>0.48143717331569713</v>
      </c>
      <c r="Q119" s="69">
        <f t="shared" si="14"/>
        <v>0.69576373814445613</v>
      </c>
      <c r="R119" s="43">
        <f t="shared" si="15"/>
        <v>2284.0565714091822</v>
      </c>
      <c r="S119" s="43">
        <f t="shared" si="16"/>
        <v>1020.0682871777419</v>
      </c>
      <c r="T119" s="43">
        <f>R119+Thrust!C$33*0.8</f>
        <v>4095.816571409182</v>
      </c>
      <c r="U119" s="43"/>
      <c r="V119">
        <f t="shared" si="21"/>
        <v>229179.43662499051</v>
      </c>
      <c r="W119">
        <f t="shared" si="22"/>
        <v>920209.89786078571</v>
      </c>
      <c r="Y119">
        <f t="shared" si="23"/>
        <v>-728.517414437056</v>
      </c>
      <c r="Z119">
        <f t="shared" si="24"/>
        <v>-3.0979653149525408</v>
      </c>
      <c r="AA119">
        <f t="shared" si="17"/>
        <v>2196.65312180915</v>
      </c>
      <c r="AB119">
        <f t="shared" si="25"/>
        <v>9.3783726934353577</v>
      </c>
      <c r="AC119">
        <f t="shared" si="18"/>
        <v>17.81518912733133</v>
      </c>
      <c r="AD119">
        <f t="shared" si="19"/>
        <v>2371.4464325117979</v>
      </c>
      <c r="AE119">
        <f t="shared" si="26"/>
        <v>902.72140432355991</v>
      </c>
      <c r="AG119">
        <v>8.3539426903298075</v>
      </c>
      <c r="AH119">
        <v>2196.65312180915</v>
      </c>
      <c r="AI119">
        <f t="shared" si="27"/>
        <v>24809.033929174198</v>
      </c>
      <c r="AJ119">
        <f t="shared" si="28"/>
        <v>1392.5776342791219</v>
      </c>
      <c r="AN119" s="43"/>
      <c r="AO119" s="43"/>
    </row>
    <row r="120" spans="1:41">
      <c r="A120">
        <v>101</v>
      </c>
      <c r="B120">
        <f t="shared" si="0"/>
        <v>101</v>
      </c>
      <c r="D120" s="43">
        <f t="shared" si="1"/>
        <v>134.44487620748063</v>
      </c>
      <c r="E120" s="43">
        <f t="shared" si="2"/>
        <v>226.91738768946522</v>
      </c>
      <c r="F120" s="69">
        <f t="shared" si="3"/>
        <v>0.21462364640473688</v>
      </c>
      <c r="G120" s="98">
        <f t="shared" si="4"/>
        <v>34.551876720368483</v>
      </c>
      <c r="H120" s="69">
        <f t="shared" si="5"/>
        <v>1.1474060548732727</v>
      </c>
      <c r="I120" s="69">
        <f t="shared" si="6"/>
        <v>6.3800127075738962</v>
      </c>
      <c r="J120" s="99">
        <f t="shared" si="7"/>
        <v>1.5047746178408776E-2</v>
      </c>
      <c r="K120" s="69">
        <f t="shared" si="8"/>
        <v>4.6153434307063576E-2</v>
      </c>
      <c r="L120" s="99">
        <f t="shared" si="9"/>
        <v>6.1201180485472351E-2</v>
      </c>
      <c r="M120" s="69">
        <f t="shared" si="10"/>
        <v>18.748103317151514</v>
      </c>
      <c r="N120" s="69">
        <f t="shared" si="11"/>
        <v>20.082413583584778</v>
      </c>
      <c r="O120" s="69">
        <f t="shared" si="12"/>
        <v>17.502446930875585</v>
      </c>
      <c r="P120" s="69">
        <f t="shared" si="13"/>
        <v>0.48625154504885404</v>
      </c>
      <c r="Q120" s="69">
        <f t="shared" si="14"/>
        <v>0.6995263498057207</v>
      </c>
      <c r="R120" s="43">
        <f t="shared" si="15"/>
        <v>2273.6717734705439</v>
      </c>
      <c r="S120" s="43">
        <f t="shared" si="16"/>
        <v>1006.768507763257</v>
      </c>
      <c r="T120" s="43">
        <f>R120+Thrust!C$33*0.8</f>
        <v>4085.4317734705437</v>
      </c>
      <c r="U120" s="43"/>
      <c r="V120">
        <f t="shared" si="21"/>
        <v>228453.27978965937</v>
      </c>
      <c r="W120">
        <f t="shared" si="22"/>
        <v>927055.5056194748</v>
      </c>
      <c r="Y120">
        <f t="shared" si="23"/>
        <v>-726.20910131812252</v>
      </c>
      <c r="Z120">
        <f t="shared" si="24"/>
        <v>-3.057535011630895</v>
      </c>
      <c r="AA120">
        <f t="shared" si="17"/>
        <v>2220.722307273586</v>
      </c>
      <c r="AB120">
        <f t="shared" si="25"/>
        <v>9.3873412205053217</v>
      </c>
      <c r="AC120">
        <f t="shared" si="18"/>
        <v>17.968464878012938</v>
      </c>
      <c r="AD120">
        <f t="shared" si="19"/>
        <v>2415.7680361629132</v>
      </c>
      <c r="AE120">
        <f t="shared" si="26"/>
        <v>913.85127261313903</v>
      </c>
      <c r="AG120">
        <v>8.3616802907138652</v>
      </c>
      <c r="AH120">
        <v>2220.722307273586</v>
      </c>
      <c r="AI120">
        <f t="shared" si="27"/>
        <v>24959.038693262017</v>
      </c>
      <c r="AJ120">
        <f t="shared" si="28"/>
        <v>1389.0468029799849</v>
      </c>
      <c r="AN120" s="43"/>
      <c r="AO120" s="43"/>
    </row>
    <row r="121" spans="1:41">
      <c r="A121">
        <v>102</v>
      </c>
      <c r="B121">
        <f t="shared" si="0"/>
        <v>102</v>
      </c>
      <c r="D121" s="43">
        <f t="shared" si="1"/>
        <v>135.7760135956735</v>
      </c>
      <c r="E121" s="43">
        <f t="shared" si="2"/>
        <v>229.16409449827179</v>
      </c>
      <c r="F121" s="69">
        <f t="shared" si="3"/>
        <v>0.21674863300280356</v>
      </c>
      <c r="G121" s="98">
        <f t="shared" si="4"/>
        <v>35.239459405814493</v>
      </c>
      <c r="H121" s="69">
        <f t="shared" si="5"/>
        <v>1.125018182022516</v>
      </c>
      <c r="I121" s="69">
        <f t="shared" si="6"/>
        <v>6.1914929744731424</v>
      </c>
      <c r="J121" s="99">
        <f t="shared" si="7"/>
        <v>1.5047746178408776E-2</v>
      </c>
      <c r="K121" s="69">
        <f t="shared" si="8"/>
        <v>4.4201499282944728E-2</v>
      </c>
      <c r="L121" s="99">
        <f t="shared" si="9"/>
        <v>5.9249245461353503E-2</v>
      </c>
      <c r="M121" s="69">
        <f t="shared" si="10"/>
        <v>18.987890449277224</v>
      </c>
      <c r="N121" s="69">
        <f t="shared" si="11"/>
        <v>20.139861891881836</v>
      </c>
      <c r="O121" s="69">
        <f t="shared" si="12"/>
        <v>17.901810134015022</v>
      </c>
      <c r="P121" s="69">
        <f t="shared" si="13"/>
        <v>0.491065916782011</v>
      </c>
      <c r="Q121" s="69">
        <f t="shared" si="14"/>
        <v>0.7032448171952983</v>
      </c>
      <c r="R121" s="43">
        <f t="shared" si="15"/>
        <v>2263.348523502244</v>
      </c>
      <c r="S121" s="43">
        <f t="shared" si="16"/>
        <v>994.05460814202672</v>
      </c>
      <c r="T121" s="43">
        <f>R121+Thrust!C$33*0.8</f>
        <v>4075.1085235022438</v>
      </c>
      <c r="U121" s="43"/>
      <c r="V121">
        <f t="shared" si="21"/>
        <v>227801.62415670196</v>
      </c>
      <c r="W121">
        <f t="shared" si="22"/>
        <v>933868.55477058107</v>
      </c>
      <c r="Y121">
        <f t="shared" si="23"/>
        <v>-724.1376132133571</v>
      </c>
      <c r="Z121">
        <f t="shared" si="24"/>
        <v>-3.0188871625748428</v>
      </c>
      <c r="AA121">
        <f t="shared" si="17"/>
        <v>2244.4511701633246</v>
      </c>
      <c r="AB121">
        <f t="shared" si="25"/>
        <v>9.3946967084300113</v>
      </c>
      <c r="AC121">
        <f t="shared" si="18"/>
        <v>18.115654043260403</v>
      </c>
      <c r="AD121">
        <f t="shared" si="19"/>
        <v>2459.6712896722424</v>
      </c>
      <c r="AE121">
        <f t="shared" si="26"/>
        <v>924.64081832802185</v>
      </c>
      <c r="AG121">
        <v>8.3680112405864708</v>
      </c>
      <c r="AH121">
        <v>2244.4511701633246</v>
      </c>
      <c r="AI121">
        <f t="shared" si="27"/>
        <v>25099.907108172843</v>
      </c>
      <c r="AJ121">
        <f t="shared" si="28"/>
        <v>1385.536897990763</v>
      </c>
      <c r="AN121" s="43"/>
      <c r="AO121" s="43"/>
    </row>
    <row r="122" spans="1:41">
      <c r="A122">
        <v>103</v>
      </c>
      <c r="B122">
        <f t="shared" si="0"/>
        <v>103</v>
      </c>
      <c r="D122" s="43">
        <f t="shared" si="1"/>
        <v>137.10715098386638</v>
      </c>
      <c r="E122" s="43">
        <f t="shared" si="2"/>
        <v>231.41080130707837</v>
      </c>
      <c r="F122" s="69">
        <f t="shared" si="3"/>
        <v>0.21887361960087026</v>
      </c>
      <c r="G122" s="98">
        <f t="shared" si="4"/>
        <v>35.933816304910223</v>
      </c>
      <c r="H122" s="69">
        <f t="shared" si="5"/>
        <v>1.103279212532968</v>
      </c>
      <c r="I122" s="69">
        <f t="shared" si="6"/>
        <v>6.0084374089276871</v>
      </c>
      <c r="J122" s="99">
        <f t="shared" si="7"/>
        <v>1.5047746178408776E-2</v>
      </c>
      <c r="K122" s="69">
        <f t="shared" si="8"/>
        <v>4.2346497001046715E-2</v>
      </c>
      <c r="L122" s="99">
        <f t="shared" si="9"/>
        <v>5.739424317945549E-2</v>
      </c>
      <c r="M122" s="69">
        <f t="shared" si="10"/>
        <v>19.22282011949051</v>
      </c>
      <c r="N122" s="69">
        <f t="shared" si="11"/>
        <v>20.191092561978554</v>
      </c>
      <c r="O122" s="69">
        <f t="shared" si="12"/>
        <v>18.300981594335266</v>
      </c>
      <c r="P122" s="69">
        <f t="shared" si="13"/>
        <v>0.49588028851516797</v>
      </c>
      <c r="Q122" s="69">
        <f t="shared" si="14"/>
        <v>0.70691914031318948</v>
      </c>
      <c r="R122" s="43">
        <f t="shared" si="15"/>
        <v>2253.0850288449551</v>
      </c>
      <c r="S122" s="43">
        <f t="shared" si="16"/>
        <v>981.90587451120939</v>
      </c>
      <c r="T122" s="43">
        <f>R122+Thrust!C$33*0.8</f>
        <v>4064.8450288449549</v>
      </c>
      <c r="U122" s="43"/>
      <c r="V122">
        <f t="shared" si="21"/>
        <v>227223.6252287665</v>
      </c>
      <c r="W122">
        <f t="shared" si="22"/>
        <v>940649.04531410511</v>
      </c>
      <c r="Y122">
        <f t="shared" si="23"/>
        <v>-722.30026562786702</v>
      </c>
      <c r="Z122">
        <f t="shared" si="24"/>
        <v>-2.9819585959181296</v>
      </c>
      <c r="AA122">
        <f t="shared" si="17"/>
        <v>2267.8423949732623</v>
      </c>
      <c r="AB122">
        <f t="shared" si="25"/>
        <v>9.4004972722570752</v>
      </c>
      <c r="AC122">
        <f t="shared" si="18"/>
        <v>18.256627329300862</v>
      </c>
      <c r="AD122">
        <f t="shared" si="19"/>
        <v>2503.114159694635</v>
      </c>
      <c r="AE122">
        <f t="shared" si="26"/>
        <v>935.0927259631037</v>
      </c>
      <c r="AG122">
        <v>8.3729839100757975</v>
      </c>
      <c r="AH122">
        <v>2267.8423949732623</v>
      </c>
      <c r="AI122">
        <f t="shared" si="27"/>
        <v>25231.522686614411</v>
      </c>
      <c r="AJ122">
        <f t="shared" si="28"/>
        <v>1382.0473098072848</v>
      </c>
      <c r="AN122" s="43"/>
      <c r="AO122" s="43"/>
    </row>
    <row r="123" spans="1:41">
      <c r="A123">
        <v>104</v>
      </c>
      <c r="B123">
        <f t="shared" si="0"/>
        <v>104</v>
      </c>
      <c r="D123" s="43">
        <f t="shared" si="1"/>
        <v>138.43828837205925</v>
      </c>
      <c r="E123" s="43">
        <f t="shared" si="2"/>
        <v>233.65750811588495</v>
      </c>
      <c r="F123" s="69">
        <f t="shared" si="3"/>
        <v>0.22099860619893696</v>
      </c>
      <c r="G123" s="98">
        <f t="shared" si="4"/>
        <v>36.634947417655667</v>
      </c>
      <c r="H123" s="69">
        <f t="shared" si="5"/>
        <v>1.0821643089647057</v>
      </c>
      <c r="I123" s="69">
        <f t="shared" si="6"/>
        <v>5.8306368643349753</v>
      </c>
      <c r="J123" s="99">
        <f t="shared" si="7"/>
        <v>1.5047746178408776E-2</v>
      </c>
      <c r="K123" s="69">
        <f t="shared" si="8"/>
        <v>4.0582814108891203E-2</v>
      </c>
      <c r="L123" s="99">
        <f t="shared" si="9"/>
        <v>5.5630560287299978E-2</v>
      </c>
      <c r="M123" s="69">
        <f t="shared" si="10"/>
        <v>19.452694766616531</v>
      </c>
      <c r="N123" s="69">
        <f t="shared" si="11"/>
        <v>20.236079431609351</v>
      </c>
      <c r="O123" s="69">
        <f t="shared" si="12"/>
        <v>18.699636703939142</v>
      </c>
      <c r="P123" s="69">
        <f t="shared" si="13"/>
        <v>0.50069466024832487</v>
      </c>
      <c r="Q123" s="69">
        <f t="shared" si="14"/>
        <v>0.71054931915939368</v>
      </c>
      <c r="R123" s="43">
        <f t="shared" si="15"/>
        <v>2242.8795657877804</v>
      </c>
      <c r="S123" s="43">
        <f t="shared" si="16"/>
        <v>970.30258411251407</v>
      </c>
      <c r="T123" s="43">
        <f>R123+Thrust!C$33*0.8</f>
        <v>4054.6395657877802</v>
      </c>
      <c r="U123" s="43"/>
      <c r="V123">
        <f t="shared" si="21"/>
        <v>226718.48392213389</v>
      </c>
      <c r="W123">
        <f t="shared" si="22"/>
        <v>947396.97725004645</v>
      </c>
      <c r="Y123">
        <f t="shared" si="23"/>
        <v>-720.69451842797537</v>
      </c>
      <c r="Z123">
        <f t="shared" si="24"/>
        <v>-2.9466891735849639</v>
      </c>
      <c r="AA123">
        <f t="shared" si="17"/>
        <v>2290.8985218370726</v>
      </c>
      <c r="AB123">
        <f t="shared" si="25"/>
        <v>9.4047982150846732</v>
      </c>
      <c r="AC123">
        <f t="shared" si="18"/>
        <v>18.391264618262991</v>
      </c>
      <c r="AD123">
        <f t="shared" si="19"/>
        <v>2546.0551947499421</v>
      </c>
      <c r="AE123">
        <f t="shared" si="26"/>
        <v>945.20953565205889</v>
      </c>
      <c r="AG123">
        <v>8.3766443366528556</v>
      </c>
      <c r="AH123">
        <v>2290.8985218370726</v>
      </c>
      <c r="AI123">
        <f t="shared" si="27"/>
        <v>25353.782723267886</v>
      </c>
      <c r="AJ123">
        <f t="shared" si="28"/>
        <v>1378.5774523678454</v>
      </c>
      <c r="AN123" s="43"/>
      <c r="AO123" s="43"/>
    </row>
    <row r="124" spans="1:41">
      <c r="A124">
        <v>105</v>
      </c>
      <c r="B124">
        <f t="shared" si="0"/>
        <v>105</v>
      </c>
      <c r="D124" s="43">
        <f t="shared" si="1"/>
        <v>139.76942576025215</v>
      </c>
      <c r="E124" s="43">
        <f t="shared" si="2"/>
        <v>235.90421492469156</v>
      </c>
      <c r="F124" s="69">
        <f t="shared" si="3"/>
        <v>0.22312359279700367</v>
      </c>
      <c r="G124" s="98">
        <f t="shared" si="4"/>
        <v>37.34285274405083</v>
      </c>
      <c r="H124" s="69">
        <f t="shared" si="5"/>
        <v>1.0616498109534926</v>
      </c>
      <c r="I124" s="69">
        <f t="shared" si="6"/>
        <v>5.6578921057975817</v>
      </c>
      <c r="J124" s="99">
        <f t="shared" si="7"/>
        <v>1.5047746178408776E-2</v>
      </c>
      <c r="K124" s="69">
        <f t="shared" si="8"/>
        <v>3.8905209968992147E-2</v>
      </c>
      <c r="L124" s="99">
        <f t="shared" si="9"/>
        <v>5.3952956147400921E-2</v>
      </c>
      <c r="M124" s="69">
        <f t="shared" si="10"/>
        <v>19.677324223959793</v>
      </c>
      <c r="N124" s="69">
        <f t="shared" si="11"/>
        <v>20.274804954171131</v>
      </c>
      <c r="O124" s="69">
        <f t="shared" si="12"/>
        <v>19.097450727148768</v>
      </c>
      <c r="P124" s="69">
        <f t="shared" si="13"/>
        <v>0.50550903198148189</v>
      </c>
      <c r="Q124" s="69">
        <f t="shared" si="14"/>
        <v>0.71413535373391146</v>
      </c>
      <c r="R124" s="43">
        <f t="shared" si="15"/>
        <v>2232.7304762850031</v>
      </c>
      <c r="S124" s="43">
        <f t="shared" si="16"/>
        <v>959.22594887251717</v>
      </c>
      <c r="T124" s="43">
        <f>R124+Thrust!C$33*0.8</f>
        <v>4044.4904762850028</v>
      </c>
      <c r="U124" s="43"/>
      <c r="V124">
        <f t="shared" si="21"/>
        <v>226285.44440416349</v>
      </c>
      <c r="W124">
        <f t="shared" si="22"/>
        <v>954112.35057840543</v>
      </c>
      <c r="Y124">
        <f t="shared" si="23"/>
        <v>-719.31796896687729</v>
      </c>
      <c r="Z124">
        <f t="shared" si="24"/>
        <v>-2.9130216178107395</v>
      </c>
      <c r="AA124">
        <f t="shared" si="17"/>
        <v>2313.6219534015636</v>
      </c>
      <c r="AB124">
        <f t="shared" si="25"/>
        <v>9.4076521887642919</v>
      </c>
      <c r="AC124">
        <f t="shared" si="18"/>
        <v>18.519455288418449</v>
      </c>
      <c r="AD124">
        <f t="shared" si="19"/>
        <v>2588.453631054912</v>
      </c>
      <c r="AE124">
        <f t="shared" si="26"/>
        <v>954.99365004169374</v>
      </c>
      <c r="AG124">
        <v>8.3790363582823151</v>
      </c>
      <c r="AH124">
        <v>2313.6219534015636</v>
      </c>
      <c r="AI124">
        <f t="shared" si="27"/>
        <v>25466.598583598083</v>
      </c>
      <c r="AJ124">
        <f t="shared" si="28"/>
        <v>1375.1267619369012</v>
      </c>
      <c r="AN124" s="43"/>
      <c r="AO124" s="43"/>
    </row>
    <row r="125" spans="1:41">
      <c r="A125">
        <v>106</v>
      </c>
      <c r="B125">
        <f t="shared" si="0"/>
        <v>106</v>
      </c>
      <c r="D125" s="43">
        <f t="shared" si="1"/>
        <v>141.10056314844502</v>
      </c>
      <c r="E125" s="43">
        <f t="shared" si="2"/>
        <v>238.15092173349814</v>
      </c>
      <c r="F125" s="69">
        <f t="shared" si="3"/>
        <v>0.22524857939507037</v>
      </c>
      <c r="G125" s="98">
        <f t="shared" si="4"/>
        <v>38.057532284095707</v>
      </c>
      <c r="H125" s="69">
        <f t="shared" si="5"/>
        <v>1.0417131689001651</v>
      </c>
      <c r="I125" s="69">
        <f t="shared" si="6"/>
        <v>5.4900132517468485</v>
      </c>
      <c r="J125" s="99">
        <f t="shared" si="7"/>
        <v>1.5047746178408776E-2</v>
      </c>
      <c r="K125" s="69">
        <f t="shared" si="8"/>
        <v>3.7308788748585807E-2</v>
      </c>
      <c r="L125" s="99">
        <f t="shared" si="9"/>
        <v>5.2356534926994582E-2</v>
      </c>
      <c r="M125" s="69">
        <f t="shared" si="10"/>
        <v>19.896526199694446</v>
      </c>
      <c r="N125" s="69">
        <f t="shared" si="11"/>
        <v>20.307260282631326</v>
      </c>
      <c r="O125" s="69">
        <f t="shared" si="12"/>
        <v>19.494099612920913</v>
      </c>
      <c r="P125" s="69">
        <f t="shared" si="13"/>
        <v>0.5103234037146388</v>
      </c>
      <c r="Q125" s="69">
        <f t="shared" si="14"/>
        <v>0.71767724403674216</v>
      </c>
      <c r="R125" s="43">
        <f t="shared" si="15"/>
        <v>2222.6361648586681</v>
      </c>
      <c r="S125" s="43">
        <f t="shared" si="16"/>
        <v>948.6580627471476</v>
      </c>
      <c r="T125" s="43">
        <f>R125+Thrust!C$33*0.8</f>
        <v>4034.3961648586683</v>
      </c>
      <c r="U125" s="43"/>
      <c r="V125">
        <f t="shared" si="21"/>
        <v>225923.79205314792</v>
      </c>
      <c r="W125">
        <f t="shared" si="22"/>
        <v>960795.16529918171</v>
      </c>
      <c r="Y125">
        <f t="shared" si="23"/>
        <v>-718.1683455994106</v>
      </c>
      <c r="Z125">
        <f t="shared" si="24"/>
        <v>-2.8809013491539845</v>
      </c>
      <c r="AA125">
        <f t="shared" si="17"/>
        <v>2336.0149613118956</v>
      </c>
      <c r="AB125">
        <f t="shared" si="25"/>
        <v>9.4091093440253371</v>
      </c>
      <c r="AC125">
        <f t="shared" si="18"/>
        <v>18.641098501134785</v>
      </c>
      <c r="AD125">
        <f t="shared" si="19"/>
        <v>2630.269496215752</v>
      </c>
      <c r="AE125">
        <f t="shared" si="26"/>
        <v>964.44734077716942</v>
      </c>
      <c r="AG125">
        <v>8.380201737811193</v>
      </c>
      <c r="AH125">
        <v>2336.0149613118956</v>
      </c>
      <c r="AI125">
        <f t="shared" si="27"/>
        <v>25569.89594258849</v>
      </c>
      <c r="AJ125">
        <f t="shared" si="28"/>
        <v>1371.6946960519474</v>
      </c>
      <c r="AN125" s="43"/>
      <c r="AO125" s="43"/>
    </row>
    <row r="126" spans="1:41">
      <c r="A126">
        <v>107</v>
      </c>
      <c r="B126">
        <f t="shared" si="0"/>
        <v>107</v>
      </c>
      <c r="D126" s="43">
        <f t="shared" si="1"/>
        <v>142.43170053663789</v>
      </c>
      <c r="E126" s="43">
        <f t="shared" si="2"/>
        <v>240.39762854230472</v>
      </c>
      <c r="F126" s="69">
        <f t="shared" si="3"/>
        <v>0.22737356599313707</v>
      </c>
      <c r="G126" s="98">
        <f t="shared" si="4"/>
        <v>38.77898603779029</v>
      </c>
      <c r="H126" s="69">
        <f t="shared" si="5"/>
        <v>1.0223328819776623</v>
      </c>
      <c r="I126" s="69">
        <f t="shared" si="6"/>
        <v>5.3268192519237365</v>
      </c>
      <c r="J126" s="99">
        <f t="shared" si="7"/>
        <v>1.5047746178408776E-2</v>
      </c>
      <c r="K126" s="69">
        <f t="shared" si="8"/>
        <v>3.5788973833927026E-2</v>
      </c>
      <c r="L126" s="99">
        <f t="shared" si="9"/>
        <v>5.0836720012335801E-2</v>
      </c>
      <c r="M126" s="69">
        <f t="shared" si="10"/>
        <v>20.110126729843856</v>
      </c>
      <c r="N126" s="69">
        <f t="shared" si="11"/>
        <v>20.333445321015738</v>
      </c>
      <c r="O126" s="69">
        <f t="shared" si="12"/>
        <v>19.889260806794649</v>
      </c>
      <c r="P126" s="69">
        <f t="shared" si="13"/>
        <v>0.51513777544779582</v>
      </c>
      <c r="Q126" s="69">
        <f t="shared" si="14"/>
        <v>0.72117499006788632</v>
      </c>
      <c r="R126" s="43">
        <f t="shared" si="15"/>
        <v>2212.5950956748575</v>
      </c>
      <c r="S126" s="43">
        <f t="shared" si="16"/>
        <v>938.58185249469852</v>
      </c>
      <c r="T126" s="43">
        <f>R126+Thrust!C$33*0.8</f>
        <v>4024.3550956748577</v>
      </c>
      <c r="U126" s="43"/>
      <c r="V126">
        <f t="shared" si="21"/>
        <v>225632.85153256878</v>
      </c>
      <c r="W126">
        <f t="shared" si="22"/>
        <v>967445.42141237564</v>
      </c>
      <c r="Y126">
        <f t="shared" si="23"/>
        <v>-717.24350156048354</v>
      </c>
      <c r="Z126">
        <f t="shared" si="24"/>
        <v>-2.8502763351353311</v>
      </c>
      <c r="AA126">
        <f t="shared" si="17"/>
        <v>2358.0796923331609</v>
      </c>
      <c r="AB126">
        <f t="shared" si="25"/>
        <v>9.4092174708088265</v>
      </c>
      <c r="AC126">
        <f t="shared" si="18"/>
        <v>18.756103452878449</v>
      </c>
      <c r="AD126">
        <f t="shared" si="19"/>
        <v>2671.4637102345828</v>
      </c>
      <c r="AE126">
        <f t="shared" si="26"/>
        <v>973.57275462357848</v>
      </c>
      <c r="AG126">
        <v>8.380180279247524</v>
      </c>
      <c r="AH126">
        <v>2358.0796923331609</v>
      </c>
      <c r="AI126">
        <f t="shared" si="27"/>
        <v>25663.614971902705</v>
      </c>
      <c r="AJ126">
        <f t="shared" si="28"/>
        <v>1368.2807325294518</v>
      </c>
      <c r="AN126" s="43"/>
      <c r="AO126" s="43"/>
    </row>
    <row r="127" spans="1:41">
      <c r="A127">
        <v>108</v>
      </c>
      <c r="B127">
        <f t="shared" si="0"/>
        <v>108</v>
      </c>
      <c r="D127" s="43">
        <f t="shared" si="1"/>
        <v>143.76283792483076</v>
      </c>
      <c r="E127" s="43">
        <f t="shared" si="2"/>
        <v>242.64433535111129</v>
      </c>
      <c r="F127" s="69">
        <f t="shared" si="3"/>
        <v>0.22949855259120377</v>
      </c>
      <c r="G127" s="98">
        <f t="shared" si="4"/>
        <v>39.507214005134585</v>
      </c>
      <c r="H127" s="69">
        <f t="shared" si="5"/>
        <v>1.0034884401373678</v>
      </c>
      <c r="I127" s="69">
        <f t="shared" si="6"/>
        <v>5.1681373990363637</v>
      </c>
      <c r="J127" s="99">
        <f t="shared" si="7"/>
        <v>1.5047746178408776E-2</v>
      </c>
      <c r="K127" s="69">
        <f t="shared" si="8"/>
        <v>3.4341484356275195E-2</v>
      </c>
      <c r="L127" s="99">
        <f t="shared" si="9"/>
        <v>4.938923053468397E-2</v>
      </c>
      <c r="M127" s="69">
        <f t="shared" si="10"/>
        <v>20.317960601403989</v>
      </c>
      <c r="N127" s="69">
        <f t="shared" si="11"/>
        <v>20.353368743127703</v>
      </c>
      <c r="O127" s="69">
        <f t="shared" si="12"/>
        <v>20.282614058156486</v>
      </c>
      <c r="P127" s="69">
        <f t="shared" si="13"/>
        <v>0.51995214718095273</v>
      </c>
      <c r="Q127" s="69">
        <f t="shared" si="14"/>
        <v>0.72462859182734363</v>
      </c>
      <c r="R127" s="43">
        <f t="shared" si="15"/>
        <v>2202.6057897823889</v>
      </c>
      <c r="S127" s="43">
        <f t="shared" si="16"/>
        <v>928.98103162458733</v>
      </c>
      <c r="T127" s="43">
        <f>R127+Thrust!C$33*0.8</f>
        <v>4014.3657897823887</v>
      </c>
      <c r="U127" s="43"/>
      <c r="V127">
        <f t="shared" si="21"/>
        <v>225411.9849723377</v>
      </c>
      <c r="W127">
        <f t="shared" si="22"/>
        <v>974063.11891798663</v>
      </c>
      <c r="Y127">
        <f t="shared" si="23"/>
        <v>-716.54140918359008</v>
      </c>
      <c r="Z127">
        <f t="shared" si="24"/>
        <v>-2.8210969487120297</v>
      </c>
      <c r="AA127">
        <f t="shared" si="17"/>
        <v>2379.818174131864</v>
      </c>
      <c r="AB127">
        <f t="shared" si="25"/>
        <v>9.408022129531842</v>
      </c>
      <c r="AC127">
        <f t="shared" si="18"/>
        <v>18.864389590842912</v>
      </c>
      <c r="AD127">
        <f t="shared" si="19"/>
        <v>2711.9981832992139</v>
      </c>
      <c r="AE127">
        <f t="shared" si="26"/>
        <v>982.37191924742649</v>
      </c>
      <c r="AG127">
        <v>8.3790099365269519</v>
      </c>
      <c r="AH127">
        <v>2379.818174131864</v>
      </c>
      <c r="AI127">
        <f t="shared" si="27"/>
        <v>25747.710474326304</v>
      </c>
      <c r="AJ127">
        <f t="shared" si="28"/>
        <v>1364.8843685260122</v>
      </c>
      <c r="AN127" s="43"/>
      <c r="AO127" s="43"/>
    </row>
    <row r="128" spans="1:41">
      <c r="A128">
        <v>109</v>
      </c>
      <c r="B128">
        <f t="shared" si="0"/>
        <v>109</v>
      </c>
      <c r="D128" s="43">
        <f t="shared" si="1"/>
        <v>145.09397531302363</v>
      </c>
      <c r="E128" s="43">
        <f t="shared" si="2"/>
        <v>244.89104215991787</v>
      </c>
      <c r="F128" s="69">
        <f t="shared" si="3"/>
        <v>0.23162353918927045</v>
      </c>
      <c r="G128" s="98">
        <f t="shared" si="4"/>
        <v>40.242216186128601</v>
      </c>
      <c r="H128" s="69">
        <f t="shared" si="5"/>
        <v>0.98516026982259541</v>
      </c>
      <c r="I128" s="69">
        <f t="shared" si="6"/>
        <v>5.0138028716339873</v>
      </c>
      <c r="J128" s="99">
        <f t="shared" si="7"/>
        <v>1.5047746178408776E-2</v>
      </c>
      <c r="K128" s="69">
        <f t="shared" si="8"/>
        <v>3.2962313637925601E-2</v>
      </c>
      <c r="L128" s="99">
        <f t="shared" si="9"/>
        <v>4.8010059816334376E-2</v>
      </c>
      <c r="M128" s="69">
        <f t="shared" si="10"/>
        <v>20.519871743367755</v>
      </c>
      <c r="N128" s="69">
        <f t="shared" si="11"/>
        <v>20.367047978376853</v>
      </c>
      <c r="O128" s="69">
        <f t="shared" si="12"/>
        <v>20.673842218631581</v>
      </c>
      <c r="P128" s="69">
        <f t="shared" si="13"/>
        <v>0.52476651891410975</v>
      </c>
      <c r="Q128" s="69">
        <f t="shared" si="14"/>
        <v>0.72803804931511418</v>
      </c>
      <c r="R128" s="43">
        <f t="shared" si="15"/>
        <v>2192.6668225035191</v>
      </c>
      <c r="S128" s="43">
        <f t="shared" si="16"/>
        <v>919.84005728986119</v>
      </c>
      <c r="T128" s="43">
        <f>R128+Thrust!C$33*0.8</f>
        <v>4004.4268225035194</v>
      </c>
      <c r="U128" s="43"/>
      <c r="V128">
        <f t="shared" si="21"/>
        <v>225260.59025015266</v>
      </c>
      <c r="W128">
        <f t="shared" si="22"/>
        <v>980648.25781601528</v>
      </c>
      <c r="Y128">
        <f t="shared" si="23"/>
        <v>-716.06015443757144</v>
      </c>
      <c r="Z128">
        <f t="shared" si="24"/>
        <v>-2.7933158358623995</v>
      </c>
      <c r="AA128">
        <f t="shared" si="17"/>
        <v>2401.232320739166</v>
      </c>
      <c r="AB128">
        <f t="shared" si="25"/>
        <v>9.4055667739453792</v>
      </c>
      <c r="AC128">
        <f t="shared" si="18"/>
        <v>18.965886791027248</v>
      </c>
      <c r="AD128">
        <f t="shared" si="19"/>
        <v>2751.8359098469082</v>
      </c>
      <c r="AE128">
        <f t="shared" si="26"/>
        <v>990.84674867987235</v>
      </c>
      <c r="AG128">
        <v>8.3767269153160484</v>
      </c>
      <c r="AH128">
        <v>2401.232320739166</v>
      </c>
      <c r="AI128">
        <f t="shared" si="27"/>
        <v>25822.151964708606</v>
      </c>
      <c r="AJ128">
        <f t="shared" si="28"/>
        <v>1361.5051196511968</v>
      </c>
      <c r="AN128" s="43"/>
      <c r="AO128" s="43"/>
    </row>
    <row r="129" spans="1:41">
      <c r="A129">
        <v>110</v>
      </c>
      <c r="B129">
        <f t="shared" si="0"/>
        <v>110</v>
      </c>
      <c r="D129" s="43">
        <f t="shared" si="1"/>
        <v>146.42511270121653</v>
      </c>
      <c r="E129" s="43">
        <f t="shared" si="2"/>
        <v>247.13774896872451</v>
      </c>
      <c r="F129" s="69">
        <f t="shared" si="3"/>
        <v>0.23374852578733721</v>
      </c>
      <c r="G129" s="98">
        <f t="shared" si="4"/>
        <v>40.983992580772345</v>
      </c>
      <c r="H129" s="69">
        <f t="shared" si="5"/>
        <v>0.96732968312084733</v>
      </c>
      <c r="I129" s="69">
        <f t="shared" si="6"/>
        <v>4.863658305937574</v>
      </c>
      <c r="J129" s="99">
        <f t="shared" si="7"/>
        <v>1.5047746178408776E-2</v>
      </c>
      <c r="K129" s="69">
        <f t="shared" si="8"/>
        <v>3.1647709385586122E-2</v>
      </c>
      <c r="L129" s="99">
        <f t="shared" si="9"/>
        <v>4.6695455563994896E-2</v>
      </c>
      <c r="M129" s="69">
        <f t="shared" si="10"/>
        <v>20.715713583630155</v>
      </c>
      <c r="N129" s="69">
        <f t="shared" si="11"/>
        <v>20.374509164823682</v>
      </c>
      <c r="O129" s="69">
        <f t="shared" si="12"/>
        <v>21.062632027470123</v>
      </c>
      <c r="P129" s="69">
        <f t="shared" si="13"/>
        <v>0.52958089064726677</v>
      </c>
      <c r="Q129" s="69">
        <f t="shared" si="14"/>
        <v>0.73140336253119831</v>
      </c>
      <c r="R129" s="43">
        <f t="shared" si="15"/>
        <v>2182.7768209669689</v>
      </c>
      <c r="S129" s="43">
        <f t="shared" si="16"/>
        <v>911.14408991034168</v>
      </c>
      <c r="T129" s="43">
        <f>R129+Thrust!C$33*0.8</f>
        <v>3994.5368209669687</v>
      </c>
      <c r="U129" s="43"/>
      <c r="V129">
        <f t="shared" si="21"/>
        <v>225178.09936659897</v>
      </c>
      <c r="W129">
        <f t="shared" si="22"/>
        <v>987200.83810646157</v>
      </c>
      <c r="Y129">
        <f t="shared" si="23"/>
        <v>-715.79793176137423</v>
      </c>
      <c r="Z129">
        <f t="shared" si="24"/>
        <v>-2.7668877916145149</v>
      </c>
      <c r="AA129">
        <f t="shared" si="17"/>
        <v>2422.3239377161194</v>
      </c>
      <c r="AB129">
        <f t="shared" si="25"/>
        <v>9.4018928661940606</v>
      </c>
      <c r="AC129">
        <f t="shared" si="18"/>
        <v>19.060535497851188</v>
      </c>
      <c r="AD129">
        <f t="shared" si="19"/>
        <v>2790.9410584183984</v>
      </c>
      <c r="AE129">
        <f t="shared" si="26"/>
        <v>998.99904848196968</v>
      </c>
      <c r="AG129">
        <v>8.373365768356491</v>
      </c>
      <c r="AH129">
        <v>2422.3239377161194</v>
      </c>
      <c r="AI129">
        <f t="shared" si="27"/>
        <v>25886.923696994945</v>
      </c>
      <c r="AJ129">
        <f t="shared" si="28"/>
        <v>1358.1425191287694</v>
      </c>
      <c r="AN129" s="43"/>
      <c r="AO129" s="43"/>
    </row>
    <row r="130" spans="1:41">
      <c r="A130">
        <v>111</v>
      </c>
      <c r="B130">
        <f t="shared" si="0"/>
        <v>111</v>
      </c>
      <c r="D130" s="43">
        <f t="shared" si="1"/>
        <v>147.75625008940941</v>
      </c>
      <c r="E130" s="43">
        <f t="shared" si="2"/>
        <v>249.38445577753109</v>
      </c>
      <c r="F130" s="69">
        <f t="shared" si="3"/>
        <v>0.23587351238540391</v>
      </c>
      <c r="G130" s="98">
        <f t="shared" si="4"/>
        <v>41.732543189065794</v>
      </c>
      <c r="H130" s="69">
        <f t="shared" si="5"/>
        <v>0.94997883010812856</v>
      </c>
      <c r="I130" s="69">
        <f t="shared" si="6"/>
        <v>4.7175533945494612</v>
      </c>
      <c r="J130" s="99">
        <f t="shared" si="7"/>
        <v>1.5047746178408776E-2</v>
      </c>
      <c r="K130" s="69">
        <f t="shared" si="8"/>
        <v>3.0394155475319182E-2</v>
      </c>
      <c r="L130" s="99">
        <f t="shared" si="9"/>
        <v>4.544190165372796E-2</v>
      </c>
      <c r="M130" s="69">
        <f t="shared" si="10"/>
        <v>20.905349369994823</v>
      </c>
      <c r="N130" s="69">
        <f t="shared" si="11"/>
        <v>20.375787069772944</v>
      </c>
      <c r="O130" s="69">
        <f t="shared" si="12"/>
        <v>21.448674879895723</v>
      </c>
      <c r="P130" s="69">
        <f t="shared" si="13"/>
        <v>0.53439526238042379</v>
      </c>
      <c r="Q130" s="69">
        <f t="shared" si="14"/>
        <v>0.73472453147559547</v>
      </c>
      <c r="R130" s="43">
        <f t="shared" si="15"/>
        <v>2172.9344617742968</v>
      </c>
      <c r="S130" s="43">
        <f t="shared" si="16"/>
        <v>902.87895533049743</v>
      </c>
      <c r="T130" s="43">
        <f>R130+Thrust!C$33*0.8</f>
        <v>3984.6944617742965</v>
      </c>
      <c r="U130" s="43"/>
      <c r="V130">
        <f t="shared" si="21"/>
        <v>225163.97690808191</v>
      </c>
      <c r="W130">
        <f t="shared" si="22"/>
        <v>993720.85978932504</v>
      </c>
      <c r="Y130">
        <f t="shared" si="23"/>
        <v>-715.75303917800875</v>
      </c>
      <c r="Z130">
        <f t="shared" si="24"/>
        <v>-2.7417696439077406</v>
      </c>
      <c r="AA130">
        <f t="shared" si="17"/>
        <v>2443.0947270397132</v>
      </c>
      <c r="AB130">
        <f t="shared" si="25"/>
        <v>9.3970399846373684</v>
      </c>
      <c r="AC130">
        <f t="shared" si="18"/>
        <v>19.148286824661682</v>
      </c>
      <c r="AD130">
        <f t="shared" si="19"/>
        <v>2829.2790568484547</v>
      </c>
      <c r="AE130">
        <f t="shared" si="26"/>
        <v>1006.8305206307078</v>
      </c>
      <c r="AG130">
        <v>8.36895948481361</v>
      </c>
      <c r="AH130">
        <v>2443.0947270397132</v>
      </c>
      <c r="AI130">
        <f t="shared" si="27"/>
        <v>25942.024637316346</v>
      </c>
      <c r="AJ130">
        <f t="shared" si="28"/>
        <v>1354.7961170032609</v>
      </c>
      <c r="AN130" s="43"/>
      <c r="AO130" s="43"/>
    </row>
    <row r="131" spans="1:41">
      <c r="A131">
        <v>112</v>
      </c>
      <c r="B131">
        <f t="shared" si="0"/>
        <v>112</v>
      </c>
      <c r="D131" s="43">
        <f t="shared" si="1"/>
        <v>149.08738747760228</v>
      </c>
      <c r="E131" s="43">
        <f t="shared" si="2"/>
        <v>251.63116258633767</v>
      </c>
      <c r="F131" s="69">
        <f t="shared" si="3"/>
        <v>0.23799849898347059</v>
      </c>
      <c r="G131" s="98">
        <f t="shared" si="4"/>
        <v>42.487868011008949</v>
      </c>
      <c r="H131" s="69">
        <f t="shared" si="5"/>
        <v>0.93309065415834291</v>
      </c>
      <c r="I131" s="69">
        <f t="shared" si="6"/>
        <v>4.5753445101308357</v>
      </c>
      <c r="J131" s="99">
        <f t="shared" si="7"/>
        <v>1.5047746178408776E-2</v>
      </c>
      <c r="K131" s="69">
        <f t="shared" si="8"/>
        <v>2.9198355188398396E-2</v>
      </c>
      <c r="L131" s="99">
        <f t="shared" si="9"/>
        <v>4.4246101366807171E-2</v>
      </c>
      <c r="M131" s="69">
        <f t="shared" si="10"/>
        <v>21.088652453757991</v>
      </c>
      <c r="N131" s="69">
        <f t="shared" si="11"/>
        <v>20.370924978472029</v>
      </c>
      <c r="O131" s="69">
        <f t="shared" si="12"/>
        <v>21.831667574515368</v>
      </c>
      <c r="P131" s="69">
        <f t="shared" si="13"/>
        <v>0.53920963411358069</v>
      </c>
      <c r="Q131" s="69">
        <f t="shared" si="14"/>
        <v>0.73800155614830576</v>
      </c>
      <c r="R131" s="43">
        <f t="shared" si="15"/>
        <v>2163.1384687912914</v>
      </c>
      <c r="S131" s="43">
        <f t="shared" si="16"/>
        <v>895.03110933180938</v>
      </c>
      <c r="T131" s="43">
        <f>R131+Thrust!C$33*0.8</f>
        <v>3974.8984687912916</v>
      </c>
      <c r="U131" s="43"/>
      <c r="V131">
        <f t="shared" si="21"/>
        <v>225217.7185921027</v>
      </c>
      <c r="W131">
        <f t="shared" si="22"/>
        <v>1000208.3228646062</v>
      </c>
      <c r="Y131">
        <f t="shared" si="23"/>
        <v>-715.92387367026026</v>
      </c>
      <c r="Z131">
        <f t="shared" si="24"/>
        <v>-2.7179201447253134</v>
      </c>
      <c r="AA131">
        <f t="shared" si="17"/>
        <v>2463.546291727163</v>
      </c>
      <c r="AB131">
        <f t="shared" si="25"/>
        <v>9.3910459249470257</v>
      </c>
      <c r="AC131">
        <f t="shared" si="18"/>
        <v>19.229102614759473</v>
      </c>
      <c r="AD131">
        <f t="shared" si="19"/>
        <v>2866.8166723732211</v>
      </c>
      <c r="AE131">
        <f t="shared" si="26"/>
        <v>1014.3427681433014</v>
      </c>
      <c r="AG131">
        <v>8.3635395740556593</v>
      </c>
      <c r="AH131">
        <v>2463.546291727163</v>
      </c>
      <c r="AI131">
        <f t="shared" si="27"/>
        <v>25987.468383476938</v>
      </c>
      <c r="AJ131">
        <f t="shared" si="28"/>
        <v>1351.4654793890393</v>
      </c>
      <c r="AN131" s="43"/>
      <c r="AO131" s="43"/>
    </row>
    <row r="132" spans="1:41">
      <c r="A132">
        <v>113</v>
      </c>
      <c r="B132">
        <f t="shared" si="0"/>
        <v>113</v>
      </c>
      <c r="D132" s="43">
        <f t="shared" si="1"/>
        <v>150.41852486579515</v>
      </c>
      <c r="E132" s="43">
        <f t="shared" si="2"/>
        <v>253.87786939514422</v>
      </c>
      <c r="F132" s="69">
        <f t="shared" si="3"/>
        <v>0.24012348558153726</v>
      </c>
      <c r="G132" s="98">
        <f t="shared" si="4"/>
        <v>43.249967046601803</v>
      </c>
      <c r="H132" s="69">
        <f t="shared" si="5"/>
        <v>0.91664885000879159</v>
      </c>
      <c r="I132" s="69">
        <f t="shared" si="6"/>
        <v>4.4368943522872994</v>
      </c>
      <c r="J132" s="99">
        <f t="shared" si="7"/>
        <v>1.5047746178408776E-2</v>
      </c>
      <c r="K132" s="69">
        <f t="shared" si="8"/>
        <v>2.8057215770970395E-2</v>
      </c>
      <c r="L132" s="99">
        <f t="shared" si="9"/>
        <v>4.310496194937917E-2</v>
      </c>
      <c r="M132" s="69">
        <f t="shared" si="10"/>
        <v>21.265506534613561</v>
      </c>
      <c r="N132" s="69">
        <f t="shared" si="11"/>
        <v>20.359974551687365</v>
      </c>
      <c r="O132" s="69">
        <f t="shared" si="12"/>
        <v>22.211313036057472</v>
      </c>
      <c r="P132" s="69">
        <f t="shared" si="13"/>
        <v>0.5440240058467376</v>
      </c>
      <c r="Q132" s="69">
        <f t="shared" si="14"/>
        <v>0.74123443654932941</v>
      </c>
      <c r="R132" s="43">
        <f t="shared" si="15"/>
        <v>2153.3876110566343</v>
      </c>
      <c r="S132" s="43">
        <f t="shared" si="16"/>
        <v>887.58760433368627</v>
      </c>
      <c r="T132" s="43">
        <f>R132+Thrust!C$33*0.8</f>
        <v>3965.1476110566346</v>
      </c>
      <c r="U132" s="43"/>
      <c r="V132">
        <f t="shared" si="21"/>
        <v>225338.84988977655</v>
      </c>
      <c r="W132">
        <f t="shared" si="22"/>
        <v>1006663.2273323043</v>
      </c>
      <c r="Y132">
        <f t="shared" si="23"/>
        <v>-716.3089268019387</v>
      </c>
      <c r="Z132">
        <f t="shared" si="24"/>
        <v>-2.6952998679811606</v>
      </c>
      <c r="AA132">
        <f t="shared" si="17"/>
        <v>2483.680140214658</v>
      </c>
      <c r="AB132">
        <f t="shared" si="25"/>
        <v>9.3839467949545696</v>
      </c>
      <c r="AC132">
        <f t="shared" si="18"/>
        <v>19.30295546284939</v>
      </c>
      <c r="AD132">
        <f t="shared" si="19"/>
        <v>2903.5220862719475</v>
      </c>
      <c r="AE132">
        <f t="shared" si="26"/>
        <v>1021.5372994559407</v>
      </c>
      <c r="AG132">
        <v>8.357136144256442</v>
      </c>
      <c r="AH132">
        <v>2483.680140214658</v>
      </c>
      <c r="AI132">
        <f t="shared" si="27"/>
        <v>26023.283031548959</v>
      </c>
      <c r="AJ132">
        <f t="shared" si="28"/>
        <v>1348.1501877592559</v>
      </c>
      <c r="AN132" s="43"/>
      <c r="AO132" s="43"/>
    </row>
    <row r="133" spans="1:41">
      <c r="A133">
        <v>114</v>
      </c>
      <c r="B133">
        <f t="shared" si="0"/>
        <v>114</v>
      </c>
      <c r="D133" s="43">
        <f t="shared" si="1"/>
        <v>151.74966225398802</v>
      </c>
      <c r="E133" s="43">
        <f t="shared" si="2"/>
        <v>256.12457620395082</v>
      </c>
      <c r="F133" s="69">
        <f t="shared" si="3"/>
        <v>0.24224847217960399</v>
      </c>
      <c r="G133" s="98">
        <f t="shared" si="4"/>
        <v>44.018840295844406</v>
      </c>
      <c r="H133" s="69">
        <f t="shared" si="5"/>
        <v>0.90063782438921625</v>
      </c>
      <c r="I133" s="69">
        <f t="shared" si="6"/>
        <v>4.3020716160410721</v>
      </c>
      <c r="J133" s="99">
        <f t="shared" si="7"/>
        <v>1.5047746178408776E-2</v>
      </c>
      <c r="K133" s="69">
        <f t="shared" si="8"/>
        <v>2.6967834202543808E-2</v>
      </c>
      <c r="L133" s="99">
        <f t="shared" si="9"/>
        <v>4.2015580380952586E-2</v>
      </c>
      <c r="M133" s="69">
        <f t="shared" si="10"/>
        <v>21.435805865899997</v>
      </c>
      <c r="N133" s="69">
        <f t="shared" si="11"/>
        <v>20.342995653140338</v>
      </c>
      <c r="O133" s="69">
        <f t="shared" si="12"/>
        <v>22.587321009903519</v>
      </c>
      <c r="P133" s="69">
        <f t="shared" si="13"/>
        <v>0.54883837757989462</v>
      </c>
      <c r="Q133" s="69">
        <f t="shared" si="14"/>
        <v>0.74442317267866642</v>
      </c>
      <c r="R133" s="43">
        <f t="shared" si="15"/>
        <v>2143.6807008006331</v>
      </c>
      <c r="S133" s="43">
        <f t="shared" si="16"/>
        <v>880.53605813002264</v>
      </c>
      <c r="T133" s="43">
        <f>R133+Thrust!C$33*0.8</f>
        <v>3955.4407008006328</v>
      </c>
      <c r="U133" s="43"/>
      <c r="V133">
        <f t="shared" si="21"/>
        <v>225526.92472084946</v>
      </c>
      <c r="W133">
        <f t="shared" si="22"/>
        <v>1013085.5731924203</v>
      </c>
      <c r="Y133">
        <f t="shared" si="23"/>
        <v>-716.90678056958768</v>
      </c>
      <c r="Z133">
        <f t="shared" si="24"/>
        <v>-2.6738711136852369</v>
      </c>
      <c r="AA133">
        <f t="shared" si="17"/>
        <v>2503.4976905056556</v>
      </c>
      <c r="AB133">
        <f t="shared" si="25"/>
        <v>9.3757771036858877</v>
      </c>
      <c r="AC133">
        <f t="shared" si="18"/>
        <v>19.369828697092547</v>
      </c>
      <c r="AD133">
        <f t="shared" si="19"/>
        <v>2939.3649627013992</v>
      </c>
      <c r="AE133">
        <f t="shared" si="26"/>
        <v>1028.4155325720826</v>
      </c>
      <c r="AG133">
        <v>8.3497779761830824</v>
      </c>
      <c r="AH133">
        <v>2503.4976905056556</v>
      </c>
      <c r="AI133">
        <f t="shared" si="27"/>
        <v>26049.510990645427</v>
      </c>
      <c r="AJ133">
        <f t="shared" si="28"/>
        <v>1344.8498382722153</v>
      </c>
      <c r="AN133" s="43"/>
      <c r="AO133" s="43"/>
    </row>
    <row r="134" spans="1:41">
      <c r="A134">
        <v>115</v>
      </c>
      <c r="B134">
        <f t="shared" si="0"/>
        <v>115</v>
      </c>
      <c r="D134" s="43">
        <f t="shared" si="1"/>
        <v>153.08079964218092</v>
      </c>
      <c r="E134" s="43">
        <f t="shared" si="2"/>
        <v>258.37128301275743</v>
      </c>
      <c r="F134" s="69">
        <f t="shared" si="3"/>
        <v>0.24437345877767069</v>
      </c>
      <c r="G134" s="98">
        <f t="shared" si="4"/>
        <v>44.794487758736715</v>
      </c>
      <c r="H134" s="69">
        <f t="shared" si="5"/>
        <v>0.88504265903684343</v>
      </c>
      <c r="I134" s="69">
        <f t="shared" si="6"/>
        <v>4.1707506803947858</v>
      </c>
      <c r="J134" s="99">
        <f t="shared" si="7"/>
        <v>1.5047746178408776E-2</v>
      </c>
      <c r="K134" s="69">
        <f t="shared" si="8"/>
        <v>2.5927484069208768E-2</v>
      </c>
      <c r="L134" s="99">
        <f t="shared" si="9"/>
        <v>4.0975230247617546E-2</v>
      </c>
      <c r="M134" s="69">
        <f t="shared" si="10"/>
        <v>21.599455419492198</v>
      </c>
      <c r="N134" s="69">
        <f t="shared" si="11"/>
        <v>20.320056147981958</v>
      </c>
      <c r="O134" s="69">
        <f t="shared" si="12"/>
        <v>22.959408725106496</v>
      </c>
      <c r="P134" s="69">
        <f t="shared" si="13"/>
        <v>0.55365274931305164</v>
      </c>
      <c r="Q134" s="69">
        <f t="shared" si="14"/>
        <v>0.7475677645363169</v>
      </c>
      <c r="R134" s="43">
        <f t="shared" si="15"/>
        <v>2134.0165915673219</v>
      </c>
      <c r="S134" s="43">
        <f t="shared" si="16"/>
        <v>873.86462452041542</v>
      </c>
      <c r="T134" s="43">
        <f>R134+Thrust!C$33*0.8</f>
        <v>3945.7765915673217</v>
      </c>
      <c r="U134" s="43"/>
      <c r="V134">
        <f t="shared" si="21"/>
        <v>225781.52421680125</v>
      </c>
      <c r="W134">
        <f t="shared" si="22"/>
        <v>1019475.3604449539</v>
      </c>
      <c r="Y134">
        <f t="shared" si="23"/>
        <v>-717.71610347062642</v>
      </c>
      <c r="Z134">
        <f t="shared" si="24"/>
        <v>-2.6535978179491151</v>
      </c>
      <c r="AA134">
        <f t="shared" si="17"/>
        <v>2523.0002741027365</v>
      </c>
      <c r="AB134">
        <f t="shared" si="25"/>
        <v>9.3665698449853565</v>
      </c>
      <c r="AC134">
        <f t="shared" si="18"/>
        <v>19.429716322208083</v>
      </c>
      <c r="AD134">
        <f t="shared" si="19"/>
        <v>2974.3165114243479</v>
      </c>
      <c r="AE134">
        <f t="shared" si="26"/>
        <v>1034.9787989943075</v>
      </c>
      <c r="AG134">
        <v>8.341492592502453</v>
      </c>
      <c r="AH134">
        <v>2523.0002741027365</v>
      </c>
      <c r="AI134">
        <f t="shared" si="27"/>
        <v>26066.208747287139</v>
      </c>
      <c r="AJ134">
        <f t="shared" si="28"/>
        <v>1341.5640411328895</v>
      </c>
      <c r="AN134" s="43"/>
      <c r="AO134" s="43"/>
    </row>
    <row r="135" spans="1:41">
      <c r="A135">
        <v>116</v>
      </c>
      <c r="B135">
        <f t="shared" si="0"/>
        <v>116</v>
      </c>
      <c r="D135" s="43">
        <f t="shared" si="1"/>
        <v>154.41193703037379</v>
      </c>
      <c r="E135" s="43">
        <f t="shared" si="2"/>
        <v>260.61798982156398</v>
      </c>
      <c r="F135" s="69">
        <f t="shared" si="3"/>
        <v>0.24649844537573737</v>
      </c>
      <c r="G135" s="98">
        <f t="shared" si="4"/>
        <v>45.576909435278722</v>
      </c>
      <c r="H135" s="69">
        <f t="shared" si="5"/>
        <v>0.8698490759335803</v>
      </c>
      <c r="I135" s="69">
        <f t="shared" si="6"/>
        <v>4.0428113156071905</v>
      </c>
      <c r="J135" s="99">
        <f t="shared" si="7"/>
        <v>1.5047746178408776E-2</v>
      </c>
      <c r="K135" s="69">
        <f t="shared" si="8"/>
        <v>2.4933603447256376E-2</v>
      </c>
      <c r="L135" s="99">
        <f t="shared" si="9"/>
        <v>3.9981349625665151E-2</v>
      </c>
      <c r="M135" s="69">
        <f t="shared" si="10"/>
        <v>21.756371009927083</v>
      </c>
      <c r="N135" s="69">
        <f t="shared" si="11"/>
        <v>20.291231673670204</v>
      </c>
      <c r="O135" s="69">
        <f t="shared" si="12"/>
        <v>23.327301522844401</v>
      </c>
      <c r="P135" s="69">
        <f t="shared" si="13"/>
        <v>0.55846712104620855</v>
      </c>
      <c r="Q135" s="69">
        <f t="shared" si="14"/>
        <v>0.7506682121222803</v>
      </c>
      <c r="R135" s="43">
        <f t="shared" si="15"/>
        <v>2124.3941764337001</v>
      </c>
      <c r="S135" s="43">
        <f t="shared" si="16"/>
        <v>867.56196570593693</v>
      </c>
      <c r="T135" s="43">
        <f>R135+Thrust!C$33*0.8</f>
        <v>3936.1541764336998</v>
      </c>
      <c r="U135" s="43"/>
      <c r="V135">
        <f t="shared" si="21"/>
        <v>226102.25554792592</v>
      </c>
      <c r="W135">
        <f t="shared" si="22"/>
        <v>1025832.5890899046</v>
      </c>
      <c r="Y135">
        <f t="shared" si="23"/>
        <v>-718.73564677486388</v>
      </c>
      <c r="Z135">
        <f t="shared" si="24"/>
        <v>-2.6344454684277894</v>
      </c>
      <c r="AA135">
        <f t="shared" si="17"/>
        <v>2542.189139736091</v>
      </c>
      <c r="AB135">
        <f t="shared" si="25"/>
        <v>9.3563565761013443</v>
      </c>
      <c r="AC135">
        <f t="shared" si="18"/>
        <v>19.482622924334883</v>
      </c>
      <c r="AD135">
        <f t="shared" si="19"/>
        <v>3008.349544178915</v>
      </c>
      <c r="AE135">
        <f t="shared" si="26"/>
        <v>1041.2283474528062</v>
      </c>
      <c r="AG135">
        <v>8.3323063229141638</v>
      </c>
      <c r="AH135">
        <v>2542.189139736091</v>
      </c>
      <c r="AI135">
        <f t="shared" si="27"/>
        <v>26073.446581111257</v>
      </c>
      <c r="AJ135">
        <f t="shared" si="28"/>
        <v>1338.2924199874581</v>
      </c>
      <c r="AN135" s="43"/>
      <c r="AO135" s="43"/>
    </row>
    <row r="136" spans="1:41">
      <c r="A136">
        <v>117</v>
      </c>
      <c r="B136">
        <f t="shared" si="0"/>
        <v>117</v>
      </c>
      <c r="D136" s="43">
        <f t="shared" si="1"/>
        <v>155.74307441856666</v>
      </c>
      <c r="E136" s="43">
        <f t="shared" si="2"/>
        <v>262.86469663037059</v>
      </c>
      <c r="F136" s="69">
        <f t="shared" si="3"/>
        <v>0.2486234319738041</v>
      </c>
      <c r="G136" s="98">
        <f t="shared" si="4"/>
        <v>46.366105325470457</v>
      </c>
      <c r="H136" s="69">
        <f t="shared" si="5"/>
        <v>0.85504340461408834</v>
      </c>
      <c r="I136" s="69">
        <f t="shared" si="6"/>
        <v>3.9181384079069059</v>
      </c>
      <c r="J136" s="99">
        <f t="shared" si="7"/>
        <v>1.5047746178408776E-2</v>
      </c>
      <c r="K136" s="69">
        <f t="shared" si="8"/>
        <v>2.3983783711645914E-2</v>
      </c>
      <c r="L136" s="99">
        <f t="shared" si="9"/>
        <v>3.9031529890054692E-2</v>
      </c>
      <c r="M136" s="69">
        <f t="shared" si="10"/>
        <v>21.906479377636565</v>
      </c>
      <c r="N136" s="69">
        <f t="shared" si="11"/>
        <v>20.256605384784514</v>
      </c>
      <c r="O136" s="69">
        <f t="shared" si="12"/>
        <v>23.690733447534214</v>
      </c>
      <c r="P136" s="69">
        <f t="shared" si="13"/>
        <v>0.56328149277936557</v>
      </c>
      <c r="Q136" s="69">
        <f t="shared" si="14"/>
        <v>0.75372451543655705</v>
      </c>
      <c r="R136" s="43">
        <f t="shared" si="15"/>
        <v>2114.8123863202882</v>
      </c>
      <c r="S136" s="43">
        <f t="shared" si="16"/>
        <v>861.61722632933515</v>
      </c>
      <c r="T136" s="43">
        <f>R136+Thrust!C$33*0.8</f>
        <v>3926.5723863202884</v>
      </c>
      <c r="U136" s="43"/>
      <c r="V136">
        <f t="shared" si="21"/>
        <v>226488.75081056205</v>
      </c>
      <c r="W136">
        <f t="shared" si="22"/>
        <v>1032157.2591272729</v>
      </c>
      <c r="Y136">
        <f t="shared" si="23"/>
        <v>-719.96424098721718</v>
      </c>
      <c r="Z136">
        <f t="shared" si="24"/>
        <v>-2.6163810248248738</v>
      </c>
      <c r="AA136">
        <f t="shared" si="17"/>
        <v>2561.0654569008025</v>
      </c>
      <c r="AB136">
        <f t="shared" si="25"/>
        <v>9.3451674915761949</v>
      </c>
      <c r="AC136">
        <f t="shared" si="18"/>
        <v>19.528563538616197</v>
      </c>
      <c r="AD136">
        <f t="shared" si="19"/>
        <v>3041.4385244824098</v>
      </c>
      <c r="AE136">
        <f t="shared" si="26"/>
        <v>1047.1653474426614</v>
      </c>
      <c r="AG136">
        <v>8.3222443653943596</v>
      </c>
      <c r="AH136">
        <v>2561.0654569008025</v>
      </c>
      <c r="AI136">
        <f t="shared" si="27"/>
        <v>26071.308233978736</v>
      </c>
      <c r="AJ136">
        <f t="shared" si="28"/>
        <v>1335.0346113488981</v>
      </c>
      <c r="AN136" s="43"/>
      <c r="AO136" s="43"/>
    </row>
    <row r="137" spans="1:41">
      <c r="A137">
        <v>118</v>
      </c>
      <c r="B137">
        <f t="shared" si="0"/>
        <v>118</v>
      </c>
      <c r="D137" s="43">
        <f t="shared" si="1"/>
        <v>157.07421180675954</v>
      </c>
      <c r="E137" s="43">
        <f t="shared" si="2"/>
        <v>265.11140343917714</v>
      </c>
      <c r="F137" s="69">
        <f t="shared" si="3"/>
        <v>0.25074841857187075</v>
      </c>
      <c r="G137" s="98">
        <f t="shared" si="4"/>
        <v>47.162075429311898</v>
      </c>
      <c r="H137" s="69">
        <f t="shared" si="5"/>
        <v>0.84061255140493085</v>
      </c>
      <c r="I137" s="69">
        <f t="shared" si="6"/>
        <v>3.7966217004670311</v>
      </c>
      <c r="J137" s="99">
        <f t="shared" si="7"/>
        <v>1.5047746178408776E-2</v>
      </c>
      <c r="K137" s="69">
        <f t="shared" si="8"/>
        <v>2.3075759191660411E-2</v>
      </c>
      <c r="L137" s="99">
        <f t="shared" si="9"/>
        <v>3.8123505370069186E-2</v>
      </c>
      <c r="M137" s="69">
        <f t="shared" si="10"/>
        <v>22.04971823144303</v>
      </c>
      <c r="N137" s="69">
        <f t="shared" si="11"/>
        <v>20.216267673465619</v>
      </c>
      <c r="O137" s="69">
        <f t="shared" si="12"/>
        <v>24.049447798129837</v>
      </c>
      <c r="P137" s="69">
        <f t="shared" si="13"/>
        <v>0.56809586451252247</v>
      </c>
      <c r="Q137" s="69">
        <f t="shared" si="14"/>
        <v>0.75673667447914705</v>
      </c>
      <c r="R137" s="43">
        <f t="shared" si="15"/>
        <v>2105.2701883875902</v>
      </c>
      <c r="S137" s="43">
        <f t="shared" si="16"/>
        <v>856.02000904864792</v>
      </c>
      <c r="T137" s="43">
        <f>R137+Thrust!C$33*0.8</f>
        <v>3917.03018838759</v>
      </c>
      <c r="U137" s="43"/>
      <c r="V137">
        <f t="shared" si="21"/>
        <v>226940.66597090417</v>
      </c>
      <c r="W137">
        <f t="shared" si="22"/>
        <v>1038449.3705570584</v>
      </c>
      <c r="Y137">
        <f t="shared" si="23"/>
        <v>-721.40079249029145</v>
      </c>
      <c r="Z137">
        <f t="shared" si="24"/>
        <v>-2.5993728441169961</v>
      </c>
      <c r="AA137">
        <f t="shared" si="17"/>
        <v>2579.630319214265</v>
      </c>
      <c r="AB137">
        <f t="shared" si="25"/>
        <v>9.3330314927578861</v>
      </c>
      <c r="AC137">
        <f t="shared" si="18"/>
        <v>19.567563480710046</v>
      </c>
      <c r="AD137">
        <f t="shared" si="19"/>
        <v>3073.5596107112619</v>
      </c>
      <c r="AE137">
        <f t="shared" si="26"/>
        <v>1052.7908925812683</v>
      </c>
      <c r="AG137">
        <v>8.3113308438129359</v>
      </c>
      <c r="AH137">
        <v>2579.630319214265</v>
      </c>
      <c r="AI137">
        <f t="shared" si="27"/>
        <v>26059.890534824812</v>
      </c>
      <c r="AJ137">
        <f t="shared" si="28"/>
        <v>1331.7902640517807</v>
      </c>
      <c r="AN137" s="43"/>
      <c r="AO137" s="43"/>
    </row>
    <row r="138" spans="1:41">
      <c r="A138">
        <v>119</v>
      </c>
      <c r="B138">
        <f t="shared" si="0"/>
        <v>119</v>
      </c>
      <c r="D138" s="43">
        <f t="shared" si="1"/>
        <v>158.40534919495241</v>
      </c>
      <c r="E138" s="43">
        <f t="shared" si="2"/>
        <v>267.35811024798375</v>
      </c>
      <c r="F138" s="69">
        <f t="shared" si="3"/>
        <v>0.2528734051699375</v>
      </c>
      <c r="G138" s="98">
        <f t="shared" si="4"/>
        <v>47.964819746803066</v>
      </c>
      <c r="H138" s="69">
        <f t="shared" si="5"/>
        <v>0.82654397046552186</v>
      </c>
      <c r="I138" s="69">
        <f t="shared" si="6"/>
        <v>3.6781555495520251</v>
      </c>
      <c r="J138" s="99">
        <f t="shared" si="7"/>
        <v>1.5047746178408776E-2</v>
      </c>
      <c r="K138" s="69">
        <f t="shared" si="8"/>
        <v>2.2207397603197732E-2</v>
      </c>
      <c r="L138" s="99">
        <f t="shared" si="9"/>
        <v>3.7255143781606506E-2</v>
      </c>
      <c r="M138" s="69">
        <f t="shared" si="10"/>
        <v>22.186036250747222</v>
      </c>
      <c r="N138" s="69">
        <f t="shared" si="11"/>
        <v>20.170315867305447</v>
      </c>
      <c r="O138" s="69">
        <f t="shared" si="12"/>
        <v>24.403197637441142</v>
      </c>
      <c r="P138" s="69">
        <f t="shared" si="13"/>
        <v>0.57291023624567938</v>
      </c>
      <c r="Q138" s="69">
        <f t="shared" si="14"/>
        <v>0.75970468925005041</v>
      </c>
      <c r="R138" s="43">
        <f t="shared" si="15"/>
        <v>2095.7665845134024</v>
      </c>
      <c r="S138" s="43">
        <f t="shared" si="16"/>
        <v>850.76035154158251</v>
      </c>
      <c r="T138" s="43">
        <f>R138+Thrust!C$33*0.8</f>
        <v>3907.5265845134027</v>
      </c>
      <c r="U138" s="43"/>
      <c r="V138">
        <f t="shared" si="21"/>
        <v>227457.67986206783</v>
      </c>
      <c r="W138">
        <f t="shared" si="22"/>
        <v>1044708.9233792616</v>
      </c>
      <c r="Y138">
        <f t="shared" si="23"/>
        <v>-723.0442803562421</v>
      </c>
      <c r="Z138">
        <f t="shared" si="24"/>
        <v>-2.583390610179308</v>
      </c>
      <c r="AA138">
        <f t="shared" si="17"/>
        <v>2597.8847476043247</v>
      </c>
      <c r="AB138">
        <f t="shared" si="25"/>
        <v>9.3199762532266295</v>
      </c>
      <c r="AC138">
        <f t="shared" si="18"/>
        <v>19.599658143653343</v>
      </c>
      <c r="AD138">
        <f t="shared" si="19"/>
        <v>3104.6906923471006</v>
      </c>
      <c r="AE138">
        <f t="shared" si="26"/>
        <v>1058.1060037964721</v>
      </c>
      <c r="AG138">
        <v>8.299588862167198</v>
      </c>
      <c r="AH138">
        <v>2597.8847476043247</v>
      </c>
      <c r="AI138">
        <f t="shared" si="27"/>
        <v>26039.302982858015</v>
      </c>
      <c r="AJ138">
        <f t="shared" si="28"/>
        <v>1328.5590387345569</v>
      </c>
      <c r="AN138" s="43"/>
      <c r="AO138" s="43"/>
    </row>
    <row r="139" spans="1:41">
      <c r="A139">
        <v>120</v>
      </c>
      <c r="B139">
        <f t="shared" si="0"/>
        <v>120</v>
      </c>
      <c r="D139" s="43">
        <f t="shared" si="1"/>
        <v>159.73648658314531</v>
      </c>
      <c r="E139" s="43">
        <f t="shared" si="2"/>
        <v>269.60481705679035</v>
      </c>
      <c r="F139" s="69">
        <f t="shared" si="3"/>
        <v>0.25499839176800421</v>
      </c>
      <c r="G139" s="98">
        <f t="shared" si="4"/>
        <v>48.77433827794394</v>
      </c>
      <c r="H139" s="69">
        <f t="shared" si="5"/>
        <v>0.81282563651126771</v>
      </c>
      <c r="I139" s="69">
        <f t="shared" si="6"/>
        <v>3.5626386948296886</v>
      </c>
      <c r="J139" s="99">
        <f t="shared" si="7"/>
        <v>1.5047746178408776E-2</v>
      </c>
      <c r="K139" s="69">
        <f t="shared" si="8"/>
        <v>2.137669119354833E-2</v>
      </c>
      <c r="L139" s="99">
        <f t="shared" si="9"/>
        <v>3.6424437371957108E-2</v>
      </c>
      <c r="M139" s="69">
        <f t="shared" si="10"/>
        <v>22.315393048103903</v>
      </c>
      <c r="N139" s="69">
        <f t="shared" si="11"/>
        <v>20.118853906629376</v>
      </c>
      <c r="O139" s="69">
        <f t="shared" si="12"/>
        <v>24.75174625763724</v>
      </c>
      <c r="P139" s="69">
        <f t="shared" si="13"/>
        <v>0.57772460797883651</v>
      </c>
      <c r="Q139" s="69">
        <f t="shared" si="14"/>
        <v>0.7626285597492668</v>
      </c>
      <c r="R139" s="43">
        <f t="shared" si="15"/>
        <v>2086.3006098462624</v>
      </c>
      <c r="S139" s="43">
        <f t="shared" si="16"/>
        <v>845.82870484567923</v>
      </c>
      <c r="T139" s="43">
        <f>R139+Thrust!C$33*0.8</f>
        <v>3898.0606098462622</v>
      </c>
      <c r="U139" s="43"/>
      <c r="V139">
        <f t="shared" si="21"/>
        <v>228039.49323130128</v>
      </c>
      <c r="W139">
        <f t="shared" si="22"/>
        <v>1050935.9175938822</v>
      </c>
      <c r="Y139">
        <f t="shared" si="23"/>
        <v>-724.89375331804376</v>
      </c>
      <c r="Z139">
        <f t="shared" si="24"/>
        <v>-2.568405267518052</v>
      </c>
      <c r="AA139">
        <f t="shared" si="17"/>
        <v>2615.8296933380057</v>
      </c>
      <c r="AB139">
        <f t="shared" si="25"/>
        <v>9.306028280407773</v>
      </c>
      <c r="AC139">
        <f t="shared" si="18"/>
        <v>19.624892761715547</v>
      </c>
      <c r="AD139">
        <f t="shared" si="19"/>
        <v>3134.8114193274405</v>
      </c>
      <c r="AE139">
        <f t="shared" si="26"/>
        <v>1063.1116323552967</v>
      </c>
      <c r="AG139">
        <v>8.2870405556566116</v>
      </c>
      <c r="AH139">
        <v>2615.8296933380057</v>
      </c>
      <c r="AI139">
        <f t="shared" si="27"/>
        <v>26009.667291946138</v>
      </c>
      <c r="AJ139">
        <f t="shared" si="28"/>
        <v>1325.3406073477292</v>
      </c>
      <c r="AN139" s="43"/>
      <c r="AO139" s="43"/>
    </row>
    <row r="140" spans="1:41">
      <c r="A140">
        <v>121</v>
      </c>
      <c r="B140">
        <f t="shared" si="0"/>
        <v>121</v>
      </c>
      <c r="D140" s="43">
        <f t="shared" si="1"/>
        <v>161.06762397133818</v>
      </c>
      <c r="E140" s="43">
        <f t="shared" si="2"/>
        <v>271.85152386559696</v>
      </c>
      <c r="F140" s="69">
        <f t="shared" si="3"/>
        <v>0.25712337836607091</v>
      </c>
      <c r="G140" s="98">
        <f t="shared" si="4"/>
        <v>49.590631022734541</v>
      </c>
      <c r="H140" s="69">
        <f t="shared" si="5"/>
        <v>0.79944601910813828</v>
      </c>
      <c r="I140" s="69">
        <f t="shared" si="6"/>
        <v>3.4499740429155654</v>
      </c>
      <c r="J140" s="99">
        <f t="shared" si="7"/>
        <v>1.5047746178408776E-2</v>
      </c>
      <c r="K140" s="69">
        <f t="shared" si="8"/>
        <v>2.0581748540284835E-2</v>
      </c>
      <c r="L140" s="99">
        <f t="shared" si="9"/>
        <v>3.5629494718693609E-2</v>
      </c>
      <c r="M140" s="69">
        <f t="shared" si="10"/>
        <v>22.437759093134027</v>
      </c>
      <c r="N140" s="69">
        <f t="shared" si="11"/>
        <v>20.061992003211341</v>
      </c>
      <c r="O140" s="69">
        <f t="shared" si="12"/>
        <v>25.094867600432227</v>
      </c>
      <c r="P140" s="69">
        <f t="shared" si="13"/>
        <v>0.58253897971199353</v>
      </c>
      <c r="Q140" s="69">
        <f t="shared" si="14"/>
        <v>0.76550828597679699</v>
      </c>
      <c r="R140" s="43">
        <f t="shared" si="15"/>
        <v>2076.8713314306247</v>
      </c>
      <c r="S140" s="43">
        <f t="shared" si="16"/>
        <v>841.21591294630525</v>
      </c>
      <c r="T140" s="43">
        <f>R140+Thrust!C$33*0.8</f>
        <v>3888.6313314306244</v>
      </c>
      <c r="U140" s="43"/>
      <c r="V140">
        <f t="shared" si="21"/>
        <v>228685.82783444243</v>
      </c>
      <c r="W140">
        <f t="shared" si="22"/>
        <v>1057130.3532009204</v>
      </c>
      <c r="Y140">
        <f t="shared" si="23"/>
        <v>-726.94832689094278</v>
      </c>
      <c r="Z140">
        <f t="shared" si="24"/>
        <v>-2.554388958838036</v>
      </c>
      <c r="AA140">
        <f t="shared" si="17"/>
        <v>2633.4660409000621</v>
      </c>
      <c r="AB140">
        <f t="shared" si="25"/>
        <v>9.2912129736223985</v>
      </c>
      <c r="AC140">
        <f t="shared" si="18"/>
        <v>19.643322143066538</v>
      </c>
      <c r="AD140">
        <f t="shared" si="19"/>
        <v>3163.9032244873024</v>
      </c>
      <c r="AE140">
        <f t="shared" si="26"/>
        <v>1067.808662742498</v>
      </c>
      <c r="AG140">
        <v>8.2737071388068752</v>
      </c>
      <c r="AH140">
        <v>2633.4660409000621</v>
      </c>
      <c r="AI140">
        <f t="shared" si="27"/>
        <v>25971.11689923059</v>
      </c>
      <c r="AJ140">
        <f t="shared" si="28"/>
        <v>1322.1346526864124</v>
      </c>
      <c r="AN140" s="43"/>
      <c r="AO140" s="43"/>
    </row>
    <row r="141" spans="1:41">
      <c r="A141">
        <v>122</v>
      </c>
      <c r="B141">
        <f t="shared" si="0"/>
        <v>122</v>
      </c>
      <c r="D141" s="43">
        <f t="shared" si="1"/>
        <v>162.39876135953105</v>
      </c>
      <c r="E141" s="43">
        <f t="shared" si="2"/>
        <v>274.09823067440351</v>
      </c>
      <c r="F141" s="69">
        <f t="shared" si="3"/>
        <v>0.25924836496413761</v>
      </c>
      <c r="G141" s="98">
        <f t="shared" si="4"/>
        <v>50.413697981174828</v>
      </c>
      <c r="H141" s="69">
        <f t="shared" si="5"/>
        <v>0.78639405843605592</v>
      </c>
      <c r="I141" s="69">
        <f t="shared" si="6"/>
        <v>3.3400684632856845</v>
      </c>
      <c r="J141" s="99">
        <f t="shared" si="7"/>
        <v>1.5047746178408776E-2</v>
      </c>
      <c r="K141" s="69">
        <f t="shared" si="8"/>
        <v>1.982078695110237E-2</v>
      </c>
      <c r="L141" s="99">
        <f t="shared" si="9"/>
        <v>3.4868533129511145E-2</v>
      </c>
      <c r="M141" s="69">
        <f t="shared" si="10"/>
        <v>22.553115598960705</v>
      </c>
      <c r="N141" s="69">
        <f t="shared" si="11"/>
        <v>19.999846282539959</v>
      </c>
      <c r="O141" s="69">
        <f t="shared" si="12"/>
        <v>25.432346630790583</v>
      </c>
      <c r="P141" s="69">
        <f t="shared" si="13"/>
        <v>0.58735335144515033</v>
      </c>
      <c r="Q141" s="69">
        <f t="shared" si="14"/>
        <v>0.76834386793263976</v>
      </c>
      <c r="R141" s="43">
        <f t="shared" si="15"/>
        <v>2067.4778468996469</v>
      </c>
      <c r="S141" s="43">
        <f t="shared" si="16"/>
        <v>836.91319353099925</v>
      </c>
      <c r="T141" s="43">
        <f>R141+Thrust!C$33*0.8</f>
        <v>3879.2378468996467</v>
      </c>
      <c r="U141" s="43"/>
      <c r="V141">
        <f t="shared" si="21"/>
        <v>229396.42557491155</v>
      </c>
      <c r="W141">
        <f t="shared" si="22"/>
        <v>1063292.2302003757</v>
      </c>
      <c r="Y141">
        <f t="shared" si="23"/>
        <v>-729.20718063548043</v>
      </c>
      <c r="Z141">
        <f t="shared" si="24"/>
        <v>-2.5413149661930823</v>
      </c>
      <c r="AA141">
        <f t="shared" si="17"/>
        <v>2650.7946107299522</v>
      </c>
      <c r="AB141">
        <f t="shared" si="25"/>
        <v>9.2755546788083141</v>
      </c>
      <c r="AC141">
        <f t="shared" si="18"/>
        <v>19.65501037325167</v>
      </c>
      <c r="AD141">
        <f t="shared" si="19"/>
        <v>3191.9493391248056</v>
      </c>
      <c r="AE141">
        <f t="shared" si="26"/>
        <v>1072.1979153975321</v>
      </c>
      <c r="AG141">
        <v>8.2596089508360695</v>
      </c>
      <c r="AH141">
        <v>2650.7946107299522</v>
      </c>
      <c r="AI141">
        <f t="shared" si="27"/>
        <v>25923.796441181832</v>
      </c>
      <c r="AJ141">
        <f t="shared" si="28"/>
        <v>1318.94086794588</v>
      </c>
      <c r="AN141" s="43"/>
      <c r="AO141" s="43"/>
    </row>
    <row r="142" spans="1:41">
      <c r="A142">
        <v>123</v>
      </c>
      <c r="B142">
        <f t="shared" si="0"/>
        <v>123</v>
      </c>
      <c r="D142" s="43">
        <f t="shared" si="1"/>
        <v>163.72989874772392</v>
      </c>
      <c r="E142" s="43">
        <f t="shared" si="2"/>
        <v>276.34493748321006</v>
      </c>
      <c r="F142" s="69">
        <f t="shared" si="3"/>
        <v>0.26137335156220426</v>
      </c>
      <c r="G142" s="98">
        <f t="shared" si="4"/>
        <v>51.243539153264841</v>
      </c>
      <c r="H142" s="69">
        <f t="shared" si="5"/>
        <v>0.77365914242595402</v>
      </c>
      <c r="I142" s="69">
        <f t="shared" si="6"/>
        <v>3.2328325957564576</v>
      </c>
      <c r="J142" s="99">
        <f t="shared" si="7"/>
        <v>1.5047746178408776E-2</v>
      </c>
      <c r="K142" s="69">
        <f t="shared" si="8"/>
        <v>1.9092125416156989E-2</v>
      </c>
      <c r="L142" s="99">
        <f t="shared" si="9"/>
        <v>3.4139871594565767E-2</v>
      </c>
      <c r="M142" s="69">
        <f t="shared" si="10"/>
        <v>22.661454372578884</v>
      </c>
      <c r="N142" s="69">
        <f t="shared" si="11"/>
        <v>19.932538411811926</v>
      </c>
      <c r="O142" s="69">
        <f t="shared" si="12"/>
        <v>25.76397966333041</v>
      </c>
      <c r="P142" s="69">
        <f t="shared" si="13"/>
        <v>0.59216772317830735</v>
      </c>
      <c r="Q142" s="69">
        <f t="shared" si="14"/>
        <v>0.77113530561679622</v>
      </c>
      <c r="R142" s="43">
        <f t="shared" si="15"/>
        <v>2058.1192832317533</v>
      </c>
      <c r="S142" s="43">
        <f t="shared" si="16"/>
        <v>832.91211983461142</v>
      </c>
      <c r="T142" s="43">
        <f>R142+Thrust!C$33*0.8</f>
        <v>3869.8792832317531</v>
      </c>
      <c r="U142" s="43"/>
      <c r="V142">
        <f t="shared" si="21"/>
        <v>230171.04768470366</v>
      </c>
      <c r="W142">
        <f t="shared" si="22"/>
        <v>1069421.5485922485</v>
      </c>
      <c r="Y142">
        <f t="shared" si="23"/>
        <v>-731.66955555402478</v>
      </c>
      <c r="Z142">
        <f t="shared" si="24"/>
        <v>-2.5291576554859763</v>
      </c>
      <c r="AA142">
        <f t="shared" si="17"/>
        <v>2667.8161618253075</v>
      </c>
      <c r="AB142">
        <f t="shared" si="25"/>
        <v>9.2590767401274849</v>
      </c>
      <c r="AC142">
        <f t="shared" si="18"/>
        <v>19.660030491614219</v>
      </c>
      <c r="AD142">
        <f t="shared" si="19"/>
        <v>3218.9348017691609</v>
      </c>
      <c r="AE142">
        <f t="shared" si="26"/>
        <v>1076.2801493180325</v>
      </c>
      <c r="AG142">
        <v>8.2447654984417351</v>
      </c>
      <c r="AH142">
        <v>2667.8161618253075</v>
      </c>
      <c r="AI142">
        <f t="shared" si="27"/>
        <v>25867.861200448835</v>
      </c>
      <c r="AJ142">
        <f t="shared" si="28"/>
        <v>1315.7589562987962</v>
      </c>
      <c r="AN142" s="43"/>
      <c r="AO142" s="43"/>
    </row>
    <row r="143" spans="1:41">
      <c r="A143">
        <v>124</v>
      </c>
      <c r="B143">
        <f t="shared" si="0"/>
        <v>124</v>
      </c>
      <c r="D143" s="43">
        <f t="shared" si="1"/>
        <v>165.06103613591679</v>
      </c>
      <c r="E143" s="43">
        <f t="shared" si="2"/>
        <v>278.59164429201667</v>
      </c>
      <c r="F143" s="69">
        <f t="shared" si="3"/>
        <v>0.26349833816027096</v>
      </c>
      <c r="G143" s="98">
        <f t="shared" si="4"/>
        <v>52.080154539004575</v>
      </c>
      <c r="H143" s="69">
        <f t="shared" si="5"/>
        <v>0.76123108518224891</v>
      </c>
      <c r="I143" s="69">
        <f t="shared" si="6"/>
        <v>3.1281806687885512</v>
      </c>
      <c r="J143" s="99">
        <f t="shared" si="7"/>
        <v>1.5047746178408776E-2</v>
      </c>
      <c r="K143" s="69">
        <f t="shared" si="8"/>
        <v>1.8394178068708793E-2</v>
      </c>
      <c r="L143" s="99">
        <f t="shared" si="9"/>
        <v>3.3441924247117567E-2</v>
      </c>
      <c r="M143" s="69">
        <f t="shared" si="10"/>
        <v>22.762777630771684</v>
      </c>
      <c r="N143" s="69">
        <f t="shared" si="11"/>
        <v>19.860195215865716</v>
      </c>
      <c r="O143" s="69">
        <f t="shared" si="12"/>
        <v>26.089574640939578</v>
      </c>
      <c r="P143" s="69">
        <f t="shared" si="13"/>
        <v>0.59698209491146426</v>
      </c>
      <c r="Q143" s="69">
        <f t="shared" si="14"/>
        <v>0.77388259902926571</v>
      </c>
      <c r="R143" s="43">
        <f t="shared" si="15"/>
        <v>2048.7947955673526</v>
      </c>
      <c r="S143" s="43">
        <f t="shared" si="16"/>
        <v>829.20460350515305</v>
      </c>
      <c r="T143" s="43">
        <f>R143+Thrust!C$33*0.8</f>
        <v>3860.5547955673528</v>
      </c>
      <c r="U143" s="43"/>
      <c r="V143">
        <f t="shared" si="21"/>
        <v>231009.47394501031</v>
      </c>
      <c r="W143">
        <f t="shared" si="22"/>
        <v>1075518.308376539</v>
      </c>
      <c r="Y143">
        <f t="shared" si="23"/>
        <v>-734.33475161327783</v>
      </c>
      <c r="Z143">
        <f t="shared" si="24"/>
        <v>-2.5178924241014866</v>
      </c>
      <c r="AA143">
        <f t="shared" si="17"/>
        <v>2684.5313942194289</v>
      </c>
      <c r="AB143">
        <f t="shared" si="25"/>
        <v>9.2418015486600602</v>
      </c>
      <c r="AC143">
        <f t="shared" si="18"/>
        <v>19.658464142928533</v>
      </c>
      <c r="AD143">
        <f t="shared" si="19"/>
        <v>3244.8464602725508</v>
      </c>
      <c r="AE143">
        <f t="shared" si="26"/>
        <v>1080.0560645372966</v>
      </c>
      <c r="AG143">
        <v>8.2291954961747251</v>
      </c>
      <c r="AH143">
        <v>2684.5313942194289</v>
      </c>
      <c r="AI143">
        <f t="shared" si="27"/>
        <v>25803.476526960345</v>
      </c>
      <c r="AJ143">
        <f t="shared" si="28"/>
        <v>1312.5886304928999</v>
      </c>
      <c r="AN143" s="43"/>
      <c r="AO143" s="43"/>
    </row>
    <row r="144" spans="1:41">
      <c r="A144">
        <v>125</v>
      </c>
      <c r="B144">
        <f t="shared" si="0"/>
        <v>125</v>
      </c>
      <c r="D144" s="43">
        <f t="shared" si="1"/>
        <v>166.39217352410969</v>
      </c>
      <c r="E144" s="43">
        <f t="shared" si="2"/>
        <v>280.83835110082327</v>
      </c>
      <c r="F144" s="69">
        <f t="shared" si="3"/>
        <v>0.26562332475833772</v>
      </c>
      <c r="G144" s="98">
        <f t="shared" si="4"/>
        <v>52.923544138394028</v>
      </c>
      <c r="H144" s="69">
        <f t="shared" si="5"/>
        <v>0.74910010660878434</v>
      </c>
      <c r="I144" s="69">
        <f t="shared" si="6"/>
        <v>3.0260303279247385</v>
      </c>
      <c r="J144" s="99">
        <f t="shared" si="7"/>
        <v>1.5047746178408776E-2</v>
      </c>
      <c r="K144" s="69">
        <f t="shared" si="8"/>
        <v>1.7725448113728916E-2</v>
      </c>
      <c r="L144" s="99">
        <f t="shared" si="9"/>
        <v>3.2773194292137695E-2</v>
      </c>
      <c r="M144" s="69">
        <f t="shared" si="10"/>
        <v>22.857097783370289</v>
      </c>
      <c r="N144" s="69">
        <f t="shared" si="11"/>
        <v>19.782948283286125</v>
      </c>
      <c r="O144" s="69">
        <f t="shared" si="12"/>
        <v>26.408951365451774</v>
      </c>
      <c r="P144" s="69">
        <f t="shared" si="13"/>
        <v>0.60179646664462128</v>
      </c>
      <c r="Q144" s="69">
        <f t="shared" si="14"/>
        <v>0.77658574817004866</v>
      </c>
      <c r="R144" s="43">
        <f t="shared" si="15"/>
        <v>2039.5035660823617</v>
      </c>
      <c r="S144" s="43">
        <f t="shared" si="16"/>
        <v>825.78287842529721</v>
      </c>
      <c r="T144" s="43">
        <f>R144+Thrust!C$33*0.8</f>
        <v>3851.2635660823616</v>
      </c>
      <c r="U144" s="43"/>
      <c r="V144">
        <f t="shared" si="21"/>
        <v>231911.50194425209</v>
      </c>
      <c r="W144">
        <f t="shared" si="22"/>
        <v>1081582.5095532469</v>
      </c>
      <c r="Y144">
        <f t="shared" si="23"/>
        <v>-737.20212538570206</v>
      </c>
      <c r="Z144">
        <f t="shared" si="24"/>
        <v>-2.5074956514716371</v>
      </c>
      <c r="AA144">
        <f t="shared" si="17"/>
        <v>2700.9409513398514</v>
      </c>
      <c r="AB144">
        <f t="shared" si="25"/>
        <v>9.2237505883709954</v>
      </c>
      <c r="AC144">
        <f t="shared" si="18"/>
        <v>19.650401206609079</v>
      </c>
      <c r="AD144">
        <f t="shared" si="19"/>
        <v>3269.672967388472</v>
      </c>
      <c r="AE144">
        <f t="shared" si="26"/>
        <v>1083.526304482863</v>
      </c>
      <c r="AG144">
        <v>8.2129169045538184</v>
      </c>
      <c r="AH144">
        <v>2700.9409513398514</v>
      </c>
      <c r="AI144">
        <f t="shared" si="27"/>
        <v>25730.817236810908</v>
      </c>
      <c r="AJ144">
        <f t="shared" si="28"/>
        <v>1309.4296124680031</v>
      </c>
      <c r="AN144" s="43"/>
      <c r="AO144" s="43"/>
    </row>
    <row r="145" spans="1:41">
      <c r="A145">
        <v>126</v>
      </c>
      <c r="B145">
        <f t="shared" si="0"/>
        <v>126</v>
      </c>
      <c r="D145" s="43">
        <f t="shared" si="1"/>
        <v>167.72331091230257</v>
      </c>
      <c r="E145" s="43">
        <f t="shared" si="2"/>
        <v>283.08505790962988</v>
      </c>
      <c r="F145" s="69">
        <f t="shared" si="3"/>
        <v>0.26774831135640442</v>
      </c>
      <c r="G145" s="98">
        <f t="shared" si="4"/>
        <v>53.773707951433195</v>
      </c>
      <c r="H145" s="69">
        <f t="shared" si="5"/>
        <v>0.73725681316214764</v>
      </c>
      <c r="I145" s="69">
        <f t="shared" si="6"/>
        <v>2.9263024737209218</v>
      </c>
      <c r="J145" s="99">
        <f t="shared" si="7"/>
        <v>1.5047746178408776E-2</v>
      </c>
      <c r="K145" s="69">
        <f t="shared" si="8"/>
        <v>1.7084522187620386E-2</v>
      </c>
      <c r="L145" s="99">
        <f t="shared" si="9"/>
        <v>3.2132268366029164E-2</v>
      </c>
      <c r="M145" s="69">
        <f t="shared" si="10"/>
        <v>22.94443718581628</v>
      </c>
      <c r="N145" s="69">
        <f t="shared" si="11"/>
        <v>19.700933564907661</v>
      </c>
      <c r="O145" s="69">
        <f t="shared" si="12"/>
        <v>26.721941680550824</v>
      </c>
      <c r="P145" s="69">
        <f t="shared" si="13"/>
        <v>0.60661083837777841</v>
      </c>
      <c r="Q145" s="69">
        <f t="shared" si="14"/>
        <v>0.77924475303914487</v>
      </c>
      <c r="R145" s="43">
        <f t="shared" si="15"/>
        <v>2030.2448029153654</v>
      </c>
      <c r="S145" s="43">
        <f t="shared" si="16"/>
        <v>822.63948542909088</v>
      </c>
      <c r="T145" s="43">
        <f>R145+Thrust!C$33*0.8</f>
        <v>3842.0048029153654</v>
      </c>
      <c r="U145" s="43"/>
      <c r="V145">
        <f t="shared" si="21"/>
        <v>232876.94637144232</v>
      </c>
      <c r="W145">
        <f t="shared" si="22"/>
        <v>1087614.1521223723</v>
      </c>
      <c r="Y145">
        <f t="shared" si="23"/>
        <v>-740.27108780326023</v>
      </c>
      <c r="Z145">
        <f t="shared" si="24"/>
        <v>-2.4979446523868201</v>
      </c>
      <c r="AA145">
        <f t="shared" si="17"/>
        <v>2717.0454222546118</v>
      </c>
      <c r="AB145">
        <f t="shared" si="25"/>
        <v>9.2049444795219966</v>
      </c>
      <c r="AC145">
        <f t="shared" si="18"/>
        <v>19.63593940593719</v>
      </c>
      <c r="AD145">
        <f t="shared" si="19"/>
        <v>3293.404770037137</v>
      </c>
      <c r="AE145">
        <f t="shared" si="26"/>
        <v>1086.6914582227678</v>
      </c>
      <c r="AG145">
        <v>8.1959469660640902</v>
      </c>
      <c r="AH145">
        <v>2717.0454222546118</v>
      </c>
      <c r="AI145">
        <f t="shared" si="27"/>
        <v>25650.066992504366</v>
      </c>
      <c r="AJ145">
        <f t="shared" si="28"/>
        <v>1306.2816329912243</v>
      </c>
      <c r="AN145" s="43"/>
      <c r="AO145" s="43"/>
    </row>
    <row r="146" spans="1:41">
      <c r="A146">
        <v>127</v>
      </c>
      <c r="B146">
        <f t="shared" si="0"/>
        <v>127</v>
      </c>
      <c r="D146" s="43">
        <f t="shared" si="1"/>
        <v>169.05444830049544</v>
      </c>
      <c r="E146" s="43">
        <f t="shared" si="2"/>
        <v>285.33176471843643</v>
      </c>
      <c r="F146" s="69">
        <f t="shared" si="3"/>
        <v>0.26987329795447107</v>
      </c>
      <c r="G146" s="98">
        <f t="shared" si="4"/>
        <v>54.630645978122061</v>
      </c>
      <c r="H146" s="69">
        <f t="shared" si="5"/>
        <v>0.72569217966161936</v>
      </c>
      <c r="I146" s="69">
        <f t="shared" si="6"/>
        <v>2.8289211085746602</v>
      </c>
      <c r="J146" s="99">
        <f t="shared" si="7"/>
        <v>1.5047746178408776E-2</v>
      </c>
      <c r="K146" s="69">
        <f t="shared" si="8"/>
        <v>1.647006511536573E-2</v>
      </c>
      <c r="L146" s="99">
        <f t="shared" si="9"/>
        <v>3.1517811293774504E-2</v>
      </c>
      <c r="M146" s="69">
        <f t="shared" si="10"/>
        <v>23.02482786312514</v>
      </c>
      <c r="N146" s="69" t="e" cm="1" vm="3">
        <f t="array" aca="1" ref="N146" ca="1">'Performance Analysis'!U104:AO121=H146^1.5/L146</f>
        <v>#VALUE!</v>
      </c>
      <c r="O146" s="69">
        <f t="shared" si="12"/>
        <v>27.028389607380845</v>
      </c>
      <c r="P146" s="69">
        <f t="shared" si="13"/>
        <v>0.6114252101109352</v>
      </c>
      <c r="Q146" s="69">
        <f t="shared" si="14"/>
        <v>0.78185961363655432</v>
      </c>
      <c r="R146" s="43">
        <f t="shared" si="15"/>
        <v>2021.0177391454667</v>
      </c>
      <c r="S146" s="43">
        <f t="shared" si="16"/>
        <v>819.76725785771475</v>
      </c>
      <c r="T146" s="43">
        <f>R146+Thrust!C$33*0.8</f>
        <v>3832.7777391454665</v>
      </c>
      <c r="U146" s="43"/>
      <c r="V146">
        <f t="shared" si="21"/>
        <v>233905.63834293527</v>
      </c>
      <c r="W146">
        <f t="shared" si="22"/>
        <v>1093613.236083915</v>
      </c>
      <c r="Y146">
        <f t="shared" si="23"/>
        <v>-743.54110201727758</v>
      </c>
      <c r="Z146">
        <f t="shared" si="24"/>
        <v>-2.489217632879575</v>
      </c>
      <c r="AA146">
        <f t="shared" si="17"/>
        <v>2732.8453438123861</v>
      </c>
      <c r="AB146">
        <f t="shared" si="25"/>
        <v>9.18540301968922</v>
      </c>
      <c r="AC146">
        <f t="shared" si="18"/>
        <v>19.615183899801671</v>
      </c>
      <c r="AD146">
        <f t="shared" si="19"/>
        <v>3316.0340924937323</v>
      </c>
      <c r="AE146">
        <f t="shared" si="26"/>
        <v>1089.5520626056862</v>
      </c>
      <c r="AG146">
        <v>8.1783022391720319</v>
      </c>
      <c r="AH146">
        <v>2732.8453438123861</v>
      </c>
      <c r="AI146">
        <f t="shared" si="27"/>
        <v>25561.417668137499</v>
      </c>
      <c r="AJ146">
        <f t="shared" si="28"/>
        <v>1303.1444313094587</v>
      </c>
      <c r="AN146" s="43"/>
      <c r="AO146" s="43"/>
    </row>
    <row r="147" spans="1:41">
      <c r="A147">
        <v>128</v>
      </c>
      <c r="B147">
        <f t="shared" si="0"/>
        <v>128</v>
      </c>
      <c r="D147" s="43">
        <f t="shared" si="1"/>
        <v>170.38558568868831</v>
      </c>
      <c r="E147" s="43">
        <f t="shared" si="2"/>
        <v>287.57847152724304</v>
      </c>
      <c r="F147" s="69">
        <f t="shared" si="3"/>
        <v>0.27199828455253783</v>
      </c>
      <c r="G147" s="98">
        <f t="shared" si="4"/>
        <v>55.494358218460661</v>
      </c>
      <c r="H147" s="69">
        <f t="shared" si="5"/>
        <v>0.71439753208998147</v>
      </c>
      <c r="I147" s="69">
        <f t="shared" si="6"/>
        <v>2.7338131918973381</v>
      </c>
      <c r="J147" s="99">
        <f t="shared" si="7"/>
        <v>1.5047746178408776E-2</v>
      </c>
      <c r="K147" s="69">
        <f t="shared" si="8"/>
        <v>1.5880815034284606E-2</v>
      </c>
      <c r="L147" s="99">
        <f t="shared" si="9"/>
        <v>3.0928561212693384E-2</v>
      </c>
      <c r="M147" s="69">
        <f t="shared" si="10"/>
        <v>23.098311207466896</v>
      </c>
      <c r="N147" s="69">
        <f t="shared" si="11"/>
        <v>19.523163940769077</v>
      </c>
      <c r="O147" s="69">
        <f t="shared" si="12"/>
        <v>27.328151433633522</v>
      </c>
      <c r="P147" s="69">
        <f t="shared" si="13"/>
        <v>0.61623958184409222</v>
      </c>
      <c r="Q147" s="69">
        <f t="shared" si="14"/>
        <v>0.78443032996227702</v>
      </c>
      <c r="R147" s="43">
        <f t="shared" si="15"/>
        <v>2011.8216318180455</v>
      </c>
      <c r="S147" s="43">
        <f t="shared" si="16"/>
        <v>817.15930790205812</v>
      </c>
      <c r="T147" s="43">
        <f>R147+Thrust!C$33*0.8</f>
        <v>3823.5816318180455</v>
      </c>
      <c r="U147" s="43"/>
      <c r="V147">
        <f t="shared" si="21"/>
        <v>234997.42476073364</v>
      </c>
      <c r="W147">
        <f t="shared" si="22"/>
        <v>1099579.7614378752</v>
      </c>
      <c r="Y147">
        <f t="shared" si="23"/>
        <v>-747.01168135862349</v>
      </c>
      <c r="Z147">
        <f t="shared" si="24"/>
        <v>-2.4812936485200874</v>
      </c>
      <c r="AA147">
        <f t="shared" si="17"/>
        <v>2748.3412026823044</v>
      </c>
      <c r="AB147">
        <f t="shared" si="25"/>
        <v>9.1651452225360792</v>
      </c>
      <c r="AC147">
        <f t="shared" si="18"/>
        <v>19.588246859480357</v>
      </c>
      <c r="AD147">
        <f t="shared" si="19"/>
        <v>3337.5549137671696</v>
      </c>
      <c r="AE147">
        <f t="shared" si="26"/>
        <v>1092.1086043007485</v>
      </c>
      <c r="AG147">
        <v>8.1599986304809491</v>
      </c>
      <c r="AH147">
        <v>2748.3412026823044</v>
      </c>
      <c r="AI147">
        <f t="shared" si="27"/>
        <v>25465.068703085046</v>
      </c>
      <c r="AJ147">
        <f t="shared" si="28"/>
        <v>1300.0177548181355</v>
      </c>
      <c r="AN147" s="43"/>
      <c r="AO147" s="43"/>
    </row>
    <row r="148" spans="1:41">
      <c r="A148">
        <v>129</v>
      </c>
      <c r="B148">
        <f t="shared" ref="B148:B211" si="32">A148</f>
        <v>129</v>
      </c>
      <c r="D148" s="43">
        <f t="shared" ref="D148:D211" si="33">A148/SQRT(D$75)</f>
        <v>171.71672307688118</v>
      </c>
      <c r="E148" s="43">
        <f t="shared" ref="E148:E211" si="34">D148*1.68780986</f>
        <v>289.82517833604959</v>
      </c>
      <c r="F148" s="69">
        <f t="shared" ref="F148:F211" si="35">E148/SQRT(1716.46*1.4*$D$77)</f>
        <v>0.27412327115060448</v>
      </c>
      <c r="G148" s="98">
        <f t="shared" ref="G148:G211" si="36">0.5*$D$76*E148^2</f>
        <v>56.364844672448953</v>
      </c>
      <c r="H148" s="69">
        <f t="shared" ref="H148:H211" si="37">2*$D$66/($D$76*E148^2*$D$69)</f>
        <v>0.70336453132397447</v>
      </c>
      <c r="I148" s="69">
        <f t="shared" ref="I148:I211" si="38">DEGREES((H148-$J$66)/$J$67)</f>
        <v>2.6409085031145563</v>
      </c>
      <c r="J148" s="99">
        <f t="shared" ref="J148:J211" si="39">$J$69</f>
        <v>1.5047746178408776E-2</v>
      </c>
      <c r="K148" s="69">
        <f t="shared" ref="K148:K211" si="40">$J$71*(H148-$J$68)^2</f>
        <v>1.5315578856189631E-2</v>
      </c>
      <c r="L148" s="99">
        <f t="shared" ref="L148:L211" si="41">SUM(J148:K148)</f>
        <v>3.0363325034598408E-2</v>
      </c>
      <c r="M148" s="69">
        <f t="shared" ref="M148:M211" si="42">H148/L148</f>
        <v>23.164937651673672</v>
      </c>
      <c r="N148" s="69">
        <f t="shared" ref="N148:N211" si="43">H148^1.5/L148</f>
        <v>19.427699071889126</v>
      </c>
      <c r="O148" s="69">
        <f t="shared" ref="O148:O211" si="44">H148^0.5/L148</f>
        <v>27.621095757159519</v>
      </c>
      <c r="P148" s="69">
        <f t="shared" ref="P148:P211" si="45">60*E148/($J$79*$J$75)</f>
        <v>0.62105395357724913</v>
      </c>
      <c r="Q148" s="69">
        <f t="shared" ref="Q148:Q211" si="46">0.096574+1.703049*P148-0.952281*P148^2</f>
        <v>0.78695690201631296</v>
      </c>
      <c r="R148" s="43">
        <f t="shared" ref="R148:R211" si="47">Q148*550*$J$78/E148</f>
        <v>2002.6557610158357</v>
      </c>
      <c r="S148" s="43">
        <f t="shared" ref="S148:S211" si="48">$D$69*G148*L148</f>
        <v>814.8090136835001</v>
      </c>
      <c r="T148" s="43">
        <f>R148+Thrust!C$33*0.8</f>
        <v>3814.4157610158354</v>
      </c>
      <c r="U148" s="43"/>
      <c r="V148">
        <f t="shared" si="21"/>
        <v>236152.16770064109</v>
      </c>
      <c r="W148">
        <f t="shared" si="22"/>
        <v>1105513.7281842527</v>
      </c>
      <c r="Y148">
        <f t="shared" si="23"/>
        <v>-750.68238739276649</v>
      </c>
      <c r="Z148">
        <f t="shared" si="24"/>
        <v>-2.4741525649737004</v>
      </c>
      <c r="AA148">
        <f t="shared" ref="AA148:AA211" si="49">60*(((T148*E148)-(S148*E148))/$D$66)</f>
        <v>2763.5334372988982</v>
      </c>
      <c r="AB148">
        <f t="shared" si="25"/>
        <v>9.1441893544800479</v>
      </c>
      <c r="AC148">
        <f t="shared" ref="AC148:AC211" si="50">((325.9*Q148)/($J$74*D148))*M148*LN($D$66/$D$68)</f>
        <v>19.555247032998086</v>
      </c>
      <c r="AD148">
        <f t="shared" ref="AD148:AD211" si="51">((325.9*Q148)/($J$74))*M148*LN($D$66/$D$68)</f>
        <v>3357.9629394653352</v>
      </c>
      <c r="AE148">
        <f t="shared" si="26"/>
        <v>1094.3615217424865</v>
      </c>
      <c r="AG148">
        <v>8.1410514251418018</v>
      </c>
      <c r="AH148">
        <v>2763.5334372988982</v>
      </c>
      <c r="AI148">
        <f t="shared" si="27"/>
        <v>25361.226447696859</v>
      </c>
      <c r="AJ148">
        <f t="shared" si="28"/>
        <v>1296.9013587453842</v>
      </c>
      <c r="AN148" s="43"/>
      <c r="AO148" s="43"/>
    </row>
    <row r="149" spans="1:41">
      <c r="A149">
        <v>130</v>
      </c>
      <c r="B149">
        <f t="shared" si="32"/>
        <v>130</v>
      </c>
      <c r="D149" s="43">
        <f t="shared" si="33"/>
        <v>173.04786046507408</v>
      </c>
      <c r="E149" s="43">
        <f t="shared" si="34"/>
        <v>292.0718851448562</v>
      </c>
      <c r="F149" s="69">
        <f t="shared" si="35"/>
        <v>0.27624825774867118</v>
      </c>
      <c r="G149" s="98">
        <f t="shared" si="36"/>
        <v>57.242105340086987</v>
      </c>
      <c r="H149" s="69">
        <f t="shared" si="37"/>
        <v>0.69258515773741147</v>
      </c>
      <c r="I149" s="69">
        <f t="shared" si="38"/>
        <v>2.5501395120148289</v>
      </c>
      <c r="J149" s="99">
        <f t="shared" si="39"/>
        <v>1.5047746178408776E-2</v>
      </c>
      <c r="K149" s="69">
        <f t="shared" si="40"/>
        <v>1.4773228042095458E-2</v>
      </c>
      <c r="L149" s="99">
        <f t="shared" si="41"/>
        <v>2.9820974220504233E-2</v>
      </c>
      <c r="M149" s="69">
        <f t="shared" si="42"/>
        <v>23.224766321054844</v>
      </c>
      <c r="N149" s="69">
        <f t="shared" si="43"/>
        <v>19.328045669435085</v>
      </c>
      <c r="O149" s="69">
        <f t="shared" si="44"/>
        <v>27.907103485407305</v>
      </c>
      <c r="P149" s="69">
        <f t="shared" si="45"/>
        <v>0.62586832531040615</v>
      </c>
      <c r="Q149" s="69">
        <f t="shared" si="46"/>
        <v>0.78943932979866216</v>
      </c>
      <c r="R149" s="43">
        <f t="shared" si="47"/>
        <v>1993.5194289728695</v>
      </c>
      <c r="S149" s="43">
        <f t="shared" si="48"/>
        <v>812.71000702764945</v>
      </c>
      <c r="T149" s="43">
        <f>R149+Thrust!C$33*0.8</f>
        <v>3805.2794289728695</v>
      </c>
      <c r="U149" s="43"/>
      <c r="V149">
        <f t="shared" ref="V149:V212" si="52">S149*E149</f>
        <v>237369.7438286549</v>
      </c>
      <c r="W149">
        <f t="shared" ref="W149:W212" si="53">T149*E149</f>
        <v>1111415.1363230478</v>
      </c>
      <c r="Y149">
        <f t="shared" ref="Y149:Y212" si="54">-(E149/M149)*60</f>
        <v>-754.55282806459843</v>
      </c>
      <c r="Z149">
        <f t="shared" ref="Z149:Z212" si="55">ASIN((Y149/60)/E149)*180/PI()</f>
        <v>-2.4677750206811342</v>
      </c>
      <c r="AA149">
        <f t="shared" si="49"/>
        <v>2778.4224397172757</v>
      </c>
      <c r="AB149">
        <f t="shared" ref="AB149:AB212" si="56">ASIN((AA149/60)/E149)*180/PI()</f>
        <v>9.1225529693827969</v>
      </c>
      <c r="AC149">
        <f t="shared" si="50"/>
        <v>19.516309299583906</v>
      </c>
      <c r="AD149">
        <f t="shared" si="51"/>
        <v>3377.255568467624</v>
      </c>
      <c r="AE149">
        <f t="shared" ref="AE149:AE212" si="57">60*(((R149*E149)-(S149*E149))/$D$66)</f>
        <v>1096.3112069860081</v>
      </c>
      <c r="AG149">
        <v>8.121475315626407</v>
      </c>
      <c r="AH149">
        <v>2778.4224397172757</v>
      </c>
      <c r="AI149">
        <f t="shared" ref="AI149:AI212" si="58">($J$74*T149)*AC149</f>
        <v>25250.103504440707</v>
      </c>
      <c r="AJ149">
        <f t="shared" ref="AJ149:AJ212" si="59">$J$74*T149</f>
        <v>1293.7950058507756</v>
      </c>
      <c r="AN149" s="43"/>
      <c r="AO149" s="43"/>
    </row>
    <row r="150" spans="1:41">
      <c r="A150">
        <v>131</v>
      </c>
      <c r="B150">
        <f t="shared" si="32"/>
        <v>131</v>
      </c>
      <c r="D150" s="43">
        <f t="shared" si="33"/>
        <v>174.37899785326695</v>
      </c>
      <c r="E150" s="43">
        <f t="shared" si="34"/>
        <v>294.3185919536628</v>
      </c>
      <c r="F150" s="69">
        <f t="shared" si="35"/>
        <v>0.27837324434673794</v>
      </c>
      <c r="G150" s="98">
        <f t="shared" si="36"/>
        <v>58.126140221374719</v>
      </c>
      <c r="H150" s="69">
        <f t="shared" si="37"/>
        <v>0.68205169662387133</v>
      </c>
      <c r="I150" s="69">
        <f t="shared" si="38"/>
        <v>2.4614412559996475</v>
      </c>
      <c r="J150" s="99">
        <f t="shared" si="39"/>
        <v>1.5047746178408776E-2</v>
      </c>
      <c r="K150" s="69">
        <f t="shared" si="40"/>
        <v>1.4252694665789141E-2</v>
      </c>
      <c r="L150" s="99">
        <f t="shared" si="41"/>
        <v>2.9300440844197917E-2</v>
      </c>
      <c r="M150" s="69">
        <f t="shared" si="42"/>
        <v>23.277864665948581</v>
      </c>
      <c r="N150" s="69">
        <f t="shared" si="43"/>
        <v>19.22435535884355</v>
      </c>
      <c r="O150" s="69">
        <f t="shared" si="44"/>
        <v>28.186067792226517</v>
      </c>
      <c r="P150" s="69">
        <f t="shared" si="45"/>
        <v>0.63068269704356317</v>
      </c>
      <c r="Q150" s="69">
        <f t="shared" si="46"/>
        <v>0.79187761330932482</v>
      </c>
      <c r="R150" s="43">
        <f t="shared" si="47"/>
        <v>1984.4119592290135</v>
      </c>
      <c r="S150" s="43">
        <f t="shared" si="48"/>
        <v>810.85616188888673</v>
      </c>
      <c r="T150" s="43">
        <f>R150+Thrust!C$33*0.8</f>
        <v>3796.1719592290137</v>
      </c>
      <c r="U150" s="43"/>
      <c r="V150">
        <f t="shared" si="52"/>
        <v>238650.04384408839</v>
      </c>
      <c r="W150">
        <f t="shared" si="53"/>
        <v>1117283.9858542609</v>
      </c>
      <c r="Y150">
        <f t="shared" si="54"/>
        <v>-758.62265592822803</v>
      </c>
      <c r="Z150">
        <f t="shared" si="55"/>
        <v>-2.4621423915317058</v>
      </c>
      <c r="AA150">
        <f t="shared" si="49"/>
        <v>2793.0085573833294</v>
      </c>
      <c r="AB150">
        <f t="shared" si="56"/>
        <v>9.1002529413840918</v>
      </c>
      <c r="AC150">
        <f t="shared" si="50"/>
        <v>19.471564216716647</v>
      </c>
      <c r="AD150">
        <f t="shared" si="51"/>
        <v>3395.4318547465818</v>
      </c>
      <c r="AE150">
        <f t="shared" si="57"/>
        <v>1097.9580074772052</v>
      </c>
      <c r="AG150">
        <v>8.101284428962952</v>
      </c>
      <c r="AH150">
        <v>2793.0085573833294</v>
      </c>
      <c r="AI150">
        <f t="shared" si="58"/>
        <v>25131.918067821109</v>
      </c>
      <c r="AJ150">
        <f t="shared" si="59"/>
        <v>1290.6984661378647</v>
      </c>
      <c r="AN150" s="43"/>
      <c r="AO150" s="43"/>
    </row>
    <row r="151" spans="1:41">
      <c r="A151">
        <v>132</v>
      </c>
      <c r="B151">
        <f t="shared" si="32"/>
        <v>132</v>
      </c>
      <c r="D151" s="43">
        <f t="shared" si="33"/>
        <v>175.71013524145982</v>
      </c>
      <c r="E151" s="43">
        <f t="shared" si="34"/>
        <v>296.56529876246935</v>
      </c>
      <c r="F151" s="69">
        <f t="shared" si="35"/>
        <v>0.28049823094480458</v>
      </c>
      <c r="G151" s="98">
        <f t="shared" si="36"/>
        <v>59.016949316312157</v>
      </c>
      <c r="H151" s="69">
        <f t="shared" si="37"/>
        <v>0.67175672438947753</v>
      </c>
      <c r="I151" s="69">
        <f t="shared" si="38"/>
        <v>2.3747512238181403</v>
      </c>
      <c r="J151" s="99">
        <f t="shared" si="39"/>
        <v>1.5047746178408776E-2</v>
      </c>
      <c r="K151" s="69">
        <f t="shared" si="40"/>
        <v>1.3752967744526933E-2</v>
      </c>
      <c r="L151" s="99">
        <f t="shared" si="41"/>
        <v>2.8800713922935709E-2</v>
      </c>
      <c r="M151" s="69">
        <f t="shared" si="42"/>
        <v>23.324308077464636</v>
      </c>
      <c r="N151" s="69">
        <f t="shared" si="43"/>
        <v>19.116781679158155</v>
      </c>
      <c r="O151" s="69">
        <f t="shared" si="44"/>
        <v>28.457894033784829</v>
      </c>
      <c r="P151" s="69">
        <f t="shared" si="45"/>
        <v>0.63549706877672008</v>
      </c>
      <c r="Q151" s="69">
        <f t="shared" si="46"/>
        <v>0.79427175254830051</v>
      </c>
      <c r="R151" s="43">
        <f t="shared" si="47"/>
        <v>1975.3326958229225</v>
      </c>
      <c r="S151" s="43">
        <f t="shared" si="48"/>
        <v>809.24158338641371</v>
      </c>
      <c r="T151" s="43">
        <f>R151+Thrust!C$33*0.8</f>
        <v>3787.0926958229225</v>
      </c>
      <c r="U151" s="43"/>
      <c r="V151">
        <f t="shared" si="52"/>
        <v>239992.97194800555</v>
      </c>
      <c r="W151">
        <f t="shared" si="53"/>
        <v>1123120.2767778905</v>
      </c>
      <c r="Y151">
        <f t="shared" si="54"/>
        <v>-762.89156645723608</v>
      </c>
      <c r="Z151">
        <f t="shared" si="55"/>
        <v>-2.4572367574086771</v>
      </c>
      <c r="AA151">
        <f t="shared" si="49"/>
        <v>2807.2920948234755</v>
      </c>
      <c r="AB151">
        <f t="shared" si="56"/>
        <v>9.0773054959917889</v>
      </c>
      <c r="AC151">
        <f t="shared" si="50"/>
        <v>19.42114756219598</v>
      </c>
      <c r="AD151">
        <f t="shared" si="51"/>
        <v>3412.4924646978034</v>
      </c>
      <c r="AE151">
        <f t="shared" si="57"/>
        <v>1099.3022277424957</v>
      </c>
      <c r="AG151">
        <v>8.0804923525266528</v>
      </c>
      <c r="AH151">
        <v>2807.2920948234755</v>
      </c>
      <c r="AI151">
        <f t="shared" si="58"/>
        <v>25006.89326627913</v>
      </c>
      <c r="AJ151">
        <f t="shared" si="59"/>
        <v>1287.6115165797937</v>
      </c>
      <c r="AN151" s="43"/>
      <c r="AO151" s="43"/>
    </row>
    <row r="152" spans="1:41">
      <c r="A152">
        <v>133</v>
      </c>
      <c r="B152">
        <f t="shared" si="32"/>
        <v>133</v>
      </c>
      <c r="D152" s="43">
        <f t="shared" si="33"/>
        <v>177.0412726296527</v>
      </c>
      <c r="E152" s="43">
        <f t="shared" si="34"/>
        <v>298.81200557127596</v>
      </c>
      <c r="F152" s="69">
        <f t="shared" si="35"/>
        <v>0.28262321754287134</v>
      </c>
      <c r="G152" s="98">
        <f t="shared" si="36"/>
        <v>59.914532624899323</v>
      </c>
      <c r="H152" s="69">
        <f t="shared" si="37"/>
        <v>0.6616930954696284</v>
      </c>
      <c r="I152" s="69">
        <f t="shared" si="38"/>
        <v>2.2900092453978522</v>
      </c>
      <c r="J152" s="99">
        <f t="shared" si="39"/>
        <v>1.5047746178408776E-2</v>
      </c>
      <c r="K152" s="69">
        <f t="shared" si="40"/>
        <v>1.3273089816907184E-2</v>
      </c>
      <c r="L152" s="99">
        <f t="shared" si="41"/>
        <v>2.8320835995315961E-2</v>
      </c>
      <c r="M152" s="69">
        <f t="shared" si="42"/>
        <v>23.364179488877628</v>
      </c>
      <c r="N152" s="69">
        <f t="shared" si="43"/>
        <v>19.005479686844755</v>
      </c>
      <c r="O152" s="69">
        <f t="shared" si="44"/>
        <v>28.722499625533874</v>
      </c>
      <c r="P152" s="69">
        <f t="shared" si="45"/>
        <v>0.64031144050987698</v>
      </c>
      <c r="Q152" s="69">
        <f t="shared" si="46"/>
        <v>0.79662174751558945</v>
      </c>
      <c r="R152" s="43">
        <f t="shared" si="47"/>
        <v>1966.2810025214144</v>
      </c>
      <c r="S152" s="43">
        <f t="shared" si="48"/>
        <v>807.86059741517249</v>
      </c>
      <c r="T152" s="43">
        <f>R152+Thrust!C$33*0.8</f>
        <v>3778.0410025214142</v>
      </c>
      <c r="U152" s="43"/>
      <c r="V152">
        <f t="shared" si="52"/>
        <v>241398.44533563685</v>
      </c>
      <c r="W152">
        <f t="shared" si="53"/>
        <v>1128924.0090939379</v>
      </c>
      <c r="Y152">
        <f t="shared" si="54"/>
        <v>-767.35929643116356</v>
      </c>
      <c r="Z152">
        <f t="shared" si="55"/>
        <v>-2.453040870494096</v>
      </c>
      <c r="AA152">
        <f t="shared" si="49"/>
        <v>2821.2733152581759</v>
      </c>
      <c r="AB152">
        <f t="shared" si="56"/>
        <v>9.0537262395326863</v>
      </c>
      <c r="AC152">
        <f t="shared" si="50"/>
        <v>19.365199873605846</v>
      </c>
      <c r="AD152">
        <f t="shared" si="51"/>
        <v>3428.4396303507688</v>
      </c>
      <c r="AE152">
        <f t="shared" si="57"/>
        <v>1100.34413100234</v>
      </c>
      <c r="AG152">
        <v>8.0591121584724004</v>
      </c>
      <c r="AH152">
        <v>2821.2733152581759</v>
      </c>
      <c r="AI152">
        <f t="shared" si="58"/>
        <v>24875.256509131836</v>
      </c>
      <c r="AJ152">
        <f t="shared" si="59"/>
        <v>1284.5339408572809</v>
      </c>
      <c r="AN152" s="43"/>
      <c r="AO152" s="43"/>
    </row>
    <row r="153" spans="1:41">
      <c r="A153">
        <v>134</v>
      </c>
      <c r="B153">
        <f t="shared" si="32"/>
        <v>134</v>
      </c>
      <c r="D153" s="43">
        <f t="shared" si="33"/>
        <v>178.37241001784557</v>
      </c>
      <c r="E153" s="43">
        <f t="shared" si="34"/>
        <v>301.05871238008251</v>
      </c>
      <c r="F153" s="69">
        <f t="shared" si="35"/>
        <v>0.28474820414093799</v>
      </c>
      <c r="G153" s="98">
        <f t="shared" si="36"/>
        <v>60.818890147136187</v>
      </c>
      <c r="H153" s="69">
        <f t="shared" si="37"/>
        <v>0.65185392992661273</v>
      </c>
      <c r="I153" s="69">
        <f t="shared" si="38"/>
        <v>2.2071573874089974</v>
      </c>
      <c r="J153" s="99">
        <f t="shared" si="39"/>
        <v>1.5047746178408776E-2</v>
      </c>
      <c r="K153" s="69">
        <f t="shared" si="40"/>
        <v>1.2812153749592766E-2</v>
      </c>
      <c r="L153" s="99">
        <f t="shared" si="41"/>
        <v>2.7859899928001544E-2</v>
      </c>
      <c r="M153" s="69">
        <f t="shared" si="42"/>
        <v>23.39756896511479</v>
      </c>
      <c r="N153" s="69">
        <f t="shared" si="43"/>
        <v>18.890605567733974</v>
      </c>
      <c r="O153" s="69">
        <f t="shared" si="44"/>
        <v>28.979813882322876</v>
      </c>
      <c r="P153" s="69">
        <f t="shared" si="45"/>
        <v>0.645125812243034</v>
      </c>
      <c r="Q153" s="69">
        <f t="shared" si="46"/>
        <v>0.79892759821119175</v>
      </c>
      <c r="R153" s="43">
        <f t="shared" si="47"/>
        <v>1957.2562620833426</v>
      </c>
      <c r="S153" s="43">
        <f t="shared" si="48"/>
        <v>806.70774079743785</v>
      </c>
      <c r="T153" s="43">
        <f>R153+Thrust!C$33*0.8</f>
        <v>3769.0162620833426</v>
      </c>
      <c r="U153" s="43"/>
      <c r="V153">
        <f t="shared" si="52"/>
        <v>242866.39371152199</v>
      </c>
      <c r="W153">
        <f t="shared" si="53"/>
        <v>1134695.1828024026</v>
      </c>
      <c r="Y153">
        <f t="shared" si="54"/>
        <v>-772.02562239424219</v>
      </c>
      <c r="Z153">
        <f t="shared" si="55"/>
        <v>-2.449538125228039</v>
      </c>
      <c r="AA153">
        <f t="shared" si="49"/>
        <v>2834.952442143197</v>
      </c>
      <c r="AB153">
        <f t="shared" si="56"/>
        <v>9.0295301870618356</v>
      </c>
      <c r="AC153">
        <f t="shared" si="50"/>
        <v>19.303865987451491</v>
      </c>
      <c r="AD153">
        <f t="shared" si="51"/>
        <v>3443.2770988432403</v>
      </c>
      <c r="AE153">
        <f t="shared" si="57"/>
        <v>1101.0839407125056</v>
      </c>
      <c r="AG153">
        <v>8.0371564268902276</v>
      </c>
      <c r="AH153">
        <v>2834.952442143197</v>
      </c>
      <c r="AI153">
        <f t="shared" si="58"/>
        <v>24737.238841445946</v>
      </c>
      <c r="AJ153">
        <f t="shared" si="59"/>
        <v>1281.4655291083366</v>
      </c>
      <c r="AN153" s="43"/>
      <c r="AO153" s="43"/>
    </row>
    <row r="154" spans="1:41">
      <c r="A154">
        <v>135</v>
      </c>
      <c r="B154">
        <f t="shared" si="32"/>
        <v>135</v>
      </c>
      <c r="D154" s="43">
        <f t="shared" si="33"/>
        <v>179.70354740603847</v>
      </c>
      <c r="E154" s="43">
        <f t="shared" si="34"/>
        <v>303.30541918888918</v>
      </c>
      <c r="F154" s="69">
        <f t="shared" si="35"/>
        <v>0.28687319073900475</v>
      </c>
      <c r="G154" s="98">
        <f t="shared" si="36"/>
        <v>61.730021883022815</v>
      </c>
      <c r="H154" s="69">
        <f t="shared" si="37"/>
        <v>0.64223260168791507</v>
      </c>
      <c r="I154" s="69">
        <f t="shared" si="38"/>
        <v>2.1261398542237169</v>
      </c>
      <c r="J154" s="99">
        <f t="shared" si="39"/>
        <v>1.5047746178408776E-2</v>
      </c>
      <c r="K154" s="69">
        <f t="shared" si="40"/>
        <v>1.2369299756038817E-2</v>
      </c>
      <c r="L154" s="99">
        <f t="shared" si="41"/>
        <v>2.7417045934447593E-2</v>
      </c>
      <c r="M154" s="69">
        <f t="shared" si="42"/>
        <v>23.424573282747247</v>
      </c>
      <c r="N154" s="69">
        <f t="shared" si="43"/>
        <v>18.772316258600352</v>
      </c>
      <c r="O154" s="69">
        <f t="shared" si="44"/>
        <v>29.229777823895844</v>
      </c>
      <c r="P154" s="69">
        <f t="shared" si="45"/>
        <v>0.64994018397619102</v>
      </c>
      <c r="Q154" s="69">
        <f t="shared" si="46"/>
        <v>0.80118930463510729</v>
      </c>
      <c r="R154" s="43">
        <f t="shared" si="47"/>
        <v>1948.2578755561851</v>
      </c>
      <c r="S154" s="43">
        <f t="shared" si="48"/>
        <v>805.77775194316496</v>
      </c>
      <c r="T154" s="43">
        <f>R154+Thrust!C$33*0.8</f>
        <v>3760.0178755561851</v>
      </c>
      <c r="U154" s="43"/>
      <c r="V154">
        <f t="shared" si="52"/>
        <v>244396.75882620239</v>
      </c>
      <c r="W154">
        <f t="shared" si="53"/>
        <v>1140433.7979032854</v>
      </c>
      <c r="Y154">
        <f t="shared" si="54"/>
        <v>-776.89035918263016</v>
      </c>
      <c r="Z154">
        <f t="shared" si="55"/>
        <v>-2.4467125298241972</v>
      </c>
      <c r="AA154">
        <f t="shared" si="49"/>
        <v>2848.3296606423833</v>
      </c>
      <c r="AB154">
        <f t="shared" si="56"/>
        <v>9.004731788821644</v>
      </c>
      <c r="AC154">
        <f t="shared" si="50"/>
        <v>19.237294580150966</v>
      </c>
      <c r="AD154">
        <f t="shared" si="51"/>
        <v>3457.0100785480859</v>
      </c>
      <c r="AE154">
        <f t="shared" si="57"/>
        <v>1101.5218420368353</v>
      </c>
      <c r="AG154">
        <v>8.0146372677591398</v>
      </c>
      <c r="AH154">
        <v>2848.3296606423833</v>
      </c>
      <c r="AI154">
        <f t="shared" si="58"/>
        <v>24593.074309560638</v>
      </c>
      <c r="AJ154">
        <f t="shared" si="59"/>
        <v>1278.4060776891031</v>
      </c>
      <c r="AN154" s="43"/>
      <c r="AO154" s="43"/>
    </row>
    <row r="155" spans="1:41">
      <c r="A155">
        <v>136</v>
      </c>
      <c r="B155">
        <f t="shared" si="32"/>
        <v>136</v>
      </c>
      <c r="D155" s="43">
        <f t="shared" si="33"/>
        <v>181.03468479423134</v>
      </c>
      <c r="E155" s="43">
        <f t="shared" si="34"/>
        <v>305.55212599769573</v>
      </c>
      <c r="F155" s="69">
        <f t="shared" si="35"/>
        <v>0.28899817733707145</v>
      </c>
      <c r="G155" s="98">
        <f t="shared" si="36"/>
        <v>62.647927832559105</v>
      </c>
      <c r="H155" s="69">
        <f t="shared" si="37"/>
        <v>0.63282272738766521</v>
      </c>
      <c r="I155" s="69">
        <f t="shared" si="38"/>
        <v>2.0469028939541847</v>
      </c>
      <c r="J155" s="99">
        <f t="shared" si="39"/>
        <v>1.5047746178408776E-2</v>
      </c>
      <c r="K155" s="69">
        <f t="shared" si="40"/>
        <v>1.1943712611733612E-2</v>
      </c>
      <c r="L155" s="99">
        <f t="shared" si="41"/>
        <v>2.6991458790142388E-2</v>
      </c>
      <c r="M155" s="69">
        <f t="shared" si="42"/>
        <v>23.445295502841805</v>
      </c>
      <c r="N155" s="69">
        <f t="shared" si="43"/>
        <v>18.650769079757069</v>
      </c>
      <c r="O155" s="69">
        <f t="shared" si="44"/>
        <v>29.47234394812066</v>
      </c>
      <c r="P155" s="69">
        <f t="shared" si="45"/>
        <v>0.65475455570934793</v>
      </c>
      <c r="Q155" s="69">
        <f t="shared" si="46"/>
        <v>0.8034068667873363</v>
      </c>
      <c r="R155" s="43">
        <f t="shared" si="47"/>
        <v>1939.285261603673</v>
      </c>
      <c r="S155" s="43">
        <f t="shared" si="48"/>
        <v>805.06556198927683</v>
      </c>
      <c r="T155" s="43">
        <f>R155+Thrust!C$33*0.8</f>
        <v>3751.0452616036728</v>
      </c>
      <c r="U155" s="43"/>
      <c r="V155">
        <f t="shared" si="52"/>
        <v>245989.49403335323</v>
      </c>
      <c r="W155">
        <f t="shared" si="53"/>
        <v>1146139.8543965849</v>
      </c>
      <c r="Y155">
        <f t="shared" si="54"/>
        <v>-781.95335851661946</v>
      </c>
      <c r="Z155">
        <f t="shared" si="55"/>
        <v>-2.4445486792502464</v>
      </c>
      <c r="AA155">
        <f t="shared" si="49"/>
        <v>2861.4051190354389</v>
      </c>
      <c r="AB155">
        <f t="shared" si="56"/>
        <v>8.9793449553359022</v>
      </c>
      <c r="AC155">
        <f t="shared" si="50"/>
        <v>19.165637712949746</v>
      </c>
      <c r="AD155">
        <f t="shared" si="51"/>
        <v>3469.64518224429</v>
      </c>
      <c r="AE155">
        <f t="shared" si="57"/>
        <v>1101.6579832550356</v>
      </c>
      <c r="AG155">
        <v>7.991566341769941</v>
      </c>
      <c r="AH155">
        <v>2861.4051190354389</v>
      </c>
      <c r="AI155">
        <f t="shared" si="58"/>
        <v>24442.999339782753</v>
      </c>
      <c r="AJ155">
        <f t="shared" si="59"/>
        <v>1275.3553889452489</v>
      </c>
      <c r="AN155" s="43"/>
      <c r="AO155" s="43"/>
    </row>
    <row r="156" spans="1:41">
      <c r="A156">
        <v>137</v>
      </c>
      <c r="B156">
        <f t="shared" si="32"/>
        <v>137</v>
      </c>
      <c r="D156" s="43">
        <f t="shared" si="33"/>
        <v>182.36582218242421</v>
      </c>
      <c r="E156" s="43">
        <f t="shared" si="34"/>
        <v>307.79883280650228</v>
      </c>
      <c r="F156" s="69">
        <f t="shared" si="35"/>
        <v>0.2911231639351381</v>
      </c>
      <c r="G156" s="98">
        <f t="shared" si="36"/>
        <v>63.572607995745116</v>
      </c>
      <c r="H156" s="69">
        <f t="shared" si="37"/>
        <v>0.62361815577613389</v>
      </c>
      <c r="I156" s="69">
        <f t="shared" si="38"/>
        <v>1.9693947092740132</v>
      </c>
      <c r="J156" s="99">
        <f t="shared" si="39"/>
        <v>1.5047746178408776E-2</v>
      </c>
      <c r="K156" s="69">
        <f t="shared" si="40"/>
        <v>1.153461905169452E-2</v>
      </c>
      <c r="L156" s="99">
        <f t="shared" si="41"/>
        <v>2.6582365230103294E-2</v>
      </c>
      <c r="M156" s="69">
        <f t="shared" si="42"/>
        <v>23.459844538962066</v>
      </c>
      <c r="N156" s="69">
        <f t="shared" si="43"/>
        <v>18.526121379910759</v>
      </c>
      <c r="O156" s="69">
        <f t="shared" si="44"/>
        <v>29.707475974386572</v>
      </c>
      <c r="P156" s="69">
        <f t="shared" si="45"/>
        <v>0.65956892744250495</v>
      </c>
      <c r="Q156" s="69">
        <f t="shared" si="46"/>
        <v>0.80558028466787834</v>
      </c>
      <c r="R156" s="43">
        <f t="shared" si="47"/>
        <v>1930.3378558628572</v>
      </c>
      <c r="S156" s="43">
        <f t="shared" si="48"/>
        <v>804.56628639002417</v>
      </c>
      <c r="T156" s="43">
        <f>R156+Thrust!C$33*0.8</f>
        <v>3742.0978558628572</v>
      </c>
      <c r="U156" s="43"/>
      <c r="V156">
        <f t="shared" si="52"/>
        <v>247644.56386631148</v>
      </c>
      <c r="W156">
        <f t="shared" si="53"/>
        <v>1151813.3522823022</v>
      </c>
      <c r="Y156">
        <f t="shared" si="54"/>
        <v>-787.21450765450004</v>
      </c>
      <c r="Z156">
        <f t="shared" si="55"/>
        <v>-2.4430317295874642</v>
      </c>
      <c r="AA156">
        <f t="shared" si="49"/>
        <v>2874.1789300640767</v>
      </c>
      <c r="AB156">
        <f t="shared" si="56"/>
        <v>8.9533830812183961</v>
      </c>
      <c r="AC156">
        <f t="shared" si="50"/>
        <v>19.089050382703835</v>
      </c>
      <c r="AD156">
        <f t="shared" si="51"/>
        <v>3481.1903677235046</v>
      </c>
      <c r="AE156">
        <f t="shared" si="57"/>
        <v>1101.4924771088176</v>
      </c>
      <c r="AG156">
        <v>7.9679548800828846</v>
      </c>
      <c r="AH156">
        <v>2874.1789300640767</v>
      </c>
      <c r="AI156">
        <f t="shared" si="58"/>
        <v>24287.252132575188</v>
      </c>
      <c r="AJ156">
        <f t="shared" si="59"/>
        <v>1272.3132709933716</v>
      </c>
      <c r="AN156" s="43"/>
      <c r="AO156" s="43"/>
    </row>
    <row r="157" spans="1:41">
      <c r="A157">
        <v>138</v>
      </c>
      <c r="B157">
        <f t="shared" si="32"/>
        <v>138</v>
      </c>
      <c r="D157" s="43">
        <f t="shared" si="33"/>
        <v>183.69695957061708</v>
      </c>
      <c r="E157" s="43">
        <f t="shared" si="34"/>
        <v>310.04553961530888</v>
      </c>
      <c r="F157" s="69">
        <f t="shared" si="35"/>
        <v>0.2932481505332048</v>
      </c>
      <c r="G157" s="98">
        <f t="shared" si="36"/>
        <v>64.504062372580862</v>
      </c>
      <c r="H157" s="69">
        <f t="shared" si="37"/>
        <v>0.61461295766447466</v>
      </c>
      <c r="I157" s="69">
        <f t="shared" si="38"/>
        <v>1.893565372746759</v>
      </c>
      <c r="J157" s="99">
        <f t="shared" si="39"/>
        <v>1.5047746178408776E-2</v>
      </c>
      <c r="K157" s="69">
        <f t="shared" si="40"/>
        <v>1.1141285337090056E-2</v>
      </c>
      <c r="L157" s="99">
        <f t="shared" si="41"/>
        <v>2.6189031515498833E-2</v>
      </c>
      <c r="M157" s="69">
        <f t="shared" si="42"/>
        <v>23.468334722524691</v>
      </c>
      <c r="N157" s="69">
        <f t="shared" si="43"/>
        <v>18.398530194384087</v>
      </c>
      <c r="O157" s="69">
        <f t="shared" si="44"/>
        <v>29.935148559669791</v>
      </c>
      <c r="P157" s="69">
        <f t="shared" si="45"/>
        <v>0.66438329917566186</v>
      </c>
      <c r="Q157" s="69">
        <f t="shared" si="46"/>
        <v>0.80770955827673363</v>
      </c>
      <c r="R157" s="43">
        <f t="shared" si="47"/>
        <v>1921.4151103291351</v>
      </c>
      <c r="S157" s="43">
        <f t="shared" si="48"/>
        <v>804.27521693236929</v>
      </c>
      <c r="T157" s="43">
        <f>R157+Thrust!C$33*0.8</f>
        <v>3733.1751103291354</v>
      </c>
      <c r="U157" s="43"/>
      <c r="V157">
        <f t="shared" si="52"/>
        <v>249361.94363301605</v>
      </c>
      <c r="W157">
        <f t="shared" si="53"/>
        <v>1157454.2915604371</v>
      </c>
      <c r="Y157">
        <f t="shared" si="54"/>
        <v>-792.67372810495158</v>
      </c>
      <c r="Z157">
        <f t="shared" si="55"/>
        <v>-2.4421473736896315</v>
      </c>
      <c r="AA157">
        <f t="shared" si="49"/>
        <v>2886.6511722196165</v>
      </c>
      <c r="AB157">
        <f t="shared" si="56"/>
        <v>8.9268590677705291</v>
      </c>
      <c r="AC157">
        <f t="shared" si="50"/>
        <v>19.007690080344879</v>
      </c>
      <c r="AD157">
        <f t="shared" si="51"/>
        <v>3491.6548762199332</v>
      </c>
      <c r="AE157">
        <f t="shared" si="57"/>
        <v>1101.0254020895009</v>
      </c>
      <c r="AG157">
        <v>7.9438137030818847</v>
      </c>
      <c r="AH157">
        <v>2886.6511722196165</v>
      </c>
      <c r="AI157">
        <f t="shared" si="58"/>
        <v>24126.072074349791</v>
      </c>
      <c r="AJ157">
        <f t="shared" si="59"/>
        <v>1269.279537511906</v>
      </c>
      <c r="AN157" s="43"/>
      <c r="AO157" s="43"/>
    </row>
    <row r="158" spans="1:41">
      <c r="A158">
        <v>139</v>
      </c>
      <c r="B158">
        <f t="shared" si="32"/>
        <v>139</v>
      </c>
      <c r="D158" s="43">
        <f t="shared" si="33"/>
        <v>185.02809695880998</v>
      </c>
      <c r="E158" s="43">
        <f t="shared" si="34"/>
        <v>312.29224642411549</v>
      </c>
      <c r="F158" s="69">
        <f t="shared" si="35"/>
        <v>0.29537313713127156</v>
      </c>
      <c r="G158" s="98">
        <f t="shared" si="36"/>
        <v>65.442290963066313</v>
      </c>
      <c r="H158" s="69">
        <f t="shared" si="37"/>
        <v>0.60580141637401042</v>
      </c>
      <c r="I158" s="69">
        <f t="shared" si="38"/>
        <v>1.8193667464030134</v>
      </c>
      <c r="J158" s="99">
        <f t="shared" si="39"/>
        <v>1.5047746178408776E-2</v>
      </c>
      <c r="K158" s="69">
        <f t="shared" si="40"/>
        <v>1.0763014978889736E-2</v>
      </c>
      <c r="L158" s="99">
        <f t="shared" si="41"/>
        <v>2.5810761157298513E-2</v>
      </c>
      <c r="M158" s="69">
        <f t="shared" si="42"/>
        <v>23.470885367621477</v>
      </c>
      <c r="N158" s="69">
        <f t="shared" si="43"/>
        <v>18.268151917675414</v>
      </c>
      <c r="O158" s="69">
        <f t="shared" si="44"/>
        <v>30.155346989807967</v>
      </c>
      <c r="P158" s="69">
        <f t="shared" si="45"/>
        <v>0.66919767090881888</v>
      </c>
      <c r="Q158" s="69">
        <f t="shared" si="46"/>
        <v>0.80979468761390216</v>
      </c>
      <c r="R158" s="43">
        <f t="shared" si="47"/>
        <v>1912.5164927678211</v>
      </c>
      <c r="S158" s="43">
        <f t="shared" si="48"/>
        <v>804.18781415201386</v>
      </c>
      <c r="T158" s="43">
        <f>R158+Thrust!C$33*0.8</f>
        <v>3724.2764927678209</v>
      </c>
      <c r="U158" s="43"/>
      <c r="V158">
        <f t="shared" si="52"/>
        <v>251141.61902843151</v>
      </c>
      <c r="W158">
        <f t="shared" si="53"/>
        <v>1163062.672230989</v>
      </c>
      <c r="Y158">
        <f t="shared" si="54"/>
        <v>-798.33097439501398</v>
      </c>
      <c r="Z158">
        <f t="shared" si="55"/>
        <v>-2.4418818180664701</v>
      </c>
      <c r="AA158">
        <f t="shared" si="49"/>
        <v>2898.8218909750171</v>
      </c>
      <c r="AB158">
        <f t="shared" si="56"/>
        <v>8.8997853444376318</v>
      </c>
      <c r="AC158">
        <f t="shared" si="50"/>
        <v>18.921716358702255</v>
      </c>
      <c r="AD158">
        <f t="shared" si="51"/>
        <v>3501.0491690450608</v>
      </c>
      <c r="AE158">
        <f t="shared" si="57"/>
        <v>1100.2568036700461</v>
      </c>
      <c r="AG158">
        <v>7.9191532381829175</v>
      </c>
      <c r="AH158">
        <v>2898.8218909750171</v>
      </c>
      <c r="AI158">
        <f t="shared" si="58"/>
        <v>23959.699168761948</v>
      </c>
      <c r="AJ158">
        <f t="shared" si="59"/>
        <v>1266.2540075410591</v>
      </c>
      <c r="AN158" s="43"/>
      <c r="AO158" s="43"/>
    </row>
    <row r="159" spans="1:41">
      <c r="A159">
        <v>140</v>
      </c>
      <c r="B159">
        <f t="shared" si="32"/>
        <v>140</v>
      </c>
      <c r="D159" s="43">
        <f t="shared" si="33"/>
        <v>186.35923434700285</v>
      </c>
      <c r="E159" s="43">
        <f t="shared" si="34"/>
        <v>314.5389532329221</v>
      </c>
      <c r="F159" s="69">
        <f t="shared" si="35"/>
        <v>0.29749812372933826</v>
      </c>
      <c r="G159" s="98">
        <f t="shared" si="36"/>
        <v>66.387293767201484</v>
      </c>
      <c r="H159" s="69">
        <f t="shared" si="37"/>
        <v>0.59717801866133946</v>
      </c>
      <c r="I159" s="69">
        <f t="shared" si="38"/>
        <v>1.7467524053241812</v>
      </c>
      <c r="J159" s="99">
        <f t="shared" si="39"/>
        <v>1.5047746178408776E-2</v>
      </c>
      <c r="K159" s="69">
        <f t="shared" si="40"/>
        <v>1.0399146607387791E-2</v>
      </c>
      <c r="L159" s="99">
        <f t="shared" si="41"/>
        <v>2.5446892785796565E-2</v>
      </c>
      <c r="M159" s="69">
        <f t="shared" si="42"/>
        <v>23.467620337311292</v>
      </c>
      <c r="N159" s="69">
        <f t="shared" si="43"/>
        <v>18.135141991187517</v>
      </c>
      <c r="O159" s="69">
        <f t="shared" si="44"/>
        <v>30.368066848542163</v>
      </c>
      <c r="P159" s="69">
        <f t="shared" si="45"/>
        <v>0.67401204264197601</v>
      </c>
      <c r="Q159" s="69">
        <f t="shared" si="46"/>
        <v>0.81183567267938428</v>
      </c>
      <c r="R159" s="43">
        <f t="shared" si="47"/>
        <v>1903.641486150937</v>
      </c>
      <c r="S159" s="43">
        <f t="shared" si="48"/>
        <v>804.29970012726596</v>
      </c>
      <c r="T159" s="43">
        <f>R159+Thrust!C$33*0.8</f>
        <v>3715.4014861509368</v>
      </c>
      <c r="U159" s="43"/>
      <c r="V159">
        <f t="shared" si="52"/>
        <v>252983.58576358337</v>
      </c>
      <c r="W159">
        <f t="shared" si="53"/>
        <v>1168638.4942939586</v>
      </c>
      <c r="Y159">
        <f t="shared" si="54"/>
        <v>-804.18623289086111</v>
      </c>
      <c r="Z159">
        <f t="shared" si="55"/>
        <v>-2.4422217609216381</v>
      </c>
      <c r="AA159">
        <f t="shared" si="49"/>
        <v>2910.6910999641063</v>
      </c>
      <c r="AB159">
        <f t="shared" si="56"/>
        <v>8.8721738891890762</v>
      </c>
      <c r="AC159">
        <f t="shared" si="50"/>
        <v>18.831290411213075</v>
      </c>
      <c r="AD159">
        <f t="shared" si="51"/>
        <v>3509.3848627997249</v>
      </c>
      <c r="AE159">
        <f t="shared" si="57"/>
        <v>1099.1866954842803</v>
      </c>
      <c r="AG159">
        <v>7.8939835367505786</v>
      </c>
      <c r="AH159">
        <v>2910.6910999641063</v>
      </c>
      <c r="AI159">
        <f t="shared" si="58"/>
        <v>23788.373489186721</v>
      </c>
      <c r="AJ159">
        <f t="shared" si="59"/>
        <v>1263.2365052913185</v>
      </c>
      <c r="AN159" s="43"/>
      <c r="AO159" s="43"/>
    </row>
    <row r="160" spans="1:41">
      <c r="A160">
        <v>141</v>
      </c>
      <c r="B160">
        <f t="shared" si="32"/>
        <v>141</v>
      </c>
      <c r="D160" s="43">
        <f t="shared" si="33"/>
        <v>187.69037173519573</v>
      </c>
      <c r="E160" s="43">
        <f t="shared" si="34"/>
        <v>316.78566004172865</v>
      </c>
      <c r="F160" s="69">
        <f t="shared" si="35"/>
        <v>0.29962311032740491</v>
      </c>
      <c r="G160" s="98">
        <f t="shared" si="36"/>
        <v>67.339070784986347</v>
      </c>
      <c r="H160" s="69">
        <f t="shared" si="37"/>
        <v>0.58873744609236234</v>
      </c>
      <c r="I160" s="69">
        <f t="shared" si="38"/>
        <v>1.6756775650064544</v>
      </c>
      <c r="J160" s="99">
        <f t="shared" si="39"/>
        <v>1.5047746178408776E-2</v>
      </c>
      <c r="K160" s="69">
        <f t="shared" si="40"/>
        <v>1.0049051977310893E-2</v>
      </c>
      <c r="L160" s="99">
        <f t="shared" si="41"/>
        <v>2.509679815571967E-2</v>
      </c>
      <c r="M160" s="69">
        <f t="shared" si="42"/>
        <v>23.458667613270283</v>
      </c>
      <c r="N160" s="69">
        <f t="shared" si="43"/>
        <v>17.999654606821238</v>
      </c>
      <c r="O160" s="69">
        <f t="shared" si="44"/>
        <v>30.573313666882704</v>
      </c>
      <c r="P160" s="69">
        <f t="shared" si="45"/>
        <v>0.6788264143751328</v>
      </c>
      <c r="Q160" s="69">
        <f t="shared" si="46"/>
        <v>0.81383251347317942</v>
      </c>
      <c r="R160" s="43">
        <f t="shared" si="47"/>
        <v>1894.7895881179613</v>
      </c>
      <c r="S160" s="43">
        <f t="shared" si="48"/>
        <v>804.60665162938085</v>
      </c>
      <c r="T160" s="43">
        <f>R160+Thrust!C$33*0.8</f>
        <v>3706.5495881179613</v>
      </c>
      <c r="U160" s="43"/>
      <c r="V160">
        <f t="shared" si="52"/>
        <v>254887.84921037863</v>
      </c>
      <c r="W160">
        <f t="shared" si="53"/>
        <v>1174181.7577493459</v>
      </c>
      <c r="Y160">
        <f t="shared" si="54"/>
        <v>-810.23952066875313</v>
      </c>
      <c r="Z160">
        <f t="shared" si="55"/>
        <v>-2.4431543712798023</v>
      </c>
      <c r="AA160">
        <f t="shared" si="49"/>
        <v>2922.2587821106245</v>
      </c>
      <c r="AB160">
        <f t="shared" si="56"/>
        <v>8.844036247883297</v>
      </c>
      <c r="AC160">
        <f t="shared" si="50"/>
        <v>18.736574662903998</v>
      </c>
      <c r="AD160">
        <f t="shared" si="51"/>
        <v>3516.6746635247009</v>
      </c>
      <c r="AE160">
        <f t="shared" si="57"/>
        <v>1097.8150604559414</v>
      </c>
      <c r="AG160">
        <v>7.8683142901733598</v>
      </c>
      <c r="AH160">
        <v>2922.2587821106245</v>
      </c>
      <c r="AI160">
        <f t="shared" si="58"/>
        <v>23612.334653839607</v>
      </c>
      <c r="AJ160">
        <f t="shared" si="59"/>
        <v>1260.226859960107</v>
      </c>
      <c r="AN160" s="43"/>
      <c r="AO160" s="43"/>
    </row>
    <row r="161" spans="1:41">
      <c r="A161">
        <v>142</v>
      </c>
      <c r="B161">
        <f t="shared" si="32"/>
        <v>142</v>
      </c>
      <c r="D161" s="43">
        <f t="shared" si="33"/>
        <v>189.0215091233886</v>
      </c>
      <c r="E161" s="43">
        <f t="shared" si="34"/>
        <v>319.03236685053525</v>
      </c>
      <c r="F161" s="69">
        <f t="shared" si="35"/>
        <v>0.30174809692547166</v>
      </c>
      <c r="G161" s="98">
        <f t="shared" si="36"/>
        <v>68.297622016420945</v>
      </c>
      <c r="H161" s="69">
        <f t="shared" si="37"/>
        <v>0.58047456684002463</v>
      </c>
      <c r="I161" s="69">
        <f t="shared" si="38"/>
        <v>1.6060990122927334</v>
      </c>
      <c r="J161" s="99">
        <f t="shared" si="39"/>
        <v>1.5047746178408776E-2</v>
      </c>
      <c r="K161" s="69">
        <f t="shared" si="40"/>
        <v>9.7121340990115948E-3</v>
      </c>
      <c r="L161" s="99">
        <f t="shared" si="41"/>
        <v>2.4759880277420369E-2</v>
      </c>
      <c r="M161" s="69">
        <f t="shared" si="42"/>
        <v>23.444158870565506</v>
      </c>
      <c r="N161" s="69">
        <f t="shared" si="43"/>
        <v>17.861842426996827</v>
      </c>
      <c r="O161" s="69">
        <f t="shared" si="44"/>
        <v>30.771102555332874</v>
      </c>
      <c r="P161" s="69">
        <f t="shared" si="45"/>
        <v>0.68364078610828982</v>
      </c>
      <c r="Q161" s="69">
        <f t="shared" si="46"/>
        <v>0.81578520999528781</v>
      </c>
      <c r="R161" s="43">
        <f t="shared" si="47"/>
        <v>1885.9603104593746</v>
      </c>
      <c r="S161" s="43">
        <f t="shared" si="48"/>
        <v>805.10459360936375</v>
      </c>
      <c r="T161" s="43">
        <f>R161+Thrust!C$33*0.8</f>
        <v>3697.7203104593746</v>
      </c>
      <c r="U161" s="43"/>
      <c r="V161">
        <f t="shared" si="52"/>
        <v>256854.42406143364</v>
      </c>
      <c r="W161">
        <f t="shared" si="53"/>
        <v>1179692.4625971504</v>
      </c>
      <c r="Y161">
        <f t="shared" si="54"/>
        <v>-816.49088443369624</v>
      </c>
      <c r="Z161">
        <f t="shared" si="55"/>
        <v>-2.4446672691414575</v>
      </c>
      <c r="AA161">
        <f t="shared" si="49"/>
        <v>2933.5248907095629</v>
      </c>
      <c r="AB161">
        <f t="shared" si="56"/>
        <v>8.8153835526748097</v>
      </c>
      <c r="AC161">
        <f t="shared" si="50"/>
        <v>18.637732374879718</v>
      </c>
      <c r="AD161">
        <f t="shared" si="51"/>
        <v>3522.9323001376015</v>
      </c>
      <c r="AE161">
        <f t="shared" si="57"/>
        <v>1096.141851880024</v>
      </c>
      <c r="AG161">
        <v>7.8421548451449805</v>
      </c>
      <c r="AH161">
        <v>2933.5248907095629</v>
      </c>
      <c r="AI161">
        <f t="shared" si="58"/>
        <v>23431.821324789649</v>
      </c>
      <c r="AJ161">
        <f t="shared" si="59"/>
        <v>1257.2249055561874</v>
      </c>
      <c r="AN161" s="43"/>
      <c r="AO161" s="43"/>
    </row>
    <row r="162" spans="1:41">
      <c r="A162">
        <v>143</v>
      </c>
      <c r="B162">
        <f t="shared" si="32"/>
        <v>143</v>
      </c>
      <c r="D162" s="43">
        <f t="shared" si="33"/>
        <v>190.35264651158147</v>
      </c>
      <c r="E162" s="43">
        <f t="shared" si="34"/>
        <v>321.2790736593418</v>
      </c>
      <c r="F162" s="69">
        <f t="shared" si="35"/>
        <v>0.30387308352353831</v>
      </c>
      <c r="G162" s="98">
        <f t="shared" si="36"/>
        <v>69.262947461505235</v>
      </c>
      <c r="H162" s="69">
        <f t="shared" si="37"/>
        <v>0.57238442788215849</v>
      </c>
      <c r="I162" s="69">
        <f t="shared" si="38"/>
        <v>1.5379750396736296</v>
      </c>
      <c r="J162" s="99">
        <f t="shared" si="39"/>
        <v>1.5047746178408776E-2</v>
      </c>
      <c r="K162" s="69">
        <f t="shared" si="40"/>
        <v>9.3878254869752056E-3</v>
      </c>
      <c r="L162" s="99">
        <f t="shared" si="41"/>
        <v>2.443557166538398E-2</v>
      </c>
      <c r="M162" s="69">
        <f t="shared" si="42"/>
        <v>23.424229059188004</v>
      </c>
      <c r="N162" s="69">
        <f t="shared" si="43"/>
        <v>17.721856321536542</v>
      </c>
      <c r="O162" s="69">
        <f t="shared" si="44"/>
        <v>30.961457821464506</v>
      </c>
      <c r="P162" s="69">
        <f t="shared" si="45"/>
        <v>0.68845515784144673</v>
      </c>
      <c r="Q162" s="69">
        <f t="shared" si="46"/>
        <v>0.81769376224570944</v>
      </c>
      <c r="R162" s="43">
        <f t="shared" si="47"/>
        <v>1877.1531786218688</v>
      </c>
      <c r="S162" s="43">
        <f t="shared" si="48"/>
        <v>805.7895930024813</v>
      </c>
      <c r="T162" s="43">
        <f>R162+Thrust!C$33*0.8</f>
        <v>3688.9131786218686</v>
      </c>
      <c r="U162" s="43"/>
      <c r="V162">
        <f t="shared" si="52"/>
        <v>258883.33400417524</v>
      </c>
      <c r="W162">
        <f t="shared" si="53"/>
        <v>1185170.6088373719</v>
      </c>
      <c r="Y162">
        <f t="shared" si="54"/>
        <v>-822.94039948347108</v>
      </c>
      <c r="Z162">
        <f t="shared" si="55"/>
        <v>-2.4467485066080168</v>
      </c>
      <c r="AA162">
        <f t="shared" si="49"/>
        <v>2944.4893504631418</v>
      </c>
      <c r="AB162">
        <f t="shared" si="56"/>
        <v>8.786226539516889</v>
      </c>
      <c r="AC162">
        <f t="shared" si="50"/>
        <v>18.534927263403713</v>
      </c>
      <c r="AD162">
        <f t="shared" si="51"/>
        <v>3528.1724574885611</v>
      </c>
      <c r="AE162">
        <f t="shared" si="57"/>
        <v>1094.1669944587477</v>
      </c>
      <c r="AG162">
        <v>7.8155142181961326</v>
      </c>
      <c r="AH162">
        <v>2944.4893504631418</v>
      </c>
      <c r="AI162">
        <f t="shared" si="58"/>
        <v>23247.070731901025</v>
      </c>
      <c r="AJ162">
        <f t="shared" si="59"/>
        <v>1254.2304807314354</v>
      </c>
      <c r="AN162" s="43"/>
      <c r="AO162" s="43"/>
    </row>
    <row r="163" spans="1:41">
      <c r="A163">
        <v>144</v>
      </c>
      <c r="B163">
        <f t="shared" si="32"/>
        <v>144</v>
      </c>
      <c r="D163" s="43">
        <f t="shared" si="33"/>
        <v>191.68378389977437</v>
      </c>
      <c r="E163" s="43">
        <f t="shared" si="34"/>
        <v>323.52578046814841</v>
      </c>
      <c r="F163" s="69">
        <f t="shared" si="35"/>
        <v>0.30599807012160501</v>
      </c>
      <c r="G163" s="98">
        <f t="shared" si="36"/>
        <v>70.235047120239273</v>
      </c>
      <c r="H163" s="69">
        <f t="shared" si="37"/>
        <v>0.56446224757726926</v>
      </c>
      <c r="I163" s="69">
        <f t="shared" si="38"/>
        <v>1.4712653827709963</v>
      </c>
      <c r="J163" s="99">
        <f t="shared" si="39"/>
        <v>1.5047746178408776E-2</v>
      </c>
      <c r="K163" s="69">
        <f t="shared" si="40"/>
        <v>9.0755865175333045E-3</v>
      </c>
      <c r="L163" s="99">
        <f t="shared" si="41"/>
        <v>2.4123332695942079E-2</v>
      </c>
      <c r="M163" s="69">
        <f t="shared" si="42"/>
        <v>23.399015993848174</v>
      </c>
      <c r="N163" s="69">
        <f t="shared" si="43"/>
        <v>17.579845121718019</v>
      </c>
      <c r="O163" s="69">
        <f t="shared" si="44"/>
        <v>31.14441257528302</v>
      </c>
      <c r="P163" s="69">
        <f t="shared" si="45"/>
        <v>0.69326952957460375</v>
      </c>
      <c r="Q163" s="69">
        <f t="shared" si="46"/>
        <v>0.81955817022444444</v>
      </c>
      <c r="R163" s="43">
        <f t="shared" si="47"/>
        <v>1868.3677312341711</v>
      </c>
      <c r="S163" s="43">
        <f t="shared" si="48"/>
        <v>806.65785283288926</v>
      </c>
      <c r="T163" s="43">
        <f>R163+Thrust!C$33*0.8</f>
        <v>3680.1277312341708</v>
      </c>
      <c r="U163" s="43"/>
      <c r="V163">
        <f t="shared" si="52"/>
        <v>260974.6114085213</v>
      </c>
      <c r="W163">
        <f t="shared" si="53"/>
        <v>1190616.1964700115</v>
      </c>
      <c r="Y163">
        <f t="shared" si="54"/>
        <v>-829.58816871582917</v>
      </c>
      <c r="Z163">
        <f t="shared" si="55"/>
        <v>-2.449386549923295</v>
      </c>
      <c r="AA163">
        <f t="shared" si="49"/>
        <v>2955.1520584736113</v>
      </c>
      <c r="AB163">
        <f t="shared" si="56"/>
        <v>8.7565755648100954</v>
      </c>
      <c r="AC163">
        <f t="shared" si="50"/>
        <v>18.428323134509167</v>
      </c>
      <c r="AD163">
        <f t="shared" si="51"/>
        <v>3532.4107093504676</v>
      </c>
      <c r="AE163">
        <f t="shared" si="57"/>
        <v>1091.8903852943608</v>
      </c>
      <c r="AG163">
        <v>7.7884011095182624</v>
      </c>
      <c r="AH163">
        <v>2955.1520584736113</v>
      </c>
      <c r="AI163">
        <f t="shared" si="58"/>
        <v>23058.318222533482</v>
      </c>
      <c r="AJ163">
        <f t="shared" si="59"/>
        <v>1251.2434286196183</v>
      </c>
      <c r="AN163" s="43"/>
      <c r="AO163" s="43"/>
    </row>
    <row r="164" spans="1:41">
      <c r="A164">
        <v>145</v>
      </c>
      <c r="B164">
        <f t="shared" si="32"/>
        <v>145</v>
      </c>
      <c r="D164" s="43">
        <f t="shared" si="33"/>
        <v>193.01492128796724</v>
      </c>
      <c r="E164" s="43">
        <f t="shared" si="34"/>
        <v>325.77248727695502</v>
      </c>
      <c r="F164" s="69">
        <f t="shared" si="35"/>
        <v>0.30812305671967177</v>
      </c>
      <c r="G164" s="98">
        <f t="shared" si="36"/>
        <v>71.213920992623017</v>
      </c>
      <c r="H164" s="69">
        <f t="shared" si="37"/>
        <v>0.55670340859749123</v>
      </c>
      <c r="I164" s="69">
        <f t="shared" si="38"/>
        <v>1.4059311608290472</v>
      </c>
      <c r="J164" s="99">
        <f t="shared" si="39"/>
        <v>1.5047746178408776E-2</v>
      </c>
      <c r="K164" s="69">
        <f t="shared" si="40"/>
        <v>8.7749038882884347E-3</v>
      </c>
      <c r="L164" s="99">
        <f t="shared" si="41"/>
        <v>2.3822650066697211E-2</v>
      </c>
      <c r="M164" s="69">
        <f t="shared" si="42"/>
        <v>23.368659953400094</v>
      </c>
      <c r="N164" s="69">
        <f t="shared" si="43"/>
        <v>17.435955391689184</v>
      </c>
      <c r="O164" s="69">
        <f t="shared" si="44"/>
        <v>31.320008324748308</v>
      </c>
      <c r="P164" s="69">
        <f t="shared" si="45"/>
        <v>0.69808390130776077</v>
      </c>
      <c r="Q164" s="69">
        <f t="shared" si="46"/>
        <v>0.82137843393149268</v>
      </c>
      <c r="R164" s="43">
        <f t="shared" si="47"/>
        <v>1859.6035196524927</v>
      </c>
      <c r="S164" s="43">
        <f t="shared" si="48"/>
        <v>807.7057066018765</v>
      </c>
      <c r="T164" s="43">
        <f>R164+Thrust!C$33*0.8</f>
        <v>3671.3635196524929</v>
      </c>
      <c r="U164" s="43"/>
      <c r="V164">
        <f t="shared" si="52"/>
        <v>263128.29702748376</v>
      </c>
      <c r="W164">
        <f t="shared" si="53"/>
        <v>1196029.2254950686</v>
      </c>
      <c r="Y164">
        <f t="shared" si="54"/>
        <v>-836.43432167676974</v>
      </c>
      <c r="Z164">
        <f t="shared" si="55"/>
        <v>-2.452570262380863</v>
      </c>
      <c r="AA164">
        <f t="shared" si="49"/>
        <v>2965.5128851949717</v>
      </c>
      <c r="AB164">
        <f t="shared" si="56"/>
        <v>8.7264406212437784</v>
      </c>
      <c r="AC164">
        <f t="shared" si="50"/>
        <v>18.31808353493232</v>
      </c>
      <c r="AD164">
        <f t="shared" si="51"/>
        <v>3535.6634516413701</v>
      </c>
      <c r="AE164">
        <f t="shared" si="57"/>
        <v>1089.3118948408646</v>
      </c>
      <c r="AG164">
        <v>7.7608239161184045</v>
      </c>
      <c r="AH164">
        <v>2965.5128851949717</v>
      </c>
      <c r="AI164">
        <f t="shared" si="58"/>
        <v>22865.796837633152</v>
      </c>
      <c r="AJ164">
        <f t="shared" si="59"/>
        <v>1248.2635966818477</v>
      </c>
      <c r="AN164" s="43"/>
      <c r="AO164" s="43"/>
    </row>
    <row r="165" spans="1:41">
      <c r="A165">
        <v>146</v>
      </c>
      <c r="B165">
        <f t="shared" si="32"/>
        <v>146</v>
      </c>
      <c r="D165" s="43">
        <f t="shared" si="33"/>
        <v>194.34605867616011</v>
      </c>
      <c r="E165" s="43">
        <f t="shared" si="34"/>
        <v>328.01919408576157</v>
      </c>
      <c r="F165" s="69">
        <f t="shared" si="35"/>
        <v>0.31024804331773842</v>
      </c>
      <c r="G165" s="98">
        <f t="shared" si="36"/>
        <v>72.199569078656452</v>
      </c>
      <c r="H165" s="69">
        <f t="shared" si="37"/>
        <v>0.54910345119920512</v>
      </c>
      <c r="I165" s="69">
        <f t="shared" si="38"/>
        <v>1.3419348200487944</v>
      </c>
      <c r="J165" s="99">
        <f t="shared" si="39"/>
        <v>1.5047746178408776E-2</v>
      </c>
      <c r="K165" s="69">
        <f t="shared" si="40"/>
        <v>8.4852891723154675E-3</v>
      </c>
      <c r="L165" s="99">
        <f t="shared" si="41"/>
        <v>2.3533035350724242E-2</v>
      </c>
      <c r="M165" s="69">
        <f t="shared" si="42"/>
        <v>23.333303291124583</v>
      </c>
      <c r="N165" s="69">
        <f t="shared" si="43"/>
        <v>17.290331217323466</v>
      </c>
      <c r="O165" s="69">
        <f t="shared" si="44"/>
        <v>31.48829456373392</v>
      </c>
      <c r="P165" s="69">
        <f t="shared" si="45"/>
        <v>0.70289827304091768</v>
      </c>
      <c r="Q165" s="69">
        <f t="shared" si="46"/>
        <v>0.82315455336685428</v>
      </c>
      <c r="R165" s="43">
        <f t="shared" si="47"/>
        <v>1850.8601075246552</v>
      </c>
      <c r="S165" s="43">
        <f t="shared" si="48"/>
        <v>808.92961294424117</v>
      </c>
      <c r="T165" s="43">
        <f>R165+Thrust!C$33*0.8</f>
        <v>3662.6201075246554</v>
      </c>
      <c r="U165" s="43"/>
      <c r="V165">
        <f t="shared" si="52"/>
        <v>265344.43971007701</v>
      </c>
      <c r="W165">
        <f t="shared" si="53"/>
        <v>1201409.6959125428</v>
      </c>
      <c r="Y165">
        <f t="shared" si="54"/>
        <v>-843.4790136479271</v>
      </c>
      <c r="Z165">
        <f t="shared" si="55"/>
        <v>-2.4562888880498406</v>
      </c>
      <c r="AA165">
        <f t="shared" si="49"/>
        <v>2975.5716753455863</v>
      </c>
      <c r="AB165">
        <f t="shared" si="56"/>
        <v>8.6958313528748032</v>
      </c>
      <c r="AC165">
        <f t="shared" si="50"/>
        <v>18.204371420018891</v>
      </c>
      <c r="AD165">
        <f t="shared" si="51"/>
        <v>3537.9478361576034</v>
      </c>
      <c r="AE165">
        <f t="shared" si="57"/>
        <v>1086.4313678166243</v>
      </c>
      <c r="AG165">
        <v>7.7327907443417185</v>
      </c>
      <c r="AH165">
        <v>2975.5716753455863</v>
      </c>
      <c r="AI165">
        <f t="shared" si="58"/>
        <v>22669.736914654844</v>
      </c>
      <c r="AJ165">
        <f t="shared" si="59"/>
        <v>1245.290836558383</v>
      </c>
      <c r="AN165" s="43"/>
      <c r="AO165" s="43"/>
    </row>
    <row r="166" spans="1:41">
      <c r="A166">
        <v>147</v>
      </c>
      <c r="B166">
        <f t="shared" si="32"/>
        <v>147</v>
      </c>
      <c r="D166" s="43">
        <f t="shared" si="33"/>
        <v>195.67719606435298</v>
      </c>
      <c r="E166" s="43">
        <f t="shared" si="34"/>
        <v>330.26590089456818</v>
      </c>
      <c r="F166" s="69">
        <f t="shared" si="35"/>
        <v>0.31237302991580512</v>
      </c>
      <c r="G166" s="98">
        <f t="shared" si="36"/>
        <v>73.191991378339623</v>
      </c>
      <c r="H166" s="69">
        <f t="shared" si="37"/>
        <v>0.54165806681300643</v>
      </c>
      <c r="I166" s="69">
        <f t="shared" si="38"/>
        <v>1.2792400796116186</v>
      </c>
      <c r="J166" s="99">
        <f t="shared" si="39"/>
        <v>1.5047746178408776E-2</v>
      </c>
      <c r="K166" s="69">
        <f t="shared" si="40"/>
        <v>8.2062774607210495E-3</v>
      </c>
      <c r="L166" s="99">
        <f t="shared" si="41"/>
        <v>2.3254023639129824E-2</v>
      </c>
      <c r="M166" s="69">
        <f t="shared" si="42"/>
        <v>23.293090056963386</v>
      </c>
      <c r="N166" s="69">
        <f t="shared" si="43"/>
        <v>17.143114012488979</v>
      </c>
      <c r="O166" s="69">
        <f t="shared" si="44"/>
        <v>31.649328354611583</v>
      </c>
      <c r="P166" s="69">
        <f t="shared" si="45"/>
        <v>0.70771264477407458</v>
      </c>
      <c r="Q166" s="69">
        <f t="shared" si="46"/>
        <v>0.82488652853052891</v>
      </c>
      <c r="R166" s="43">
        <f t="shared" si="47"/>
        <v>1842.1370703720074</v>
      </c>
      <c r="S166" s="43">
        <f t="shared" si="48"/>
        <v>810.32615053825316</v>
      </c>
      <c r="T166" s="43">
        <f>R166+Thrust!C$33*0.8</f>
        <v>3653.8970703720074</v>
      </c>
      <c r="U166" s="43"/>
      <c r="V166">
        <f t="shared" si="52"/>
        <v>267623.09612594364</v>
      </c>
      <c r="W166">
        <f t="shared" si="53"/>
        <v>1206757.6077224344</v>
      </c>
      <c r="Y166">
        <f t="shared" si="54"/>
        <v>-850.72242477121154</v>
      </c>
      <c r="Z166">
        <f t="shared" si="55"/>
        <v>-2.4605320362746412</v>
      </c>
      <c r="AA166">
        <f t="shared" si="49"/>
        <v>2985.3282487835472</v>
      </c>
      <c r="AB166">
        <f t="shared" si="56"/>
        <v>8.66475706948507</v>
      </c>
      <c r="AC166">
        <f t="shared" si="50"/>
        <v>18.087348839117269</v>
      </c>
      <c r="AD166">
        <f t="shared" si="51"/>
        <v>3539.2817050762974</v>
      </c>
      <c r="AE166">
        <f t="shared" si="57"/>
        <v>1083.2486240797286</v>
      </c>
      <c r="AG166">
        <v>7.7043094217960757</v>
      </c>
      <c r="AH166">
        <v>2985.3282487835472</v>
      </c>
      <c r="AI166">
        <f t="shared" si="58"/>
        <v>22470.36571757602</v>
      </c>
      <c r="AJ166">
        <f t="shared" si="59"/>
        <v>1242.3250039264826</v>
      </c>
      <c r="AN166" s="43"/>
      <c r="AO166" s="43"/>
    </row>
    <row r="167" spans="1:41">
      <c r="A167">
        <v>148</v>
      </c>
      <c r="B167">
        <f t="shared" si="32"/>
        <v>148</v>
      </c>
      <c r="D167" s="43">
        <f t="shared" si="33"/>
        <v>197.00833345254586</v>
      </c>
      <c r="E167" s="43">
        <f t="shared" si="34"/>
        <v>332.51260770337473</v>
      </c>
      <c r="F167" s="69">
        <f t="shared" si="35"/>
        <v>0.31449801651387183</v>
      </c>
      <c r="G167" s="98">
        <f t="shared" si="36"/>
        <v>74.191187891672499</v>
      </c>
      <c r="H167" s="69">
        <f t="shared" si="37"/>
        <v>0.53436309193582254</v>
      </c>
      <c r="I167" s="69">
        <f t="shared" si="38"/>
        <v>1.2178118802471165</v>
      </c>
      <c r="J167" s="99">
        <f t="shared" si="39"/>
        <v>1.5047746178408776E-2</v>
      </c>
      <c r="K167" s="69">
        <f t="shared" si="40"/>
        <v>7.9374260876167429E-3</v>
      </c>
      <c r="L167" s="99">
        <f t="shared" si="41"/>
        <v>2.2985172266025519E-2</v>
      </c>
      <c r="M167" s="69">
        <f t="shared" si="42"/>
        <v>23.248165632661667</v>
      </c>
      <c r="N167" s="69">
        <f t="shared" si="43"/>
        <v>16.99444234260762</v>
      </c>
      <c r="O167" s="69">
        <f t="shared" si="44"/>
        <v>31.803173907543499</v>
      </c>
      <c r="P167" s="69">
        <f t="shared" si="45"/>
        <v>0.7125270165072316</v>
      </c>
      <c r="Q167" s="69">
        <f t="shared" si="46"/>
        <v>0.826574359422517</v>
      </c>
      <c r="R167" s="43">
        <f t="shared" si="47"/>
        <v>1833.4339951882978</v>
      </c>
      <c r="S167" s="43">
        <f t="shared" si="48"/>
        <v>811.89201325554279</v>
      </c>
      <c r="T167" s="43">
        <f>R167+Thrust!C$33*0.8</f>
        <v>3645.1939951882978</v>
      </c>
      <c r="U167" s="43"/>
      <c r="V167">
        <f t="shared" si="52"/>
        <v>269964.33050114341</v>
      </c>
      <c r="W167">
        <f t="shared" si="53"/>
        <v>1212072.9609247437</v>
      </c>
      <c r="Y167">
        <f t="shared" si="54"/>
        <v>-858.16475920893265</v>
      </c>
      <c r="Z167">
        <f t="shared" si="55"/>
        <v>-2.4652896669068389</v>
      </c>
      <c r="AA167">
        <f t="shared" si="49"/>
        <v>2994.7824013465442</v>
      </c>
      <c r="AB167">
        <f t="shared" si="56"/>
        <v>8.6332267602567097</v>
      </c>
      <c r="AC167">
        <f t="shared" si="50"/>
        <v>17.967176638840805</v>
      </c>
      <c r="AD167">
        <f t="shared" si="51"/>
        <v>3539.683526465541</v>
      </c>
      <c r="AE167">
        <f t="shared" si="57"/>
        <v>1079.7634594678698</v>
      </c>
      <c r="AG167">
        <v>7.675387508711081</v>
      </c>
      <c r="AH167">
        <v>2994.7824013465442</v>
      </c>
      <c r="AI167">
        <f t="shared" si="58"/>
        <v>22267.907094092589</v>
      </c>
      <c r="AJ167">
        <f t="shared" si="59"/>
        <v>1239.3659583640213</v>
      </c>
      <c r="AN167" s="43"/>
      <c r="AO167" s="43"/>
    </row>
    <row r="168" spans="1:41">
      <c r="A168">
        <v>149</v>
      </c>
      <c r="B168">
        <f t="shared" si="32"/>
        <v>149</v>
      </c>
      <c r="D168" s="43">
        <f t="shared" si="33"/>
        <v>198.33947084073876</v>
      </c>
      <c r="E168" s="43">
        <f t="shared" si="34"/>
        <v>334.75931451218133</v>
      </c>
      <c r="F168" s="69">
        <f t="shared" si="35"/>
        <v>0.31662300311193853</v>
      </c>
      <c r="G168" s="98">
        <f t="shared" si="36"/>
        <v>75.197158618655095</v>
      </c>
      <c r="H168" s="69">
        <f t="shared" si="37"/>
        <v>0.52721450230900657</v>
      </c>
      <c r="I168" s="69">
        <f t="shared" si="38"/>
        <v>1.1576163352090532</v>
      </c>
      <c r="J168" s="99">
        <f t="shared" si="39"/>
        <v>1.5047746178408776E-2</v>
      </c>
      <c r="K168" s="69">
        <f t="shared" si="40"/>
        <v>7.678313431997548E-3</v>
      </c>
      <c r="L168" s="99">
        <f t="shared" si="41"/>
        <v>2.2726059610406323E-2</v>
      </c>
      <c r="M168" s="69">
        <f t="shared" si="42"/>
        <v>23.198676380642496</v>
      </c>
      <c r="N168" s="69">
        <f t="shared" si="43"/>
        <v>16.844451765289868</v>
      </c>
      <c r="O168" s="69">
        <f t="shared" si="44"/>
        <v>31.949902158452275</v>
      </c>
      <c r="P168" s="69">
        <f t="shared" si="45"/>
        <v>0.71734138824038862</v>
      </c>
      <c r="Q168" s="69">
        <f t="shared" si="46"/>
        <v>0.82821804604281812</v>
      </c>
      <c r="R168" s="43">
        <f t="shared" si="47"/>
        <v>1824.750480054686</v>
      </c>
      <c r="S168" s="43">
        <f t="shared" si="48"/>
        <v>813.62400553808016</v>
      </c>
      <c r="T168" s="43">
        <f>R168+Thrust!C$33*0.8</f>
        <v>3636.510480054686</v>
      </c>
      <c r="U168" s="43"/>
      <c r="V168">
        <f t="shared" si="52"/>
        <v>272368.21436458296</v>
      </c>
      <c r="W168">
        <f t="shared" si="53"/>
        <v>1217355.7555194702</v>
      </c>
      <c r="Y168">
        <f t="shared" si="54"/>
        <v>-865.8062443377471</v>
      </c>
      <c r="Z168">
        <f t="shared" si="55"/>
        <v>-2.4705520762299038</v>
      </c>
      <c r="AA168">
        <f t="shared" si="49"/>
        <v>3003.9339056579197</v>
      </c>
      <c r="AB168">
        <f t="shared" si="56"/>
        <v>8.6012491068017631</v>
      </c>
      <c r="AC168">
        <f t="shared" si="50"/>
        <v>17.844014184456508</v>
      </c>
      <c r="AD168">
        <f t="shared" si="51"/>
        <v>3539.1723310197403</v>
      </c>
      <c r="AE168">
        <f t="shared" si="57"/>
        <v>1075.9756466043896</v>
      </c>
      <c r="AG168">
        <v>7.6460323087617859</v>
      </c>
      <c r="AH168">
        <v>3003.9339056579197</v>
      </c>
      <c r="AI168">
        <f t="shared" si="58"/>
        <v>22062.581159926991</v>
      </c>
      <c r="AJ168">
        <f t="shared" si="59"/>
        <v>1236.4135632185933</v>
      </c>
      <c r="AN168" s="43"/>
      <c r="AO168" s="43"/>
    </row>
    <row r="169" spans="1:41">
      <c r="A169">
        <v>150</v>
      </c>
      <c r="B169">
        <f t="shared" si="32"/>
        <v>150</v>
      </c>
      <c r="D169" s="43">
        <f t="shared" si="33"/>
        <v>199.67060822893163</v>
      </c>
      <c r="E169" s="43">
        <f t="shared" si="34"/>
        <v>337.00602132098794</v>
      </c>
      <c r="F169" s="69">
        <f t="shared" si="35"/>
        <v>0.31874798971000523</v>
      </c>
      <c r="G169" s="98">
        <f t="shared" si="36"/>
        <v>76.209903559287412</v>
      </c>
      <c r="H169" s="69">
        <f t="shared" si="37"/>
        <v>0.5202084073672113</v>
      </c>
      <c r="I169" s="69">
        <f t="shared" si="38"/>
        <v>1.0986206835314469</v>
      </c>
      <c r="J169" s="99">
        <f t="shared" si="39"/>
        <v>1.5047746178408776E-2</v>
      </c>
      <c r="K169" s="69">
        <f t="shared" si="40"/>
        <v>7.4285377914194073E-3</v>
      </c>
      <c r="L169" s="99">
        <f t="shared" si="41"/>
        <v>2.2476283969828183E-2</v>
      </c>
      <c r="M169" s="69">
        <f t="shared" si="42"/>
        <v>23.144769307307698</v>
      </c>
      <c r="N169" s="69">
        <f t="shared" si="43"/>
        <v>16.693274687749341</v>
      </c>
      <c r="O169" s="69">
        <f t="shared" si="44"/>
        <v>32.089590347519469</v>
      </c>
      <c r="P169" s="69">
        <f t="shared" si="45"/>
        <v>0.72215575997354553</v>
      </c>
      <c r="Q169" s="69">
        <f t="shared" si="46"/>
        <v>0.82981758839143271</v>
      </c>
      <c r="R169" s="43">
        <f t="shared" si="47"/>
        <v>1816.0861337701722</v>
      </c>
      <c r="S169" s="43">
        <f t="shared" si="48"/>
        <v>815.51903799017066</v>
      </c>
      <c r="T169" s="43">
        <f>R169+Thrust!C$33*0.8</f>
        <v>3627.8461337701719</v>
      </c>
      <c r="U169" s="43"/>
      <c r="V169">
        <f t="shared" si="52"/>
        <v>274834.82630458701</v>
      </c>
      <c r="W169">
        <f t="shared" si="53"/>
        <v>1222605.9915066143</v>
      </c>
      <c r="Y169">
        <f t="shared" si="54"/>
        <v>-873.64712997484617</v>
      </c>
      <c r="Z169">
        <f t="shared" si="55"/>
        <v>-2.4763098835398658</v>
      </c>
      <c r="AA169">
        <f t="shared" si="49"/>
        <v>3012.7825119004838</v>
      </c>
      <c r="AB169">
        <f t="shared" si="56"/>
        <v>8.5688324955806987</v>
      </c>
      <c r="AC169">
        <f t="shared" si="50"/>
        <v>17.718019099539745</v>
      </c>
      <c r="AD169">
        <f t="shared" si="51"/>
        <v>3537.7676502169279</v>
      </c>
      <c r="AE169">
        <f t="shared" si="57"/>
        <v>1071.8849356720982</v>
      </c>
      <c r="AG169">
        <v>7.6162508793857269</v>
      </c>
      <c r="AH169">
        <v>3012.7825119004838</v>
      </c>
      <c r="AI169">
        <f t="shared" si="58"/>
        <v>21854.604010032654</v>
      </c>
      <c r="AJ169">
        <f t="shared" si="59"/>
        <v>1233.4676854818586</v>
      </c>
      <c r="AN169" s="43"/>
      <c r="AO169" s="43"/>
    </row>
    <row r="170" spans="1:41">
      <c r="A170">
        <v>151</v>
      </c>
      <c r="B170">
        <f t="shared" si="32"/>
        <v>151</v>
      </c>
      <c r="D170" s="43">
        <f t="shared" si="33"/>
        <v>201.0017456171245</v>
      </c>
      <c r="E170" s="43">
        <f t="shared" si="34"/>
        <v>339.25272812979449</v>
      </c>
      <c r="F170" s="69">
        <f t="shared" si="35"/>
        <v>0.32087297630807193</v>
      </c>
      <c r="G170" s="98">
        <f t="shared" si="36"/>
        <v>77.22942271356942</v>
      </c>
      <c r="H170" s="69">
        <f t="shared" si="37"/>
        <v>0.51334104494374189</v>
      </c>
      <c r="I170" s="69">
        <f t="shared" si="38"/>
        <v>1.0407932454443651</v>
      </c>
      <c r="J170" s="99">
        <f t="shared" si="39"/>
        <v>1.5047746178408776E-2</v>
      </c>
      <c r="K170" s="69">
        <f t="shared" si="40"/>
        <v>7.1877163227389695E-3</v>
      </c>
      <c r="L170" s="99">
        <f t="shared" si="41"/>
        <v>2.2235462501147746E-2</v>
      </c>
      <c r="M170" s="69">
        <f t="shared" si="42"/>
        <v>23.086591741334111</v>
      </c>
      <c r="N170" s="69">
        <f t="shared" si="43"/>
        <v>16.541040240626817</v>
      </c>
      <c r="O170" s="69">
        <f t="shared" si="44"/>
        <v>32.222321599940614</v>
      </c>
      <c r="P170" s="69">
        <f t="shared" si="45"/>
        <v>0.72697013170670255</v>
      </c>
      <c r="Q170" s="69">
        <f t="shared" si="46"/>
        <v>0.83137298646836078</v>
      </c>
      <c r="R170" s="43">
        <f t="shared" si="47"/>
        <v>1807.4405754966949</v>
      </c>
      <c r="S170" s="43">
        <f t="shared" si="48"/>
        <v>817.57412317411502</v>
      </c>
      <c r="T170" s="43">
        <f>R170+Thrust!C$33*0.8</f>
        <v>3619.2005754966949</v>
      </c>
      <c r="U170" s="43"/>
      <c r="V170">
        <f t="shared" si="52"/>
        <v>277364.25173514313</v>
      </c>
      <c r="W170">
        <f t="shared" si="53"/>
        <v>1227823.6688861761</v>
      </c>
      <c r="Y170">
        <f t="shared" si="54"/>
        <v>-881.68768763489209</v>
      </c>
      <c r="Z170">
        <f t="shared" si="55"/>
        <v>-2.4825540183472015</v>
      </c>
      <c r="AA170">
        <f t="shared" si="49"/>
        <v>3021.3279485595749</v>
      </c>
      <c r="AB170">
        <f t="shared" si="56"/>
        <v>8.535985029742216</v>
      </c>
      <c r="AC170">
        <f t="shared" si="50"/>
        <v>17.589347023923811</v>
      </c>
      <c r="AD170">
        <f t="shared" si="51"/>
        <v>3535.4894560740599</v>
      </c>
      <c r="AE170">
        <f t="shared" si="57"/>
        <v>1067.491055156333</v>
      </c>
      <c r="AG170">
        <v>7.5860500416200667</v>
      </c>
      <c r="AH170">
        <v>3021.3279485595749</v>
      </c>
      <c r="AI170">
        <f t="shared" si="58"/>
        <v>21644.187456342686</v>
      </c>
      <c r="AJ170">
        <f t="shared" si="59"/>
        <v>1230.5281956688764</v>
      </c>
      <c r="AN170" s="43"/>
      <c r="AO170" s="43"/>
    </row>
    <row r="171" spans="1:41">
      <c r="A171">
        <v>152</v>
      </c>
      <c r="B171">
        <f t="shared" si="32"/>
        <v>152</v>
      </c>
      <c r="D171" s="43">
        <f t="shared" si="33"/>
        <v>202.33288300531737</v>
      </c>
      <c r="E171" s="43">
        <f t="shared" si="34"/>
        <v>341.4994349386011</v>
      </c>
      <c r="F171" s="69">
        <f t="shared" si="35"/>
        <v>0.32299796290613864</v>
      </c>
      <c r="G171" s="98">
        <f t="shared" si="36"/>
        <v>78.255716081501163</v>
      </c>
      <c r="H171" s="69">
        <f t="shared" si="37"/>
        <v>0.50660877621893419</v>
      </c>
      <c r="I171" s="69">
        <f t="shared" si="38"/>
        <v>0.98410337983614593</v>
      </c>
      <c r="J171" s="99">
        <f t="shared" si="39"/>
        <v>1.5047746178408776E-2</v>
      </c>
      <c r="K171" s="69">
        <f t="shared" si="40"/>
        <v>6.9554840455199052E-3</v>
      </c>
      <c r="L171" s="99">
        <f t="shared" si="41"/>
        <v>2.200323022392868E-2</v>
      </c>
      <c r="M171" s="69">
        <f t="shared" si="42"/>
        <v>23.024291027414389</v>
      </c>
      <c r="N171" s="69">
        <f t="shared" si="43"/>
        <v>16.387874167787803</v>
      </c>
      <c r="O171" s="69">
        <f t="shared" si="44"/>
        <v>32.348184510537727</v>
      </c>
      <c r="P171" s="69">
        <f t="shared" si="45"/>
        <v>0.73178450343985946</v>
      </c>
      <c r="Q171" s="69">
        <f t="shared" si="46"/>
        <v>0.83288424027360175</v>
      </c>
      <c r="R171" s="43">
        <f t="shared" si="47"/>
        <v>1798.8134344182447</v>
      </c>
      <c r="S171" s="43">
        <f t="shared" si="48"/>
        <v>819.78637159884988</v>
      </c>
      <c r="T171" s="43">
        <f>R171+Thrust!C$33*0.8</f>
        <v>3610.5734344182447</v>
      </c>
      <c r="U171" s="43"/>
      <c r="V171">
        <f t="shared" si="52"/>
        <v>279956.58267137333</v>
      </c>
      <c r="W171">
        <f t="shared" si="53"/>
        <v>1233008.787658155</v>
      </c>
      <c r="Y171">
        <f t="shared" si="54"/>
        <v>-889.9282098162862</v>
      </c>
      <c r="Z171">
        <f t="shared" si="55"/>
        <v>-2.4892757081672654</v>
      </c>
      <c r="AA171">
        <f t="shared" si="49"/>
        <v>3029.5699231367889</v>
      </c>
      <c r="AB171">
        <f t="shared" si="56"/>
        <v>8.5027145404148001</v>
      </c>
      <c r="AC171">
        <f t="shared" si="50"/>
        <v>17.458151389871134</v>
      </c>
      <c r="AD171">
        <f t="shared" si="51"/>
        <v>3532.3581026559159</v>
      </c>
      <c r="AE171">
        <f t="shared" si="57"/>
        <v>1062.7937125586911</v>
      </c>
      <c r="AG171">
        <v>7.555436389484127</v>
      </c>
      <c r="AH171">
        <v>3029.5699231367889</v>
      </c>
      <c r="AI171">
        <f t="shared" si="58"/>
        <v>21431.538791589031</v>
      </c>
      <c r="AJ171">
        <f t="shared" si="59"/>
        <v>1227.5949677022033</v>
      </c>
      <c r="AN171" s="43"/>
      <c r="AO171" s="43"/>
    </row>
    <row r="172" spans="1:41">
      <c r="A172">
        <v>153</v>
      </c>
      <c r="B172">
        <f t="shared" si="32"/>
        <v>153</v>
      </c>
      <c r="D172" s="43">
        <f t="shared" si="33"/>
        <v>203.66402039351024</v>
      </c>
      <c r="E172" s="43">
        <f t="shared" si="34"/>
        <v>343.74614174740765</v>
      </c>
      <c r="F172" s="69">
        <f t="shared" si="35"/>
        <v>0.32512294950420534</v>
      </c>
      <c r="G172" s="98">
        <f t="shared" si="36"/>
        <v>79.288783663082597</v>
      </c>
      <c r="H172" s="69">
        <f t="shared" si="37"/>
        <v>0.50000808089889603</v>
      </c>
      <c r="I172" s="69">
        <f t="shared" si="38"/>
        <v>0.92852144365541933</v>
      </c>
      <c r="J172" s="99">
        <f t="shared" si="39"/>
        <v>1.5047746178408776E-2</v>
      </c>
      <c r="K172" s="69">
        <f t="shared" si="40"/>
        <v>6.7314929040245136E-3</v>
      </c>
      <c r="L172" s="99">
        <f t="shared" si="41"/>
        <v>2.1779239082433288E-2</v>
      </c>
      <c r="M172" s="69">
        <f t="shared" si="42"/>
        <v>22.958014235777082</v>
      </c>
      <c r="N172" s="69">
        <f t="shared" si="43"/>
        <v>16.233898731599499</v>
      </c>
      <c r="O172" s="69">
        <f t="shared" si="44"/>
        <v>32.46727273370221</v>
      </c>
      <c r="P172" s="69">
        <f t="shared" si="45"/>
        <v>0.73659887517301637</v>
      </c>
      <c r="Q172" s="69">
        <f t="shared" si="46"/>
        <v>0.83435134980715608</v>
      </c>
      <c r="R172" s="43">
        <f t="shared" si="47"/>
        <v>1790.2043494133527</v>
      </c>
      <c r="S172" s="43">
        <f t="shared" si="48"/>
        <v>822.15298789151211</v>
      </c>
      <c r="T172" s="43">
        <f>R172+Thrust!C$33*0.8</f>
        <v>3601.9643494133525</v>
      </c>
      <c r="U172" s="43"/>
      <c r="V172">
        <f t="shared" si="52"/>
        <v>282611.91751381045</v>
      </c>
      <c r="W172">
        <f t="shared" si="53"/>
        <v>1238161.3478225511</v>
      </c>
      <c r="Y172">
        <f t="shared" si="54"/>
        <v>-898.36900931542402</v>
      </c>
      <c r="Z172">
        <f t="shared" si="55"/>
        <v>-2.4964664668685392</v>
      </c>
      <c r="AA172">
        <f t="shared" si="49"/>
        <v>3037.5081228357317</v>
      </c>
      <c r="AB172">
        <f t="shared" si="56"/>
        <v>8.469028597478804</v>
      </c>
      <c r="AC172">
        <f t="shared" si="50"/>
        <v>17.324583216298187</v>
      </c>
      <c r="AD172">
        <f t="shared" si="51"/>
        <v>3528.39426947322</v>
      </c>
      <c r="AE172">
        <f t="shared" si="57"/>
        <v>1057.7925950827791</v>
      </c>
      <c r="AG172">
        <v>7.5244162989310857</v>
      </c>
      <c r="AH172">
        <v>3037.5081228357317</v>
      </c>
      <c r="AI172">
        <f t="shared" si="58"/>
        <v>21216.860578607335</v>
      </c>
      <c r="AJ172">
        <f t="shared" si="59"/>
        <v>1224.6678788005399</v>
      </c>
      <c r="AN172" s="43"/>
      <c r="AO172" s="43"/>
    </row>
    <row r="173" spans="1:41">
      <c r="A173">
        <v>154</v>
      </c>
      <c r="B173">
        <f t="shared" si="32"/>
        <v>154</v>
      </c>
      <c r="D173" s="43">
        <f t="shared" si="33"/>
        <v>204.99515778170314</v>
      </c>
      <c r="E173" s="43">
        <f t="shared" si="34"/>
        <v>345.99284855621431</v>
      </c>
      <c r="F173" s="69">
        <f t="shared" si="35"/>
        <v>0.3272479361022721</v>
      </c>
      <c r="G173" s="98">
        <f t="shared" si="36"/>
        <v>80.328625458313809</v>
      </c>
      <c r="H173" s="69">
        <f t="shared" si="37"/>
        <v>0.49353555261267718</v>
      </c>
      <c r="I173" s="69">
        <f t="shared" si="38"/>
        <v>0.87401875315243061</v>
      </c>
      <c r="J173" s="99">
        <f t="shared" si="39"/>
        <v>1.5047746178408776E-2</v>
      </c>
      <c r="K173" s="69">
        <f t="shared" si="40"/>
        <v>6.5154108839990304E-3</v>
      </c>
      <c r="L173" s="99">
        <f t="shared" si="41"/>
        <v>2.1563157062407808E-2</v>
      </c>
      <c r="M173" s="69">
        <f t="shared" si="42"/>
        <v>22.887907887712963</v>
      </c>
      <c r="N173" s="69">
        <f t="shared" si="43"/>
        <v>16.079232633142951</v>
      </c>
      <c r="O173" s="69">
        <f t="shared" si="44"/>
        <v>32.579684580012021</v>
      </c>
      <c r="P173" s="69">
        <f t="shared" si="45"/>
        <v>0.74141324690617361</v>
      </c>
      <c r="Q173" s="69">
        <f t="shared" si="46"/>
        <v>0.83577431506902378</v>
      </c>
      <c r="R173" s="43">
        <f t="shared" si="47"/>
        <v>1781.6129687403245</v>
      </c>
      <c r="S173" s="43">
        <f t="shared" si="48"/>
        <v>824.67126714245319</v>
      </c>
      <c r="T173" s="43">
        <f>R173+Thrust!C$33*0.8</f>
        <v>3593.3729687403247</v>
      </c>
      <c r="U173" s="43"/>
      <c r="V173">
        <f t="shared" si="52"/>
        <v>285330.36084108014</v>
      </c>
      <c r="W173">
        <f t="shared" si="53"/>
        <v>1243281.3493793653</v>
      </c>
      <c r="Y173">
        <f t="shared" si="54"/>
        <v>-907.0104185676721</v>
      </c>
      <c r="Z173">
        <f t="shared" si="55"/>
        <v>-2.5041180835497334</v>
      </c>
      <c r="AA173">
        <f t="shared" si="49"/>
        <v>3045.1422152210389</v>
      </c>
      <c r="AB173">
        <f t="shared" si="56"/>
        <v>8.4349345198459762</v>
      </c>
      <c r="AC173">
        <f t="shared" si="50"/>
        <v>17.188790920800155</v>
      </c>
      <c r="AD173">
        <f t="shared" si="51"/>
        <v>3523.6189068861336</v>
      </c>
      <c r="AE173">
        <f t="shared" si="57"/>
        <v>1052.4873702932291</v>
      </c>
      <c r="AG173">
        <v>7.492995936391198</v>
      </c>
      <c r="AH173">
        <v>3045.1422152210389</v>
      </c>
      <c r="AI173">
        <f t="shared" si="58"/>
        <v>21000.350464445015</v>
      </c>
      <c r="AJ173">
        <f t="shared" si="59"/>
        <v>1221.7468093717105</v>
      </c>
      <c r="AN173" s="43"/>
      <c r="AO173" s="43"/>
    </row>
    <row r="174" spans="1:41">
      <c r="A174">
        <v>155</v>
      </c>
      <c r="B174">
        <f t="shared" si="32"/>
        <v>155</v>
      </c>
      <c r="D174" s="43">
        <f t="shared" si="33"/>
        <v>206.32629516989601</v>
      </c>
      <c r="E174" s="43">
        <f t="shared" si="34"/>
        <v>348.23955536502086</v>
      </c>
      <c r="F174" s="69">
        <f t="shared" si="35"/>
        <v>0.32937292270033874</v>
      </c>
      <c r="G174" s="98">
        <f t="shared" si="36"/>
        <v>81.375241467194655</v>
      </c>
      <c r="H174" s="69">
        <f t="shared" si="37"/>
        <v>0.48718789451663924</v>
      </c>
      <c r="I174" s="69">
        <f t="shared" si="38"/>
        <v>0.82056754686511868</v>
      </c>
      <c r="J174" s="99">
        <f t="shared" si="39"/>
        <v>1.5047746178408776E-2</v>
      </c>
      <c r="K174" s="69">
        <f t="shared" si="40"/>
        <v>6.3069211807292459E-3</v>
      </c>
      <c r="L174" s="99">
        <f t="shared" si="41"/>
        <v>2.1354667359138022E-2</v>
      </c>
      <c r="M174" s="69">
        <f t="shared" si="42"/>
        <v>22.814117697233215</v>
      </c>
      <c r="N174" s="69">
        <f t="shared" si="43"/>
        <v>15.92399094677368</v>
      </c>
      <c r="O174" s="69">
        <f t="shared" si="44"/>
        <v>32.685522620738716</v>
      </c>
      <c r="P174" s="69">
        <f t="shared" si="45"/>
        <v>0.7462276186393304</v>
      </c>
      <c r="Q174" s="69">
        <f t="shared" si="46"/>
        <v>0.83715313605920449</v>
      </c>
      <c r="R174" s="43">
        <f t="shared" si="47"/>
        <v>1773.0389497346735</v>
      </c>
      <c r="S174" s="43">
        <f t="shared" si="48"/>
        <v>827.33859141478297</v>
      </c>
      <c r="T174" s="43">
        <f>R174+Thrust!C$33*0.8</f>
        <v>3584.7989497346734</v>
      </c>
      <c r="U174" s="43"/>
      <c r="V174">
        <f t="shared" si="52"/>
        <v>288112.02321060671</v>
      </c>
      <c r="W174">
        <f t="shared" si="53"/>
        <v>1248368.7923285963</v>
      </c>
      <c r="Y174">
        <f t="shared" si="54"/>
        <v>-915.85278901384902</v>
      </c>
      <c r="Z174">
        <f t="shared" si="55"/>
        <v>-2.5122226119184847</v>
      </c>
      <c r="AA174">
        <f t="shared" si="49"/>
        <v>3052.4718488518874</v>
      </c>
      <c r="AB174">
        <f t="shared" si="56"/>
        <v>8.4004393852719694</v>
      </c>
      <c r="AC174">
        <f t="shared" si="50"/>
        <v>17.050920149143916</v>
      </c>
      <c r="AD174">
        <f t="shared" si="51"/>
        <v>3518.0531836105947</v>
      </c>
      <c r="AE174">
        <f t="shared" si="57"/>
        <v>1046.8776867492222</v>
      </c>
      <c r="AG174">
        <v>7.4611812669276709</v>
      </c>
      <c r="AH174">
        <v>3052.4718488518874</v>
      </c>
      <c r="AI174">
        <f t="shared" si="58"/>
        <v>20782.201018504704</v>
      </c>
      <c r="AJ174">
        <f t="shared" si="59"/>
        <v>1218.831642909789</v>
      </c>
      <c r="AN174" s="43"/>
      <c r="AO174" s="43"/>
    </row>
    <row r="175" spans="1:41">
      <c r="A175">
        <v>156</v>
      </c>
      <c r="B175">
        <f t="shared" si="32"/>
        <v>156</v>
      </c>
      <c r="D175" s="43">
        <f t="shared" si="33"/>
        <v>207.65743255808889</v>
      </c>
      <c r="E175" s="43">
        <f t="shared" si="34"/>
        <v>350.48626217382747</v>
      </c>
      <c r="F175" s="69">
        <f t="shared" si="35"/>
        <v>0.3314979092984055</v>
      </c>
      <c r="G175" s="98">
        <f t="shared" si="36"/>
        <v>82.428631689725265</v>
      </c>
      <c r="H175" s="69">
        <f t="shared" si="37"/>
        <v>0.48096191509542463</v>
      </c>
      <c r="I175" s="69">
        <f t="shared" si="38"/>
        <v>0.76814095026067675</v>
      </c>
      <c r="J175" s="99">
        <f t="shared" si="39"/>
        <v>1.5047746178408776E-2</v>
      </c>
      <c r="K175" s="69">
        <f t="shared" si="40"/>
        <v>6.1057214150896663E-3</v>
      </c>
      <c r="L175" s="99">
        <f t="shared" si="41"/>
        <v>2.1153467593498444E-2</v>
      </c>
      <c r="M175" s="69">
        <f t="shared" si="42"/>
        <v>22.736788328890775</v>
      </c>
      <c r="N175" s="69">
        <f t="shared" si="43"/>
        <v>15.76828506840852</v>
      </c>
      <c r="O175" s="69">
        <f t="shared" si="44"/>
        <v>32.784893301333504</v>
      </c>
      <c r="P175" s="69">
        <f t="shared" si="45"/>
        <v>0.75104199037248742</v>
      </c>
      <c r="Q175" s="69">
        <f t="shared" si="46"/>
        <v>0.8384878127776989</v>
      </c>
      <c r="R175" s="43">
        <f t="shared" si="47"/>
        <v>1764.4819585181815</v>
      </c>
      <c r="S175" s="43">
        <f t="shared" si="48"/>
        <v>830.15242641003317</v>
      </c>
      <c r="T175" s="43">
        <f>R175+Thrust!C$33*0.8</f>
        <v>3576.2419585181815</v>
      </c>
      <c r="U175" s="43"/>
      <c r="V175">
        <f t="shared" si="52"/>
        <v>290957.0209669859</v>
      </c>
      <c r="W175">
        <f t="shared" si="53"/>
        <v>1253423.6766702456</v>
      </c>
      <c r="Y175">
        <f t="shared" si="54"/>
        <v>-924.89649049108107</v>
      </c>
      <c r="Z175">
        <f t="shared" si="55"/>
        <v>-2.520772360145966</v>
      </c>
      <c r="AA175">
        <f t="shared" si="49"/>
        <v>3059.4966538911563</v>
      </c>
      <c r="AB175">
        <f t="shared" si="56"/>
        <v>8.3655500397258127</v>
      </c>
      <c r="AC175">
        <f t="shared" si="50"/>
        <v>16.91111362182804</v>
      </c>
      <c r="AD175">
        <f t="shared" si="51"/>
        <v>3511.7184364069349</v>
      </c>
      <c r="AE175">
        <f t="shared" si="57"/>
        <v>1040.9631746136351</v>
      </c>
      <c r="AG175">
        <v>7.4289780620250037</v>
      </c>
      <c r="AH175">
        <v>3059.4966538911563</v>
      </c>
      <c r="AI175">
        <f t="shared" si="58"/>
        <v>20562.599593880939</v>
      </c>
      <c r="AJ175">
        <f t="shared" si="59"/>
        <v>1215.9222658961819</v>
      </c>
      <c r="AN175" s="43"/>
      <c r="AO175" s="43"/>
    </row>
    <row r="176" spans="1:41">
      <c r="A176">
        <v>157</v>
      </c>
      <c r="B176">
        <f t="shared" si="32"/>
        <v>157</v>
      </c>
      <c r="D176" s="43">
        <f t="shared" si="33"/>
        <v>208.98856994628176</v>
      </c>
      <c r="E176" s="43">
        <f t="shared" si="34"/>
        <v>352.73296898263402</v>
      </c>
      <c r="F176" s="69">
        <f t="shared" si="35"/>
        <v>0.33362289589647215</v>
      </c>
      <c r="G176" s="98">
        <f t="shared" si="36"/>
        <v>83.488796125905552</v>
      </c>
      <c r="H176" s="69">
        <f t="shared" si="37"/>
        <v>0.47485452414954998</v>
      </c>
      <c r="I176" s="69">
        <f t="shared" si="38"/>
        <v>0.71671294194860846</v>
      </c>
      <c r="J176" s="99">
        <f t="shared" si="39"/>
        <v>1.5047746178408776E-2</v>
      </c>
      <c r="K176" s="69">
        <f t="shared" si="40"/>
        <v>5.9115228945386313E-3</v>
      </c>
      <c r="L176" s="99">
        <f t="shared" si="41"/>
        <v>2.0959269072947408E-2</v>
      </c>
      <c r="M176" s="69">
        <f t="shared" si="42"/>
        <v>22.656063171709324</v>
      </c>
      <c r="N176" s="69">
        <f t="shared" si="43"/>
        <v>15.612222676888544</v>
      </c>
      <c r="O176" s="69">
        <f t="shared" si="44"/>
        <v>32.877906564857021</v>
      </c>
      <c r="P176" s="69">
        <f t="shared" si="45"/>
        <v>0.75585636210564433</v>
      </c>
      <c r="Q176" s="69">
        <f t="shared" si="46"/>
        <v>0.83977834522450623</v>
      </c>
      <c r="R176" s="43">
        <f t="shared" si="47"/>
        <v>1755.9416697190791</v>
      </c>
      <c r="S176" s="43">
        <f t="shared" si="48"/>
        <v>833.11031828200646</v>
      </c>
      <c r="T176" s="43">
        <f>R176+Thrust!C$33*0.8</f>
        <v>3567.7016697190793</v>
      </c>
      <c r="U176" s="43"/>
      <c r="V176">
        <f t="shared" si="52"/>
        <v>293865.47605767933</v>
      </c>
      <c r="W176">
        <f t="shared" si="53"/>
        <v>1258446.0024043117</v>
      </c>
      <c r="Y176">
        <f t="shared" si="54"/>
        <v>-934.14191064692773</v>
      </c>
      <c r="Z176">
        <f t="shared" si="55"/>
        <v>-2.5297598811731614</v>
      </c>
      <c r="AA176">
        <f t="shared" si="49"/>
        <v>3066.2162426912814</v>
      </c>
      <c r="AB176">
        <f t="shared" si="56"/>
        <v>8.3302731063389235</v>
      </c>
      <c r="AC176">
        <f t="shared" si="50"/>
        <v>16.769510997247512</v>
      </c>
      <c r="AD176">
        <f t="shared" si="51"/>
        <v>3504.636122013203</v>
      </c>
      <c r="AE176">
        <f t="shared" si="57"/>
        <v>1034.7434462389037</v>
      </c>
      <c r="AG176">
        <v>7.3963919070286215</v>
      </c>
      <c r="AH176">
        <v>3066.2162426912814</v>
      </c>
      <c r="AI176">
        <f t="shared" si="58"/>
        <v>20341.728210985821</v>
      </c>
      <c r="AJ176">
        <f t="shared" si="59"/>
        <v>1213.0185677044869</v>
      </c>
      <c r="AN176" s="43"/>
      <c r="AO176" s="43"/>
    </row>
    <row r="177" spans="1:41">
      <c r="A177">
        <v>158</v>
      </c>
      <c r="B177">
        <f t="shared" si="32"/>
        <v>158</v>
      </c>
      <c r="D177" s="43">
        <f t="shared" si="33"/>
        <v>210.31970733447463</v>
      </c>
      <c r="E177" s="43">
        <f t="shared" si="34"/>
        <v>354.97967579144057</v>
      </c>
      <c r="F177" s="69">
        <f t="shared" si="35"/>
        <v>0.3357478824945388</v>
      </c>
      <c r="G177" s="98">
        <f t="shared" si="36"/>
        <v>84.555734775735573</v>
      </c>
      <c r="H177" s="69">
        <f t="shared" si="37"/>
        <v>0.46886272896019304</v>
      </c>
      <c r="I177" s="69">
        <f t="shared" si="38"/>
        <v>0.66625832138586172</v>
      </c>
      <c r="J177" s="99">
        <f t="shared" si="39"/>
        <v>1.5047746178408776E-2</v>
      </c>
      <c r="K177" s="69">
        <f t="shared" si="40"/>
        <v>5.7240499162221773E-3</v>
      </c>
      <c r="L177" s="99">
        <f t="shared" si="41"/>
        <v>2.0771796094630954E-2</v>
      </c>
      <c r="M177" s="69">
        <f t="shared" si="42"/>
        <v>22.572084129084224</v>
      </c>
      <c r="N177" s="69">
        <f t="shared" si="43"/>
        <v>15.455907707745723</v>
      </c>
      <c r="O177" s="69">
        <f t="shared" si="44"/>
        <v>32.964675486197464</v>
      </c>
      <c r="P177" s="69">
        <f t="shared" si="45"/>
        <v>0.76067073383880113</v>
      </c>
      <c r="Q177" s="69">
        <f t="shared" si="46"/>
        <v>0.8410247333996268</v>
      </c>
      <c r="R177" s="43">
        <f t="shared" si="47"/>
        <v>1747.4177662028605</v>
      </c>
      <c r="S177" s="43">
        <f t="shared" si="48"/>
        <v>836.20989059133819</v>
      </c>
      <c r="T177" s="43">
        <f>R177+Thrust!C$33*0.8</f>
        <v>3559.1777662028608</v>
      </c>
      <c r="U177" s="43"/>
      <c r="V177">
        <f t="shared" si="52"/>
        <v>296837.51585570921</v>
      </c>
      <c r="W177">
        <f t="shared" si="53"/>
        <v>1263435.7695307953</v>
      </c>
      <c r="Y177">
        <f t="shared" si="54"/>
        <v>-943.58945437576438</v>
      </c>
      <c r="Z177">
        <f t="shared" si="55"/>
        <v>-2.539177963445987</v>
      </c>
      <c r="AA177">
        <f t="shared" si="49"/>
        <v>3072.6302103578892</v>
      </c>
      <c r="AB177">
        <f t="shared" si="56"/>
        <v>8.2946149939550331</v>
      </c>
      <c r="AC177">
        <f t="shared" si="50"/>
        <v>16.626248750947489</v>
      </c>
      <c r="AD177">
        <f t="shared" si="51"/>
        <v>3496.8277713694501</v>
      </c>
      <c r="AE177">
        <f t="shared" si="57"/>
        <v>1028.218096730656</v>
      </c>
      <c r="AG177">
        <v>7.3634282082533717</v>
      </c>
      <c r="AH177">
        <v>3072.6302103578892</v>
      </c>
      <c r="AI177">
        <f t="shared" si="58"/>
        <v>20119.763462508334</v>
      </c>
      <c r="AJ177">
        <f t="shared" si="59"/>
        <v>1210.1204405089727</v>
      </c>
      <c r="AN177" s="43"/>
      <c r="AO177" s="43"/>
    </row>
    <row r="178" spans="1:41">
      <c r="A178">
        <v>159</v>
      </c>
      <c r="B178">
        <f t="shared" si="32"/>
        <v>159</v>
      </c>
      <c r="D178" s="43">
        <f t="shared" si="33"/>
        <v>211.65084472266753</v>
      </c>
      <c r="E178" s="43">
        <f t="shared" si="34"/>
        <v>357.22638260024723</v>
      </c>
      <c r="F178" s="69">
        <f t="shared" si="35"/>
        <v>0.33787286909260561</v>
      </c>
      <c r="G178" s="98">
        <f t="shared" si="36"/>
        <v>85.629447639215343</v>
      </c>
      <c r="H178" s="69">
        <f t="shared" si="37"/>
        <v>0.46298363062229553</v>
      </c>
      <c r="I178" s="69">
        <f t="shared" si="38"/>
        <v>0.6167526779992879</v>
      </c>
      <c r="J178" s="99">
        <f t="shared" si="39"/>
        <v>1.5047746178408776E-2</v>
      </c>
      <c r="K178" s="69">
        <f t="shared" si="40"/>
        <v>5.5430391095455762E-3</v>
      </c>
      <c r="L178" s="99">
        <f t="shared" si="41"/>
        <v>2.0590785287954352E-2</v>
      </c>
      <c r="M178" s="69">
        <f t="shared" si="42"/>
        <v>22.484991424447607</v>
      </c>
      <c r="N178" s="69">
        <f t="shared" si="43"/>
        <v>15.299440338685956</v>
      </c>
      <c r="O178" s="69">
        <f t="shared" si="44"/>
        <v>33.045315917804707</v>
      </c>
      <c r="P178" s="69">
        <f t="shared" si="45"/>
        <v>0.76548510557195837</v>
      </c>
      <c r="Q178" s="69">
        <f t="shared" si="46"/>
        <v>0.84222697730306084</v>
      </c>
      <c r="R178" s="43">
        <f t="shared" si="47"/>
        <v>1738.9099388132443</v>
      </c>
      <c r="S178" s="43">
        <f t="shared" si="48"/>
        <v>839.44884139370788</v>
      </c>
      <c r="T178" s="43">
        <f>R178+Thrust!C$33*0.8</f>
        <v>3550.6699388132442</v>
      </c>
      <c r="U178" s="43"/>
      <c r="V178">
        <f t="shared" si="52"/>
        <v>299873.27298904298</v>
      </c>
      <c r="W178">
        <f t="shared" si="53"/>
        <v>1268392.9780496964</v>
      </c>
      <c r="Y178">
        <f t="shared" si="54"/>
        <v>-953.23954327642787</v>
      </c>
      <c r="Z178">
        <f t="shared" si="55"/>
        <v>-2.5490196220576973</v>
      </c>
      <c r="AA178">
        <f t="shared" si="49"/>
        <v>3078.7381352921429</v>
      </c>
      <c r="AB178">
        <f t="shared" si="56"/>
        <v>8.258581905301126</v>
      </c>
      <c r="AC178">
        <f t="shared" si="50"/>
        <v>16.481460070404552</v>
      </c>
      <c r="AD178">
        <f t="shared" si="51"/>
        <v>3488.3149461640392</v>
      </c>
      <c r="AE178">
        <f t="shared" si="57"/>
        <v>1021.3867044900543</v>
      </c>
      <c r="AG178">
        <v>7.3300921997776065</v>
      </c>
      <c r="AH178">
        <v>3078.7381352921429</v>
      </c>
      <c r="AI178">
        <f t="shared" si="58"/>
        <v>19896.876438710329</v>
      </c>
      <c r="AJ178">
        <f t="shared" si="59"/>
        <v>1207.2277791965032</v>
      </c>
      <c r="AN178" s="43"/>
      <c r="AO178" s="43"/>
    </row>
    <row r="179" spans="1:41">
      <c r="A179">
        <v>160</v>
      </c>
      <c r="B179">
        <f t="shared" si="32"/>
        <v>160</v>
      </c>
      <c r="D179" s="43">
        <f t="shared" si="33"/>
        <v>212.9819821108604</v>
      </c>
      <c r="E179" s="43">
        <f t="shared" si="34"/>
        <v>359.47308940905378</v>
      </c>
      <c r="F179" s="69">
        <f t="shared" si="35"/>
        <v>0.33999785569067226</v>
      </c>
      <c r="G179" s="98">
        <f t="shared" si="36"/>
        <v>86.709934716344776</v>
      </c>
      <c r="H179" s="69">
        <f t="shared" si="37"/>
        <v>0.45721442053758815</v>
      </c>
      <c r="I179" s="69">
        <f t="shared" si="38"/>
        <v>0.56817236165474305</v>
      </c>
      <c r="J179" s="99">
        <f t="shared" si="39"/>
        <v>1.5047746178408776E-2</v>
      </c>
      <c r="K179" s="69">
        <f t="shared" si="40"/>
        <v>5.3682388157517023E-3</v>
      </c>
      <c r="L179" s="99">
        <f t="shared" si="41"/>
        <v>2.0415984994160478E-2</v>
      </c>
      <c r="M179" s="69">
        <f t="shared" si="42"/>
        <v>22.394923422424331</v>
      </c>
      <c r="N179" s="69">
        <f t="shared" si="43"/>
        <v>15.142916986091048</v>
      </c>
      <c r="O179" s="69">
        <f t="shared" si="44"/>
        <v>33.119946147556227</v>
      </c>
      <c r="P179" s="69">
        <f t="shared" si="45"/>
        <v>0.77029947730511528</v>
      </c>
      <c r="Q179" s="69">
        <f t="shared" si="46"/>
        <v>0.84338507693480791</v>
      </c>
      <c r="R179" s="43">
        <f t="shared" si="47"/>
        <v>1730.417886122857</v>
      </c>
      <c r="S179" s="43">
        <f t="shared" si="48"/>
        <v>842.82494045504143</v>
      </c>
      <c r="T179" s="43">
        <f>R179+Thrust!C$33*0.8</f>
        <v>3542.1778861228568</v>
      </c>
      <c r="U179" s="43"/>
      <c r="V179">
        <f t="shared" si="52"/>
        <v>302972.88517637557</v>
      </c>
      <c r="W179">
        <f t="shared" si="53"/>
        <v>1273317.6279610149</v>
      </c>
      <c r="Y179">
        <f t="shared" si="54"/>
        <v>-963.09261513020056</v>
      </c>
      <c r="Z179">
        <f t="shared" si="55"/>
        <v>-2.5592780902782368</v>
      </c>
      <c r="AA179">
        <f t="shared" si="49"/>
        <v>3084.5395797127608</v>
      </c>
      <c r="AB179">
        <f t="shared" si="56"/>
        <v>8.2221798447984114</v>
      </c>
      <c r="AC179">
        <f t="shared" si="50"/>
        <v>16.335274764736013</v>
      </c>
      <c r="AD179">
        <f t="shared" si="51"/>
        <v>3479.1191977189951</v>
      </c>
      <c r="AE179">
        <f t="shared" si="57"/>
        <v>1014.2488317358159</v>
      </c>
      <c r="AG179">
        <v>7.2963889499386338</v>
      </c>
      <c r="AH179">
        <v>3084.5395797127608</v>
      </c>
      <c r="AI179">
        <f t="shared" si="58"/>
        <v>19673.232672032147</v>
      </c>
      <c r="AJ179">
        <f t="shared" si="59"/>
        <v>1204.3404812817714</v>
      </c>
      <c r="AN179" s="43"/>
      <c r="AO179" s="43"/>
    </row>
    <row r="180" spans="1:41">
      <c r="A180">
        <v>161</v>
      </c>
      <c r="B180">
        <f t="shared" si="32"/>
        <v>161</v>
      </c>
      <c r="D180" s="43">
        <f t="shared" si="33"/>
        <v>214.31311949905327</v>
      </c>
      <c r="E180" s="43">
        <f t="shared" si="34"/>
        <v>361.71979621786039</v>
      </c>
      <c r="F180" s="69">
        <f t="shared" si="35"/>
        <v>0.34212284228873896</v>
      </c>
      <c r="G180" s="98">
        <f t="shared" si="36"/>
        <v>87.797196007123958</v>
      </c>
      <c r="H180" s="69">
        <f t="shared" si="37"/>
        <v>0.45155237705961393</v>
      </c>
      <c r="I180" s="69">
        <f t="shared" si="38"/>
        <v>0.52049445440611031</v>
      </c>
      <c r="J180" s="99">
        <f t="shared" si="39"/>
        <v>1.5047746178408776E-2</v>
      </c>
      <c r="K180" s="69">
        <f t="shared" si="40"/>
        <v>5.1994085022130177E-3</v>
      </c>
      <c r="L180" s="99">
        <f t="shared" si="41"/>
        <v>2.0247154680621795E-2</v>
      </c>
      <c r="M180" s="69">
        <f t="shared" si="42"/>
        <v>22.302016465147421</v>
      </c>
      <c r="N180" s="69">
        <f t="shared" si="43"/>
        <v>14.98643031183779</v>
      </c>
      <c r="O180" s="69">
        <f t="shared" si="44"/>
        <v>33.188686569264327</v>
      </c>
      <c r="P180" s="69">
        <f t="shared" si="45"/>
        <v>0.77511384903827218</v>
      </c>
      <c r="Q180" s="69">
        <f t="shared" si="46"/>
        <v>0.84449903229486856</v>
      </c>
      <c r="R180" s="43">
        <f t="shared" si="47"/>
        <v>1721.9413141932037</v>
      </c>
      <c r="S180" s="43">
        <f t="shared" si="48"/>
        <v>846.33602658741609</v>
      </c>
      <c r="T180" s="43">
        <f>R180+Thrust!C$33*0.8</f>
        <v>3533.7013141932039</v>
      </c>
      <c r="U180" s="43"/>
      <c r="V180">
        <f t="shared" si="52"/>
        <v>306136.49506903382</v>
      </c>
      <c r="W180">
        <f t="shared" si="53"/>
        <v>1278209.7192647511</v>
      </c>
      <c r="Y180">
        <f t="shared" si="54"/>
        <v>-973.14912339825332</v>
      </c>
      <c r="Z180">
        <f t="shared" si="55"/>
        <v>-2.5699468114513473</v>
      </c>
      <c r="AA180">
        <f t="shared" si="49"/>
        <v>3090.0340901585714</v>
      </c>
      <c r="AB180">
        <f t="shared" si="56"/>
        <v>8.1854146260311751</v>
      </c>
      <c r="AC180">
        <f t="shared" si="50"/>
        <v>16.187819188706214</v>
      </c>
      <c r="AD180">
        <f t="shared" si="51"/>
        <v>3469.262028218262</v>
      </c>
      <c r="AE180">
        <f t="shared" si="57"/>
        <v>1006.8040250067704</v>
      </c>
      <c r="AG180">
        <v>7.2623233675442345</v>
      </c>
      <c r="AH180">
        <v>3090.0340901585714</v>
      </c>
      <c r="AI180">
        <f t="shared" si="58"/>
        <v>19448.992099958061</v>
      </c>
      <c r="AJ180">
        <f t="shared" si="59"/>
        <v>1201.4584468256894</v>
      </c>
      <c r="AN180" s="43"/>
      <c r="AO180" s="43"/>
    </row>
    <row r="181" spans="1:41">
      <c r="A181">
        <v>162</v>
      </c>
      <c r="B181">
        <f t="shared" si="32"/>
        <v>162</v>
      </c>
      <c r="D181" s="43">
        <f t="shared" si="33"/>
        <v>215.64425688724614</v>
      </c>
      <c r="E181" s="43">
        <f t="shared" si="34"/>
        <v>363.96650302666694</v>
      </c>
      <c r="F181" s="69">
        <f t="shared" si="35"/>
        <v>0.34424782888680566</v>
      </c>
      <c r="G181" s="98">
        <f t="shared" si="36"/>
        <v>88.891231511552817</v>
      </c>
      <c r="H181" s="69">
        <f t="shared" si="37"/>
        <v>0.44599486228327451</v>
      </c>
      <c r="I181" s="69">
        <f t="shared" si="38"/>
        <v>0.47369674346129464</v>
      </c>
      <c r="J181" s="99">
        <f t="shared" si="39"/>
        <v>1.5047746178408776E-2</v>
      </c>
      <c r="K181" s="69">
        <f t="shared" si="40"/>
        <v>5.0363182092990908E-3</v>
      </c>
      <c r="L181" s="99">
        <f t="shared" si="41"/>
        <v>2.0084064387707868E-2</v>
      </c>
      <c r="M181" s="69">
        <f t="shared" si="42"/>
        <v>22.206404723350648</v>
      </c>
      <c r="N181" s="69">
        <f t="shared" si="43"/>
        <v>14.830069239733193</v>
      </c>
      <c r="O181" s="69">
        <f t="shared" si="44"/>
        <v>33.251659366232438</v>
      </c>
      <c r="P181" s="69">
        <f t="shared" si="45"/>
        <v>0.7799282207714292</v>
      </c>
      <c r="Q181" s="69">
        <f t="shared" si="46"/>
        <v>0.84556884338324234</v>
      </c>
      <c r="R181" s="43">
        <f t="shared" si="47"/>
        <v>1713.4799363435297</v>
      </c>
      <c r="S181" s="43">
        <f t="shared" si="48"/>
        <v>849.98000509971871</v>
      </c>
      <c r="T181" s="43">
        <f>R181+Thrust!C$33*0.8</f>
        <v>3525.2399363435297</v>
      </c>
      <c r="U181" s="43"/>
      <c r="V181">
        <f t="shared" si="52"/>
        <v>309364.25009873317</v>
      </c>
      <c r="W181">
        <f t="shared" si="53"/>
        <v>1283069.2519609046</v>
      </c>
      <c r="Y181">
        <f t="shared" si="54"/>
        <v>-983.40953673769468</v>
      </c>
      <c r="Z181">
        <f t="shared" si="55"/>
        <v>-2.5810194312412733</v>
      </c>
      <c r="AA181">
        <f t="shared" si="49"/>
        <v>3095.2211979724652</v>
      </c>
      <c r="AB181">
        <f t="shared" si="56"/>
        <v>8.1482918788905927</v>
      </c>
      <c r="AC181">
        <f t="shared" si="50"/>
        <v>16.039216180374464</v>
      </c>
      <c r="AD181">
        <f t="shared" si="51"/>
        <v>3458.7648542707457</v>
      </c>
      <c r="AE181">
        <f t="shared" si="57"/>
        <v>999.05181564580835</v>
      </c>
      <c r="AG181">
        <v>7.2279002078144767</v>
      </c>
      <c r="AH181">
        <v>3095.2211979724652</v>
      </c>
      <c r="AI181">
        <f t="shared" si="58"/>
        <v>19224.309045079153</v>
      </c>
      <c r="AJ181">
        <f t="shared" si="59"/>
        <v>1198.5815783568003</v>
      </c>
      <c r="AN181" s="43"/>
      <c r="AO181" s="43"/>
    </row>
    <row r="182" spans="1:41">
      <c r="A182">
        <v>163</v>
      </c>
      <c r="B182">
        <f t="shared" si="32"/>
        <v>163</v>
      </c>
      <c r="D182" s="43">
        <f t="shared" si="33"/>
        <v>216.97539427543902</v>
      </c>
      <c r="E182" s="43">
        <f t="shared" si="34"/>
        <v>366.21320983547355</v>
      </c>
      <c r="F182" s="69">
        <f t="shared" si="35"/>
        <v>0.34637281548487237</v>
      </c>
      <c r="G182" s="98">
        <f t="shared" si="36"/>
        <v>89.992041229631425</v>
      </c>
      <c r="H182" s="69">
        <f t="shared" si="37"/>
        <v>0.44053931897181886</v>
      </c>
      <c r="I182" s="69">
        <f t="shared" si="38"/>
        <v>0.42775769530556706</v>
      </c>
      <c r="J182" s="99">
        <f t="shared" si="39"/>
        <v>1.5047746178408776E-2</v>
      </c>
      <c r="K182" s="69">
        <f t="shared" si="40"/>
        <v>4.8787480278250127E-3</v>
      </c>
      <c r="L182" s="99">
        <f t="shared" si="41"/>
        <v>1.992649420623379E-2</v>
      </c>
      <c r="M182" s="69">
        <f t="shared" si="42"/>
        <v>22.108220061811018</v>
      </c>
      <c r="N182" s="69">
        <f t="shared" si="43"/>
        <v>14.673918980869111</v>
      </c>
      <c r="O182" s="69">
        <f t="shared" si="44"/>
        <v>33.308988208173538</v>
      </c>
      <c r="P182" s="69">
        <f t="shared" si="45"/>
        <v>0.78474259250458622</v>
      </c>
      <c r="Q182" s="69">
        <f t="shared" si="46"/>
        <v>0.84659451019992937</v>
      </c>
      <c r="R182" s="43">
        <f t="shared" si="47"/>
        <v>1705.0334729281913</v>
      </c>
      <c r="S182" s="43">
        <f t="shared" si="48"/>
        <v>853.75484535745284</v>
      </c>
      <c r="T182" s="43">
        <f>R182+Thrust!C$33*0.8</f>
        <v>3516.7934729281915</v>
      </c>
      <c r="U182" s="43"/>
      <c r="V182">
        <f t="shared" si="52"/>
        <v>312656.30233094114</v>
      </c>
      <c r="W182">
        <f t="shared" si="53"/>
        <v>1287896.2260494756</v>
      </c>
      <c r="Y182">
        <f t="shared" si="54"/>
        <v>-993.87433853544189</v>
      </c>
      <c r="Z182">
        <f t="shared" si="55"/>
        <v>-2.5924897902119586</v>
      </c>
      <c r="AA182">
        <f t="shared" si="49"/>
        <v>3100.1004197675265</v>
      </c>
      <c r="AB182">
        <f t="shared" si="56"/>
        <v>8.1108170564093456</v>
      </c>
      <c r="AC182">
        <f t="shared" si="50"/>
        <v>15.889585011710786</v>
      </c>
      <c r="AD182">
        <f t="shared" si="51"/>
        <v>3447.6489727890535</v>
      </c>
      <c r="AE182">
        <f t="shared" si="57"/>
        <v>990.99172026601354</v>
      </c>
      <c r="AG182">
        <v>7.1931240780669361</v>
      </c>
      <c r="AH182">
        <v>3100.1004197675265</v>
      </c>
      <c r="AI182">
        <f t="shared" si="58"/>
        <v>18999.33221128552</v>
      </c>
      <c r="AJ182">
        <f t="shared" si="59"/>
        <v>1195.7097807955852</v>
      </c>
      <c r="AN182" s="43"/>
      <c r="AO182" s="43"/>
    </row>
    <row r="183" spans="1:41">
      <c r="A183">
        <v>164</v>
      </c>
      <c r="B183">
        <f t="shared" si="32"/>
        <v>164</v>
      </c>
      <c r="D183" s="43">
        <f t="shared" si="33"/>
        <v>218.30653166363192</v>
      </c>
      <c r="E183" s="43">
        <f t="shared" si="34"/>
        <v>368.45991664428016</v>
      </c>
      <c r="F183" s="69">
        <f t="shared" si="35"/>
        <v>0.34849780208293907</v>
      </c>
      <c r="G183" s="98">
        <f t="shared" si="36"/>
        <v>91.099625161359739</v>
      </c>
      <c r="H183" s="69">
        <f t="shared" si="37"/>
        <v>0.43518326761459897</v>
      </c>
      <c r="I183" s="69">
        <f t="shared" si="38"/>
        <v>0.38265643092604867</v>
      </c>
      <c r="J183" s="99">
        <f t="shared" si="39"/>
        <v>1.5047746178408776E-2</v>
      </c>
      <c r="K183" s="69">
        <f t="shared" si="40"/>
        <v>4.7264876052196128E-3</v>
      </c>
      <c r="L183" s="99">
        <f t="shared" si="41"/>
        <v>1.977423378362839E-2</v>
      </c>
      <c r="M183" s="69">
        <f t="shared" si="42"/>
        <v>22.00759191867645</v>
      </c>
      <c r="N183" s="69">
        <f t="shared" si="43"/>
        <v>14.518061067209187</v>
      </c>
      <c r="O183" s="69">
        <f t="shared" si="44"/>
        <v>33.360797961714084</v>
      </c>
      <c r="P183" s="69">
        <f t="shared" si="45"/>
        <v>0.78955696423774313</v>
      </c>
      <c r="Q183" s="69">
        <f t="shared" si="46"/>
        <v>0.84757603274492954</v>
      </c>
      <c r="R183" s="43">
        <f t="shared" si="47"/>
        <v>1696.6016511221699</v>
      </c>
      <c r="S183" s="43">
        <f t="shared" si="48"/>
        <v>857.65857844637617</v>
      </c>
      <c r="T183" s="43">
        <f>R183+Thrust!C$33*0.8</f>
        <v>3508.3616511221699</v>
      </c>
      <c r="U183" s="43"/>
      <c r="V183">
        <f t="shared" si="52"/>
        <v>316012.80832360359</v>
      </c>
      <c r="W183">
        <f t="shared" si="53"/>
        <v>1292690.6415304637</v>
      </c>
      <c r="Y183">
        <f t="shared" si="54"/>
        <v>-1004.5440264591372</v>
      </c>
      <c r="Z183">
        <f t="shared" si="55"/>
        <v>-2.6043519167225044</v>
      </c>
      <c r="AA183">
        <f t="shared" si="49"/>
        <v>3104.6712578761117</v>
      </c>
      <c r="AB183">
        <f t="shared" si="56"/>
        <v>8.0729954413022771</v>
      </c>
      <c r="AC183">
        <f t="shared" si="50"/>
        <v>15.739041351493048</v>
      </c>
      <c r="AD183">
        <f t="shared" si="51"/>
        <v>3435.9355291549296</v>
      </c>
      <c r="AE183">
        <f t="shared" si="57"/>
        <v>982.62324119974312</v>
      </c>
      <c r="AG183">
        <v>7.1579994431579292</v>
      </c>
      <c r="AH183">
        <v>3104.6712578761117</v>
      </c>
      <c r="AI183">
        <f t="shared" si="58"/>
        <v>18774.20469502145</v>
      </c>
      <c r="AJ183">
        <f t="shared" si="59"/>
        <v>1192.8429613815379</v>
      </c>
      <c r="AN183" s="43"/>
      <c r="AO183" s="43"/>
    </row>
    <row r="184" spans="1:41">
      <c r="A184">
        <v>165</v>
      </c>
      <c r="B184">
        <f t="shared" si="32"/>
        <v>165</v>
      </c>
      <c r="D184" s="43">
        <f t="shared" si="33"/>
        <v>219.63766905182479</v>
      </c>
      <c r="E184" s="43">
        <f t="shared" si="34"/>
        <v>370.70662345308671</v>
      </c>
      <c r="F184" s="69">
        <f t="shared" si="35"/>
        <v>0.35062278868100577</v>
      </c>
      <c r="G184" s="98">
        <f t="shared" si="36"/>
        <v>92.213983306737745</v>
      </c>
      <c r="H184" s="69">
        <f t="shared" si="37"/>
        <v>0.42992430360926565</v>
      </c>
      <c r="I184" s="69">
        <f t="shared" si="38"/>
        <v>0.33837270208405662</v>
      </c>
      <c r="J184" s="99">
        <f t="shared" si="39"/>
        <v>1.5047746178408776E-2</v>
      </c>
      <c r="K184" s="69">
        <f t="shared" si="40"/>
        <v>4.5793356786757887E-3</v>
      </c>
      <c r="L184" s="99">
        <f t="shared" si="41"/>
        <v>1.9627081857084564E-2</v>
      </c>
      <c r="M184" s="69">
        <f t="shared" si="42"/>
        <v>21.904647198181465</v>
      </c>
      <c r="N184" s="69">
        <f t="shared" si="43"/>
        <v>14.362573392732736</v>
      </c>
      <c r="O184" s="69">
        <f t="shared" si="44"/>
        <v>33.407214414624207</v>
      </c>
      <c r="P184" s="69">
        <f t="shared" si="45"/>
        <v>0.79437133597090004</v>
      </c>
      <c r="Q184" s="69">
        <f t="shared" si="46"/>
        <v>0.84851341101824318</v>
      </c>
      <c r="R184" s="43">
        <f t="shared" si="47"/>
        <v>1688.184204714388</v>
      </c>
      <c r="S184" s="43">
        <f t="shared" si="48"/>
        <v>861.68929493495853</v>
      </c>
      <c r="T184" s="43">
        <f>R184+Thrust!C$33*0.8</f>
        <v>3499.944204714388</v>
      </c>
      <c r="U184" s="43"/>
      <c r="V184">
        <f t="shared" si="52"/>
        <v>319433.92899100942</v>
      </c>
      <c r="W184">
        <f t="shared" si="53"/>
        <v>1297452.4984038696</v>
      </c>
      <c r="Y184">
        <f t="shared" si="54"/>
        <v>-1015.4191120244008</v>
      </c>
      <c r="Z184">
        <f t="shared" si="55"/>
        <v>-2.6166000201236077</v>
      </c>
      <c r="AA184">
        <f t="shared" si="49"/>
        <v>3108.9332007826019</v>
      </c>
      <c r="AB184">
        <f t="shared" si="56"/>
        <v>8.0348321522273292</v>
      </c>
      <c r="AC184">
        <f t="shared" si="50"/>
        <v>15.587697239791881</v>
      </c>
      <c r="AD184">
        <f t="shared" si="51"/>
        <v>3423.6454876334524</v>
      </c>
      <c r="AE184">
        <f t="shared" si="57"/>
        <v>973.94586693137762</v>
      </c>
      <c r="AG184">
        <v>7.1225306306915437</v>
      </c>
      <c r="AH184">
        <v>3108.9332007826019</v>
      </c>
      <c r="AI184">
        <f t="shared" si="58"/>
        <v>18549.064010545702</v>
      </c>
      <c r="AJ184">
        <f t="shared" si="59"/>
        <v>1189.981029602892</v>
      </c>
      <c r="AN184" s="43"/>
      <c r="AO184" s="43"/>
    </row>
    <row r="185" spans="1:41">
      <c r="A185">
        <v>166</v>
      </c>
      <c r="B185">
        <f t="shared" si="32"/>
        <v>166</v>
      </c>
      <c r="D185" s="43">
        <f t="shared" si="33"/>
        <v>220.96880644001766</v>
      </c>
      <c r="E185" s="43">
        <f t="shared" si="34"/>
        <v>372.95333026189331</v>
      </c>
      <c r="F185" s="69">
        <f t="shared" si="35"/>
        <v>0.35274777527907247</v>
      </c>
      <c r="G185" s="98">
        <f t="shared" si="36"/>
        <v>93.3351156657655</v>
      </c>
      <c r="H185" s="69">
        <f t="shared" si="37"/>
        <v>0.42476009456242758</v>
      </c>
      <c r="I185" s="69">
        <f t="shared" si="38"/>
        <v>0.29488686858498436</v>
      </c>
      <c r="J185" s="99">
        <f t="shared" si="39"/>
        <v>1.5047746178408776E-2</v>
      </c>
      <c r="K185" s="69">
        <f t="shared" si="40"/>
        <v>4.4370996336600037E-3</v>
      </c>
      <c r="L185" s="99">
        <f t="shared" si="41"/>
        <v>1.9484845812068781E-2</v>
      </c>
      <c r="M185" s="69">
        <f t="shared" si="42"/>
        <v>21.799510176228033</v>
      </c>
      <c r="N185" s="69">
        <f t="shared" si="43"/>
        <v>14.207530261476187</v>
      </c>
      <c r="O185" s="69">
        <f t="shared" si="44"/>
        <v>33.448364013837661</v>
      </c>
      <c r="P185" s="69">
        <f t="shared" si="45"/>
        <v>0.79918570770405717</v>
      </c>
      <c r="Q185" s="69">
        <f t="shared" si="46"/>
        <v>0.84940664501987007</v>
      </c>
      <c r="R185" s="43">
        <f t="shared" si="47"/>
        <v>1679.780873908491</v>
      </c>
      <c r="S185" s="43">
        <f t="shared" si="48"/>
        <v>865.84514273090599</v>
      </c>
      <c r="T185" s="43">
        <f>R185+Thrust!C$33*0.8</f>
        <v>3491.540873908491</v>
      </c>
      <c r="U185" s="43"/>
      <c r="V185">
        <f t="shared" si="52"/>
        <v>322919.82947257574</v>
      </c>
      <c r="W185">
        <f t="shared" si="53"/>
        <v>1302181.796669693</v>
      </c>
      <c r="Y185">
        <f t="shared" si="54"/>
        <v>-1026.5001201777243</v>
      </c>
      <c r="Z185">
        <f t="shared" si="55"/>
        <v>-2.6292284842404841</v>
      </c>
      <c r="AA185">
        <f t="shared" si="49"/>
        <v>3112.8857235405048</v>
      </c>
      <c r="AB185">
        <f t="shared" si="56"/>
        <v>7.9963321497802662</v>
      </c>
      <c r="AC185">
        <f t="shared" si="50"/>
        <v>15.435661073347362</v>
      </c>
      <c r="AD185">
        <f t="shared" si="51"/>
        <v>3410.7996039902082</v>
      </c>
      <c r="AE185">
        <f t="shared" si="57"/>
        <v>964.95907251442486</v>
      </c>
      <c r="AG185">
        <v>7.0867218360077473</v>
      </c>
      <c r="AH185">
        <v>3112.8857235405048</v>
      </c>
      <c r="AI185">
        <f t="shared" si="58"/>
        <v>18324.042128152778</v>
      </c>
      <c r="AJ185">
        <f t="shared" si="59"/>
        <v>1187.1238971288869</v>
      </c>
      <c r="AN185" s="43"/>
      <c r="AO185" s="43"/>
    </row>
    <row r="186" spans="1:41">
      <c r="A186">
        <v>167</v>
      </c>
      <c r="B186">
        <f t="shared" si="32"/>
        <v>167</v>
      </c>
      <c r="D186" s="43">
        <f t="shared" si="33"/>
        <v>222.29994382821053</v>
      </c>
      <c r="E186" s="43">
        <f t="shared" si="34"/>
        <v>375.20003707069986</v>
      </c>
      <c r="F186" s="69">
        <f t="shared" si="35"/>
        <v>0.35487276187713912</v>
      </c>
      <c r="G186" s="98">
        <f t="shared" si="36"/>
        <v>94.463022238442932</v>
      </c>
      <c r="H186" s="69">
        <f t="shared" si="37"/>
        <v>0.41968837770311801</v>
      </c>
      <c r="I186" s="69">
        <f t="shared" si="38"/>
        <v>0.25217987649809148</v>
      </c>
      <c r="J186" s="99">
        <f t="shared" si="39"/>
        <v>1.5047746178408776E-2</v>
      </c>
      <c r="K186" s="69">
        <f t="shared" si="40"/>
        <v>4.2995950862646844E-3</v>
      </c>
      <c r="L186" s="99">
        <f t="shared" si="41"/>
        <v>1.9347341264673461E-2</v>
      </c>
      <c r="M186" s="69">
        <f t="shared" si="42"/>
        <v>21.69230241828793</v>
      </c>
      <c r="N186" s="69">
        <f t="shared" si="43"/>
        <v>14.053002441830833</v>
      </c>
      <c r="O186" s="69">
        <f t="shared" si="44"/>
        <v>33.484373617254995</v>
      </c>
      <c r="P186" s="69">
        <f t="shared" si="45"/>
        <v>0.80400007943721397</v>
      </c>
      <c r="Q186" s="69">
        <f t="shared" si="46"/>
        <v>0.85025573474980998</v>
      </c>
      <c r="R186" s="43">
        <f t="shared" si="47"/>
        <v>1671.3914051307922</v>
      </c>
      <c r="S186" s="43">
        <f t="shared" si="48"/>
        <v>870.12432502726062</v>
      </c>
      <c r="T186" s="43">
        <f>R186+Thrust!C$33*0.8</f>
        <v>3483.1514051307922</v>
      </c>
      <c r="U186" s="43"/>
      <c r="V186">
        <f t="shared" si="52"/>
        <v>326470.67900634586</v>
      </c>
      <c r="W186">
        <f t="shared" si="53"/>
        <v>1306878.5363279337</v>
      </c>
      <c r="Y186">
        <f t="shared" si="54"/>
        <v>-1037.7875888943447</v>
      </c>
      <c r="Z186">
        <f t="shared" si="55"/>
        <v>-2.6422318611285562</v>
      </c>
      <c r="AA186">
        <f t="shared" si="49"/>
        <v>3116.5282881745838</v>
      </c>
      <c r="AB186">
        <f t="shared" si="56"/>
        <v>7.9575002422360717</v>
      </c>
      <c r="AC186">
        <f t="shared" si="50"/>
        <v>15.28303760114388</v>
      </c>
      <c r="AD186">
        <f t="shared" si="51"/>
        <v>3397.4184002587149</v>
      </c>
      <c r="AE186">
        <f t="shared" si="57"/>
        <v>955.6623199736473</v>
      </c>
      <c r="AG186">
        <v>7.0505771269601167</v>
      </c>
      <c r="AH186">
        <v>3116.5282881745838</v>
      </c>
      <c r="AI186">
        <f t="shared" si="58"/>
        <v>18099.265524330953</v>
      </c>
      <c r="AJ186">
        <f t="shared" si="59"/>
        <v>1184.2714777444694</v>
      </c>
      <c r="AN186" s="43"/>
      <c r="AO186" s="43"/>
    </row>
    <row r="187" spans="1:41">
      <c r="A187">
        <v>168</v>
      </c>
      <c r="B187">
        <f t="shared" si="32"/>
        <v>168</v>
      </c>
      <c r="D187" s="43">
        <f t="shared" si="33"/>
        <v>223.6310812164034</v>
      </c>
      <c r="E187" s="43">
        <f t="shared" si="34"/>
        <v>377.44674387950647</v>
      </c>
      <c r="F187" s="69">
        <f t="shared" si="35"/>
        <v>0.35699774847520588</v>
      </c>
      <c r="G187" s="98">
        <f t="shared" si="36"/>
        <v>95.597703024770112</v>
      </c>
      <c r="H187" s="69">
        <f t="shared" si="37"/>
        <v>0.41470695740370811</v>
      </c>
      <c r="I187" s="69">
        <f t="shared" si="38"/>
        <v>0.21023323728106166</v>
      </c>
      <c r="J187" s="99">
        <f t="shared" si="39"/>
        <v>1.5047746178408776E-2</v>
      </c>
      <c r="K187" s="69">
        <f t="shared" si="40"/>
        <v>4.1666454879859165E-3</v>
      </c>
      <c r="L187" s="99">
        <f t="shared" si="41"/>
        <v>1.9214391666394694E-2</v>
      </c>
      <c r="M187" s="69">
        <f t="shared" si="42"/>
        <v>21.583142709067197</v>
      </c>
      <c r="N187" s="69">
        <f t="shared" si="43"/>
        <v>13.899057226475831</v>
      </c>
      <c r="O187" s="69">
        <f t="shared" si="44"/>
        <v>33.515370259258532</v>
      </c>
      <c r="P187" s="69">
        <f t="shared" si="45"/>
        <v>0.80881445117037098</v>
      </c>
      <c r="Q187" s="69">
        <f t="shared" si="46"/>
        <v>0.85106068020806336</v>
      </c>
      <c r="R187" s="43">
        <f t="shared" si="47"/>
        <v>1663.0155508450744</v>
      </c>
      <c r="S187" s="43">
        <f t="shared" si="48"/>
        <v>874.52509833382658</v>
      </c>
      <c r="T187" s="43">
        <f>R187+Thrust!C$33*0.8</f>
        <v>3474.7755508450746</v>
      </c>
      <c r="U187" s="43"/>
      <c r="V187">
        <f t="shared" si="52"/>
        <v>330086.65080700803</v>
      </c>
      <c r="W187">
        <f t="shared" si="53"/>
        <v>1311542.7173785919</v>
      </c>
      <c r="Y187">
        <f t="shared" si="54"/>
        <v>-1049.2820687904891</v>
      </c>
      <c r="Z187">
        <f t="shared" si="55"/>
        <v>-2.6556048650889732</v>
      </c>
      <c r="AA187">
        <f t="shared" si="49"/>
        <v>3119.8603440686111</v>
      </c>
      <c r="AB187">
        <f t="shared" si="56"/>
        <v>7.9183410910489727</v>
      </c>
      <c r="AC187">
        <f t="shared" si="50"/>
        <v>15.129927929495249</v>
      </c>
      <c r="AD187">
        <f t="shared" si="51"/>
        <v>3383.5221415992828</v>
      </c>
      <c r="AE187">
        <f t="shared" si="57"/>
        <v>946.05505869281842</v>
      </c>
      <c r="AG187">
        <v>7.0141004484932354</v>
      </c>
      <c r="AH187">
        <v>3119.8603440686111</v>
      </c>
      <c r="AI187">
        <f t="shared" si="58"/>
        <v>17874.855242855767</v>
      </c>
      <c r="AJ187">
        <f t="shared" si="59"/>
        <v>1181.4236872873255</v>
      </c>
      <c r="AN187" s="43"/>
      <c r="AO187" s="43"/>
    </row>
    <row r="188" spans="1:41">
      <c r="A188">
        <v>169</v>
      </c>
      <c r="B188">
        <f t="shared" si="32"/>
        <v>169</v>
      </c>
      <c r="D188" s="43">
        <f t="shared" si="33"/>
        <v>224.9622186045963</v>
      </c>
      <c r="E188" s="43">
        <f t="shared" si="34"/>
        <v>379.69345068831308</v>
      </c>
      <c r="F188" s="69">
        <f t="shared" si="35"/>
        <v>0.35912273507327258</v>
      </c>
      <c r="G188" s="98">
        <f t="shared" si="36"/>
        <v>96.739158024746999</v>
      </c>
      <c r="H188" s="69">
        <f t="shared" si="37"/>
        <v>0.40981370280320212</v>
      </c>
      <c r="I188" s="69">
        <f t="shared" si="38"/>
        <v>0.16902900776667784</v>
      </c>
      <c r="J188" s="99">
        <f t="shared" si="39"/>
        <v>1.5047746178408776E-2</v>
      </c>
      <c r="K188" s="69">
        <f t="shared" si="40"/>
        <v>4.0380817516010746E-3</v>
      </c>
      <c r="L188" s="99">
        <f t="shared" si="41"/>
        <v>1.908582793000985E-2</v>
      </c>
      <c r="M188" s="69">
        <f t="shared" si="42"/>
        <v>21.47214699336287</v>
      </c>
      <c r="N188" s="69">
        <f t="shared" si="43"/>
        <v>13.745758497348369</v>
      </c>
      <c r="O188" s="69">
        <f t="shared" si="44"/>
        <v>33.541480929809865</v>
      </c>
      <c r="P188" s="69">
        <f t="shared" si="45"/>
        <v>0.813628822903528</v>
      </c>
      <c r="Q188" s="69">
        <f t="shared" si="46"/>
        <v>0.85182148139462999</v>
      </c>
      <c r="R188" s="43">
        <f t="shared" si="47"/>
        <v>1654.6530693739646</v>
      </c>
      <c r="S188" s="43">
        <f t="shared" si="48"/>
        <v>879.04577058988741</v>
      </c>
      <c r="T188" s="43">
        <f>R188+Thrust!C$33*0.8</f>
        <v>3466.4130693739644</v>
      </c>
      <c r="U188" s="43"/>
      <c r="V188">
        <f t="shared" si="52"/>
        <v>333767.92194824159</v>
      </c>
      <c r="W188">
        <f t="shared" si="53"/>
        <v>1316174.3398216674</v>
      </c>
      <c r="Y188">
        <f t="shared" si="54"/>
        <v>-1060.9841227493773</v>
      </c>
      <c r="Z188">
        <f t="shared" si="55"/>
        <v>-2.6693423669316463</v>
      </c>
      <c r="AA188">
        <f t="shared" si="49"/>
        <v>3122.881328339367</v>
      </c>
      <c r="AB188">
        <f t="shared" si="56"/>
        <v>7.8788592161227227</v>
      </c>
      <c r="AC188">
        <f t="shared" si="50"/>
        <v>14.976429535962334</v>
      </c>
      <c r="AD188">
        <f t="shared" si="51"/>
        <v>3369.130815185491</v>
      </c>
      <c r="AE188">
        <f t="shared" si="57"/>
        <v>936.13672578871865</v>
      </c>
      <c r="AG188">
        <v>6.9772956270292799</v>
      </c>
      <c r="AH188">
        <v>3122.881328339367</v>
      </c>
      <c r="AI188">
        <f t="shared" si="58"/>
        <v>17650.926965846153</v>
      </c>
      <c r="AJ188">
        <f t="shared" si="59"/>
        <v>1178.580443587148</v>
      </c>
      <c r="AN188" s="43"/>
      <c r="AO188" s="43"/>
    </row>
    <row r="189" spans="1:41">
      <c r="A189">
        <v>170</v>
      </c>
      <c r="B189">
        <f t="shared" si="32"/>
        <v>170</v>
      </c>
      <c r="D189" s="43">
        <f t="shared" si="33"/>
        <v>226.29335599278917</v>
      </c>
      <c r="E189" s="43">
        <f t="shared" si="34"/>
        <v>381.94015749711963</v>
      </c>
      <c r="F189" s="69">
        <f t="shared" si="35"/>
        <v>0.36124772167133923</v>
      </c>
      <c r="G189" s="98">
        <f t="shared" si="36"/>
        <v>97.887387238373591</v>
      </c>
      <c r="H189" s="69">
        <f t="shared" si="37"/>
        <v>0.40500654552810578</v>
      </c>
      <c r="I189" s="69">
        <f t="shared" si="38"/>
        <v>0.12854977097112516</v>
      </c>
      <c r="J189" s="99">
        <f t="shared" si="39"/>
        <v>1.5047746178408776E-2</v>
      </c>
      <c r="K189" s="69">
        <f t="shared" si="40"/>
        <v>3.9137418969063253E-3</v>
      </c>
      <c r="L189" s="99">
        <f t="shared" si="41"/>
        <v>1.89614880753151E-2</v>
      </c>
      <c r="M189" s="69">
        <f t="shared" si="42"/>
        <v>21.359428327535177</v>
      </c>
      <c r="N189" s="69">
        <f t="shared" si="43"/>
        <v>13.59316679507644</v>
      </c>
      <c r="O189" s="69">
        <f t="shared" si="44"/>
        <v>33.562832366947838</v>
      </c>
      <c r="P189" s="69">
        <f t="shared" si="45"/>
        <v>0.81844319463668491</v>
      </c>
      <c r="Q189" s="69">
        <f t="shared" si="46"/>
        <v>0.85253813830950997</v>
      </c>
      <c r="R189" s="43">
        <f t="shared" si="47"/>
        <v>1646.3037247266177</v>
      </c>
      <c r="S189" s="43">
        <f t="shared" si="48"/>
        <v>883.68469935441044</v>
      </c>
      <c r="T189" s="43">
        <f>R189+Thrust!C$33*0.8</f>
        <v>3458.0637247266177</v>
      </c>
      <c r="U189" s="43"/>
      <c r="V189">
        <f t="shared" si="52"/>
        <v>337514.67324921832</v>
      </c>
      <c r="W189">
        <f t="shared" si="53"/>
        <v>1320773.4036571605</v>
      </c>
      <c r="Y189">
        <f t="shared" si="54"/>
        <v>-1072.894325560429</v>
      </c>
      <c r="Z189">
        <f t="shared" si="55"/>
        <v>-2.683439388474183</v>
      </c>
      <c r="AA189">
        <f t="shared" si="49"/>
        <v>3125.5906661974318</v>
      </c>
      <c r="AB189">
        <f t="shared" si="56"/>
        <v>7.8390590008618553</v>
      </c>
      <c r="AC189">
        <f t="shared" si="50"/>
        <v>14.822636291438046</v>
      </c>
      <c r="AD189">
        <f t="shared" si="51"/>
        <v>3354.2641110500267</v>
      </c>
      <c r="AE189">
        <f t="shared" si="57"/>
        <v>925.90674647192805</v>
      </c>
      <c r="AG189">
        <v>6.9401663746727573</v>
      </c>
      <c r="AH189">
        <v>3125.5906661974318</v>
      </c>
      <c r="AI189">
        <f t="shared" si="58"/>
        <v>17427.591093840987</v>
      </c>
      <c r="AJ189">
        <f t="shared" si="59"/>
        <v>1175.7416664070502</v>
      </c>
      <c r="AN189" s="43"/>
      <c r="AO189" s="43"/>
    </row>
    <row r="190" spans="1:41">
      <c r="A190">
        <v>171</v>
      </c>
      <c r="B190">
        <f t="shared" si="32"/>
        <v>171</v>
      </c>
      <c r="D190" s="43">
        <f t="shared" si="33"/>
        <v>227.62449338098205</v>
      </c>
      <c r="E190" s="43">
        <f t="shared" si="34"/>
        <v>384.18686430592624</v>
      </c>
      <c r="F190" s="69">
        <f t="shared" si="35"/>
        <v>0.36337270826940599</v>
      </c>
      <c r="G190" s="98">
        <f t="shared" si="36"/>
        <v>99.042390665649918</v>
      </c>
      <c r="H190" s="69">
        <f t="shared" si="37"/>
        <v>0.40028347750631832</v>
      </c>
      <c r="I190" s="69">
        <f t="shared" si="38"/>
        <v>8.8778617685609754E-2</v>
      </c>
      <c r="J190" s="99">
        <f t="shared" si="39"/>
        <v>1.5047746178408776E-2</v>
      </c>
      <c r="K190" s="69">
        <f t="shared" si="40"/>
        <v>3.7934707151534887E-3</v>
      </c>
      <c r="L190" s="99">
        <f t="shared" si="41"/>
        <v>1.8841216893562267E-2</v>
      </c>
      <c r="M190" s="69">
        <f t="shared" si="42"/>
        <v>21.245096841016071</v>
      </c>
      <c r="N190" s="69">
        <f t="shared" si="43"/>
        <v>13.44133939232519</v>
      </c>
      <c r="O190" s="69">
        <f t="shared" si="44"/>
        <v>33.579550862458525</v>
      </c>
      <c r="P190" s="69">
        <f t="shared" si="45"/>
        <v>0.82325756636984193</v>
      </c>
      <c r="Q190" s="69">
        <f t="shared" si="46"/>
        <v>0.8532106509527031</v>
      </c>
      <c r="R190" s="43">
        <f t="shared" si="47"/>
        <v>1637.9672864324402</v>
      </c>
      <c r="S190" s="43">
        <f t="shared" si="48"/>
        <v>888.44029007011488</v>
      </c>
      <c r="T190" s="43">
        <f>R190+Thrust!C$33*0.8</f>
        <v>3449.7272864324405</v>
      </c>
      <c r="U190" s="43"/>
      <c r="V190">
        <f t="shared" si="52"/>
        <v>341327.089165085</v>
      </c>
      <c r="W190">
        <f t="shared" si="53"/>
        <v>1325339.9088850711</v>
      </c>
      <c r="Y190">
        <f t="shared" si="54"/>
        <v>-1085.0132635711311</v>
      </c>
      <c r="Z190">
        <f t="shared" si="55"/>
        <v>-2.6978910972657189</v>
      </c>
      <c r="AA190">
        <f t="shared" si="49"/>
        <v>3127.9877712953198</v>
      </c>
      <c r="AB190">
        <f t="shared" si="56"/>
        <v>7.7989446970142735</v>
      </c>
      <c r="AC190">
        <f t="shared" si="50"/>
        <v>14.668638489750315</v>
      </c>
      <c r="AD190">
        <f t="shared" si="51"/>
        <v>3338.9414048181893</v>
      </c>
      <c r="AE190">
        <f t="shared" si="57"/>
        <v>915.36453439495995</v>
      </c>
      <c r="AG190">
        <v>6.9027162932419568</v>
      </c>
      <c r="AH190">
        <v>3127.9877712953198</v>
      </c>
      <c r="AI190">
        <f t="shared" si="58"/>
        <v>17204.952833987634</v>
      </c>
      <c r="AJ190">
        <f t="shared" si="59"/>
        <v>1172.9072773870298</v>
      </c>
      <c r="AN190" s="43"/>
      <c r="AO190" s="43"/>
    </row>
    <row r="191" spans="1:41">
      <c r="A191">
        <v>172</v>
      </c>
      <c r="B191">
        <f t="shared" si="32"/>
        <v>172</v>
      </c>
      <c r="D191" s="43">
        <f t="shared" si="33"/>
        <v>228.95563076917492</v>
      </c>
      <c r="E191" s="43">
        <f t="shared" si="34"/>
        <v>386.43357111473279</v>
      </c>
      <c r="F191" s="69">
        <f t="shared" si="35"/>
        <v>0.36549769486747263</v>
      </c>
      <c r="G191" s="98">
        <f t="shared" si="36"/>
        <v>100.20416830657591</v>
      </c>
      <c r="H191" s="69">
        <f t="shared" si="37"/>
        <v>0.39564254886973566</v>
      </c>
      <c r="I191" s="69">
        <f t="shared" si="38"/>
        <v>4.9699128814980655E-2</v>
      </c>
      <c r="J191" s="99">
        <f t="shared" si="39"/>
        <v>1.5047746178408776E-2</v>
      </c>
      <c r="K191" s="69">
        <f t="shared" si="40"/>
        <v>3.6771194510998835E-3</v>
      </c>
      <c r="L191" s="99">
        <f t="shared" si="41"/>
        <v>1.8724865629508661E-2</v>
      </c>
      <c r="M191" s="69">
        <f t="shared" si="42"/>
        <v>21.129259707276056</v>
      </c>
      <c r="N191" s="69">
        <f t="shared" si="43"/>
        <v>13.290330370533926</v>
      </c>
      <c r="O191" s="69">
        <f t="shared" si="44"/>
        <v>33.59176208044736</v>
      </c>
      <c r="P191" s="69">
        <f t="shared" si="45"/>
        <v>0.82807193810299884</v>
      </c>
      <c r="Q191" s="69">
        <f t="shared" si="46"/>
        <v>0.85383901932420947</v>
      </c>
      <c r="R191" s="43">
        <f t="shared" si="47"/>
        <v>1629.6435293806221</v>
      </c>
      <c r="S191" s="43">
        <f t="shared" si="48"/>
        <v>893.31099439798265</v>
      </c>
      <c r="T191" s="43">
        <f>R191+Thrust!C$33*0.8</f>
        <v>3441.4035293806219</v>
      </c>
      <c r="U191" s="43"/>
      <c r="V191">
        <f t="shared" si="52"/>
        <v>345205.35768126551</v>
      </c>
      <c r="W191">
        <f t="shared" si="53"/>
        <v>1329873.8555053989</v>
      </c>
      <c r="Y191">
        <f t="shared" si="54"/>
        <v>-1097.3415343510424</v>
      </c>
      <c r="Z191">
        <f t="shared" si="55"/>
        <v>-2.712692801525165</v>
      </c>
      <c r="AA191">
        <f t="shared" si="49"/>
        <v>3130.0720460634702</v>
      </c>
      <c r="AB191">
        <f t="shared" si="56"/>
        <v>7.7585204293148946</v>
      </c>
      <c r="AC191">
        <f t="shared" si="50"/>
        <v>14.51452288415161</v>
      </c>
      <c r="AD191">
        <f t="shared" si="51"/>
        <v>3323.1817422545569</v>
      </c>
      <c r="AE191">
        <f t="shared" si="57"/>
        <v>904.50949198825504</v>
      </c>
      <c r="AG191">
        <v>6.8649488781351362</v>
      </c>
      <c r="AH191">
        <v>3130.0720460634702</v>
      </c>
      <c r="AI191">
        <f t="shared" si="58"/>
        <v>16983.112295470353</v>
      </c>
      <c r="AJ191">
        <f t="shared" si="59"/>
        <v>1170.0771999894116</v>
      </c>
      <c r="AN191" s="43"/>
      <c r="AO191" s="43"/>
    </row>
    <row r="192" spans="1:41">
      <c r="A192">
        <v>173</v>
      </c>
      <c r="B192">
        <f t="shared" si="32"/>
        <v>173</v>
      </c>
      <c r="D192" s="43">
        <f t="shared" si="33"/>
        <v>230.28676815736779</v>
      </c>
      <c r="E192" s="43">
        <f t="shared" si="34"/>
        <v>388.68027792353939</v>
      </c>
      <c r="F192" s="69">
        <f t="shared" si="35"/>
        <v>0.36762268146553939</v>
      </c>
      <c r="G192" s="98">
        <f t="shared" si="36"/>
        <v>101.37272016115166</v>
      </c>
      <c r="H192" s="69">
        <f t="shared" si="37"/>
        <v>0.39108186594147004</v>
      </c>
      <c r="I192" s="69">
        <f t="shared" si="38"/>
        <v>1.1295358428874754E-2</v>
      </c>
      <c r="J192" s="99">
        <f t="shared" si="39"/>
        <v>1.5047746178408776E-2</v>
      </c>
      <c r="K192" s="69">
        <f t="shared" si="40"/>
        <v>3.5645455016534134E-3</v>
      </c>
      <c r="L192" s="99">
        <f t="shared" si="41"/>
        <v>1.861229168006219E-2</v>
      </c>
      <c r="M192" s="69">
        <f t="shared" si="42"/>
        <v>21.012021123675154</v>
      </c>
      <c r="N192" s="69">
        <f t="shared" si="43"/>
        <v>13.140190699547567</v>
      </c>
      <c r="O192" s="69">
        <f t="shared" si="44"/>
        <v>33.599590888507606</v>
      </c>
      <c r="P192" s="69">
        <f t="shared" si="45"/>
        <v>0.83288630983615586</v>
      </c>
      <c r="Q192" s="69">
        <f t="shared" si="46"/>
        <v>0.8544232434240292</v>
      </c>
      <c r="R192" s="43">
        <f t="shared" si="47"/>
        <v>1621.3322336652254</v>
      </c>
      <c r="S192" s="43">
        <f t="shared" si="48"/>
        <v>898.29530861896581</v>
      </c>
      <c r="T192" s="43">
        <f>R192+Thrust!C$33*0.8</f>
        <v>3433.0922336652256</v>
      </c>
      <c r="U192" s="43"/>
      <c r="V192">
        <f t="shared" si="52"/>
        <v>349149.67021143122</v>
      </c>
      <c r="W192">
        <f t="shared" si="53"/>
        <v>1334375.2435181446</v>
      </c>
      <c r="Y192">
        <f t="shared" si="54"/>
        <v>-1109.8797463674634</v>
      </c>
      <c r="Z192">
        <f t="shared" si="55"/>
        <v>-2.7278399452840243</v>
      </c>
      <c r="AA192">
        <f t="shared" si="49"/>
        <v>3131.8428820345853</v>
      </c>
      <c r="AB192">
        <f t="shared" si="56"/>
        <v>7.7177901999395822</v>
      </c>
      <c r="AC192">
        <f t="shared" si="50"/>
        <v>14.360372730083606</v>
      </c>
      <c r="AD192">
        <f t="shared" si="51"/>
        <v>3307.00382554615</v>
      </c>
      <c r="AE192">
        <f t="shared" si="57"/>
        <v>893.34101078451329</v>
      </c>
      <c r="AG192">
        <v>6.826867522039179</v>
      </c>
      <c r="AH192">
        <v>3131.8428820345853</v>
      </c>
      <c r="AI192">
        <f t="shared" si="58"/>
        <v>16762.164591343895</v>
      </c>
      <c r="AJ192">
        <f t="shared" si="59"/>
        <v>1167.2513594461768</v>
      </c>
      <c r="AN192" s="43"/>
      <c r="AO192" s="43"/>
    </row>
    <row r="193" spans="1:41">
      <c r="A193">
        <v>174</v>
      </c>
      <c r="B193">
        <f t="shared" si="32"/>
        <v>174</v>
      </c>
      <c r="D193" s="43">
        <f t="shared" si="33"/>
        <v>231.61790554556069</v>
      </c>
      <c r="E193" s="43">
        <f t="shared" si="34"/>
        <v>390.926984732346</v>
      </c>
      <c r="F193" s="69">
        <f t="shared" si="35"/>
        <v>0.36974766806360609</v>
      </c>
      <c r="G193" s="98">
        <f t="shared" si="36"/>
        <v>102.54804622937714</v>
      </c>
      <c r="H193" s="69">
        <f t="shared" si="37"/>
        <v>0.38659958930381344</v>
      </c>
      <c r="I193" s="69">
        <f t="shared" si="38"/>
        <v>-2.6448182507226414E-2</v>
      </c>
      <c r="J193" s="99">
        <f t="shared" si="39"/>
        <v>1.5047746178408776E-2</v>
      </c>
      <c r="K193" s="69">
        <f t="shared" si="40"/>
        <v>3.4556121301596121E-3</v>
      </c>
      <c r="L193" s="99">
        <f t="shared" si="41"/>
        <v>1.8503358308568387E-2</v>
      </c>
      <c r="M193" s="69">
        <f t="shared" si="42"/>
        <v>20.893482299631522</v>
      </c>
      <c r="N193" s="69">
        <f t="shared" si="43"/>
        <v>12.990968319673881</v>
      </c>
      <c r="O193" s="69">
        <f t="shared" si="44"/>
        <v>33.603161201148581</v>
      </c>
      <c r="P193" s="69">
        <f t="shared" si="45"/>
        <v>0.83770068156931288</v>
      </c>
      <c r="Q193" s="69">
        <f t="shared" si="46"/>
        <v>0.85496332325216218</v>
      </c>
      <c r="R193" s="43">
        <f t="shared" si="47"/>
        <v>1613.0331844356228</v>
      </c>
      <c r="S193" s="43">
        <f t="shared" si="48"/>
        <v>903.39177209980357</v>
      </c>
      <c r="T193" s="43">
        <f>R193+Thrust!C$33*0.8</f>
        <v>3424.7931844356226</v>
      </c>
      <c r="U193" s="43"/>
      <c r="V193">
        <f t="shared" si="52"/>
        <v>353160.22149898688</v>
      </c>
      <c r="W193">
        <f t="shared" si="53"/>
        <v>1338844.0729233073</v>
      </c>
      <c r="Y193">
        <f t="shared" si="54"/>
        <v>-1122.6285186722762</v>
      </c>
      <c r="Z193">
        <f t="shared" si="55"/>
        <v>-2.7433281037243193</v>
      </c>
      <c r="AA193">
        <f t="shared" si="49"/>
        <v>3133.2996601567797</v>
      </c>
      <c r="AB193">
        <f t="shared" si="56"/>
        <v>7.676757892778121</v>
      </c>
      <c r="AC193">
        <f t="shared" si="50"/>
        <v>14.20626783362731</v>
      </c>
      <c r="AD193">
        <f t="shared" si="51"/>
        <v>3290.4260012440268</v>
      </c>
      <c r="AE193">
        <f t="shared" si="57"/>
        <v>881.85847173185255</v>
      </c>
      <c r="AG193">
        <v>6.7884755184879042</v>
      </c>
      <c r="AH193">
        <v>3133.2996601567797</v>
      </c>
      <c r="AI193">
        <f t="shared" si="58"/>
        <v>16542.199945977103</v>
      </c>
      <c r="AJ193">
        <f t="shared" si="59"/>
        <v>1164.4296827081118</v>
      </c>
      <c r="AN193" s="43"/>
      <c r="AO193" s="43"/>
    </row>
    <row r="194" spans="1:41">
      <c r="A194">
        <v>175</v>
      </c>
      <c r="B194">
        <f t="shared" si="32"/>
        <v>175</v>
      </c>
      <c r="D194" s="43">
        <f t="shared" si="33"/>
        <v>232.94904293375356</v>
      </c>
      <c r="E194" s="43">
        <f t="shared" si="34"/>
        <v>393.17369154115261</v>
      </c>
      <c r="F194" s="69">
        <f t="shared" si="35"/>
        <v>0.3718726546616728</v>
      </c>
      <c r="G194" s="98">
        <f t="shared" si="36"/>
        <v>103.73014651125231</v>
      </c>
      <c r="H194" s="69">
        <f t="shared" si="37"/>
        <v>0.38219393194325724</v>
      </c>
      <c r="I194" s="69">
        <f t="shared" si="38"/>
        <v>-6.3546541752077648E-2</v>
      </c>
      <c r="J194" s="99">
        <f t="shared" si="39"/>
        <v>1.5047746178408776E-2</v>
      </c>
      <c r="K194" s="69">
        <f t="shared" si="40"/>
        <v>3.3501881954368295E-3</v>
      </c>
      <c r="L194" s="99">
        <f t="shared" si="41"/>
        <v>1.8397934373845605E-2</v>
      </c>
      <c r="M194" s="69">
        <f t="shared" si="42"/>
        <v>20.77374145255034</v>
      </c>
      <c r="N194" s="69">
        <f t="shared" si="43"/>
        <v>12.842708225724817</v>
      </c>
      <c r="O194" s="69">
        <f t="shared" si="44"/>
        <v>33.602595835120482</v>
      </c>
      <c r="P194" s="69">
        <f t="shared" si="45"/>
        <v>0.84251505330246979</v>
      </c>
      <c r="Q194" s="69">
        <f t="shared" si="46"/>
        <v>0.85545925880860851</v>
      </c>
      <c r="R194" s="43">
        <f t="shared" si="47"/>
        <v>1604.746171752058</v>
      </c>
      <c r="S194" s="43">
        <f t="shared" si="48"/>
        <v>908.59896582003341</v>
      </c>
      <c r="T194" s="43">
        <f>R194+Thrust!C$33*0.8</f>
        <v>3416.506171752058</v>
      </c>
      <c r="U194" s="43"/>
      <c r="V194">
        <f t="shared" si="52"/>
        <v>357237.20952193608</v>
      </c>
      <c r="W194">
        <f t="shared" si="53"/>
        <v>1343280.3437208878</v>
      </c>
      <c r="Y194">
        <f t="shared" si="54"/>
        <v>-1135.588480599532</v>
      </c>
      <c r="Z194">
        <f t="shared" si="55"/>
        <v>-2.7591529787028013</v>
      </c>
      <c r="AA194">
        <f t="shared" si="49"/>
        <v>3134.4417510960056</v>
      </c>
      <c r="AB194">
        <f t="shared" si="56"/>
        <v>7.6354272775345864</v>
      </c>
      <c r="AC194">
        <f t="shared" si="50"/>
        <v>14.052284605071959</v>
      </c>
      <c r="AD194">
        <f t="shared" si="51"/>
        <v>3273.4662497842319</v>
      </c>
      <c r="AE194">
        <f t="shared" si="57"/>
        <v>870.06124549622177</v>
      </c>
      <c r="AG194">
        <v>6.7497760652769623</v>
      </c>
      <c r="AH194">
        <v>3134.4417510960056</v>
      </c>
      <c r="AI194">
        <f t="shared" si="58"/>
        <v>16323.303807351227</v>
      </c>
      <c r="AJ194">
        <f t="shared" si="59"/>
        <v>1161.6120983956998</v>
      </c>
      <c r="AN194" s="43"/>
      <c r="AO194" s="43"/>
    </row>
    <row r="195" spans="1:41">
      <c r="A195">
        <v>176</v>
      </c>
      <c r="B195">
        <f t="shared" si="32"/>
        <v>176</v>
      </c>
      <c r="D195" s="43">
        <f t="shared" si="33"/>
        <v>234.28018032194643</v>
      </c>
      <c r="E195" s="43">
        <f t="shared" si="34"/>
        <v>395.42039834995916</v>
      </c>
      <c r="F195" s="69">
        <f t="shared" si="35"/>
        <v>0.3739976412597395</v>
      </c>
      <c r="G195" s="98">
        <f t="shared" si="36"/>
        <v>104.91902100677719</v>
      </c>
      <c r="H195" s="69">
        <f t="shared" si="37"/>
        <v>0.37786315746908106</v>
      </c>
      <c r="I195" s="69">
        <f t="shared" si="38"/>
        <v>-0.10001434078925382</v>
      </c>
      <c r="J195" s="99">
        <f t="shared" si="39"/>
        <v>1.5047746178408776E-2</v>
      </c>
      <c r="K195" s="69">
        <f t="shared" si="40"/>
        <v>3.2481478947217405E-3</v>
      </c>
      <c r="L195" s="99">
        <f t="shared" si="41"/>
        <v>1.8295894073130516E-2</v>
      </c>
      <c r="M195" s="69">
        <f t="shared" si="42"/>
        <v>20.652893810967875</v>
      </c>
      <c r="N195" s="69">
        <f t="shared" si="43"/>
        <v>12.695452552628076</v>
      </c>
      <c r="O195" s="69">
        <f t="shared" si="44"/>
        <v>33.598016376250953</v>
      </c>
      <c r="P195" s="69">
        <f t="shared" si="45"/>
        <v>0.8473294250356268</v>
      </c>
      <c r="Q195" s="69">
        <f t="shared" si="46"/>
        <v>0.85591105009336799</v>
      </c>
      <c r="R195" s="43">
        <f t="shared" si="47"/>
        <v>1596.4709904461326</v>
      </c>
      <c r="S195" s="43">
        <f t="shared" si="48"/>
        <v>913.91551095741795</v>
      </c>
      <c r="T195" s="43">
        <f>R195+Thrust!C$33*0.8</f>
        <v>3408.2309904461326</v>
      </c>
      <c r="U195" s="43"/>
      <c r="V195">
        <f t="shared" si="52"/>
        <v>361380.8354009887</v>
      </c>
      <c r="W195">
        <f t="shared" si="53"/>
        <v>1347684.0559108856</v>
      </c>
      <c r="Y195">
        <f t="shared" si="54"/>
        <v>-1148.7602714733416</v>
      </c>
      <c r="Z195">
        <f t="shared" si="55"/>
        <v>-2.7753103944529274</v>
      </c>
      <c r="AA195">
        <f t="shared" si="49"/>
        <v>3135.2685155281492</v>
      </c>
      <c r="AB195">
        <f t="shared" si="56"/>
        <v>7.5938020136628976</v>
      </c>
      <c r="AC195">
        <f t="shared" si="50"/>
        <v>13.898496117060073</v>
      </c>
      <c r="AD195">
        <f t="shared" si="51"/>
        <v>3256.1421765087061</v>
      </c>
      <c r="AE195">
        <f t="shared" si="57"/>
        <v>857.94869275350959</v>
      </c>
      <c r="AG195">
        <v>6.7107722677418398</v>
      </c>
      <c r="AH195">
        <v>3135.2685155281492</v>
      </c>
      <c r="AI195">
        <f t="shared" si="58"/>
        <v>16105.556963498189</v>
      </c>
      <c r="AJ195">
        <f t="shared" si="59"/>
        <v>1158.7985367516851</v>
      </c>
      <c r="AN195" s="43"/>
      <c r="AO195" s="43"/>
    </row>
    <row r="196" spans="1:41">
      <c r="A196">
        <v>177</v>
      </c>
      <c r="B196">
        <f t="shared" si="32"/>
        <v>177</v>
      </c>
      <c r="D196" s="43">
        <f t="shared" si="33"/>
        <v>235.6113177101393</v>
      </c>
      <c r="E196" s="43">
        <f t="shared" si="34"/>
        <v>397.66710515876576</v>
      </c>
      <c r="F196" s="69">
        <f t="shared" si="35"/>
        <v>0.3761226278578062</v>
      </c>
      <c r="G196" s="98">
        <f t="shared" si="36"/>
        <v>106.11466971595178</v>
      </c>
      <c r="H196" s="69">
        <f t="shared" si="37"/>
        <v>0.37360557840219144</v>
      </c>
      <c r="I196" s="69">
        <f t="shared" si="38"/>
        <v>-0.13586578923618634</v>
      </c>
      <c r="J196" s="99">
        <f t="shared" si="39"/>
        <v>1.5047746178408776E-2</v>
      </c>
      <c r="K196" s="69">
        <f t="shared" si="40"/>
        <v>3.1493705197390776E-3</v>
      </c>
      <c r="L196" s="99">
        <f t="shared" si="41"/>
        <v>1.8197116698147855E-2</v>
      </c>
      <c r="M196" s="69">
        <f t="shared" si="42"/>
        <v>20.531031624379146</v>
      </c>
      <c r="N196" s="69">
        <f t="shared" si="43"/>
        <v>12.549240662221774</v>
      </c>
      <c r="O196" s="69">
        <f t="shared" si="44"/>
        <v>33.589543057390721</v>
      </c>
      <c r="P196" s="69">
        <f t="shared" si="45"/>
        <v>0.85214379676878382</v>
      </c>
      <c r="Q196" s="69">
        <f t="shared" si="46"/>
        <v>0.8563186971064406</v>
      </c>
      <c r="R196" s="43">
        <f t="shared" si="47"/>
        <v>1588.2074399860214</v>
      </c>
      <c r="S196" s="43">
        <f t="shared" si="48"/>
        <v>919.34006752915786</v>
      </c>
      <c r="T196" s="43">
        <f>R196+Thrust!C$33*0.8</f>
        <v>3399.9674399860214</v>
      </c>
      <c r="U196" s="43"/>
      <c r="V196">
        <f t="shared" si="52"/>
        <v>365591.30331078445</v>
      </c>
      <c r="W196">
        <f t="shared" si="53"/>
        <v>1352055.2094933009</v>
      </c>
      <c r="Y196">
        <f t="shared" si="54"/>
        <v>-1162.1445403256723</v>
      </c>
      <c r="Z196">
        <f t="shared" si="55"/>
        <v>-2.7917962934566178</v>
      </c>
      <c r="AA196">
        <f t="shared" si="49"/>
        <v>3135.779304421244</v>
      </c>
      <c r="AB196">
        <f t="shared" si="56"/>
        <v>7.551885654145134</v>
      </c>
      <c r="AC196">
        <f t="shared" si="50"/>
        <v>13.744972166790911</v>
      </c>
      <c r="AD196">
        <f t="shared" si="51"/>
        <v>3238.4710041067951</v>
      </c>
      <c r="AE196">
        <f t="shared" si="57"/>
        <v>845.52016447174844</v>
      </c>
      <c r="AG196">
        <v>6.6714671419051834</v>
      </c>
      <c r="AH196">
        <v>3135.779304421244</v>
      </c>
      <c r="AI196">
        <f t="shared" si="58"/>
        <v>15889.035662405093</v>
      </c>
      <c r="AJ196">
        <f t="shared" si="59"/>
        <v>1155.9889295952473</v>
      </c>
      <c r="AN196" s="43"/>
      <c r="AO196" s="43"/>
    </row>
    <row r="197" spans="1:41">
      <c r="A197">
        <v>178</v>
      </c>
      <c r="B197">
        <f t="shared" si="32"/>
        <v>178</v>
      </c>
      <c r="D197" s="43">
        <f t="shared" si="33"/>
        <v>236.9424550983322</v>
      </c>
      <c r="E197" s="43">
        <f t="shared" si="34"/>
        <v>399.91381196757237</v>
      </c>
      <c r="F197" s="69">
        <f t="shared" si="35"/>
        <v>0.3782476144558729</v>
      </c>
      <c r="G197" s="98">
        <f t="shared" si="36"/>
        <v>107.3170926387761</v>
      </c>
      <c r="H197" s="69">
        <f t="shared" si="37"/>
        <v>0.36941955453106473</v>
      </c>
      <c r="I197" s="69">
        <f t="shared" si="38"/>
        <v>-0.17111469868814061</v>
      </c>
      <c r="J197" s="99">
        <f t="shared" si="39"/>
        <v>1.5047746178408776E-2</v>
      </c>
      <c r="K197" s="69">
        <f t="shared" si="40"/>
        <v>3.0537402251581414E-3</v>
      </c>
      <c r="L197" s="99">
        <f t="shared" si="41"/>
        <v>1.8101486403566916E-2</v>
      </c>
      <c r="M197" s="69">
        <f t="shared" si="42"/>
        <v>20.408244179233272</v>
      </c>
      <c r="N197" s="69">
        <f t="shared" si="43"/>
        <v>12.404109230872157</v>
      </c>
      <c r="O197" s="69">
        <f t="shared" si="44"/>
        <v>33.577294647051737</v>
      </c>
      <c r="P197" s="69">
        <f t="shared" si="45"/>
        <v>0.85695816850194073</v>
      </c>
      <c r="Q197" s="69">
        <f t="shared" si="46"/>
        <v>0.85668219984782656</v>
      </c>
      <c r="R197" s="43">
        <f t="shared" si="47"/>
        <v>1579.9553243462335</v>
      </c>
      <c r="S197" s="43">
        <f t="shared" si="48"/>
        <v>924.87133308638829</v>
      </c>
      <c r="T197" s="43">
        <f>R197+Thrust!C$33*0.8</f>
        <v>3391.7153243462335</v>
      </c>
      <c r="U197" s="43"/>
      <c r="V197">
        <f t="shared" si="52"/>
        <v>369868.8203941079</v>
      </c>
      <c r="W197">
        <f t="shared" si="53"/>
        <v>1356393.8044681333</v>
      </c>
      <c r="Y197">
        <f t="shared" si="54"/>
        <v>-1175.7419456236544</v>
      </c>
      <c r="Z197">
        <f t="shared" si="55"/>
        <v>-2.8086067324781676</v>
      </c>
      <c r="AA197">
        <f t="shared" si="49"/>
        <v>3135.9734593081603</v>
      </c>
      <c r="AB197">
        <f t="shared" si="56"/>
        <v>7.509681649119667</v>
      </c>
      <c r="AC197">
        <f t="shared" si="50"/>
        <v>13.591779341790099</v>
      </c>
      <c r="AD197">
        <f t="shared" si="51"/>
        <v>3220.4695663985399</v>
      </c>
      <c r="AE197">
        <f t="shared" si="57"/>
        <v>832.77500218380897</v>
      </c>
      <c r="AG197">
        <v>6.6318636174993069</v>
      </c>
      <c r="AH197">
        <v>3135.9734593081603</v>
      </c>
      <c r="AI197">
        <f t="shared" si="58"/>
        <v>15673.811734751896</v>
      </c>
      <c r="AJ197">
        <f t="shared" si="59"/>
        <v>1153.1832102777196</v>
      </c>
      <c r="AN197" s="43"/>
      <c r="AO197" s="43"/>
    </row>
    <row r="198" spans="1:41">
      <c r="A198">
        <v>179</v>
      </c>
      <c r="B198">
        <f t="shared" si="32"/>
        <v>179</v>
      </c>
      <c r="D198" s="43">
        <f t="shared" si="33"/>
        <v>238.27359248652508</v>
      </c>
      <c r="E198" s="43">
        <f t="shared" si="34"/>
        <v>402.16051877637892</v>
      </c>
      <c r="F198" s="69">
        <f t="shared" si="35"/>
        <v>0.38037260105393961</v>
      </c>
      <c r="G198" s="98">
        <f t="shared" si="36"/>
        <v>108.52628977525012</v>
      </c>
      <c r="H198" s="69">
        <f t="shared" si="37"/>
        <v>0.36530349133180162</v>
      </c>
      <c r="I198" s="69">
        <f t="shared" si="38"/>
        <v>-0.2057744960223338</v>
      </c>
      <c r="J198" s="99">
        <f t="shared" si="39"/>
        <v>1.5047746178408776E-2</v>
      </c>
      <c r="K198" s="69">
        <f t="shared" si="40"/>
        <v>2.9611458087437452E-3</v>
      </c>
      <c r="L198" s="99">
        <f t="shared" si="41"/>
        <v>1.8008891987152522E-2</v>
      </c>
      <c r="M198" s="69">
        <f t="shared" si="42"/>
        <v>20.28461782059706</v>
      </c>
      <c r="N198" s="69">
        <f t="shared" si="43"/>
        <v>12.260092337580367</v>
      </c>
      <c r="O198" s="69">
        <f t="shared" si="44"/>
        <v>33.561388348310757</v>
      </c>
      <c r="P198" s="69">
        <f t="shared" si="45"/>
        <v>0.86177254023509764</v>
      </c>
      <c r="Q198" s="69">
        <f t="shared" si="46"/>
        <v>0.85700155831752578</v>
      </c>
      <c r="R198" s="43">
        <f t="shared" si="47"/>
        <v>1571.7144518817363</v>
      </c>
      <c r="S198" s="43">
        <f t="shared" si="48"/>
        <v>930.50804145958671</v>
      </c>
      <c r="T198" s="43">
        <f>R198+Thrust!C$33*0.8</f>
        <v>3383.4744518817361</v>
      </c>
      <c r="U198" s="43"/>
      <c r="V198">
        <f t="shared" si="52"/>
        <v>374213.59667897969</v>
      </c>
      <c r="W198">
        <f t="shared" si="53"/>
        <v>1360699.8408353834</v>
      </c>
      <c r="Y198">
        <f t="shared" si="54"/>
        <v>-1189.5531550060282</v>
      </c>
      <c r="Z198">
        <f t="shared" si="55"/>
        <v>-2.8257378787530727</v>
      </c>
      <c r="AA198">
        <f t="shared" si="49"/>
        <v>3135.8503125501575</v>
      </c>
      <c r="AB198">
        <f t="shared" si="56"/>
        <v>7.4671933493658411</v>
      </c>
      <c r="AC198">
        <f t="shared" si="50"/>
        <v>13.438981088778659</v>
      </c>
      <c r="AD198">
        <f t="shared" si="51"/>
        <v>3202.1543033817634</v>
      </c>
      <c r="AE198">
        <f t="shared" si="57"/>
        <v>819.71253825095016</v>
      </c>
      <c r="AG198">
        <v>6.5919645408695082</v>
      </c>
      <c r="AH198">
        <v>3135.8503125501575</v>
      </c>
      <c r="AI198">
        <f t="shared" si="58"/>
        <v>15459.952718889494</v>
      </c>
      <c r="AJ198">
        <f t="shared" si="59"/>
        <v>1150.3813136397903</v>
      </c>
      <c r="AN198" s="43"/>
      <c r="AO198" s="43"/>
    </row>
    <row r="199" spans="1:41">
      <c r="A199">
        <v>180</v>
      </c>
      <c r="B199">
        <f t="shared" si="32"/>
        <v>180</v>
      </c>
      <c r="D199" s="43">
        <f t="shared" si="33"/>
        <v>239.60472987471795</v>
      </c>
      <c r="E199" s="43">
        <f t="shared" si="34"/>
        <v>404.40722558518553</v>
      </c>
      <c r="F199" s="69">
        <f t="shared" si="35"/>
        <v>0.38249758765200631</v>
      </c>
      <c r="G199" s="98">
        <f t="shared" si="36"/>
        <v>109.74226112537387</v>
      </c>
      <c r="H199" s="69">
        <f t="shared" si="37"/>
        <v>0.3612558384494523</v>
      </c>
      <c r="I199" s="69">
        <f t="shared" si="38"/>
        <v>-0.2398582361861161</v>
      </c>
      <c r="J199" s="99">
        <f t="shared" si="39"/>
        <v>1.5047746178408776E-2</v>
      </c>
      <c r="K199" s="69">
        <f t="shared" si="40"/>
        <v>2.8714805025514983E-3</v>
      </c>
      <c r="L199" s="99">
        <f t="shared" si="41"/>
        <v>1.7919226680960274E-2</v>
      </c>
      <c r="M199" s="69">
        <f t="shared" si="42"/>
        <v>20.160235979005595</v>
      </c>
      <c r="N199" s="69">
        <f t="shared" si="43"/>
        <v>12.117221552269868</v>
      </c>
      <c r="O199" s="69">
        <f t="shared" si="44"/>
        <v>33.541939707544238</v>
      </c>
      <c r="P199" s="69">
        <f t="shared" si="45"/>
        <v>0.86658691196825477</v>
      </c>
      <c r="Q199" s="69">
        <f t="shared" si="46"/>
        <v>0.85727677251553835</v>
      </c>
      <c r="R199" s="43">
        <f t="shared" si="47"/>
        <v>1563.4846352062743</v>
      </c>
      <c r="S199" s="43">
        <f t="shared" si="48"/>
        <v>936.2489615526323</v>
      </c>
      <c r="T199" s="43">
        <f>R199+Thrust!C$33*0.8</f>
        <v>3375.2446352062743</v>
      </c>
      <c r="U199" s="43"/>
      <c r="V199">
        <f t="shared" si="52"/>
        <v>378625.84499851108</v>
      </c>
      <c r="W199">
        <f t="shared" si="53"/>
        <v>1364973.3185950511</v>
      </c>
      <c r="Y199">
        <f t="shared" si="54"/>
        <v>-1203.5788450283792</v>
      </c>
      <c r="Z199">
        <f t="shared" si="55"/>
        <v>-2.8431860063249053</v>
      </c>
      <c r="AA199">
        <f t="shared" si="49"/>
        <v>3135.4091875916506</v>
      </c>
      <c r="AB199">
        <f t="shared" si="56"/>
        <v>7.4244240096516325</v>
      </c>
      <c r="AC199">
        <f t="shared" si="50"/>
        <v>13.286637785200758</v>
      </c>
      <c r="AD199">
        <f t="shared" si="51"/>
        <v>3183.5412574662482</v>
      </c>
      <c r="AE199">
        <f t="shared" si="57"/>
        <v>806.33209611758696</v>
      </c>
      <c r="AG199">
        <v>6.5517726777634913</v>
      </c>
      <c r="AH199">
        <v>3135.4091875916506</v>
      </c>
      <c r="AI199">
        <f t="shared" si="58"/>
        <v>15247.521987505466</v>
      </c>
      <c r="AJ199">
        <f t="shared" si="59"/>
        <v>1147.5831759701334</v>
      </c>
      <c r="AN199" s="43"/>
      <c r="AO199" s="43"/>
    </row>
    <row r="200" spans="1:41">
      <c r="A200">
        <v>181</v>
      </c>
      <c r="B200">
        <f t="shared" si="32"/>
        <v>181</v>
      </c>
      <c r="D200" s="43">
        <f t="shared" si="33"/>
        <v>240.93586726291082</v>
      </c>
      <c r="E200" s="43">
        <f t="shared" si="34"/>
        <v>406.65393239399208</v>
      </c>
      <c r="F200" s="69">
        <f t="shared" si="35"/>
        <v>0.38462257425007296</v>
      </c>
      <c r="G200" s="98">
        <f t="shared" si="36"/>
        <v>110.96500668914732</v>
      </c>
      <c r="H200" s="69">
        <f t="shared" si="37"/>
        <v>0.35727508823791265</v>
      </c>
      <c r="I200" s="69">
        <f t="shared" si="38"/>
        <v>-0.27337861449194767</v>
      </c>
      <c r="J200" s="99">
        <f t="shared" si="39"/>
        <v>1.5047746178408776E-2</v>
      </c>
      <c r="K200" s="69">
        <f t="shared" si="40"/>
        <v>2.7846417745568501E-3</v>
      </c>
      <c r="L200" s="99">
        <f t="shared" si="41"/>
        <v>1.7832387952965628E-2</v>
      </c>
      <c r="M200" s="69">
        <f t="shared" si="42"/>
        <v>20.035179202037032</v>
      </c>
      <c r="N200" s="69">
        <f t="shared" si="43"/>
        <v>11.975526023971049</v>
      </c>
      <c r="O200" s="69">
        <f t="shared" si="44"/>
        <v>33.519062532555985</v>
      </c>
      <c r="P200" s="69">
        <f t="shared" si="45"/>
        <v>0.87140128370141157</v>
      </c>
      <c r="Q200" s="69">
        <f t="shared" si="46"/>
        <v>0.85750784244186429</v>
      </c>
      <c r="R200" s="43">
        <f t="shared" si="47"/>
        <v>1555.2656910747257</v>
      </c>
      <c r="S200" s="43">
        <f t="shared" si="48"/>
        <v>942.09289618337561</v>
      </c>
      <c r="T200" s="43">
        <f>R200+Thrust!C$33*0.8</f>
        <v>3367.0256910747257</v>
      </c>
      <c r="U200" s="43"/>
      <c r="V200">
        <f t="shared" si="52"/>
        <v>383105.78091341461</v>
      </c>
      <c r="W200">
        <f t="shared" si="53"/>
        <v>1369214.237747136</v>
      </c>
      <c r="Y200">
        <f t="shared" si="54"/>
        <v>-1217.8197009168148</v>
      </c>
      <c r="Z200">
        <f t="shared" si="55"/>
        <v>-2.8609474925237044</v>
      </c>
      <c r="AA200">
        <f t="shared" si="49"/>
        <v>3134.6493992065316</v>
      </c>
      <c r="AB200">
        <f t="shared" si="56"/>
        <v>7.381376791950383</v>
      </c>
      <c r="AC200">
        <f t="shared" si="50"/>
        <v>13.134806812995011</v>
      </c>
      <c r="AD200">
        <f t="shared" si="51"/>
        <v>3164.6460708197419</v>
      </c>
      <c r="AE200">
        <f t="shared" si="57"/>
        <v>792.63299055761263</v>
      </c>
      <c r="AG200">
        <v>6.5112907160119207</v>
      </c>
      <c r="AH200">
        <v>3134.6493992065316</v>
      </c>
      <c r="AI200">
        <f t="shared" si="58"/>
        <v>15036.578875463565</v>
      </c>
      <c r="AJ200">
        <f t="shared" si="59"/>
        <v>1144.7887349654068</v>
      </c>
      <c r="AN200" s="43"/>
      <c r="AO200" s="43"/>
    </row>
    <row r="201" spans="1:41">
      <c r="A201">
        <v>182</v>
      </c>
      <c r="B201">
        <f t="shared" si="32"/>
        <v>182</v>
      </c>
      <c r="D201" s="43">
        <f t="shared" si="33"/>
        <v>242.26700465110369</v>
      </c>
      <c r="E201" s="43">
        <f t="shared" si="34"/>
        <v>408.90063920279869</v>
      </c>
      <c r="F201" s="69">
        <f t="shared" si="35"/>
        <v>0.38674756084813972</v>
      </c>
      <c r="G201" s="98">
        <f t="shared" si="36"/>
        <v>112.19452646657049</v>
      </c>
      <c r="H201" s="69">
        <f t="shared" si="37"/>
        <v>0.35335977435582222</v>
      </c>
      <c r="I201" s="69">
        <f t="shared" si="38"/>
        <v>-0.30634797844080602</v>
      </c>
      <c r="J201" s="99">
        <f t="shared" si="39"/>
        <v>1.5047746178408776E-2</v>
      </c>
      <c r="K201" s="69">
        <f t="shared" si="40"/>
        <v>2.7005311401440192E-3</v>
      </c>
      <c r="L201" s="99">
        <f t="shared" si="41"/>
        <v>1.7748277318552795E-2</v>
      </c>
      <c r="M201" s="69">
        <f t="shared" si="42"/>
        <v>19.909525190168448</v>
      </c>
      <c r="N201" s="69">
        <f t="shared" si="43"/>
        <v>11.835032568643433</v>
      </c>
      <c r="O201" s="69">
        <f t="shared" si="44"/>
        <v>33.492868819657794</v>
      </c>
      <c r="P201" s="69">
        <f t="shared" si="45"/>
        <v>0.87621565543456859</v>
      </c>
      <c r="Q201" s="69">
        <f t="shared" si="46"/>
        <v>0.85769476809650325</v>
      </c>
      <c r="R201" s="43">
        <f t="shared" si="47"/>
        <v>1547.0574402693333</v>
      </c>
      <c r="S201" s="43">
        <f t="shared" si="48"/>
        <v>948.03868096867984</v>
      </c>
      <c r="T201" s="43">
        <f>R201+Thrust!C$33*0.8</f>
        <v>3358.817440269333</v>
      </c>
      <c r="U201" s="43"/>
      <c r="V201">
        <f t="shared" si="52"/>
        <v>387653.6226370713</v>
      </c>
      <c r="W201">
        <f t="shared" si="53"/>
        <v>1373422.5982916383</v>
      </c>
      <c r="Y201">
        <f t="shared" si="54"/>
        <v>-1232.2764163297632</v>
      </c>
      <c r="Z201">
        <f t="shared" si="55"/>
        <v>-2.879018814579668</v>
      </c>
      <c r="AA201">
        <f t="shared" si="49"/>
        <v>3133.5702537363723</v>
      </c>
      <c r="AB201">
        <f t="shared" si="56"/>
        <v>7.3380547685323529</v>
      </c>
      <c r="AC201">
        <f t="shared" si="50"/>
        <v>12.983542634219841</v>
      </c>
      <c r="AD201">
        <f t="shared" si="51"/>
        <v>3145.4839837523414</v>
      </c>
      <c r="AE201">
        <f t="shared" si="57"/>
        <v>778.61452791259751</v>
      </c>
      <c r="AG201">
        <v>6.4705212681049558</v>
      </c>
      <c r="AH201">
        <v>3133.5702537363723</v>
      </c>
      <c r="AI201">
        <f t="shared" si="58"/>
        <v>14827.178808341334</v>
      </c>
      <c r="AJ201">
        <f t="shared" si="59"/>
        <v>1141.9979296915733</v>
      </c>
      <c r="AN201" s="43"/>
      <c r="AO201" s="43"/>
    </row>
    <row r="202" spans="1:41">
      <c r="A202">
        <v>183</v>
      </c>
      <c r="B202">
        <f t="shared" si="32"/>
        <v>183</v>
      </c>
      <c r="D202" s="43">
        <f t="shared" si="33"/>
        <v>243.59814203929659</v>
      </c>
      <c r="E202" s="43">
        <f t="shared" si="34"/>
        <v>411.14734601160529</v>
      </c>
      <c r="F202" s="69">
        <f t="shared" si="35"/>
        <v>0.38887254744620642</v>
      </c>
      <c r="G202" s="98">
        <f t="shared" si="36"/>
        <v>113.43082045764338</v>
      </c>
      <c r="H202" s="69">
        <f t="shared" si="37"/>
        <v>0.34950847041602484</v>
      </c>
      <c r="I202" s="69">
        <f t="shared" si="38"/>
        <v>-0.3387783390945624</v>
      </c>
      <c r="J202" s="99">
        <f t="shared" si="39"/>
        <v>1.5047746178408776E-2</v>
      </c>
      <c r="K202" s="69">
        <f t="shared" si="40"/>
        <v>2.6190539829155125E-3</v>
      </c>
      <c r="L202" s="99">
        <f t="shared" si="41"/>
        <v>1.7666800161324291E-2</v>
      </c>
      <c r="M202" s="69">
        <f t="shared" si="42"/>
        <v>19.783348836489353</v>
      </c>
      <c r="N202" s="69">
        <f t="shared" si="43"/>
        <v>11.695765756399108</v>
      </c>
      <c r="O202" s="69">
        <f t="shared" si="44"/>
        <v>33.463468689263742</v>
      </c>
      <c r="P202" s="69">
        <f t="shared" si="45"/>
        <v>0.88103002716772572</v>
      </c>
      <c r="Q202" s="69">
        <f t="shared" si="46"/>
        <v>0.85783754947945579</v>
      </c>
      <c r="R202" s="43">
        <f t="shared" si="47"/>
        <v>1538.8597074896688</v>
      </c>
      <c r="S202" s="43">
        <f t="shared" si="48"/>
        <v>954.08518325199066</v>
      </c>
      <c r="T202" s="43">
        <f>R202+Thrust!C$33*0.8</f>
        <v>3350.6197074896691</v>
      </c>
      <c r="U202" s="43"/>
      <c r="V202">
        <f t="shared" si="52"/>
        <v>392269.59096305206</v>
      </c>
      <c r="W202">
        <f t="shared" si="53"/>
        <v>1377598.4002285586</v>
      </c>
      <c r="Y202">
        <f t="shared" si="54"/>
        <v>-1246.9496931275828</v>
      </c>
      <c r="Z202">
        <f t="shared" si="55"/>
        <v>-2.8973965463662514</v>
      </c>
      <c r="AA202">
        <f t="shared" si="49"/>
        <v>3132.1710493208152</v>
      </c>
      <c r="AB202">
        <f t="shared" si="56"/>
        <v>7.294460924936649</v>
      </c>
      <c r="AC202">
        <f t="shared" si="50"/>
        <v>12.832896868168429</v>
      </c>
      <c r="AD202">
        <f t="shared" si="51"/>
        <v>3126.0698340677372</v>
      </c>
      <c r="AE202">
        <f t="shared" si="57"/>
        <v>764.27600632218457</v>
      </c>
      <c r="AG202">
        <v>6.429466873669285</v>
      </c>
      <c r="AH202">
        <v>3132.1710493208152</v>
      </c>
      <c r="AI202">
        <f t="shared" si="58"/>
        <v>14619.373431226983</v>
      </c>
      <c r="AJ202">
        <f t="shared" si="59"/>
        <v>1139.2107005464875</v>
      </c>
      <c r="AN202" s="43"/>
      <c r="AO202" s="43"/>
    </row>
    <row r="203" spans="1:41">
      <c r="A203">
        <v>184</v>
      </c>
      <c r="B203">
        <f t="shared" si="32"/>
        <v>184</v>
      </c>
      <c r="D203" s="43">
        <f t="shared" si="33"/>
        <v>244.92927942748946</v>
      </c>
      <c r="E203" s="43">
        <f t="shared" si="34"/>
        <v>413.39405282041184</v>
      </c>
      <c r="F203" s="69">
        <f t="shared" si="35"/>
        <v>0.39099753404427307</v>
      </c>
      <c r="G203" s="98">
        <f t="shared" si="36"/>
        <v>114.67388866236595</v>
      </c>
      <c r="H203" s="69">
        <f t="shared" si="37"/>
        <v>0.34571978868626707</v>
      </c>
      <c r="I203" s="69">
        <f t="shared" si="38"/>
        <v>-0.37068138201690476</v>
      </c>
      <c r="J203" s="99">
        <f t="shared" si="39"/>
        <v>1.5047746178408776E-2</v>
      </c>
      <c r="K203" s="69">
        <f t="shared" si="40"/>
        <v>2.5401193843150155E-3</v>
      </c>
      <c r="L203" s="99">
        <f t="shared" si="41"/>
        <v>1.7587865562723792E-2</v>
      </c>
      <c r="M203" s="69">
        <f t="shared" si="42"/>
        <v>19.656722269869697</v>
      </c>
      <c r="N203" s="69">
        <f t="shared" si="43"/>
        <v>11.557747997913124</v>
      </c>
      <c r="O203" s="69">
        <f t="shared" si="44"/>
        <v>33.43097032956225</v>
      </c>
      <c r="P203" s="69">
        <f t="shared" si="45"/>
        <v>0.88584439890088251</v>
      </c>
      <c r="Q203" s="69">
        <f t="shared" si="46"/>
        <v>0.85793618659072124</v>
      </c>
      <c r="R203" s="43">
        <f t="shared" si="47"/>
        <v>1530.6723212461818</v>
      </c>
      <c r="S203" s="43">
        <f t="shared" si="48"/>
        <v>960.23130107159636</v>
      </c>
      <c r="T203" s="43">
        <f>R203+Thrust!C$33*0.8</f>
        <v>3342.4323212461818</v>
      </c>
      <c r="U203" s="43"/>
      <c r="V203">
        <f t="shared" si="52"/>
        <v>396953.90919500432</v>
      </c>
      <c r="W203">
        <f t="shared" si="53"/>
        <v>1381741.6435578959</v>
      </c>
      <c r="Y203">
        <f t="shared" si="54"/>
        <v>-1261.8402411496822</v>
      </c>
      <c r="Z203">
        <f t="shared" si="55"/>
        <v>-2.9160773552670416</v>
      </c>
      <c r="AA203">
        <f t="shared" si="49"/>
        <v>3130.4510761204506</v>
      </c>
      <c r="AB203">
        <f t="shared" si="56"/>
        <v>7.2505981628286866</v>
      </c>
      <c r="AC203">
        <f t="shared" si="50"/>
        <v>12.682918369633425</v>
      </c>
      <c r="AD203">
        <f t="shared" si="51"/>
        <v>3106.4180573119847</v>
      </c>
      <c r="AE203">
        <f t="shared" si="57"/>
        <v>749.61671594696304</v>
      </c>
      <c r="AG203">
        <v>6.3881300018500289</v>
      </c>
      <c r="AH203">
        <v>3130.4510761204506</v>
      </c>
      <c r="AI203">
        <f t="shared" si="58"/>
        <v>14413.210737372496</v>
      </c>
      <c r="AJ203">
        <f t="shared" si="59"/>
        <v>1136.4269892237019</v>
      </c>
      <c r="AN203" s="43"/>
      <c r="AO203" s="43"/>
    </row>
    <row r="204" spans="1:41">
      <c r="A204">
        <v>185</v>
      </c>
      <c r="B204">
        <f t="shared" si="32"/>
        <v>185</v>
      </c>
      <c r="D204" s="43">
        <f t="shared" si="33"/>
        <v>246.26041681568233</v>
      </c>
      <c r="E204" s="43">
        <f t="shared" si="34"/>
        <v>415.64075962921845</v>
      </c>
      <c r="F204" s="69">
        <f t="shared" si="35"/>
        <v>0.39312252064233982</v>
      </c>
      <c r="G204" s="98">
        <f t="shared" si="36"/>
        <v>115.92373108073829</v>
      </c>
      <c r="H204" s="69">
        <f t="shared" si="37"/>
        <v>0.34199237883892636</v>
      </c>
      <c r="I204" s="69">
        <f t="shared" si="38"/>
        <v>-0.40206847780139948</v>
      </c>
      <c r="J204" s="99">
        <f t="shared" si="39"/>
        <v>1.5047746178408776E-2</v>
      </c>
      <c r="K204" s="69">
        <f t="shared" si="40"/>
        <v>2.4636399615866212E-3</v>
      </c>
      <c r="L204" s="99">
        <f t="shared" si="41"/>
        <v>1.7511386139995398E-2</v>
      </c>
      <c r="M204" s="69">
        <f t="shared" si="42"/>
        <v>19.52971490119949</v>
      </c>
      <c r="N204" s="69">
        <f t="shared" si="43"/>
        <v>11.4209996298276</v>
      </c>
      <c r="O204" s="69">
        <f t="shared" si="44"/>
        <v>33.395479947834552</v>
      </c>
      <c r="P204" s="69">
        <f t="shared" si="45"/>
        <v>0.89065877063403953</v>
      </c>
      <c r="Q204" s="69">
        <f t="shared" si="46"/>
        <v>0.85799067943030038</v>
      </c>
      <c r="R204" s="43">
        <f t="shared" si="47"/>
        <v>1522.495113757205</v>
      </c>
      <c r="S204" s="43">
        <f t="shared" si="48"/>
        <v>966.47596216782051</v>
      </c>
      <c r="T204" s="43">
        <f>R204+Thrust!C$33*0.8</f>
        <v>3334.255113757205</v>
      </c>
      <c r="U204" s="43"/>
      <c r="V204">
        <f t="shared" si="52"/>
        <v>401706.80307881272</v>
      </c>
      <c r="W204">
        <f t="shared" si="53"/>
        <v>1385852.3282796508</v>
      </c>
      <c r="Y204">
        <f t="shared" si="54"/>
        <v>-1276.9487779988749</v>
      </c>
      <c r="Z204">
        <f t="shared" si="55"/>
        <v>-2.9350579991610934</v>
      </c>
      <c r="AA204">
        <f t="shared" si="49"/>
        <v>3128.409616532465</v>
      </c>
      <c r="AB204">
        <f t="shared" si="56"/>
        <v>7.2064693027482303</v>
      </c>
      <c r="AC204">
        <f t="shared" si="50"/>
        <v>12.533653308005713</v>
      </c>
      <c r="AD204">
        <f t="shared" si="51"/>
        <v>3086.5426878527423</v>
      </c>
      <c r="AE204">
        <f t="shared" si="57"/>
        <v>734.635939184123</v>
      </c>
      <c r="AG204">
        <v>6.3465130536015826</v>
      </c>
      <c r="AH204">
        <v>3128.409616532465</v>
      </c>
      <c r="AI204">
        <f t="shared" si="58"/>
        <v>14208.735196334506</v>
      </c>
      <c r="AJ204">
        <f t="shared" si="59"/>
        <v>1133.6467386774498</v>
      </c>
      <c r="AN204" s="43"/>
      <c r="AO204" s="43"/>
    </row>
    <row r="205" spans="1:41">
      <c r="A205">
        <v>186</v>
      </c>
      <c r="B205">
        <f t="shared" si="32"/>
        <v>186</v>
      </c>
      <c r="D205" s="43">
        <f t="shared" si="33"/>
        <v>247.59155420387521</v>
      </c>
      <c r="E205" s="43">
        <f t="shared" si="34"/>
        <v>417.887466438025</v>
      </c>
      <c r="F205" s="69">
        <f t="shared" si="35"/>
        <v>0.39524750724040647</v>
      </c>
      <c r="G205" s="98">
        <f t="shared" si="36"/>
        <v>117.18034771276029</v>
      </c>
      <c r="H205" s="69">
        <f t="shared" si="37"/>
        <v>0.33832492674766612</v>
      </c>
      <c r="I205" s="69">
        <f t="shared" si="38"/>
        <v>-0.4329506922043998</v>
      </c>
      <c r="J205" s="99">
        <f t="shared" si="39"/>
        <v>1.5047746178408776E-2</v>
      </c>
      <c r="K205" s="69">
        <f t="shared" si="40"/>
        <v>2.3895317136215536E-3</v>
      </c>
      <c r="L205" s="99">
        <f t="shared" si="41"/>
        <v>1.7437277892030329E-2</v>
      </c>
      <c r="M205" s="69">
        <f t="shared" si="42"/>
        <v>19.402393472337607</v>
      </c>
      <c r="N205" s="69">
        <f t="shared" si="43"/>
        <v>11.285538998976733</v>
      </c>
      <c r="O205" s="69">
        <f t="shared" si="44"/>
        <v>33.357101728995147</v>
      </c>
      <c r="P205" s="69">
        <f t="shared" si="45"/>
        <v>0.89547314236719644</v>
      </c>
      <c r="Q205" s="69">
        <f t="shared" si="46"/>
        <v>0.85800102799819244</v>
      </c>
      <c r="R205" s="43">
        <f t="shared" si="47"/>
        <v>1514.3279208492781</v>
      </c>
      <c r="S205" s="43">
        <f t="shared" si="48"/>
        <v>972.81812302747483</v>
      </c>
      <c r="T205" s="43">
        <f>R205+Thrust!C$33*0.8</f>
        <v>3326.0879208492779</v>
      </c>
      <c r="U205" s="43"/>
      <c r="V205">
        <f t="shared" si="52"/>
        <v>406528.50073694636</v>
      </c>
      <c r="W205">
        <f t="shared" si="53"/>
        <v>1389930.4543938229</v>
      </c>
      <c r="Y205">
        <f t="shared" si="54"/>
        <v>-1292.2760288326772</v>
      </c>
      <c r="Z205">
        <f t="shared" si="55"/>
        <v>-2.9543353235215912</v>
      </c>
      <c r="AA205">
        <f t="shared" si="49"/>
        <v>3126.0459453993426</v>
      </c>
      <c r="AB205">
        <f t="shared" si="56"/>
        <v>7.1620770867527339</v>
      </c>
      <c r="AC205">
        <f t="shared" si="50"/>
        <v>12.38514524691478</v>
      </c>
      <c r="AD205">
        <f t="shared" si="51"/>
        <v>3066.4573607243683</v>
      </c>
      <c r="AE205">
        <f t="shared" si="57"/>
        <v>719.33295087614476</v>
      </c>
      <c r="AG205">
        <v>6.3046183638914375</v>
      </c>
      <c r="AH205">
        <v>3126.0459453993426</v>
      </c>
      <c r="AI205">
        <f t="shared" si="58"/>
        <v>14005.987881267216</v>
      </c>
      <c r="AJ205">
        <f t="shared" si="59"/>
        <v>1130.8698930887547</v>
      </c>
      <c r="AN205" s="43"/>
      <c r="AO205" s="43"/>
    </row>
    <row r="206" spans="1:41">
      <c r="A206">
        <v>187</v>
      </c>
      <c r="B206">
        <f t="shared" si="32"/>
        <v>187</v>
      </c>
      <c r="D206" s="43">
        <f t="shared" si="33"/>
        <v>248.92269159206808</v>
      </c>
      <c r="E206" s="43">
        <f t="shared" si="34"/>
        <v>420.13417324683161</v>
      </c>
      <c r="F206" s="69">
        <f t="shared" si="35"/>
        <v>0.39737249383847317</v>
      </c>
      <c r="G206" s="98">
        <f t="shared" si="36"/>
        <v>118.44373855843205</v>
      </c>
      <c r="H206" s="69">
        <f t="shared" si="37"/>
        <v>0.334716153329013</v>
      </c>
      <c r="I206" s="69">
        <f t="shared" si="38"/>
        <v>-0.46333879589968163</v>
      </c>
      <c r="J206" s="99">
        <f t="shared" si="39"/>
        <v>1.5047746178408776E-2</v>
      </c>
      <c r="K206" s="69">
        <f t="shared" si="40"/>
        <v>2.317713874269814E-3</v>
      </c>
      <c r="L206" s="99">
        <f t="shared" si="41"/>
        <v>1.736546005267859E-2</v>
      </c>
      <c r="M206" s="69">
        <f t="shared" si="42"/>
        <v>19.274822107427187</v>
      </c>
      <c r="N206" s="69">
        <f t="shared" si="43"/>
        <v>11.151382545278558</v>
      </c>
      <c r="O206" s="69">
        <f t="shared" si="44"/>
        <v>33.315937800937803</v>
      </c>
      <c r="P206" s="69">
        <f t="shared" si="45"/>
        <v>0.90028751410035346</v>
      </c>
      <c r="Q206" s="69">
        <f t="shared" si="46"/>
        <v>0.85796723229439775</v>
      </c>
      <c r="R206" s="43">
        <f t="shared" si="47"/>
        <v>1506.1705818606729</v>
      </c>
      <c r="S206" s="43">
        <f t="shared" si="48"/>
        <v>979.25676796398932</v>
      </c>
      <c r="T206" s="43">
        <f>R206+Thrust!C$33*0.8</f>
        <v>3317.9305818606726</v>
      </c>
      <c r="U206" s="43"/>
      <c r="V206">
        <f t="shared" si="52"/>
        <v>411419.23260491504</v>
      </c>
      <c r="W206">
        <f t="shared" si="53"/>
        <v>1393976.0219004126</v>
      </c>
      <c r="Y206">
        <f t="shared" si="54"/>
        <v>-1307.8227261613195</v>
      </c>
      <c r="Z206">
        <f t="shared" si="55"/>
        <v>-2.9739062586230669</v>
      </c>
      <c r="AA206">
        <f t="shared" si="49"/>
        <v>3123.3593302108534</v>
      </c>
      <c r="AB206">
        <f t="shared" si="56"/>
        <v>7.1174241809604171</v>
      </c>
      <c r="AC206">
        <f t="shared" si="50"/>
        <v>12.237435224140855</v>
      </c>
      <c r="AD206">
        <f t="shared" si="51"/>
        <v>3046.1753141767244</v>
      </c>
      <c r="AE206">
        <f t="shared" si="57"/>
        <v>703.7070185127991</v>
      </c>
      <c r="AG206">
        <v>6.2624482038205613</v>
      </c>
      <c r="AH206">
        <v>3123.3593302108534</v>
      </c>
      <c r="AI206">
        <f t="shared" si="58"/>
        <v>13805.006595063427</v>
      </c>
      <c r="AJ206">
        <f t="shared" si="59"/>
        <v>1128.0963978326288</v>
      </c>
      <c r="AN206" s="43"/>
      <c r="AO206" s="43"/>
    </row>
    <row r="207" spans="1:41">
      <c r="A207">
        <v>188</v>
      </c>
      <c r="B207">
        <f t="shared" si="32"/>
        <v>188</v>
      </c>
      <c r="D207" s="43">
        <f t="shared" si="33"/>
        <v>250.25382898026098</v>
      </c>
      <c r="E207" s="43">
        <f t="shared" si="34"/>
        <v>422.38088005563822</v>
      </c>
      <c r="F207" s="69">
        <f t="shared" si="35"/>
        <v>0.39949748043653993</v>
      </c>
      <c r="G207" s="98">
        <f t="shared" si="36"/>
        <v>119.71390361775353</v>
      </c>
      <c r="H207" s="69">
        <f t="shared" si="37"/>
        <v>0.33116481342695381</v>
      </c>
      <c r="I207" s="69">
        <f t="shared" si="38"/>
        <v>-0.49324327387082689</v>
      </c>
      <c r="J207" s="99">
        <f t="shared" si="39"/>
        <v>1.5047746178408776E-2</v>
      </c>
      <c r="K207" s="69">
        <f t="shared" si="40"/>
        <v>2.2481087727190385E-3</v>
      </c>
      <c r="L207" s="99">
        <f t="shared" si="41"/>
        <v>1.7295854951127815E-2</v>
      </c>
      <c r="M207" s="69">
        <f t="shared" si="42"/>
        <v>19.147062366255533</v>
      </c>
      <c r="N207" s="69">
        <f t="shared" si="43"/>
        <v>11.018544883157793</v>
      </c>
      <c r="O207" s="69">
        <f t="shared" si="44"/>
        <v>33.272088206279783</v>
      </c>
      <c r="P207" s="69">
        <f t="shared" si="45"/>
        <v>0.90510188583351048</v>
      </c>
      <c r="Q207" s="69">
        <f t="shared" si="46"/>
        <v>0.85788929231891642</v>
      </c>
      <c r="R207" s="43">
        <f t="shared" si="47"/>
        <v>1498.0229395479964</v>
      </c>
      <c r="S207" s="43">
        <f t="shared" si="48"/>
        <v>985.7909082316977</v>
      </c>
      <c r="T207" s="43">
        <f>R207+Thrust!C$33*0.8</f>
        <v>3309.7829395479966</v>
      </c>
      <c r="U207" s="43"/>
      <c r="V207">
        <f t="shared" si="52"/>
        <v>416379.23136975139</v>
      </c>
      <c r="W207">
        <f t="shared" si="53"/>
        <v>1397989.0307994201</v>
      </c>
      <c r="Y207">
        <f t="shared" si="54"/>
        <v>-1323.5896096521899</v>
      </c>
      <c r="Z207">
        <f t="shared" si="55"/>
        <v>-2.993767816852491</v>
      </c>
      <c r="AA207">
        <f t="shared" si="49"/>
        <v>3120.3490312996091</v>
      </c>
      <c r="AB207">
        <f t="shared" si="56"/>
        <v>7.072513177997477</v>
      </c>
      <c r="AC207">
        <f t="shared" si="50"/>
        <v>12.090561831550803</v>
      </c>
      <c r="AD207">
        <f t="shared" si="51"/>
        <v>3025.7093928681857</v>
      </c>
      <c r="AE207">
        <f t="shared" si="57"/>
        <v>687.75740242669815</v>
      </c>
      <c r="AG207">
        <v>6.2200047826640912</v>
      </c>
      <c r="AH207">
        <v>3120.3490312996091</v>
      </c>
      <c r="AI207">
        <f t="shared" si="58"/>
        <v>13605.82599506979</v>
      </c>
      <c r="AJ207">
        <f t="shared" si="59"/>
        <v>1125.3261994463189</v>
      </c>
      <c r="AN207" s="43"/>
      <c r="AO207" s="43"/>
    </row>
    <row r="208" spans="1:41">
      <c r="A208">
        <v>189</v>
      </c>
      <c r="B208">
        <f t="shared" si="32"/>
        <v>189</v>
      </c>
      <c r="D208" s="43">
        <f t="shared" si="33"/>
        <v>251.58496636845385</v>
      </c>
      <c r="E208" s="43">
        <f t="shared" si="34"/>
        <v>424.62758686444482</v>
      </c>
      <c r="F208" s="69">
        <f t="shared" si="35"/>
        <v>0.40162246703460663</v>
      </c>
      <c r="G208" s="98">
        <f t="shared" si="36"/>
        <v>120.99084289072471</v>
      </c>
      <c r="H208" s="69">
        <f t="shared" si="37"/>
        <v>0.3276696947387322</v>
      </c>
      <c r="I208" s="69">
        <f t="shared" si="38"/>
        <v>-0.52267433445667977</v>
      </c>
      <c r="J208" s="99">
        <f t="shared" si="39"/>
        <v>1.5047746178408776E-2</v>
      </c>
      <c r="K208" s="69">
        <f t="shared" si="40"/>
        <v>2.1806417005658155E-3</v>
      </c>
      <c r="L208" s="99">
        <f t="shared" si="41"/>
        <v>1.7228387878974592E-2</v>
      </c>
      <c r="M208" s="69">
        <f t="shared" si="42"/>
        <v>19.019173299355426</v>
      </c>
      <c r="N208" s="69">
        <f t="shared" si="43"/>
        <v>10.887038881380652</v>
      </c>
      <c r="O208" s="69">
        <f t="shared" si="44"/>
        <v>33.225650880107928</v>
      </c>
      <c r="P208" s="69">
        <f t="shared" si="45"/>
        <v>0.90991625756666739</v>
      </c>
      <c r="Q208" s="69">
        <f t="shared" si="46"/>
        <v>0.85776720807174822</v>
      </c>
      <c r="R208" s="43">
        <f t="shared" si="47"/>
        <v>1489.8848399957574</v>
      </c>
      <c r="S208" s="43">
        <f t="shared" si="48"/>
        <v>992.4195811728415</v>
      </c>
      <c r="T208" s="43">
        <f>R208+Thrust!C$33*0.8</f>
        <v>3301.6448399957571</v>
      </c>
      <c r="U208" s="43"/>
      <c r="V208">
        <f t="shared" si="52"/>
        <v>421408.73191044672</v>
      </c>
      <c r="W208">
        <f t="shared" si="53"/>
        <v>1401969.4810908444</v>
      </c>
      <c r="Y208">
        <f t="shared" si="54"/>
        <v>-1339.5774259404927</v>
      </c>
      <c r="Z208">
        <f t="shared" si="55"/>
        <v>-3.0139170901199064</v>
      </c>
      <c r="AA208">
        <f t="shared" si="49"/>
        <v>3117.0143020304035</v>
      </c>
      <c r="AB208">
        <f t="shared" si="56"/>
        <v>7.0273465993534252</v>
      </c>
      <c r="AC208">
        <f t="shared" si="50"/>
        <v>11.944561294830555</v>
      </c>
      <c r="AD208">
        <f t="shared" si="51"/>
        <v>3005.0720516458809</v>
      </c>
      <c r="AE208">
        <f t="shared" si="57"/>
        <v>671.48335598263679</v>
      </c>
      <c r="AG208">
        <v>6.1772902498355009</v>
      </c>
      <c r="AH208">
        <v>3117.0143020304035</v>
      </c>
      <c r="AI208">
        <f t="shared" si="58"/>
        <v>13408.477716130717</v>
      </c>
      <c r="AJ208">
        <f t="shared" si="59"/>
        <v>1122.5592455985575</v>
      </c>
      <c r="AN208" s="43"/>
      <c r="AO208" s="43"/>
    </row>
    <row r="209" spans="1:41">
      <c r="A209">
        <v>190</v>
      </c>
      <c r="B209">
        <f t="shared" si="32"/>
        <v>190</v>
      </c>
      <c r="D209" s="43">
        <f t="shared" si="33"/>
        <v>252.91610375664672</v>
      </c>
      <c r="E209" s="43">
        <f t="shared" si="34"/>
        <v>426.87429367325137</v>
      </c>
      <c r="F209" s="69">
        <f t="shared" si="35"/>
        <v>0.40374745363267328</v>
      </c>
      <c r="G209" s="98">
        <f t="shared" si="36"/>
        <v>122.27455637734556</v>
      </c>
      <c r="H209" s="69">
        <f t="shared" si="37"/>
        <v>0.32422961678011791</v>
      </c>
      <c r="I209" s="69">
        <f t="shared" si="38"/>
        <v>-0.55164191806441987</v>
      </c>
      <c r="J209" s="99">
        <f t="shared" si="39"/>
        <v>1.5047746178408776E-2</v>
      </c>
      <c r="K209" s="69">
        <f t="shared" si="40"/>
        <v>2.1152407852265353E-3</v>
      </c>
      <c r="L209" s="99">
        <f t="shared" si="41"/>
        <v>1.7162986963635312E-2</v>
      </c>
      <c r="M209" s="69">
        <f t="shared" si="42"/>
        <v>18.891211504564499</v>
      </c>
      <c r="N209" s="69">
        <f t="shared" si="43"/>
        <v>10.756875741198783</v>
      </c>
      <c r="O209" s="69">
        <f t="shared" si="44"/>
        <v>33.176721633340946</v>
      </c>
      <c r="P209" s="69">
        <f t="shared" si="45"/>
        <v>0.9147306292998244</v>
      </c>
      <c r="Q209" s="69">
        <f t="shared" si="46"/>
        <v>0.85760097955289349</v>
      </c>
      <c r="R209" s="43">
        <f t="shared" si="47"/>
        <v>1481.7561325287916</v>
      </c>
      <c r="S209" s="43">
        <f t="shared" si="48"/>
        <v>999.14184939591723</v>
      </c>
      <c r="T209" s="43">
        <f>R209+Thrust!C$33*0.8</f>
        <v>3293.5161325287918</v>
      </c>
      <c r="U209" s="43"/>
      <c r="V209">
        <f t="shared" si="52"/>
        <v>426507.97124026826</v>
      </c>
      <c r="W209">
        <f t="shared" si="53"/>
        <v>1405917.3727746867</v>
      </c>
      <c r="Y209">
        <f t="shared" si="54"/>
        <v>-1355.7869284458857</v>
      </c>
      <c r="Z209">
        <f t="shared" si="55"/>
        <v>-3.0343512473643841</v>
      </c>
      <c r="AA209">
        <f t="shared" si="49"/>
        <v>3113.3543889835814</v>
      </c>
      <c r="AB209">
        <f t="shared" si="56"/>
        <v>6.9819268976485125</v>
      </c>
      <c r="AC209">
        <f t="shared" si="50"/>
        <v>11.799467552807034</v>
      </c>
      <c r="AD209">
        <f t="shared" si="51"/>
        <v>2984.2753598589306</v>
      </c>
      <c r="AE209">
        <f t="shared" si="57"/>
        <v>654.88412576095891</v>
      </c>
      <c r="AG209">
        <v>6.1343066967777009</v>
      </c>
      <c r="AH209">
        <v>3113.3543889835814</v>
      </c>
      <c r="AI209">
        <f t="shared" si="58"/>
        <v>13212.990491742798</v>
      </c>
      <c r="AJ209">
        <f t="shared" si="59"/>
        <v>1119.7954850597894</v>
      </c>
      <c r="AN209" s="43"/>
      <c r="AO209" s="43"/>
    </row>
    <row r="210" spans="1:41">
      <c r="A210">
        <v>191</v>
      </c>
      <c r="B210">
        <f t="shared" si="32"/>
        <v>191</v>
      </c>
      <c r="D210" s="43">
        <f t="shared" si="33"/>
        <v>254.24724114483959</v>
      </c>
      <c r="E210" s="43">
        <f t="shared" si="34"/>
        <v>429.12100048205792</v>
      </c>
      <c r="F210" s="69">
        <f t="shared" si="35"/>
        <v>0.40587244023073998</v>
      </c>
      <c r="G210" s="98">
        <f t="shared" si="36"/>
        <v>123.56504407761614</v>
      </c>
      <c r="H210" s="69">
        <f t="shared" si="37"/>
        <v>0.32084342988849701</v>
      </c>
      <c r="I210" s="69">
        <f t="shared" si="38"/>
        <v>-0.5801557055641583</v>
      </c>
      <c r="J210" s="99">
        <f t="shared" si="39"/>
        <v>1.5047746178408776E-2</v>
      </c>
      <c r="K210" s="69">
        <f t="shared" si="40"/>
        <v>2.0518368693550311E-3</v>
      </c>
      <c r="L210" s="99">
        <f t="shared" si="41"/>
        <v>1.7099583047763808E-2</v>
      </c>
      <c r="M210" s="69">
        <f t="shared" si="42"/>
        <v>18.763231184777641</v>
      </c>
      <c r="N210" s="69">
        <f t="shared" si="43"/>
        <v>10.628065072714195</v>
      </c>
      <c r="O210" s="69">
        <f t="shared" si="44"/>
        <v>33.125394141334844</v>
      </c>
      <c r="P210" s="69">
        <f t="shared" si="45"/>
        <v>0.91954500103298131</v>
      </c>
      <c r="Q210" s="69">
        <f t="shared" si="46"/>
        <v>0.85739060676235213</v>
      </c>
      <c r="R210" s="43">
        <f t="shared" si="47"/>
        <v>1473.6366696274351</v>
      </c>
      <c r="S210" s="43">
        <f t="shared" si="48"/>
        <v>1005.9567999840579</v>
      </c>
      <c r="T210" s="43">
        <f>R210+Thrust!C$33*0.8</f>
        <v>3285.3966696274351</v>
      </c>
      <c r="U210" s="43"/>
      <c r="V210">
        <f t="shared" si="52"/>
        <v>431677.18845088832</v>
      </c>
      <c r="W210">
        <f t="shared" si="53"/>
        <v>1409832.705850946</v>
      </c>
      <c r="Y210">
        <f t="shared" si="54"/>
        <v>-1372.218877194877</v>
      </c>
      <c r="Z210">
        <f t="shared" si="55"/>
        <v>-3.0550675321513427</v>
      </c>
      <c r="AA210">
        <f t="shared" si="49"/>
        <v>3109.3685321326338</v>
      </c>
      <c r="AB210">
        <f t="shared" si="56"/>
        <v>6.9362564588168603</v>
      </c>
      <c r="AC210">
        <f t="shared" si="50"/>
        <v>11.655312336171427</v>
      </c>
      <c r="AD210">
        <f t="shared" si="51"/>
        <v>2963.331006153001</v>
      </c>
      <c r="AE210">
        <f t="shared" si="57"/>
        <v>637.95895173515601</v>
      </c>
      <c r="AG210">
        <v>6.0910561587839691</v>
      </c>
      <c r="AH210">
        <v>3109.3685321326338</v>
      </c>
      <c r="AI210">
        <f t="shared" si="58"/>
        <v>13019.390273126559</v>
      </c>
      <c r="AJ210">
        <f t="shared" si="59"/>
        <v>1117.0348676733281</v>
      </c>
      <c r="AN210" s="43"/>
      <c r="AO210" s="43"/>
    </row>
    <row r="211" spans="1:41">
      <c r="A211">
        <v>192</v>
      </c>
      <c r="B211">
        <f t="shared" si="32"/>
        <v>192</v>
      </c>
      <c r="D211" s="43">
        <f t="shared" si="33"/>
        <v>255.57837853303246</v>
      </c>
      <c r="E211" s="43">
        <f t="shared" si="34"/>
        <v>431.36770729086453</v>
      </c>
      <c r="F211" s="69">
        <f t="shared" si="35"/>
        <v>0.40799742682880669</v>
      </c>
      <c r="G211" s="98">
        <f t="shared" si="36"/>
        <v>124.86230599153647</v>
      </c>
      <c r="H211" s="69">
        <f t="shared" si="37"/>
        <v>0.31751001426221404</v>
      </c>
      <c r="I211" s="69">
        <f t="shared" si="38"/>
        <v>-0.60822512637827131</v>
      </c>
      <c r="J211" s="99">
        <f t="shared" si="39"/>
        <v>1.5047746178408776E-2</v>
      </c>
      <c r="K211" s="69">
        <f t="shared" si="40"/>
        <v>1.990363395953449E-3</v>
      </c>
      <c r="L211" s="99">
        <f t="shared" si="41"/>
        <v>1.7038109574362227E-2</v>
      </c>
      <c r="M211" s="69">
        <f t="shared" si="42"/>
        <v>18.63528420664586</v>
      </c>
      <c r="N211" s="69">
        <f t="shared" si="43"/>
        <v>10.500614969391112</v>
      </c>
      <c r="O211" s="69">
        <f t="shared" si="44"/>
        <v>33.071759937370764</v>
      </c>
      <c r="P211" s="69">
        <f t="shared" si="45"/>
        <v>0.92435937276613822</v>
      </c>
      <c r="Q211" s="69">
        <f t="shared" si="46"/>
        <v>0.85713608970012378</v>
      </c>
      <c r="R211" s="43">
        <f t="shared" si="47"/>
        <v>1465.5263068453494</v>
      </c>
      <c r="S211" s="43">
        <f t="shared" si="48"/>
        <v>1012.8635437321988</v>
      </c>
      <c r="T211" s="43">
        <f>R211+Thrust!C$33*0.8</f>
        <v>3277.2863068453494</v>
      </c>
      <c r="U211" s="43"/>
      <c r="V211">
        <f t="shared" si="52"/>
        <v>436916.62465825886</v>
      </c>
      <c r="W211">
        <f t="shared" si="53"/>
        <v>1413715.4803196231</v>
      </c>
      <c r="Y211">
        <f t="shared" si="54"/>
        <v>-1388.8740386487698</v>
      </c>
      <c r="Z211">
        <f t="shared" si="55"/>
        <v>-3.0760632603574063</v>
      </c>
      <c r="AA211">
        <f t="shared" si="49"/>
        <v>3105.0559650162572</v>
      </c>
      <c r="AB211">
        <f t="shared" si="56"/>
        <v>6.8903376042089546</v>
      </c>
      <c r="AC211">
        <f t="shared" si="50"/>
        <v>11.512125245434008</v>
      </c>
      <c r="AD211">
        <f t="shared" si="51"/>
        <v>2942.2503036972121</v>
      </c>
      <c r="AE211">
        <f t="shared" si="57"/>
        <v>620.70706744392317</v>
      </c>
      <c r="AG211">
        <v>6.0475406167517329</v>
      </c>
      <c r="AH211">
        <v>3105.0559650162572</v>
      </c>
      <c r="AI211">
        <f t="shared" si="58"/>
        <v>12827.700346046842</v>
      </c>
      <c r="AJ211">
        <f t="shared" si="59"/>
        <v>1114.2773443274189</v>
      </c>
      <c r="AN211" s="43"/>
      <c r="AO211" s="43"/>
    </row>
    <row r="212" spans="1:41">
      <c r="A212">
        <v>193</v>
      </c>
      <c r="B212">
        <f t="shared" ref="B212:B275" si="60">A212</f>
        <v>193</v>
      </c>
      <c r="D212" s="43">
        <f t="shared" ref="D212:D275" si="61">A212/SQRT(D$75)</f>
        <v>256.90951592122536</v>
      </c>
      <c r="E212" s="43">
        <f t="shared" ref="E212:E275" si="62">D212*1.68780986</f>
        <v>433.61441409967114</v>
      </c>
      <c r="F212" s="69">
        <f t="shared" ref="F212:F275" si="63">E212/SQRT(1716.46*1.4*$D$77)</f>
        <v>0.41012241342687344</v>
      </c>
      <c r="G212" s="98">
        <f t="shared" ref="G212:G275" si="64">0.5*$D$76*E212^2</f>
        <v>126.1663421191065</v>
      </c>
      <c r="H212" s="69">
        <f t="shared" ref="H212:H275" si="65">2*$D$66/($D$76*E212^2*$D$69)</f>
        <v>0.31422827903466555</v>
      </c>
      <c r="I212" s="69">
        <f t="shared" ref="I212:I275" si="66">DEGREES((H212-$J$66)/$J$67)</f>
        <v>-0.6358593662781048</v>
      </c>
      <c r="J212" s="99">
        <f t="shared" ref="J212:J275" si="67">$J$69</f>
        <v>1.5047746178408776E-2</v>
      </c>
      <c r="K212" s="69">
        <f t="shared" ref="K212:K275" si="68">$J$71*(H212-$J$68)^2</f>
        <v>1.9307562988805462E-3</v>
      </c>
      <c r="L212" s="99">
        <f t="shared" ref="L212:L275" si="69">SUM(J212:K212)</f>
        <v>1.6978502477289322E-2</v>
      </c>
      <c r="M212" s="69">
        <f t="shared" ref="M212:M275" si="70">H212/L212</f>
        <v>18.507420159992414</v>
      </c>
      <c r="N212" s="69">
        <f t="shared" ref="N212:N275" si="71">H212^1.5/L212</f>
        <v>10.374532080653449</v>
      </c>
      <c r="O212" s="69">
        <f t="shared" ref="O212:O275" si="72">H212^0.5/L212</f>
        <v>33.015908410677874</v>
      </c>
      <c r="P212" s="69">
        <f t="shared" ref="P212:P275" si="73">60*E212/($J$79*$J$75)</f>
        <v>0.92917374449929524</v>
      </c>
      <c r="Q212" s="69">
        <f t="shared" ref="Q212:Q275" si="74">0.096574+1.703049*P212-0.952281*P212^2</f>
        <v>0.8568374283662088</v>
      </c>
      <c r="R212" s="43">
        <f t="shared" ref="R212:R275" si="75">Q212*550*$J$78/E212</f>
        <v>1457.4249027299034</v>
      </c>
      <c r="S212" s="43">
        <f t="shared" ref="S212:S275" si="76">$D$69*G212*L212</f>
        <v>1019.8612144118382</v>
      </c>
      <c r="T212" s="43">
        <f>R212+Thrust!C$33*0.8</f>
        <v>3269.1849027299031</v>
      </c>
      <c r="U212" s="43"/>
      <c r="V212">
        <f t="shared" si="52"/>
        <v>442226.52295016829</v>
      </c>
      <c r="W212">
        <f t="shared" si="53"/>
        <v>1417565.6961807173</v>
      </c>
      <c r="Y212">
        <f t="shared" si="54"/>
        <v>-1405.7531855369589</v>
      </c>
      <c r="Z212">
        <f t="shared" si="55"/>
        <v>-3.0973358179392059</v>
      </c>
      <c r="AA212">
        <f t="shared" ref="AA212:AA275" si="77">60*(((T212*E212)-(S212*E212))/$D$66)</f>
        <v>3100.4159149050565</v>
      </c>
      <c r="AB212">
        <f t="shared" si="56"/>
        <v>6.8441725926167418</v>
      </c>
      <c r="AC212">
        <f t="shared" ref="AC212:AC275" si="78">((325.9*Q212)/($J$74*D212))*M212*LN($D$66/$D$68)</f>
        <v>11.369933827957759</v>
      </c>
      <c r="AD212">
        <f t="shared" ref="AD212:AD275" si="79">((325.9*Q212)/($J$74))*M212*LN($D$66/$D$68)</f>
        <v>2921.0441957969924</v>
      </c>
      <c r="AE212">
        <f t="shared" si="57"/>
        <v>603.12770015786691</v>
      </c>
      <c r="AG212">
        <v>6.0037619988719992</v>
      </c>
      <c r="AH212">
        <v>3100.4159149050565</v>
      </c>
      <c r="AI212">
        <f t="shared" si="58"/>
        <v>12637.941445235158</v>
      </c>
      <c r="AJ212">
        <f t="shared" si="59"/>
        <v>1111.5228669281671</v>
      </c>
      <c r="AN212" s="43"/>
      <c r="AO212" s="43"/>
    </row>
    <row r="213" spans="1:41">
      <c r="A213">
        <v>194</v>
      </c>
      <c r="B213">
        <f t="shared" si="60"/>
        <v>194</v>
      </c>
      <c r="D213" s="43">
        <f t="shared" si="61"/>
        <v>258.24065330941824</v>
      </c>
      <c r="E213" s="43">
        <f t="shared" si="62"/>
        <v>435.86112090847774</v>
      </c>
      <c r="F213" s="69">
        <f t="shared" si="63"/>
        <v>0.41224740002494015</v>
      </c>
      <c r="G213" s="98">
        <f t="shared" si="64"/>
        <v>127.47715246032627</v>
      </c>
      <c r="H213" s="69">
        <f t="shared" si="65"/>
        <v>0.31099716138171579</v>
      </c>
      <c r="I213" s="69">
        <f t="shared" si="66"/>
        <v>-0.6630673749000866</v>
      </c>
      <c r="J213" s="99">
        <f t="shared" si="67"/>
        <v>1.5047746178408776E-2</v>
      </c>
      <c r="K213" s="69">
        <f t="shared" si="68"/>
        <v>1.8729538984784289E-3</v>
      </c>
      <c r="L213" s="99">
        <f t="shared" si="69"/>
        <v>1.6920700076887205E-2</v>
      </c>
      <c r="M213" s="69">
        <f t="shared" si="70"/>
        <v>18.379686417734082</v>
      </c>
      <c r="N213" s="69">
        <f t="shared" si="71"/>
        <v>10.249821682518716</v>
      </c>
      <c r="O213" s="69">
        <f t="shared" si="72"/>
        <v>32.95792680865712</v>
      </c>
      <c r="P213" s="69">
        <f t="shared" si="73"/>
        <v>0.93398811623245237</v>
      </c>
      <c r="Q213" s="69">
        <f t="shared" si="74"/>
        <v>0.85649462276060706</v>
      </c>
      <c r="R213" s="43">
        <f t="shared" si="75"/>
        <v>1449.3323187450158</v>
      </c>
      <c r="S213" s="43">
        <f t="shared" si="76"/>
        <v>1026.9489680622628</v>
      </c>
      <c r="T213" s="43">
        <f>R213+Thrust!C$33*0.8</f>
        <v>3261.0923187450157</v>
      </c>
      <c r="U213" s="43"/>
      <c r="V213">
        <f t="shared" ref="V213:V276" si="80">S213*E213</f>
        <v>447607.12833542237</v>
      </c>
      <c r="W213">
        <f t="shared" ref="W213:W276" si="81">T213*E213</f>
        <v>1421383.3534342293</v>
      </c>
      <c r="Y213">
        <f t="shared" ref="Y213:Y276" si="82">-(E213/M213)*60</f>
        <v>-1422.8570966953821</v>
      </c>
      <c r="Z213">
        <f t="shared" ref="Z213:Z276" si="83">ASIN((Y213/60)/E213)*180/PI()</f>
        <v>-3.1188826587826473</v>
      </c>
      <c r="AA213">
        <f t="shared" si="77"/>
        <v>3095.4476029630946</v>
      </c>
      <c r="AB213">
        <f t="shared" ref="AB213:AB276" si="84">ASIN((AA213/60)/E213)*180/PI()</f>
        <v>6.7977636222246298</v>
      </c>
      <c r="AC213">
        <f t="shared" si="78"/>
        <v>11.228763653934399</v>
      </c>
      <c r="AD213">
        <f t="shared" si="79"/>
        <v>2899.7232618490693</v>
      </c>
      <c r="AE213">
        <f t="shared" ref="AE213:AE276" si="85">60*(((R213*E213)-(S213*E213))/$D$66)</f>
        <v>585.2200710410491</v>
      </c>
      <c r="AG213">
        <v>5.9597221822570443</v>
      </c>
      <c r="AH213">
        <v>3095.4476029630946</v>
      </c>
      <c r="AI213">
        <f t="shared" ref="AI213:AI276" si="86">($J$74*T213)*AC213</f>
        <v>12450.131866288553</v>
      </c>
      <c r="AJ213">
        <f t="shared" ref="AJ213:AJ276" si="87">$J$74*T213</f>
        <v>1108.7713883733054</v>
      </c>
      <c r="AN213" s="43"/>
      <c r="AO213" s="43"/>
    </row>
    <row r="214" spans="1:41">
      <c r="A214">
        <v>195</v>
      </c>
      <c r="B214">
        <f t="shared" si="60"/>
        <v>195</v>
      </c>
      <c r="D214" s="43">
        <f t="shared" si="61"/>
        <v>259.57179069761111</v>
      </c>
      <c r="E214" s="43">
        <f t="shared" si="62"/>
        <v>438.10782771728429</v>
      </c>
      <c r="F214" s="69">
        <f t="shared" si="63"/>
        <v>0.41437238662300679</v>
      </c>
      <c r="G214" s="98">
        <f t="shared" si="64"/>
        <v>128.79473701519569</v>
      </c>
      <c r="H214" s="69">
        <f t="shared" si="65"/>
        <v>0.30781562566107185</v>
      </c>
      <c r="I214" s="69">
        <f t="shared" si="66"/>
        <v>-0.68985787299271961</v>
      </c>
      <c r="J214" s="99">
        <f t="shared" si="67"/>
        <v>1.5047746178408776E-2</v>
      </c>
      <c r="K214" s="69">
        <f t="shared" si="68"/>
        <v>1.8168968020544933E-3</v>
      </c>
      <c r="L214" s="99">
        <f t="shared" si="69"/>
        <v>1.6864642980463269E-2</v>
      </c>
      <c r="M214" s="69">
        <f t="shared" si="70"/>
        <v>18.252128196111755</v>
      </c>
      <c r="N214" s="69">
        <f t="shared" si="71"/>
        <v>10.126487746230179</v>
      </c>
      <c r="O214" s="69">
        <f t="shared" si="72"/>
        <v>32.897900242985727</v>
      </c>
      <c r="P214" s="69">
        <f t="shared" si="73"/>
        <v>0.93880248796560917</v>
      </c>
      <c r="Q214" s="69">
        <f t="shared" si="74"/>
        <v>0.85610767288331868</v>
      </c>
      <c r="R214" s="43">
        <f t="shared" si="75"/>
        <v>1441.2484191963702</v>
      </c>
      <c r="S214" s="43">
        <f t="shared" si="76"/>
        <v>1034.1259823071443</v>
      </c>
      <c r="T214" s="43">
        <f>R214+Thrust!C$33*0.8</f>
        <v>3253.0084191963701</v>
      </c>
      <c r="U214" s="43"/>
      <c r="V214">
        <f t="shared" si="80"/>
        <v>453058.68769458577</v>
      </c>
      <c r="W214">
        <f t="shared" si="81"/>
        <v>1425168.4520801587</v>
      </c>
      <c r="Y214">
        <f t="shared" si="82"/>
        <v>-1440.1865569099418</v>
      </c>
      <c r="Z214">
        <f t="shared" si="83"/>
        <v>-3.1407013026293691</v>
      </c>
      <c r="AA214">
        <f t="shared" si="77"/>
        <v>3090.1502444044704</v>
      </c>
      <c r="AB214">
        <f t="shared" si="84"/>
        <v>6.7511128324894054</v>
      </c>
      <c r="AC214">
        <f t="shared" si="78"/>
        <v>11.08863839118175</v>
      </c>
      <c r="AD214">
        <f t="shared" si="79"/>
        <v>2878.297723597324</v>
      </c>
      <c r="AE214">
        <f t="shared" si="85"/>
        <v>566.98339530756834</v>
      </c>
      <c r="AG214">
        <v>5.9154229945089529</v>
      </c>
      <c r="AH214">
        <v>3090.1502444044704</v>
      </c>
      <c r="AI214">
        <f t="shared" si="86"/>
        <v>12264.287574939031</v>
      </c>
      <c r="AJ214">
        <f t="shared" si="87"/>
        <v>1106.0228625267659</v>
      </c>
      <c r="AN214" s="43"/>
      <c r="AO214" s="43"/>
    </row>
    <row r="215" spans="1:41">
      <c r="A215">
        <v>196</v>
      </c>
      <c r="B215">
        <f t="shared" si="60"/>
        <v>196</v>
      </c>
      <c r="D215" s="43">
        <f t="shared" si="61"/>
        <v>260.90292808580398</v>
      </c>
      <c r="E215" s="43">
        <f t="shared" si="62"/>
        <v>440.3545345260909</v>
      </c>
      <c r="F215" s="69">
        <f t="shared" si="63"/>
        <v>0.41649737322107355</v>
      </c>
      <c r="G215" s="98">
        <f t="shared" si="64"/>
        <v>130.1190957837149</v>
      </c>
      <c r="H215" s="69">
        <f t="shared" si="65"/>
        <v>0.30468266258231608</v>
      </c>
      <c r="I215" s="69">
        <f t="shared" si="66"/>
        <v>-0.71623935940542227</v>
      </c>
      <c r="J215" s="99">
        <f t="shared" si="67"/>
        <v>1.5047746178408776E-2</v>
      </c>
      <c r="K215" s="69">
        <f t="shared" si="68"/>
        <v>1.7625278089700629E-3</v>
      </c>
      <c r="L215" s="99">
        <f t="shared" si="69"/>
        <v>1.6810273987378839E-2</v>
      </c>
      <c r="M215" s="69">
        <f t="shared" si="70"/>
        <v>18.124788615050054</v>
      </c>
      <c r="N215" s="69">
        <f t="shared" si="71"/>
        <v>10.004533004859246</v>
      </c>
      <c r="O215" s="69">
        <f t="shared" si="72"/>
        <v>32.835911699295735</v>
      </c>
      <c r="P215" s="69">
        <f t="shared" si="73"/>
        <v>0.94361685969876619</v>
      </c>
      <c r="Q215" s="69">
        <f t="shared" si="74"/>
        <v>0.85567657873434355</v>
      </c>
      <c r="R215" s="43">
        <f t="shared" si="75"/>
        <v>1433.1730711589216</v>
      </c>
      <c r="S215" s="43">
        <f t="shared" si="76"/>
        <v>1041.3914556954887</v>
      </c>
      <c r="T215" s="43">
        <f>R215+Thrust!C$33*0.8</f>
        <v>3244.9330711589218</v>
      </c>
      <c r="U215" s="43"/>
      <c r="V215">
        <f t="shared" si="80"/>
        <v>458581.44973223517</v>
      </c>
      <c r="W215">
        <f t="shared" si="81"/>
        <v>1428920.9921185055</v>
      </c>
      <c r="Y215">
        <f t="shared" si="82"/>
        <v>-1457.7423567647213</v>
      </c>
      <c r="Z215">
        <f t="shared" si="83"/>
        <v>-3.1627893330772316</v>
      </c>
      <c r="AA215">
        <f t="shared" si="77"/>
        <v>3084.5230486450978</v>
      </c>
      <c r="AB215">
        <f t="shared" si="84"/>
        <v>6.7042223059519905</v>
      </c>
      <c r="AC215">
        <f t="shared" si="78"/>
        <v>10.949579878655729</v>
      </c>
      <c r="AD215">
        <f t="shared" si="79"/>
        <v>2856.777451650682</v>
      </c>
      <c r="AE215">
        <f t="shared" si="85"/>
        <v>548.41688237334006</v>
      </c>
      <c r="AG215">
        <v>5.8708662152314073</v>
      </c>
      <c r="AH215">
        <v>3084.5230486450978</v>
      </c>
      <c r="AI215">
        <f t="shared" si="86"/>
        <v>12080.422313605734</v>
      </c>
      <c r="AJ215">
        <f t="shared" si="87"/>
        <v>1103.2772441940335</v>
      </c>
      <c r="AN215" s="43"/>
      <c r="AO215" s="43"/>
    </row>
    <row r="216" spans="1:41">
      <c r="A216">
        <v>197</v>
      </c>
      <c r="B216">
        <f t="shared" si="60"/>
        <v>197</v>
      </c>
      <c r="D216" s="43">
        <f t="shared" si="61"/>
        <v>262.23406547399685</v>
      </c>
      <c r="E216" s="43">
        <f t="shared" si="62"/>
        <v>442.60124133489745</v>
      </c>
      <c r="F216" s="69">
        <f t="shared" si="63"/>
        <v>0.4186223598191402</v>
      </c>
      <c r="G216" s="98">
        <f t="shared" si="64"/>
        <v>131.45022876588376</v>
      </c>
      <c r="H216" s="69">
        <f t="shared" si="65"/>
        <v>0.30159728840635563</v>
      </c>
      <c r="I216" s="69">
        <f t="shared" si="66"/>
        <v>-0.74222011782965802</v>
      </c>
      <c r="J216" s="99">
        <f t="shared" si="67"/>
        <v>1.5047746178408776E-2</v>
      </c>
      <c r="K216" s="69">
        <f t="shared" si="68"/>
        <v>1.7097918201011511E-3</v>
      </c>
      <c r="L216" s="99">
        <f t="shared" si="69"/>
        <v>1.6757537998509927E-2</v>
      </c>
      <c r="M216" s="69">
        <f t="shared" si="70"/>
        <v>17.997708758480723</v>
      </c>
      <c r="N216" s="69">
        <f t="shared" si="71"/>
        <v>9.8839590178595031</v>
      </c>
      <c r="O216" s="69">
        <f t="shared" si="72"/>
        <v>32.772042050134083</v>
      </c>
      <c r="P216" s="69">
        <f t="shared" si="73"/>
        <v>0.94843123143192321</v>
      </c>
      <c r="Q216" s="69">
        <f t="shared" si="74"/>
        <v>0.85520134031368156</v>
      </c>
      <c r="R216" s="43">
        <f t="shared" si="75"/>
        <v>1425.1061444066115</v>
      </c>
      <c r="S216" s="43">
        <f t="shared" si="76"/>
        <v>1048.7446070659348</v>
      </c>
      <c r="T216" s="43">
        <f>R216+Thrust!C$33*0.8</f>
        <v>3236.8661444066115</v>
      </c>
      <c r="U216" s="43"/>
      <c r="V216">
        <f t="shared" si="80"/>
        <v>464175.66493066202</v>
      </c>
      <c r="W216">
        <f t="shared" si="81"/>
        <v>1432640.9735492696</v>
      </c>
      <c r="Y216">
        <f t="shared" si="82"/>
        <v>-1475.5252924948197</v>
      </c>
      <c r="Z216">
        <f t="shared" si="83"/>
        <v>-3.1851443956518444</v>
      </c>
      <c r="AA216">
        <f t="shared" si="77"/>
        <v>3078.5652194498784</v>
      </c>
      <c r="AB216">
        <f t="shared" si="84"/>
        <v>6.657094069983871</v>
      </c>
      <c r="AC216">
        <f t="shared" si="78"/>
        <v>10.811608198583919</v>
      </c>
      <c r="AD216">
        <f t="shared" si="79"/>
        <v>2835.1719722266562</v>
      </c>
      <c r="AE216">
        <f t="shared" si="85"/>
        <v>529.51973600326517</v>
      </c>
      <c r="AG216">
        <v>5.826053577487067</v>
      </c>
      <c r="AH216">
        <v>3078.5652194498784</v>
      </c>
      <c r="AI216">
        <f t="shared" si="86"/>
        <v>11898.547705158982</v>
      </c>
      <c r="AJ216">
        <f t="shared" si="87"/>
        <v>1100.5344890982481</v>
      </c>
      <c r="AN216" s="43"/>
      <c r="AO216" s="43"/>
    </row>
    <row r="217" spans="1:41">
      <c r="A217">
        <v>198</v>
      </c>
      <c r="B217">
        <f t="shared" si="60"/>
        <v>198</v>
      </c>
      <c r="D217" s="43">
        <f t="shared" si="61"/>
        <v>263.56520286218972</v>
      </c>
      <c r="E217" s="43">
        <f t="shared" si="62"/>
        <v>444.84794814370406</v>
      </c>
      <c r="F217" s="69">
        <f t="shared" si="63"/>
        <v>0.4207473464172069</v>
      </c>
      <c r="G217" s="98">
        <f t="shared" si="64"/>
        <v>132.78813596170238</v>
      </c>
      <c r="H217" s="69">
        <f t="shared" si="65"/>
        <v>0.29855854417310107</v>
      </c>
      <c r="I217" s="69">
        <f t="shared" si="66"/>
        <v>-0.76780822330235998</v>
      </c>
      <c r="J217" s="99">
        <f t="shared" si="67"/>
        <v>1.5047746178408776E-2</v>
      </c>
      <c r="K217" s="69">
        <f t="shared" si="68"/>
        <v>1.6586357514497331E-3</v>
      </c>
      <c r="L217" s="99">
        <f t="shared" si="69"/>
        <v>1.6706381929858509E-2</v>
      </c>
      <c r="M217" s="69">
        <f t="shared" si="70"/>
        <v>17.870927734478631</v>
      </c>
      <c r="N217" s="69">
        <f t="shared" si="71"/>
        <v>9.7647662335621206</v>
      </c>
      <c r="O217" s="69">
        <f t="shared" si="72"/>
        <v>32.706370070925232</v>
      </c>
      <c r="P217" s="69">
        <f t="shared" si="73"/>
        <v>0.95324560316508011</v>
      </c>
      <c r="Q217" s="69">
        <f t="shared" si="74"/>
        <v>0.85468195762133292</v>
      </c>
      <c r="R217" s="43">
        <f t="shared" si="75"/>
        <v>1417.0475113442103</v>
      </c>
      <c r="S217" s="43">
        <f t="shared" si="76"/>
        <v>1056.1846749334786</v>
      </c>
      <c r="T217" s="43">
        <f>R217+Thrust!C$33*0.8</f>
        <v>3228.8075113442101</v>
      </c>
      <c r="U217" s="43"/>
      <c r="V217">
        <f t="shared" si="80"/>
        <v>469841.58550498303</v>
      </c>
      <c r="W217">
        <f t="shared" si="81"/>
        <v>1436328.3963724512</v>
      </c>
      <c r="Y217">
        <f t="shared" si="82"/>
        <v>-1493.5361658436545</v>
      </c>
      <c r="Z217">
        <f t="shared" si="83"/>
        <v>-3.2077641959462748</v>
      </c>
      <c r="AA217">
        <f t="shared" si="77"/>
        <v>3072.2759550753954</v>
      </c>
      <c r="AB217">
        <f t="shared" si="84"/>
        <v>6.6097300984707985</v>
      </c>
      <c r="AC217">
        <f t="shared" si="78"/>
        <v>10.674741747140025</v>
      </c>
      <c r="AD217">
        <f t="shared" si="79"/>
        <v>2813.4904740864463</v>
      </c>
      <c r="AE217">
        <f t="shared" si="85"/>
        <v>510.29115445392671</v>
      </c>
      <c r="AG217">
        <v>5.7809867692026833</v>
      </c>
      <c r="AH217">
        <v>3072.2759550753954</v>
      </c>
      <c r="AI217">
        <f t="shared" si="86"/>
        <v>11718.673353840613</v>
      </c>
      <c r="AJ217">
        <f t="shared" si="87"/>
        <v>1097.7945538570316</v>
      </c>
      <c r="AN217" s="43"/>
      <c r="AO217" s="43"/>
    </row>
    <row r="218" spans="1:41">
      <c r="A218">
        <v>199</v>
      </c>
      <c r="B218">
        <f t="shared" si="60"/>
        <v>199</v>
      </c>
      <c r="D218" s="43">
        <f t="shared" si="61"/>
        <v>264.89634025038259</v>
      </c>
      <c r="E218" s="43">
        <f t="shared" si="62"/>
        <v>447.09465495251061</v>
      </c>
      <c r="F218" s="69">
        <f t="shared" si="63"/>
        <v>0.4228723330152736</v>
      </c>
      <c r="G218" s="98">
        <f t="shared" si="64"/>
        <v>134.13281737117066</v>
      </c>
      <c r="H218" s="69">
        <f t="shared" si="65"/>
        <v>0.29556549495624501</v>
      </c>
      <c r="I218" s="69">
        <f t="shared" si="66"/>
        <v>-0.7930115484811544</v>
      </c>
      <c r="J218" s="99">
        <f t="shared" si="67"/>
        <v>1.5047746178408776E-2</v>
      </c>
      <c r="K218" s="69">
        <f t="shared" si="68"/>
        <v>1.6090084516962647E-3</v>
      </c>
      <c r="L218" s="99">
        <f t="shared" si="69"/>
        <v>1.665675463010504E-2</v>
      </c>
      <c r="M218" s="69">
        <f t="shared" si="70"/>
        <v>17.744482735072932</v>
      </c>
      <c r="N218" s="69">
        <f t="shared" si="71"/>
        <v>9.6469540496104127</v>
      </c>
      <c r="O218" s="69">
        <f t="shared" si="72"/>
        <v>32.638972458671248</v>
      </c>
      <c r="P218" s="69">
        <f t="shared" si="73"/>
        <v>0.95805997489823702</v>
      </c>
      <c r="Q218" s="69">
        <f t="shared" si="74"/>
        <v>0.85411843065729742</v>
      </c>
      <c r="R218" s="43">
        <f t="shared" si="75"/>
        <v>1408.9970469412169</v>
      </c>
      <c r="S218" s="43">
        <f t="shared" si="76"/>
        <v>1063.7109168977092</v>
      </c>
      <c r="T218" s="43">
        <f>R218+Thrust!C$33*0.8</f>
        <v>3220.7570469412167</v>
      </c>
      <c r="U218" s="43"/>
      <c r="V218">
        <f t="shared" si="80"/>
        <v>475579.46535960003</v>
      </c>
      <c r="W218">
        <f t="shared" si="81"/>
        <v>1439983.2605880504</v>
      </c>
      <c r="Y218">
        <f t="shared" si="82"/>
        <v>-1511.7757839245564</v>
      </c>
      <c r="Z218">
        <f t="shared" si="83"/>
        <v>-3.2306464978261791</v>
      </c>
      <c r="AA218">
        <f t="shared" si="77"/>
        <v>3065.6544484083188</v>
      </c>
      <c r="AB218">
        <f t="shared" si="84"/>
        <v>6.5621323134363365</v>
      </c>
      <c r="AC218">
        <f t="shared" si="78"/>
        <v>10.538997303590628</v>
      </c>
      <c r="AD218">
        <f t="shared" si="79"/>
        <v>2791.7418156298081</v>
      </c>
      <c r="AE218">
        <f t="shared" si="85"/>
        <v>490.73033061199402</v>
      </c>
      <c r="AG218">
        <v>5.7356674345241778</v>
      </c>
      <c r="AH218">
        <v>3065.6544484083188</v>
      </c>
      <c r="AI218">
        <f t="shared" si="86"/>
        <v>11540.80694329956</v>
      </c>
      <c r="AJ218">
        <f t="shared" si="87"/>
        <v>1095.0573959600138</v>
      </c>
      <c r="AN218" s="43"/>
      <c r="AO218" s="43"/>
    </row>
    <row r="219" spans="1:41">
      <c r="A219">
        <v>200</v>
      </c>
      <c r="B219">
        <f t="shared" si="60"/>
        <v>200</v>
      </c>
      <c r="D219" s="43">
        <f t="shared" si="61"/>
        <v>266.22747763857552</v>
      </c>
      <c r="E219" s="43">
        <f t="shared" si="62"/>
        <v>449.34136176131727</v>
      </c>
      <c r="F219" s="69">
        <f t="shared" si="63"/>
        <v>0.42499731961334036</v>
      </c>
      <c r="G219" s="98">
        <f t="shared" si="64"/>
        <v>135.48427299428874</v>
      </c>
      <c r="H219" s="69">
        <f t="shared" si="65"/>
        <v>0.2926172291440563</v>
      </c>
      <c r="I219" s="69">
        <f t="shared" si="66"/>
        <v>-0.81783776970051891</v>
      </c>
      <c r="J219" s="99">
        <f t="shared" si="67"/>
        <v>1.5047746178408776E-2</v>
      </c>
      <c r="K219" s="69">
        <f t="shared" si="68"/>
        <v>1.5608606234955957E-3</v>
      </c>
      <c r="L219" s="99">
        <f t="shared" si="69"/>
        <v>1.6608606801904371E-2</v>
      </c>
      <c r="M219" s="69">
        <f t="shared" si="70"/>
        <v>17.618409095608449</v>
      </c>
      <c r="N219" s="69">
        <f t="shared" si="71"/>
        <v>9.5305208713380356</v>
      </c>
      <c r="O219" s="69">
        <f t="shared" si="72"/>
        <v>32.56992385313761</v>
      </c>
      <c r="P219" s="69">
        <f t="shared" si="73"/>
        <v>0.96287434663139426</v>
      </c>
      <c r="Q219" s="69">
        <f t="shared" si="74"/>
        <v>0.85351075942157517</v>
      </c>
      <c r="R219" s="43">
        <f t="shared" si="75"/>
        <v>1400.9546286677398</v>
      </c>
      <c r="S219" s="43">
        <f t="shared" si="76"/>
        <v>1071.3226090717105</v>
      </c>
      <c r="T219" s="43">
        <f>R219+Thrust!C$33*0.8</f>
        <v>3212.7146286677398</v>
      </c>
      <c r="U219" s="43"/>
      <c r="V219">
        <f t="shared" si="80"/>
        <v>481389.56004596979</v>
      </c>
      <c r="W219">
        <f t="shared" si="81"/>
        <v>1443605.566196067</v>
      </c>
      <c r="Y219">
        <f t="shared" si="82"/>
        <v>-1530.2449590865265</v>
      </c>
      <c r="Z219">
        <f t="shared" si="83"/>
        <v>-3.2537891216977801</v>
      </c>
      <c r="AA219">
        <f t="shared" si="77"/>
        <v>3058.6998870996467</v>
      </c>
      <c r="AB219">
        <f t="shared" si="84"/>
        <v>6.5143025866076476</v>
      </c>
      <c r="AC219">
        <f t="shared" si="78"/>
        <v>10.404390097856274</v>
      </c>
      <c r="AD219">
        <f t="shared" si="79"/>
        <v>2769.9345321200476</v>
      </c>
      <c r="AE219">
        <f t="shared" si="85"/>
        <v>470.83645212846506</v>
      </c>
      <c r="AG219">
        <v>5.6900971751235243</v>
      </c>
      <c r="AH219">
        <v>3058.6998870996467</v>
      </c>
      <c r="AI219">
        <f t="shared" si="86"/>
        <v>11364.954331714534</v>
      </c>
      <c r="AJ219">
        <f t="shared" si="87"/>
        <v>1092.3229737470317</v>
      </c>
      <c r="AN219" s="43"/>
      <c r="AO219" s="43"/>
    </row>
    <row r="220" spans="1:41">
      <c r="A220">
        <v>201</v>
      </c>
      <c r="B220">
        <f t="shared" si="60"/>
        <v>201</v>
      </c>
      <c r="D220" s="43">
        <f t="shared" si="61"/>
        <v>267.55861502676839</v>
      </c>
      <c r="E220" s="43">
        <f t="shared" si="62"/>
        <v>451.58806857012388</v>
      </c>
      <c r="F220" s="69">
        <f t="shared" si="63"/>
        <v>0.42712230621140707</v>
      </c>
      <c r="G220" s="98">
        <f t="shared" si="64"/>
        <v>136.84250283105649</v>
      </c>
      <c r="H220" s="69">
        <f t="shared" si="65"/>
        <v>0.28971285774516109</v>
      </c>
      <c r="I220" s="69">
        <f t="shared" si="66"/>
        <v>-0.8422943728175355</v>
      </c>
      <c r="J220" s="99">
        <f t="shared" si="67"/>
        <v>1.5047746178408776E-2</v>
      </c>
      <c r="K220" s="69">
        <f t="shared" si="68"/>
        <v>1.5141447483293781E-3</v>
      </c>
      <c r="L220" s="99">
        <f t="shared" si="69"/>
        <v>1.6561890926738154E-2</v>
      </c>
      <c r="M220" s="69">
        <f t="shared" si="70"/>
        <v>17.492740353544868</v>
      </c>
      <c r="N220" s="69">
        <f t="shared" si="71"/>
        <v>9.4154641681019662</v>
      </c>
      <c r="O220" s="69">
        <f t="shared" si="72"/>
        <v>32.499296860286577</v>
      </c>
      <c r="P220" s="69">
        <f t="shared" si="73"/>
        <v>0.96768871836455117</v>
      </c>
      <c r="Q220" s="69">
        <f t="shared" si="74"/>
        <v>0.8528589439141665</v>
      </c>
      <c r="R220" s="43">
        <f t="shared" si="75"/>
        <v>1392.9201364322948</v>
      </c>
      <c r="S220" s="43">
        <f t="shared" si="76"/>
        <v>1079.0190455307948</v>
      </c>
      <c r="T220" s="43">
        <f>R220+Thrust!C$33*0.8</f>
        <v>3204.6801364322946</v>
      </c>
      <c r="U220" s="43"/>
      <c r="V220">
        <f t="shared" si="80"/>
        <v>487272.12672163016</v>
      </c>
      <c r="W220">
        <f t="shared" si="81"/>
        <v>1447195.313196501</v>
      </c>
      <c r="Y220">
        <f t="shared" si="82"/>
        <v>-1548.9445087839899</v>
      </c>
      <c r="Z220">
        <f t="shared" si="83"/>
        <v>-3.2771899428361526</v>
      </c>
      <c r="AA220">
        <f t="shared" si="77"/>
        <v>3051.4114536949537</v>
      </c>
      <c r="AB220">
        <f t="shared" si="84"/>
        <v>6.4662427409258987</v>
      </c>
      <c r="AC220">
        <f t="shared" si="78"/>
        <v>10.270933876439349</v>
      </c>
      <c r="AD220">
        <f t="shared" si="79"/>
        <v>2748.07684301163</v>
      </c>
      <c r="AE220">
        <f t="shared" si="85"/>
        <v>450.60870154891649</v>
      </c>
      <c r="AG220">
        <v>5.6442775514595489</v>
      </c>
      <c r="AH220">
        <v>3051.4114536949537</v>
      </c>
      <c r="AI220">
        <f t="shared" si="86"/>
        <v>11191.119643987808</v>
      </c>
      <c r="AJ220">
        <f t="shared" si="87"/>
        <v>1089.5912463869802</v>
      </c>
      <c r="AN220" s="43"/>
      <c r="AO220" s="43"/>
    </row>
    <row r="221" spans="1:41">
      <c r="A221">
        <v>202</v>
      </c>
      <c r="B221">
        <f t="shared" si="60"/>
        <v>202</v>
      </c>
      <c r="D221" s="43">
        <f t="shared" si="61"/>
        <v>268.88975241496127</v>
      </c>
      <c r="E221" s="43">
        <f t="shared" si="62"/>
        <v>453.83477537893043</v>
      </c>
      <c r="F221" s="69">
        <f t="shared" si="63"/>
        <v>0.42924729280947377</v>
      </c>
      <c r="G221" s="98">
        <f t="shared" si="64"/>
        <v>138.20750688147393</v>
      </c>
      <c r="H221" s="69">
        <f t="shared" si="65"/>
        <v>0.28685151371831819</v>
      </c>
      <c r="I221" s="69">
        <f t="shared" si="66"/>
        <v>-0.86638865885559591</v>
      </c>
      <c r="J221" s="99">
        <f t="shared" si="67"/>
        <v>1.5047746178408776E-2</v>
      </c>
      <c r="K221" s="69">
        <f t="shared" si="68"/>
        <v>1.4688150147381051E-3</v>
      </c>
      <c r="L221" s="99">
        <f t="shared" si="69"/>
        <v>1.6516561193146883E-2</v>
      </c>
      <c r="M221" s="69">
        <f t="shared" si="70"/>
        <v>17.367508306592281</v>
      </c>
      <c r="N221" s="69">
        <f t="shared" si="71"/>
        <v>9.3017805275867822</v>
      </c>
      <c r="O221" s="69">
        <f t="shared" si="72"/>
        <v>32.427162077732397</v>
      </c>
      <c r="P221" s="69">
        <f t="shared" si="73"/>
        <v>0.97250309009770808</v>
      </c>
      <c r="Q221" s="69">
        <f t="shared" si="74"/>
        <v>0.85216298413507097</v>
      </c>
      <c r="R221" s="43">
        <f t="shared" si="75"/>
        <v>1384.8934525214454</v>
      </c>
      <c r="S221" s="43">
        <f t="shared" si="76"/>
        <v>1086.7995377802995</v>
      </c>
      <c r="T221" s="43">
        <f>R221+Thrust!C$33*0.8</f>
        <v>3196.6534525214456</v>
      </c>
      <c r="U221" s="43"/>
      <c r="V221">
        <f t="shared" si="80"/>
        <v>493227.42411044764</v>
      </c>
      <c r="W221">
        <f t="shared" si="81"/>
        <v>1450752.5015893527</v>
      </c>
      <c r="Y221">
        <f t="shared" si="82"/>
        <v>-1567.8752554504292</v>
      </c>
      <c r="Z221">
        <f t="shared" si="83"/>
        <v>-3.3008468897714791</v>
      </c>
      <c r="AA221">
        <f t="shared" si="77"/>
        <v>3043.7883257607577</v>
      </c>
      <c r="AB221">
        <f t="shared" si="84"/>
        <v>6.4179545520034109</v>
      </c>
      <c r="AC221">
        <f t="shared" si="78"/>
        <v>10.138640966680301</v>
      </c>
      <c r="AD221">
        <f t="shared" si="79"/>
        <v>2726.1766593548496</v>
      </c>
      <c r="AE221">
        <f t="shared" si="85"/>
        <v>430.04625643986435</v>
      </c>
      <c r="AG221">
        <v>5.5982100839943252</v>
      </c>
      <c r="AH221">
        <v>3043.7883257607577</v>
      </c>
      <c r="AI221">
        <f t="shared" si="86"/>
        <v>11019.305361004743</v>
      </c>
      <c r="AJ221">
        <f t="shared" si="87"/>
        <v>1086.8621738572915</v>
      </c>
      <c r="AN221" s="43"/>
      <c r="AO221" s="43"/>
    </row>
    <row r="222" spans="1:41">
      <c r="A222">
        <v>203</v>
      </c>
      <c r="B222">
        <f t="shared" si="60"/>
        <v>203</v>
      </c>
      <c r="D222" s="43">
        <f t="shared" si="61"/>
        <v>270.22088980315414</v>
      </c>
      <c r="E222" s="43">
        <f t="shared" si="62"/>
        <v>456.08148218773704</v>
      </c>
      <c r="F222" s="69">
        <f t="shared" si="63"/>
        <v>0.43137227940754047</v>
      </c>
      <c r="G222" s="98">
        <f t="shared" si="64"/>
        <v>139.57928514554112</v>
      </c>
      <c r="H222" s="69">
        <f t="shared" si="65"/>
        <v>0.28403235132525062</v>
      </c>
      <c r="I222" s="69">
        <f t="shared" si="66"/>
        <v>-0.89012774945396034</v>
      </c>
      <c r="J222" s="99">
        <f t="shared" si="67"/>
        <v>1.5047746178408776E-2</v>
      </c>
      <c r="K222" s="69">
        <f t="shared" si="68"/>
        <v>1.4248272497656763E-3</v>
      </c>
      <c r="L222" s="99">
        <f t="shared" si="69"/>
        <v>1.6472573428174452E-2</v>
      </c>
      <c r="M222" s="69">
        <f t="shared" si="70"/>
        <v>17.24274307009285</v>
      </c>
      <c r="N222" s="69">
        <f t="shared" si="71"/>
        <v>9.1894657081021052</v>
      </c>
      <c r="O222" s="69">
        <f t="shared" si="72"/>
        <v>32.353588122006137</v>
      </c>
      <c r="P222" s="69">
        <f t="shared" si="73"/>
        <v>0.97731746183086499</v>
      </c>
      <c r="Q222" s="69">
        <f t="shared" si="74"/>
        <v>0.85142288008428846</v>
      </c>
      <c r="R222" s="43">
        <f t="shared" si="75"/>
        <v>1376.8744615412309</v>
      </c>
      <c r="S222" s="43">
        <f t="shared" si="76"/>
        <v>1094.6634142416854</v>
      </c>
      <c r="T222" s="43">
        <f>R222+Thrust!C$33*0.8</f>
        <v>3188.6344615412308</v>
      </c>
      <c r="U222" s="43"/>
      <c r="V222">
        <f t="shared" si="80"/>
        <v>499255.71246403665</v>
      </c>
      <c r="W222">
        <f t="shared" si="81"/>
        <v>1454277.1313746213</v>
      </c>
      <c r="Y222">
        <f t="shared" si="82"/>
        <v>-1587.0380263757456</v>
      </c>
      <c r="Z222">
        <f t="shared" si="83"/>
        <v>-3.3247579427309573</v>
      </c>
      <c r="AA222">
        <f t="shared" si="77"/>
        <v>3035.8296760071562</v>
      </c>
      <c r="AB222">
        <f t="shared" si="84"/>
        <v>6.3694397495297217</v>
      </c>
      <c r="AC222">
        <f t="shared" si="78"/>
        <v>10.00752233931267</v>
      </c>
      <c r="AD222">
        <f t="shared" si="79"/>
        <v>2704.2415912540118</v>
      </c>
      <c r="AE222">
        <f t="shared" si="85"/>
        <v>409.14828951140754</v>
      </c>
      <c r="AG222">
        <v>5.551896254367005</v>
      </c>
      <c r="AH222">
        <v>3035.8296760071562</v>
      </c>
      <c r="AI222">
        <f t="shared" si="86"/>
        <v>10849.512405963875</v>
      </c>
      <c r="AJ222">
        <f t="shared" si="87"/>
        <v>1084.1357169240187</v>
      </c>
      <c r="AN222" s="43"/>
      <c r="AO222" s="43"/>
    </row>
    <row r="223" spans="1:41">
      <c r="A223">
        <v>204</v>
      </c>
      <c r="B223">
        <f t="shared" si="60"/>
        <v>204</v>
      </c>
      <c r="D223" s="43">
        <f t="shared" si="61"/>
        <v>271.55202719134701</v>
      </c>
      <c r="E223" s="43">
        <f t="shared" si="62"/>
        <v>458.32818899654359</v>
      </c>
      <c r="F223" s="69">
        <f t="shared" si="63"/>
        <v>0.43349726600560712</v>
      </c>
      <c r="G223" s="98">
        <f t="shared" si="64"/>
        <v>140.95783762325797</v>
      </c>
      <c r="H223" s="69">
        <f t="shared" si="65"/>
        <v>0.28125454550562901</v>
      </c>
      <c r="I223" s="69">
        <f t="shared" si="66"/>
        <v>-0.91351859213078423</v>
      </c>
      <c r="J223" s="99">
        <f t="shared" si="67"/>
        <v>1.5047746178408776E-2</v>
      </c>
      <c r="K223" s="69">
        <f t="shared" si="68"/>
        <v>1.3821388534582799E-3</v>
      </c>
      <c r="L223" s="99">
        <f t="shared" si="69"/>
        <v>1.6429885031867056E-2</v>
      </c>
      <c r="M223" s="69">
        <f t="shared" si="70"/>
        <v>17.118473133568109</v>
      </c>
      <c r="N223" s="69">
        <f t="shared" si="71"/>
        <v>9.0785146888993911</v>
      </c>
      <c r="O223" s="69">
        <f t="shared" si="72"/>
        <v>32.278641657429468</v>
      </c>
      <c r="P223" s="69">
        <f t="shared" si="73"/>
        <v>0.98213183356402201</v>
      </c>
      <c r="Q223" s="69">
        <f t="shared" si="74"/>
        <v>0.85063863176181942</v>
      </c>
      <c r="R223" s="43">
        <f t="shared" si="75"/>
        <v>1368.8630503603199</v>
      </c>
      <c r="S223" s="43">
        <f t="shared" si="76"/>
        <v>1102.6100197562287</v>
      </c>
      <c r="T223" s="43">
        <f>R223+Thrust!C$33*0.8</f>
        <v>3180.6230503603201</v>
      </c>
      <c r="U223" s="43"/>
      <c r="V223">
        <f t="shared" si="80"/>
        <v>505357.25352431543</v>
      </c>
      <c r="W223">
        <f t="shared" si="81"/>
        <v>1457769.2025523079</v>
      </c>
      <c r="Y223">
        <f t="shared" si="82"/>
        <v>-1606.4336535872276</v>
      </c>
      <c r="Z223">
        <f t="shared" si="83"/>
        <v>-3.3489211321342065</v>
      </c>
      <c r="AA223">
        <f t="shared" si="77"/>
        <v>3027.5346724068631</v>
      </c>
      <c r="AB223">
        <f t="shared" si="84"/>
        <v>6.320700018628588</v>
      </c>
      <c r="AC223">
        <f t="shared" si="78"/>
        <v>9.8775876692951066</v>
      </c>
      <c r="AD223">
        <f t="shared" si="79"/>
        <v>2682.2789553573389</v>
      </c>
      <c r="AE223">
        <f t="shared" si="85"/>
        <v>387.91396873625797</v>
      </c>
      <c r="AG223">
        <v>5.5053375065267529</v>
      </c>
      <c r="AH223">
        <v>3027.5346724068631</v>
      </c>
      <c r="AI223">
        <f t="shared" si="86"/>
        <v>10681.740227791061</v>
      </c>
      <c r="AJ223">
        <f t="shared" si="87"/>
        <v>1081.4118371225088</v>
      </c>
      <c r="AN223" s="43"/>
      <c r="AO223" s="43"/>
    </row>
    <row r="224" spans="1:41">
      <c r="A224">
        <v>205</v>
      </c>
      <c r="B224">
        <f t="shared" si="60"/>
        <v>205</v>
      </c>
      <c r="D224" s="43">
        <f t="shared" si="61"/>
        <v>272.88316457953988</v>
      </c>
      <c r="E224" s="43">
        <f t="shared" si="62"/>
        <v>460.57489580535014</v>
      </c>
      <c r="F224" s="69">
        <f t="shared" si="63"/>
        <v>0.43562225260367382</v>
      </c>
      <c r="G224" s="98">
        <f t="shared" si="64"/>
        <v>142.34316431462457</v>
      </c>
      <c r="H224" s="69">
        <f t="shared" si="65"/>
        <v>0.2785172912733434</v>
      </c>
      <c r="I224" s="69">
        <f t="shared" si="66"/>
        <v>-0.93656796536688169</v>
      </c>
      <c r="J224" s="99">
        <f t="shared" si="67"/>
        <v>1.5047746178408776E-2</v>
      </c>
      <c r="K224" s="69">
        <f t="shared" si="68"/>
        <v>1.3407087362679107E-3</v>
      </c>
      <c r="L224" s="99">
        <f t="shared" si="69"/>
        <v>1.6388454914676685E-2</v>
      </c>
      <c r="M224" s="69">
        <f t="shared" si="70"/>
        <v>16.994725416361074</v>
      </c>
      <c r="N224" s="69">
        <f t="shared" si="71"/>
        <v>8.9689217185383274</v>
      </c>
      <c r="O224" s="69">
        <f t="shared" si="72"/>
        <v>32.20238742640943</v>
      </c>
      <c r="P224" s="69">
        <f t="shared" si="73"/>
        <v>0.98694620529717891</v>
      </c>
      <c r="Q224" s="69">
        <f t="shared" si="74"/>
        <v>0.84981023916766374</v>
      </c>
      <c r="R224" s="43">
        <f t="shared" si="75"/>
        <v>1360.8591080548197</v>
      </c>
      <c r="S224" s="43">
        <f t="shared" si="76"/>
        <v>1110.6387151056149</v>
      </c>
      <c r="T224" s="43">
        <f>R224+Thrust!C$33*0.8</f>
        <v>3172.6191080548197</v>
      </c>
      <c r="U224" s="43"/>
      <c r="V224">
        <f t="shared" si="80"/>
        <v>511532.31048715656</v>
      </c>
      <c r="W224">
        <f t="shared" si="81"/>
        <v>1461228.7151224115</v>
      </c>
      <c r="Y224">
        <f t="shared" si="82"/>
        <v>-1626.0629737340075</v>
      </c>
      <c r="Z224">
        <f t="shared" si="83"/>
        <v>-3.3733345371400718</v>
      </c>
      <c r="AA224">
        <f t="shared" si="77"/>
        <v>3018.9024783107443</v>
      </c>
      <c r="AB224">
        <f t="shared" si="84"/>
        <v>6.2717370011677938</v>
      </c>
      <c r="AC224">
        <f t="shared" si="78"/>
        <v>9.7488453949059366</v>
      </c>
      <c r="AD224">
        <f t="shared" si="79"/>
        <v>2660.2957823586062</v>
      </c>
      <c r="AE224">
        <f t="shared" si="85"/>
        <v>366.34245746528342</v>
      </c>
      <c r="AG224">
        <v>5.458535247826358</v>
      </c>
      <c r="AH224">
        <v>3018.9024783107443</v>
      </c>
      <c r="AI224">
        <f t="shared" si="86"/>
        <v>10515.986881659275</v>
      </c>
      <c r="AJ224">
        <f t="shared" si="87"/>
        <v>1078.6904967386388</v>
      </c>
      <c r="AN224" s="43"/>
      <c r="AO224" s="43"/>
    </row>
    <row r="225" spans="1:41">
      <c r="A225">
        <v>206</v>
      </c>
      <c r="B225">
        <f t="shared" si="60"/>
        <v>206</v>
      </c>
      <c r="D225" s="43">
        <f t="shared" si="61"/>
        <v>274.21430196773275</v>
      </c>
      <c r="E225" s="43">
        <f t="shared" si="62"/>
        <v>462.82160261415675</v>
      </c>
      <c r="F225" s="69">
        <f t="shared" si="63"/>
        <v>0.43774723920174052</v>
      </c>
      <c r="G225" s="98">
        <f t="shared" si="64"/>
        <v>143.73526521964089</v>
      </c>
      <c r="H225" s="69">
        <f t="shared" si="65"/>
        <v>0.275819803133242</v>
      </c>
      <c r="I225" s="69">
        <f t="shared" si="66"/>
        <v>-0.95928248351714784</v>
      </c>
      <c r="J225" s="99">
        <f t="shared" si="67"/>
        <v>1.5047746178408776E-2</v>
      </c>
      <c r="K225" s="69">
        <f t="shared" si="68"/>
        <v>1.3004972592189014E-3</v>
      </c>
      <c r="L225" s="99">
        <f t="shared" si="69"/>
        <v>1.6348243437627679E-2</v>
      </c>
      <c r="M225" s="69">
        <f t="shared" si="70"/>
        <v>16.871525322311122</v>
      </c>
      <c r="N225" s="69">
        <f t="shared" si="71"/>
        <v>8.8606803613365379</v>
      </c>
      <c r="O225" s="69">
        <f t="shared" si="72"/>
        <v>32.124888280977245</v>
      </c>
      <c r="P225" s="69">
        <f t="shared" si="73"/>
        <v>0.99176057703033593</v>
      </c>
      <c r="Q225" s="69">
        <f t="shared" si="74"/>
        <v>0.84893770230182131</v>
      </c>
      <c r="R225" s="43">
        <f t="shared" si="75"/>
        <v>1352.8625258546999</v>
      </c>
      <c r="S225" s="43">
        <f t="shared" si="76"/>
        <v>1118.7488765487883</v>
      </c>
      <c r="T225" s="43">
        <f>R225+Thrust!C$33*0.8</f>
        <v>3164.6225258547001</v>
      </c>
      <c r="U225" s="43"/>
      <c r="V225">
        <f t="shared" si="80"/>
        <v>517781.14796709758</v>
      </c>
      <c r="W225">
        <f t="shared" si="81"/>
        <v>1464655.6690849331</v>
      </c>
      <c r="Y225">
        <f t="shared" si="82"/>
        <v>-1645.9268279748796</v>
      </c>
      <c r="Z225">
        <f t="shared" si="83"/>
        <v>-3.397996284242859</v>
      </c>
      <c r="AA225">
        <f t="shared" si="77"/>
        <v>3009.9322525600069</v>
      </c>
      <c r="AB225">
        <f t="shared" si="84"/>
        <v>6.2225522970236957</v>
      </c>
      <c r="AC225">
        <f t="shared" si="78"/>
        <v>9.6213027750924418</v>
      </c>
      <c r="AD225">
        <f t="shared" si="79"/>
        <v>2638.2988244921835</v>
      </c>
      <c r="AE225">
        <f t="shared" si="85"/>
        <v>344.43291453968982</v>
      </c>
      <c r="AG225">
        <v>5.4114908500781054</v>
      </c>
      <c r="AH225">
        <v>3009.9322525600069</v>
      </c>
      <c r="AI225">
        <f t="shared" si="86"/>
        <v>10352.249106642801</v>
      </c>
      <c r="AJ225">
        <f t="shared" si="87"/>
        <v>1075.9716587905982</v>
      </c>
      <c r="AN225" s="43"/>
      <c r="AO225" s="43"/>
    </row>
    <row r="226" spans="1:41">
      <c r="A226">
        <v>207</v>
      </c>
      <c r="B226">
        <f t="shared" si="60"/>
        <v>207</v>
      </c>
      <c r="D226" s="43">
        <f t="shared" si="61"/>
        <v>275.54543935592562</v>
      </c>
      <c r="E226" s="43">
        <f t="shared" si="62"/>
        <v>465.0683094229633</v>
      </c>
      <c r="F226" s="69">
        <f t="shared" si="63"/>
        <v>0.43987222579980717</v>
      </c>
      <c r="G226" s="98">
        <f t="shared" si="64"/>
        <v>145.13414033830691</v>
      </c>
      <c r="H226" s="69">
        <f t="shared" si="65"/>
        <v>0.27316131451754433</v>
      </c>
      <c r="I226" s="69">
        <f t="shared" si="66"/>
        <v>-0.98166860155630653</v>
      </c>
      <c r="J226" s="99">
        <f t="shared" si="67"/>
        <v>1.5047746178408776E-2</v>
      </c>
      <c r="K226" s="69">
        <f t="shared" si="68"/>
        <v>1.2614661767032962E-3</v>
      </c>
      <c r="L226" s="99">
        <f t="shared" si="69"/>
        <v>1.6309212355112072E-2</v>
      </c>
      <c r="M226" s="69">
        <f t="shared" si="70"/>
        <v>16.748896793407855</v>
      </c>
      <c r="N226" s="69">
        <f t="shared" si="71"/>
        <v>8.7537835419392547</v>
      </c>
      <c r="O226" s="69">
        <f t="shared" si="72"/>
        <v>32.046205215405877</v>
      </c>
      <c r="P226" s="69">
        <f t="shared" si="73"/>
        <v>0.99657494876349273</v>
      </c>
      <c r="Q226" s="69">
        <f t="shared" si="74"/>
        <v>0.8480210211642919</v>
      </c>
      <c r="R226" s="43">
        <f t="shared" si="75"/>
        <v>1344.8731970917665</v>
      </c>
      <c r="S226" s="43">
        <f t="shared" si="76"/>
        <v>1126.9398953744196</v>
      </c>
      <c r="T226" s="43">
        <f>R226+Thrust!C$33*0.8</f>
        <v>3156.6331970917663</v>
      </c>
      <c r="U226" s="43"/>
      <c r="V226">
        <f t="shared" si="80"/>
        <v>524104.03196307248</v>
      </c>
      <c r="W226">
        <f t="shared" si="81"/>
        <v>1468050.0644398713</v>
      </c>
      <c r="Y226">
        <f t="shared" si="82"/>
        <v>-1666.0260618693694</v>
      </c>
      <c r="Z226">
        <f t="shared" si="83"/>
        <v>-3.4229045459160612</v>
      </c>
      <c r="AA226">
        <f t="shared" si="77"/>
        <v>3000.6231495951224</v>
      </c>
      <c r="AB226">
        <f t="shared" si="84"/>
        <v>6.1731474653021943</v>
      </c>
      <c r="AC226">
        <f t="shared" si="78"/>
        <v>9.4949659450730355</v>
      </c>
      <c r="AD226">
        <f t="shared" si="79"/>
        <v>2616.2945630047006</v>
      </c>
      <c r="AE226">
        <f t="shared" si="85"/>
        <v>322.18449439995044</v>
      </c>
      <c r="AG226">
        <v>5.3642056505733038</v>
      </c>
      <c r="AH226">
        <v>3000.6231495951224</v>
      </c>
      <c r="AI226">
        <f t="shared" si="86"/>
        <v>10190.522400540936</v>
      </c>
      <c r="AJ226">
        <f t="shared" si="87"/>
        <v>1073.2552870112006</v>
      </c>
      <c r="AN226" s="43"/>
      <c r="AO226" s="43"/>
    </row>
    <row r="227" spans="1:41">
      <c r="A227">
        <v>208</v>
      </c>
      <c r="B227">
        <f t="shared" si="60"/>
        <v>208</v>
      </c>
      <c r="D227" s="43">
        <f t="shared" si="61"/>
        <v>276.87657674411849</v>
      </c>
      <c r="E227" s="43">
        <f t="shared" si="62"/>
        <v>467.3150162317699</v>
      </c>
      <c r="F227" s="69">
        <f t="shared" si="63"/>
        <v>0.44199721239787393</v>
      </c>
      <c r="G227" s="98">
        <f t="shared" si="64"/>
        <v>146.53978967062267</v>
      </c>
      <c r="H227" s="69">
        <f t="shared" si="65"/>
        <v>0.27054107724117643</v>
      </c>
      <c r="I227" s="69">
        <f t="shared" si="66"/>
        <v>-1.003732619665326</v>
      </c>
      <c r="J227" s="99">
        <f t="shared" si="67"/>
        <v>1.5047746178408776E-2</v>
      </c>
      <c r="K227" s="69">
        <f t="shared" si="68"/>
        <v>1.2235785817780681E-3</v>
      </c>
      <c r="L227" s="99">
        <f t="shared" si="69"/>
        <v>1.6271324760186844E-2</v>
      </c>
      <c r="M227" s="69">
        <f t="shared" si="70"/>
        <v>16.626862362377789</v>
      </c>
      <c r="N227" s="69">
        <f t="shared" si="71"/>
        <v>8.6482235880482801</v>
      </c>
      <c r="O227" s="69">
        <f t="shared" si="72"/>
        <v>31.966397399751379</v>
      </c>
      <c r="P227" s="69">
        <f t="shared" si="73"/>
        <v>1.0013893204966497</v>
      </c>
      <c r="Q227" s="69">
        <f t="shared" si="74"/>
        <v>0.84706019575507585</v>
      </c>
      <c r="R227" s="43">
        <f t="shared" si="75"/>
        <v>1336.8910171491366</v>
      </c>
      <c r="S227" s="43">
        <f t="shared" si="76"/>
        <v>1135.2111774684054</v>
      </c>
      <c r="T227" s="43">
        <f>R227+Thrust!C$33*0.8</f>
        <v>3148.6510171491364</v>
      </c>
      <c r="U227" s="43"/>
      <c r="V227">
        <f t="shared" si="80"/>
        <v>530501.22982513451</v>
      </c>
      <c r="W227">
        <f t="shared" si="81"/>
        <v>1471411.9011872276</v>
      </c>
      <c r="Y227">
        <f t="shared" si="82"/>
        <v>-1686.3615252719505</v>
      </c>
      <c r="Z227">
        <f t="shared" si="83"/>
        <v>-3.4480575393017858</v>
      </c>
      <c r="AA227">
        <f t="shared" si="77"/>
        <v>2990.9743195616206</v>
      </c>
      <c r="AB227">
        <f t="shared" si="84"/>
        <v>6.1235240255178844</v>
      </c>
      <c r="AC227">
        <f t="shared" si="78"/>
        <v>9.369839970196006</v>
      </c>
      <c r="AD227">
        <f t="shared" si="79"/>
        <v>2594.2892155880832</v>
      </c>
      <c r="AE227">
        <f t="shared" si="85"/>
        <v>299.59634719159209</v>
      </c>
      <c r="AG227">
        <v>5.3166809530669408</v>
      </c>
      <c r="AH227">
        <v>2990.9743195616206</v>
      </c>
      <c r="AI227">
        <f t="shared" si="86"/>
        <v>10030.801091911979</v>
      </c>
      <c r="AJ227">
        <f t="shared" si="87"/>
        <v>1070.5413458307064</v>
      </c>
      <c r="AN227" s="43"/>
      <c r="AO227" s="43"/>
    </row>
    <row r="228" spans="1:41">
      <c r="A228">
        <v>209</v>
      </c>
      <c r="B228">
        <f t="shared" si="60"/>
        <v>209</v>
      </c>
      <c r="D228" s="43">
        <f t="shared" si="61"/>
        <v>278.20771413231137</v>
      </c>
      <c r="E228" s="43">
        <f t="shared" si="62"/>
        <v>469.56172304057645</v>
      </c>
      <c r="F228" s="69">
        <f t="shared" si="63"/>
        <v>0.44412219899594058</v>
      </c>
      <c r="G228" s="98">
        <f t="shared" si="64"/>
        <v>147.95221321658809</v>
      </c>
      <c r="H228" s="69">
        <f t="shared" si="65"/>
        <v>0.26795836097530412</v>
      </c>
      <c r="I228" s="69">
        <f t="shared" si="66"/>
        <v>-1.0254806876645941</v>
      </c>
      <c r="J228" s="99">
        <f t="shared" si="67"/>
        <v>1.5047746178408776E-2</v>
      </c>
      <c r="K228" s="69">
        <f t="shared" si="68"/>
        <v>1.1867988538438396E-3</v>
      </c>
      <c r="L228" s="99">
        <f t="shared" si="69"/>
        <v>1.6234545032252617E-2</v>
      </c>
      <c r="M228" s="69">
        <f t="shared" si="70"/>
        <v>16.505443204164969</v>
      </c>
      <c r="N228" s="69">
        <f t="shared" si="71"/>
        <v>8.5439922713517067</v>
      </c>
      <c r="O228" s="69">
        <f t="shared" si="72"/>
        <v>31.885522214173974</v>
      </c>
      <c r="P228" s="69">
        <f t="shared" si="73"/>
        <v>1.0062036922298065</v>
      </c>
      <c r="Q228" s="69">
        <f t="shared" si="74"/>
        <v>0.84605522607417327</v>
      </c>
      <c r="R228" s="43">
        <f t="shared" si="75"/>
        <v>1328.9158834121658</v>
      </c>
      <c r="S228" s="43">
        <f t="shared" si="76"/>
        <v>1143.5621428958116</v>
      </c>
      <c r="T228" s="43">
        <f>R228+Thrust!C$33*0.8</f>
        <v>3140.6758834121656</v>
      </c>
      <c r="U228" s="43"/>
      <c r="V228">
        <f t="shared" si="80"/>
        <v>536973.01022213115</v>
      </c>
      <c r="W228">
        <f t="shared" si="81"/>
        <v>1474741.1793270011</v>
      </c>
      <c r="Y228">
        <f t="shared" si="82"/>
        <v>-1706.9340722292911</v>
      </c>
      <c r="Z228">
        <f t="shared" si="83"/>
        <v>-3.4734535249441176</v>
      </c>
      <c r="AA228">
        <f t="shared" si="77"/>
        <v>2980.9849084128318</v>
      </c>
      <c r="AB228">
        <f t="shared" si="84"/>
        <v>6.0736834587329342</v>
      </c>
      <c r="AC228">
        <f t="shared" si="78"/>
        <v>9.2459288980634149</v>
      </c>
      <c r="AD228">
        <f t="shared" si="79"/>
        <v>2572.2887437601034</v>
      </c>
      <c r="AE228">
        <f t="shared" si="85"/>
        <v>276.66761886794797</v>
      </c>
      <c r="AG228">
        <v>5.2689180287287725</v>
      </c>
      <c r="AH228">
        <v>2980.9849084128318</v>
      </c>
      <c r="AI228">
        <f t="shared" si="86"/>
        <v>9873.0784093630737</v>
      </c>
      <c r="AJ228">
        <f t="shared" si="87"/>
        <v>1067.8298003601365</v>
      </c>
      <c r="AN228" s="43"/>
      <c r="AO228" s="43"/>
    </row>
    <row r="229" spans="1:41">
      <c r="A229">
        <v>210</v>
      </c>
      <c r="B229">
        <f t="shared" si="60"/>
        <v>210</v>
      </c>
      <c r="D229" s="43">
        <f t="shared" si="61"/>
        <v>279.53885152050429</v>
      </c>
      <c r="E229" s="43">
        <f t="shared" si="62"/>
        <v>471.80842984938312</v>
      </c>
      <c r="F229" s="69">
        <f t="shared" si="63"/>
        <v>0.44624718559400733</v>
      </c>
      <c r="G229" s="98">
        <f t="shared" si="64"/>
        <v>149.37141097620332</v>
      </c>
      <c r="H229" s="69">
        <f t="shared" si="65"/>
        <v>0.26541245273837316</v>
      </c>
      <c r="I229" s="69">
        <f t="shared" si="66"/>
        <v>-1.0469188092996742</v>
      </c>
      <c r="J229" s="99">
        <f t="shared" si="67"/>
        <v>1.5047746178408776E-2</v>
      </c>
      <c r="K229" s="69">
        <f t="shared" si="68"/>
        <v>1.1510926085910957E-3</v>
      </c>
      <c r="L229" s="99">
        <f t="shared" si="69"/>
        <v>1.6198838786999872E-2</v>
      </c>
      <c r="M229" s="69">
        <f t="shared" si="70"/>
        <v>16.384659186273019</v>
      </c>
      <c r="N229" s="69">
        <f t="shared" si="71"/>
        <v>8.441080846697659</v>
      </c>
      <c r="O229" s="69">
        <f t="shared" si="72"/>
        <v>31.803635283904114</v>
      </c>
      <c r="P229" s="69">
        <f t="shared" si="73"/>
        <v>1.0110180639629638</v>
      </c>
      <c r="Q229" s="69">
        <f t="shared" si="74"/>
        <v>0.84500611212158383</v>
      </c>
      <c r="R229" s="43">
        <f t="shared" si="75"/>
        <v>1320.9476952207724</v>
      </c>
      <c r="S229" s="43">
        <f t="shared" si="76"/>
        <v>1151.9922254967241</v>
      </c>
      <c r="T229" s="43">
        <f>R229+Thrust!C$33*0.8</f>
        <v>3132.7076952207726</v>
      </c>
      <c r="U229" s="43"/>
      <c r="V229">
        <f t="shared" si="80"/>
        <v>543519.64311030589</v>
      </c>
      <c r="W229">
        <f t="shared" si="81"/>
        <v>1478037.8988591926</v>
      </c>
      <c r="Y229">
        <f t="shared" si="82"/>
        <v>-1727.7445608804426</v>
      </c>
      <c r="Z229">
        <f t="shared" si="83"/>
        <v>-3.499090805564756</v>
      </c>
      <c r="AA229">
        <f t="shared" si="77"/>
        <v>2970.6540580097062</v>
      </c>
      <c r="AB229">
        <f t="shared" si="84"/>
        <v>6.0236272086572891</v>
      </c>
      <c r="AC229">
        <f t="shared" si="78"/>
        <v>9.1232358089331491</v>
      </c>
      <c r="AD229">
        <f t="shared" si="79"/>
        <v>2550.2988601799116</v>
      </c>
      <c r="AE229">
        <f t="shared" si="85"/>
        <v>253.39745128996537</v>
      </c>
      <c r="AG229">
        <v>5.2209181170621441</v>
      </c>
      <c r="AH229">
        <v>2970.6540580097062</v>
      </c>
      <c r="AI229">
        <f t="shared" si="86"/>
        <v>9717.3465481459207</v>
      </c>
      <c r="AJ229">
        <f t="shared" si="87"/>
        <v>1065.1206163750628</v>
      </c>
      <c r="AN229" s="43"/>
      <c r="AO229" s="43"/>
    </row>
    <row r="230" spans="1:41">
      <c r="A230">
        <v>211</v>
      </c>
      <c r="B230">
        <f t="shared" si="60"/>
        <v>211</v>
      </c>
      <c r="D230" s="43">
        <f t="shared" si="61"/>
        <v>280.86998890869717</v>
      </c>
      <c r="E230" s="43">
        <f t="shared" si="62"/>
        <v>474.05513665818972</v>
      </c>
      <c r="F230" s="69">
        <f t="shared" si="63"/>
        <v>0.44837217219207409</v>
      </c>
      <c r="G230" s="98">
        <f t="shared" si="64"/>
        <v>150.79738294946821</v>
      </c>
      <c r="H230" s="69">
        <f t="shared" si="65"/>
        <v>0.26290265640399485</v>
      </c>
      <c r="I230" s="69">
        <f t="shared" si="66"/>
        <v>-1.0680528463852144</v>
      </c>
      <c r="J230" s="99">
        <f t="shared" si="67"/>
        <v>1.5047746178408776E-2</v>
      </c>
      <c r="K230" s="69">
        <f t="shared" si="68"/>
        <v>1.1164266501058426E-3</v>
      </c>
      <c r="L230" s="99">
        <f t="shared" si="69"/>
        <v>1.6164172828514619E-2</v>
      </c>
      <c r="M230" s="69">
        <f t="shared" si="70"/>
        <v>16.264528917942403</v>
      </c>
      <c r="N230" s="69">
        <f t="shared" si="71"/>
        <v>8.3394800895568473</v>
      </c>
      <c r="O230" s="69">
        <f t="shared" si="72"/>
        <v>31.720790514728812</v>
      </c>
      <c r="P230" s="69">
        <f t="shared" si="73"/>
        <v>1.0158324356961208</v>
      </c>
      <c r="Q230" s="69">
        <f t="shared" si="74"/>
        <v>0.84391285389730752</v>
      </c>
      <c r="R230" s="43">
        <f t="shared" si="75"/>
        <v>1312.9863538231236</v>
      </c>
      <c r="S230" s="43">
        <f t="shared" si="76"/>
        <v>1160.5008724954725</v>
      </c>
      <c r="T230" s="43">
        <f>R230+Thrust!C$33*0.8</f>
        <v>3124.7463538231236</v>
      </c>
      <c r="U230" s="43"/>
      <c r="V230">
        <f t="shared" si="80"/>
        <v>550141.39970278961</v>
      </c>
      <c r="W230">
        <f t="shared" si="81"/>
        <v>1481302.059783801</v>
      </c>
      <c r="Y230">
        <f t="shared" si="82"/>
        <v>-1748.793853359861</v>
      </c>
      <c r="Z230">
        <f t="shared" si="83"/>
        <v>-3.5249677248793203</v>
      </c>
      <c r="AA230">
        <f t="shared" si="77"/>
        <v>2959.9809062177846</v>
      </c>
      <c r="AB230">
        <f t="shared" si="84"/>
        <v>5.9733566827116666</v>
      </c>
      <c r="AC230">
        <f t="shared" si="78"/>
        <v>9.0017628644161558</v>
      </c>
      <c r="AD230">
        <f t="shared" si="79"/>
        <v>2528.3250358872879</v>
      </c>
      <c r="AE230">
        <f t="shared" si="85"/>
        <v>229.78498232318793</v>
      </c>
      <c r="AG230">
        <v>5.1726824267917531</v>
      </c>
      <c r="AH230">
        <v>2959.9809062177846</v>
      </c>
      <c r="AI230">
        <f t="shared" si="86"/>
        <v>9563.5967341120268</v>
      </c>
      <c r="AJ230">
        <f t="shared" si="87"/>
        <v>1062.4137602998621</v>
      </c>
      <c r="AN230" s="43"/>
      <c r="AO230" s="43"/>
    </row>
    <row r="231" spans="1:41">
      <c r="A231">
        <v>212</v>
      </c>
      <c r="B231">
        <f t="shared" si="60"/>
        <v>212</v>
      </c>
      <c r="D231" s="43">
        <f t="shared" si="61"/>
        <v>282.20112629689004</v>
      </c>
      <c r="E231" s="43">
        <f t="shared" si="62"/>
        <v>476.30184346699627</v>
      </c>
      <c r="F231" s="69">
        <f t="shared" si="63"/>
        <v>0.45049715879014074</v>
      </c>
      <c r="G231" s="98">
        <f t="shared" si="64"/>
        <v>152.23012913638283</v>
      </c>
      <c r="H231" s="69">
        <f t="shared" si="65"/>
        <v>0.26042829222504127</v>
      </c>
      <c r="I231" s="69">
        <f t="shared" si="66"/>
        <v>-1.0888885228123575</v>
      </c>
      <c r="J231" s="99">
        <f t="shared" si="67"/>
        <v>1.5047746178408776E-2</v>
      </c>
      <c r="K231" s="69">
        <f t="shared" si="68"/>
        <v>1.0827689250322457E-3</v>
      </c>
      <c r="L231" s="99">
        <f t="shared" si="69"/>
        <v>1.6130515103441021E-2</v>
      </c>
      <c r="M231" s="69">
        <f t="shared" si="70"/>
        <v>16.145069798142138</v>
      </c>
      <c r="N231" s="69">
        <f t="shared" si="71"/>
        <v>8.2391803318198669</v>
      </c>
      <c r="O231" s="69">
        <f t="shared" si="72"/>
        <v>31.637040128882116</v>
      </c>
      <c r="P231" s="69">
        <f t="shared" si="73"/>
        <v>1.0206468074292776</v>
      </c>
      <c r="Q231" s="69">
        <f t="shared" si="74"/>
        <v>0.84277545140134469</v>
      </c>
      <c r="R231" s="43">
        <f t="shared" si="75"/>
        <v>1305.0317623306296</v>
      </c>
      <c r="S231" s="43">
        <f t="shared" si="76"/>
        <v>1169.0875441227267</v>
      </c>
      <c r="T231" s="43">
        <f>R231+Thrust!C$33*0.8</f>
        <v>3116.7917623306294</v>
      </c>
      <c r="U231" s="43"/>
      <c r="V231">
        <f t="shared" si="80"/>
        <v>556838.55243995809</v>
      </c>
      <c r="W231">
        <f t="shared" si="81"/>
        <v>1484533.6621008269</v>
      </c>
      <c r="Y231">
        <f t="shared" si="82"/>
        <v>-1770.0828157031779</v>
      </c>
      <c r="Z231">
        <f t="shared" si="83"/>
        <v>-3.5510826664528059</v>
      </c>
      <c r="AA231">
        <f t="shared" si="77"/>
        <v>2948.9645870014369</v>
      </c>
      <c r="AB231">
        <f t="shared" si="84"/>
        <v>5.9228732530547479</v>
      </c>
      <c r="AC231">
        <f t="shared" si="78"/>
        <v>8.8815113544892856</v>
      </c>
      <c r="AD231">
        <f t="shared" si="79"/>
        <v>2506.3725074554941</v>
      </c>
      <c r="AE231">
        <f t="shared" si="85"/>
        <v>205.82934593198524</v>
      </c>
      <c r="AG231">
        <v>5.1242121367215541</v>
      </c>
      <c r="AH231">
        <v>2948.9645870014369</v>
      </c>
      <c r="AI231">
        <f t="shared" si="86"/>
        <v>9411.8192850841733</v>
      </c>
      <c r="AJ231">
        <f t="shared" si="87"/>
        <v>1059.709199192414</v>
      </c>
      <c r="AN231" s="43"/>
      <c r="AO231" s="43"/>
    </row>
    <row r="232" spans="1:41">
      <c r="A232">
        <v>213</v>
      </c>
      <c r="B232">
        <f t="shared" si="60"/>
        <v>213</v>
      </c>
      <c r="D232" s="43">
        <f t="shared" si="61"/>
        <v>283.53226368508291</v>
      </c>
      <c r="E232" s="43">
        <f t="shared" si="62"/>
        <v>478.54855027580288</v>
      </c>
      <c r="F232" s="69">
        <f t="shared" si="63"/>
        <v>0.45262214538820744</v>
      </c>
      <c r="G232" s="98">
        <f t="shared" si="64"/>
        <v>153.66964953694713</v>
      </c>
      <c r="H232" s="69">
        <f t="shared" si="65"/>
        <v>0.25798869637334426</v>
      </c>
      <c r="I232" s="69">
        <f t="shared" si="66"/>
        <v>-1.1094314284247628</v>
      </c>
      <c r="J232" s="99">
        <f t="shared" si="67"/>
        <v>1.5047746178408776E-2</v>
      </c>
      <c r="K232" s="69">
        <f t="shared" si="68"/>
        <v>1.0500884786951309E-3</v>
      </c>
      <c r="L232" s="99">
        <f t="shared" si="69"/>
        <v>1.6097834657103908E-2</v>
      </c>
      <c r="M232" s="69">
        <f t="shared" si="70"/>
        <v>16.026298062360514</v>
      </c>
      <c r="N232" s="69">
        <f t="shared" si="71"/>
        <v>8.1401714959760767</v>
      </c>
      <c r="O232" s="69">
        <f t="shared" si="72"/>
        <v>31.552434701232631</v>
      </c>
      <c r="P232" s="69">
        <f t="shared" si="73"/>
        <v>1.0254611791624348</v>
      </c>
      <c r="Q232" s="69">
        <f t="shared" si="74"/>
        <v>0.84159390463369488</v>
      </c>
      <c r="R232" s="43">
        <f t="shared" si="75"/>
        <v>1297.083825674202</v>
      </c>
      <c r="S232" s="43">
        <f t="shared" si="76"/>
        <v>1177.7517132499845</v>
      </c>
      <c r="T232" s="43">
        <f>R232+Thrust!C$33*0.8</f>
        <v>3108.843825674202</v>
      </c>
      <c r="U232" s="43"/>
      <c r="V232">
        <f t="shared" si="80"/>
        <v>563611.37496062322</v>
      </c>
      <c r="W232">
        <f t="shared" si="81"/>
        <v>1487732.7058102703</v>
      </c>
      <c r="Y232">
        <f t="shared" si="82"/>
        <v>-1791.6123177556231</v>
      </c>
      <c r="Z232">
        <f t="shared" si="83"/>
        <v>-3.5774340525927055</v>
      </c>
      <c r="AA232">
        <f t="shared" si="77"/>
        <v>2937.6042305154347</v>
      </c>
      <c r="AB232">
        <f t="shared" si="84"/>
        <v>5.8721782575759187</v>
      </c>
      <c r="AC232">
        <f t="shared" si="78"/>
        <v>8.7624817428474664</v>
      </c>
      <c r="AD232">
        <f t="shared" si="79"/>
        <v>2484.4462840487527</v>
      </c>
      <c r="AE232">
        <f t="shared" si="85"/>
        <v>181.529672271126</v>
      </c>
      <c r="AG232">
        <v>5.0755083965639329</v>
      </c>
      <c r="AH232">
        <v>2937.6042305154347</v>
      </c>
      <c r="AI232">
        <f t="shared" si="86"/>
        <v>9262.0036697036521</v>
      </c>
      <c r="AJ232">
        <f t="shared" si="87"/>
        <v>1057.0069007292288</v>
      </c>
      <c r="AN232" s="43"/>
      <c r="AO232" s="43"/>
    </row>
    <row r="233" spans="1:41">
      <c r="A233">
        <v>214</v>
      </c>
      <c r="B233">
        <f t="shared" si="60"/>
        <v>214</v>
      </c>
      <c r="D233" s="43">
        <f t="shared" si="61"/>
        <v>284.86340107327578</v>
      </c>
      <c r="E233" s="43">
        <f t="shared" si="62"/>
        <v>480.79525708460943</v>
      </c>
      <c r="F233" s="69">
        <f t="shared" si="63"/>
        <v>0.45474713198627414</v>
      </c>
      <c r="G233" s="98">
        <f t="shared" si="64"/>
        <v>155.11594415116116</v>
      </c>
      <c r="H233" s="69">
        <f t="shared" si="65"/>
        <v>0.25558322049441556</v>
      </c>
      <c r="I233" s="69">
        <f t="shared" si="66"/>
        <v>-1.1296870227681355</v>
      </c>
      <c r="J233" s="99">
        <f t="shared" si="67"/>
        <v>1.5047746178408776E-2</v>
      </c>
      <c r="K233" s="69">
        <f t="shared" si="68"/>
        <v>1.0183554130902073E-3</v>
      </c>
      <c r="L233" s="99">
        <f t="shared" si="69"/>
        <v>1.6066101591498985E-2</v>
      </c>
      <c r="M233" s="69">
        <f t="shared" si="70"/>
        <v>15.908228828183912</v>
      </c>
      <c r="N233" s="69">
        <f t="shared" si="71"/>
        <v>8.0424431277215369</v>
      </c>
      <c r="O233" s="69">
        <f t="shared" si="72"/>
        <v>31.467023195668915</v>
      </c>
      <c r="P233" s="69">
        <f t="shared" si="73"/>
        <v>1.0302755508955916</v>
      </c>
      <c r="Q233" s="69">
        <f t="shared" si="74"/>
        <v>0.84036821359435843</v>
      </c>
      <c r="R233" s="43">
        <f t="shared" si="75"/>
        <v>1289.1424505617481</v>
      </c>
      <c r="S233" s="43">
        <f t="shared" si="76"/>
        <v>1186.4928650359864</v>
      </c>
      <c r="T233" s="43">
        <f>R233+Thrust!C$33*0.8</f>
        <v>3100.9024505617481</v>
      </c>
      <c r="U233" s="43"/>
      <c r="V233">
        <f t="shared" si="80"/>
        <v>570460.14207403187</v>
      </c>
      <c r="W233">
        <f t="shared" si="81"/>
        <v>1490899.190912131</v>
      </c>
      <c r="Y233">
        <f t="shared" si="82"/>
        <v>-1813.3832330830151</v>
      </c>
      <c r="Z233">
        <f t="shared" si="83"/>
        <v>-3.6040203432784108</v>
      </c>
      <c r="AA233">
        <f t="shared" si="77"/>
        <v>2925.8989631939576</v>
      </c>
      <c r="AB233">
        <f t="shared" si="84"/>
        <v>5.8212730008548883</v>
      </c>
      <c r="AC233">
        <f t="shared" si="78"/>
        <v>8.6446737106214346</v>
      </c>
      <c r="AD233">
        <f t="shared" si="79"/>
        <v>2462.5511543763569</v>
      </c>
      <c r="AE233">
        <f t="shared" si="85"/>
        <v>156.88508777479376</v>
      </c>
      <c r="AG233">
        <v>5.0265723277411869</v>
      </c>
      <c r="AH233">
        <v>2925.8989631939576</v>
      </c>
      <c r="AI233">
        <f t="shared" si="86"/>
        <v>9114.1385638147276</v>
      </c>
      <c r="AJ233">
        <f t="shared" si="87"/>
        <v>1054.3068331909944</v>
      </c>
      <c r="AN233" s="43"/>
      <c r="AO233" s="43"/>
    </row>
    <row r="234" spans="1:41">
      <c r="A234">
        <v>215</v>
      </c>
      <c r="B234">
        <f t="shared" si="60"/>
        <v>215</v>
      </c>
      <c r="D234" s="43">
        <f t="shared" si="61"/>
        <v>286.19453846146865</v>
      </c>
      <c r="E234" s="43">
        <f t="shared" si="62"/>
        <v>483.04196389341604</v>
      </c>
      <c r="F234" s="69">
        <f t="shared" si="63"/>
        <v>0.45687211858434085</v>
      </c>
      <c r="G234" s="98">
        <f t="shared" si="64"/>
        <v>156.5690129790249</v>
      </c>
      <c r="H234" s="69">
        <f t="shared" si="65"/>
        <v>0.25321123127663075</v>
      </c>
      <c r="I234" s="69">
        <f t="shared" si="66"/>
        <v>-1.1496606387179664</v>
      </c>
      <c r="J234" s="99">
        <f t="shared" si="67"/>
        <v>1.5047746178408776E-2</v>
      </c>
      <c r="K234" s="69">
        <f t="shared" si="68"/>
        <v>9.8754084665460132E-4</v>
      </c>
      <c r="L234" s="99">
        <f t="shared" si="69"/>
        <v>1.6035287025063377E-2</v>
      </c>
      <c r="M234" s="69">
        <f t="shared" si="70"/>
        <v>15.790876139657374</v>
      </c>
      <c r="N234" s="69">
        <f t="shared" si="71"/>
        <v>7.9459844270439284</v>
      </c>
      <c r="O234" s="69">
        <f t="shared" si="72"/>
        <v>31.380853001591472</v>
      </c>
      <c r="P234" s="69">
        <f t="shared" si="73"/>
        <v>1.0350899226287487</v>
      </c>
      <c r="Q234" s="69">
        <f t="shared" si="74"/>
        <v>0.83909837828333544</v>
      </c>
      <c r="R234" s="43">
        <f t="shared" si="75"/>
        <v>1281.2075454368396</v>
      </c>
      <c r="S234" s="43">
        <f t="shared" si="76"/>
        <v>1195.3104965846148</v>
      </c>
      <c r="T234" s="43">
        <f>R234+Thrust!C$33*0.8</f>
        <v>3092.9675454368398</v>
      </c>
      <c r="U234" s="43"/>
      <c r="V234">
        <f t="shared" si="80"/>
        <v>577385.12973264675</v>
      </c>
      <c r="W234">
        <f t="shared" si="81"/>
        <v>1494033.1174064097</v>
      </c>
      <c r="Y234">
        <f t="shared" si="82"/>
        <v>-1835.3964388852344</v>
      </c>
      <c r="Z234">
        <f t="shared" si="83"/>
        <v>-3.6308400351255226</v>
      </c>
      <c r="AA234">
        <f t="shared" si="77"/>
        <v>2913.8479078371274</v>
      </c>
      <c r="AB234">
        <f t="shared" si="84"/>
        <v>5.7701587550893869</v>
      </c>
      <c r="AC234">
        <f t="shared" si="78"/>
        <v>8.528086198489877</v>
      </c>
      <c r="AD234">
        <f t="shared" si="79"/>
        <v>2440.6916935364306</v>
      </c>
      <c r="AE234">
        <f t="shared" si="85"/>
        <v>131.89471524310676</v>
      </c>
      <c r="AG234">
        <v>4.9774050241604373</v>
      </c>
      <c r="AH234">
        <v>2913.8479078371274</v>
      </c>
      <c r="AI234">
        <f t="shared" si="86"/>
        <v>8968.2119044497886</v>
      </c>
      <c r="AJ234">
        <f t="shared" si="87"/>
        <v>1051.6089654485256</v>
      </c>
      <c r="AN234" s="43"/>
      <c r="AO234" s="43"/>
    </row>
    <row r="235" spans="1:41">
      <c r="A235">
        <v>216</v>
      </c>
      <c r="B235">
        <f t="shared" si="60"/>
        <v>216</v>
      </c>
      <c r="D235" s="43">
        <f t="shared" si="61"/>
        <v>287.52567584966152</v>
      </c>
      <c r="E235" s="43">
        <f t="shared" si="62"/>
        <v>485.28867070222259</v>
      </c>
      <c r="F235" s="69">
        <f t="shared" si="63"/>
        <v>0.45899710518240755</v>
      </c>
      <c r="G235" s="98">
        <f t="shared" si="64"/>
        <v>158.02885602053834</v>
      </c>
      <c r="H235" s="69">
        <f t="shared" si="65"/>
        <v>0.25087211003434196</v>
      </c>
      <c r="I235" s="69">
        <f t="shared" si="66"/>
        <v>-1.1693574859899787</v>
      </c>
      <c r="J235" s="99">
        <f t="shared" si="67"/>
        <v>1.5047746178408776E-2</v>
      </c>
      <c r="K235" s="69">
        <f t="shared" si="68"/>
        <v>9.5761687573475099E-4</v>
      </c>
      <c r="L235" s="99">
        <f t="shared" si="69"/>
        <v>1.6005363054143528E-2</v>
      </c>
      <c r="M235" s="69">
        <f t="shared" si="70"/>
        <v>15.674253010424231</v>
      </c>
      <c r="N235" s="69">
        <f t="shared" si="71"/>
        <v>7.8507842778324646</v>
      </c>
      <c r="O235" s="69">
        <f t="shared" si="72"/>
        <v>31.29396997042744</v>
      </c>
      <c r="P235" s="69">
        <f t="shared" si="73"/>
        <v>1.0399042943619055</v>
      </c>
      <c r="Q235" s="69">
        <f t="shared" si="74"/>
        <v>0.83778439870062571</v>
      </c>
      <c r="R235" s="43">
        <f t="shared" si="75"/>
        <v>1273.2790204385385</v>
      </c>
      <c r="S235" s="43">
        <f t="shared" si="76"/>
        <v>1204.204116613857</v>
      </c>
      <c r="T235" s="43">
        <f>R235+Thrust!C$33*0.8</f>
        <v>3085.0390204385385</v>
      </c>
      <c r="U235" s="43"/>
      <c r="V235">
        <f t="shared" si="80"/>
        <v>584386.61500568292</v>
      </c>
      <c r="W235">
        <f t="shared" si="81"/>
        <v>1497134.4852931052</v>
      </c>
      <c r="Y235">
        <f t="shared" si="82"/>
        <v>-1857.6528159121046</v>
      </c>
      <c r="Z235">
        <f t="shared" si="83"/>
        <v>-3.6578916603838216</v>
      </c>
      <c r="AA235">
        <f t="shared" si="77"/>
        <v>2901.4501836951176</v>
      </c>
      <c r="AB235">
        <f t="shared" si="84"/>
        <v>5.7188367609921693</v>
      </c>
      <c r="AC235">
        <f t="shared" si="78"/>
        <v>8.41271744721662</v>
      </c>
      <c r="AD235">
        <f t="shared" si="79"/>
        <v>2418.8722697431981</v>
      </c>
      <c r="AE235">
        <f t="shared" si="85"/>
        <v>106.55767392624182</v>
      </c>
      <c r="AG235">
        <v>4.9280075529628391</v>
      </c>
      <c r="AH235">
        <v>2901.4501836951176</v>
      </c>
      <c r="AI235">
        <f t="shared" si="86"/>
        <v>8824.2109414797051</v>
      </c>
      <c r="AJ235">
        <f t="shared" si="87"/>
        <v>1048.9132669491032</v>
      </c>
      <c r="AN235" s="43"/>
      <c r="AO235" s="43"/>
    </row>
    <row r="236" spans="1:41">
      <c r="A236">
        <v>217</v>
      </c>
      <c r="B236">
        <f t="shared" si="60"/>
        <v>217</v>
      </c>
      <c r="D236" s="43">
        <f t="shared" si="61"/>
        <v>288.8568132378544</v>
      </c>
      <c r="E236" s="43">
        <f t="shared" si="62"/>
        <v>487.5353775110292</v>
      </c>
      <c r="F236" s="69">
        <f t="shared" si="63"/>
        <v>0.46112209178047425</v>
      </c>
      <c r="G236" s="98">
        <f t="shared" si="64"/>
        <v>159.49547327570153</v>
      </c>
      <c r="H236" s="69">
        <f t="shared" si="65"/>
        <v>0.24856525230440776</v>
      </c>
      <c r="I236" s="69">
        <f t="shared" si="66"/>
        <v>-1.1887826545375972</v>
      </c>
      <c r="J236" s="99">
        <f t="shared" si="67"/>
        <v>1.5047746178408776E-2</v>
      </c>
      <c r="K236" s="69">
        <f t="shared" si="68"/>
        <v>9.2855653767293924E-4</v>
      </c>
      <c r="L236" s="99">
        <f t="shared" si="69"/>
        <v>1.5976302716081716E-2</v>
      </c>
      <c r="M236" s="69">
        <f t="shared" si="70"/>
        <v>15.558371465645957</v>
      </c>
      <c r="N236" s="69">
        <f t="shared" si="71"/>
        <v>7.7568312760609581</v>
      </c>
      <c r="O236" s="69">
        <f t="shared" si="72"/>
        <v>31.206418452091135</v>
      </c>
      <c r="P236" s="69">
        <f t="shared" si="73"/>
        <v>1.0447186660950627</v>
      </c>
      <c r="Q236" s="69">
        <f t="shared" si="74"/>
        <v>0.836426274846229</v>
      </c>
      <c r="R236" s="43">
        <f t="shared" si="75"/>
        <v>1265.356787362329</v>
      </c>
      <c r="S236" s="43">
        <f t="shared" si="76"/>
        <v>1213.1732451354185</v>
      </c>
      <c r="T236" s="43">
        <f>R236+Thrust!C$33*0.8</f>
        <v>3077.116787362329</v>
      </c>
      <c r="U236" s="43"/>
      <c r="V236">
        <f t="shared" si="80"/>
        <v>591464.87605337659</v>
      </c>
      <c r="W236">
        <f t="shared" si="81"/>
        <v>1500203.2945722183</v>
      </c>
      <c r="Y236">
        <f t="shared" si="82"/>
        <v>-1880.1532483815943</v>
      </c>
      <c r="Z236">
        <f t="shared" si="83"/>
        <v>-3.6851737859675997</v>
      </c>
      <c r="AA236">
        <f t="shared" si="77"/>
        <v>2888.7049065499605</v>
      </c>
      <c r="AB236">
        <f t="shared" si="84"/>
        <v>5.6673082286584462</v>
      </c>
      <c r="AC236">
        <f t="shared" si="78"/>
        <v>8.2985650366455666</v>
      </c>
      <c r="AD236">
        <f t="shared" si="79"/>
        <v>2397.0970509325166</v>
      </c>
      <c r="AE236">
        <f t="shared" si="85"/>
        <v>80.873079606229254</v>
      </c>
      <c r="AG236">
        <v>4.8783809552481534</v>
      </c>
      <c r="AH236">
        <v>2888.7049065499605</v>
      </c>
      <c r="AI236">
        <f t="shared" si="86"/>
        <v>8682.1222869952526</v>
      </c>
      <c r="AJ236">
        <f t="shared" si="87"/>
        <v>1046.2197077031919</v>
      </c>
      <c r="AN236" s="43"/>
      <c r="AO236" s="43"/>
    </row>
    <row r="237" spans="1:41">
      <c r="A237">
        <v>218</v>
      </c>
      <c r="B237">
        <f t="shared" si="60"/>
        <v>218</v>
      </c>
      <c r="D237" s="43">
        <f t="shared" si="61"/>
        <v>290.18795062604727</v>
      </c>
      <c r="E237" s="43">
        <f t="shared" si="62"/>
        <v>489.78208431983575</v>
      </c>
      <c r="F237" s="69">
        <f t="shared" si="63"/>
        <v>0.4632470783785409</v>
      </c>
      <c r="G237" s="98">
        <f t="shared" si="64"/>
        <v>160.96886474451441</v>
      </c>
      <c r="H237" s="69">
        <f t="shared" si="65"/>
        <v>0.24629006745564885</v>
      </c>
      <c r="I237" s="69">
        <f t="shared" si="66"/>
        <v>-1.207941117840573</v>
      </c>
      <c r="J237" s="99">
        <f t="shared" si="67"/>
        <v>1.5047746178408776E-2</v>
      </c>
      <c r="K237" s="69">
        <f t="shared" si="68"/>
        <v>9.0033377543771525E-4</v>
      </c>
      <c r="L237" s="99">
        <f t="shared" si="69"/>
        <v>1.5948079953846492E-2</v>
      </c>
      <c r="M237" s="69">
        <f t="shared" si="70"/>
        <v>15.443242582706425</v>
      </c>
      <c r="N237" s="69">
        <f t="shared" si="71"/>
        <v>7.6641137565919424</v>
      </c>
      <c r="O237" s="69">
        <f t="shared" si="72"/>
        <v>31.118241331319918</v>
      </c>
      <c r="P237" s="69">
        <f t="shared" si="73"/>
        <v>1.0495330378282195</v>
      </c>
      <c r="Q237" s="69">
        <f t="shared" si="74"/>
        <v>0.83502400672014554</v>
      </c>
      <c r="R237" s="43">
        <f t="shared" si="75"/>
        <v>1257.4407596221279</v>
      </c>
      <c r="S237" s="43">
        <f t="shared" si="76"/>
        <v>1222.2174131446013</v>
      </c>
      <c r="T237" s="43">
        <f>R237+Thrust!C$33*0.8</f>
        <v>3069.2007596221279</v>
      </c>
      <c r="U237" s="43"/>
      <c r="V237">
        <f t="shared" si="80"/>
        <v>598620.19210196065</v>
      </c>
      <c r="W237">
        <f t="shared" si="81"/>
        <v>1503239.5452437489</v>
      </c>
      <c r="Y237">
        <f t="shared" si="82"/>
        <v>-1902.8986239002725</v>
      </c>
      <c r="Z237">
        <f t="shared" si="83"/>
        <v>-3.7126850125172366</v>
      </c>
      <c r="AA237">
        <f t="shared" si="77"/>
        <v>2875.6111887950888</v>
      </c>
      <c r="AB237">
        <f t="shared" si="84"/>
        <v>5.6155743384048655</v>
      </c>
      <c r="AC237">
        <f t="shared" si="78"/>
        <v>8.1856259231872119</v>
      </c>
      <c r="AD237">
        <f t="shared" si="79"/>
        <v>2375.3700112411434</v>
      </c>
      <c r="AE237">
        <f t="shared" si="85"/>
        <v>54.84004467650125</v>
      </c>
      <c r="AG237">
        <v>4.8285262467755397</v>
      </c>
      <c r="AH237">
        <v>2875.6111887950888</v>
      </c>
      <c r="AI237">
        <f t="shared" si="86"/>
        <v>8541.9319624857835</v>
      </c>
      <c r="AJ237">
        <f t="shared" si="87"/>
        <v>1043.5282582715236</v>
      </c>
      <c r="AN237" s="43"/>
      <c r="AO237" s="43"/>
    </row>
    <row r="238" spans="1:41">
      <c r="A238">
        <v>219</v>
      </c>
      <c r="B238">
        <f t="shared" si="60"/>
        <v>219</v>
      </c>
      <c r="D238" s="43">
        <f t="shared" si="61"/>
        <v>291.51908801424014</v>
      </c>
      <c r="E238" s="43">
        <f t="shared" si="62"/>
        <v>492.02879112864235</v>
      </c>
      <c r="F238" s="69">
        <f t="shared" si="63"/>
        <v>0.46537206497660766</v>
      </c>
      <c r="G238" s="98">
        <f t="shared" si="64"/>
        <v>162.44903042697703</v>
      </c>
      <c r="H238" s="69">
        <f t="shared" si="65"/>
        <v>0.24404597831075781</v>
      </c>
      <c r="I238" s="69">
        <f t="shared" si="66"/>
        <v>-1.2268377360887357</v>
      </c>
      <c r="J238" s="99">
        <f t="shared" si="67"/>
        <v>1.5047746178408776E-2</v>
      </c>
      <c r="K238" s="69">
        <f t="shared" si="68"/>
        <v>8.729234037272147E-4</v>
      </c>
      <c r="L238" s="99">
        <f t="shared" si="69"/>
        <v>1.5920669582135991E-2</v>
      </c>
      <c r="M238" s="69">
        <f t="shared" si="70"/>
        <v>15.328876530707792</v>
      </c>
      <c r="N238" s="69">
        <f t="shared" si="71"/>
        <v>7.5726198186494846</v>
      </c>
      <c r="O238" s="69">
        <f t="shared" si="72"/>
        <v>31.029480063821548</v>
      </c>
      <c r="P238" s="69">
        <f t="shared" si="73"/>
        <v>1.0543474095613765</v>
      </c>
      <c r="Q238" s="69">
        <f t="shared" si="74"/>
        <v>0.83357759432237555</v>
      </c>
      <c r="R238" s="43">
        <f t="shared" si="75"/>
        <v>1249.5308522133321</v>
      </c>
      <c r="S238" s="43">
        <f t="shared" si="76"/>
        <v>1231.3361623200751</v>
      </c>
      <c r="T238" s="43">
        <f>R238+Thrust!C$33*0.8</f>
        <v>3061.2908522133321</v>
      </c>
      <c r="U238" s="43"/>
      <c r="V238">
        <f t="shared" si="80"/>
        <v>605852.84341932833</v>
      </c>
      <c r="W238">
        <f t="shared" si="81"/>
        <v>1506243.2373076971</v>
      </c>
      <c r="Y238">
        <f t="shared" si="82"/>
        <v>-1925.8898333859443</v>
      </c>
      <c r="Z238">
        <f t="shared" si="83"/>
        <v>-3.7404239734908273</v>
      </c>
      <c r="AA238">
        <f t="shared" si="77"/>
        <v>2862.1681395126952</v>
      </c>
      <c r="AB238">
        <f t="shared" si="84"/>
        <v>5.563636241581027</v>
      </c>
      <c r="AC238">
        <f t="shared" si="78"/>
        <v>8.0738964758320897</v>
      </c>
      <c r="AD238">
        <f t="shared" si="79"/>
        <v>2353.6949373559587</v>
      </c>
      <c r="AE238">
        <f t="shared" si="85"/>
        <v>28.457678219251925</v>
      </c>
      <c r="AG238">
        <v>4.7784444186414214</v>
      </c>
      <c r="AH238">
        <v>2862.1681395126952</v>
      </c>
      <c r="AI238">
        <f t="shared" si="86"/>
        <v>8403.6254438819615</v>
      </c>
      <c r="AJ238">
        <f t="shared" si="87"/>
        <v>1040.8388897525331</v>
      </c>
      <c r="AN238" s="43"/>
      <c r="AO238" s="43"/>
    </row>
    <row r="239" spans="1:41">
      <c r="A239">
        <v>220</v>
      </c>
      <c r="B239">
        <f t="shared" si="60"/>
        <v>220</v>
      </c>
      <c r="D239" s="43">
        <f t="shared" si="61"/>
        <v>292.85022540243307</v>
      </c>
      <c r="E239" s="43">
        <f t="shared" si="62"/>
        <v>494.27549793744902</v>
      </c>
      <c r="F239" s="69">
        <f t="shared" si="63"/>
        <v>0.46749705157467442</v>
      </c>
      <c r="G239" s="98">
        <f t="shared" si="64"/>
        <v>163.93597032308938</v>
      </c>
      <c r="H239" s="69">
        <f t="shared" si="65"/>
        <v>0.24183242078021183</v>
      </c>
      <c r="I239" s="69">
        <f t="shared" si="66"/>
        <v>-1.2454772592646763</v>
      </c>
      <c r="J239" s="99">
        <f t="shared" si="67"/>
        <v>1.5047746178408776E-2</v>
      </c>
      <c r="K239" s="69">
        <f t="shared" si="68"/>
        <v>8.4630107647796886E-4</v>
      </c>
      <c r="L239" s="99">
        <f t="shared" si="69"/>
        <v>1.5894047254886745E-2</v>
      </c>
      <c r="M239" s="69">
        <f t="shared" si="70"/>
        <v>15.215282608767797</v>
      </c>
      <c r="N239" s="69">
        <f t="shared" si="71"/>
        <v>7.4823373500078549</v>
      </c>
      <c r="O239" s="69">
        <f t="shared" si="72"/>
        <v>30.940174712174503</v>
      </c>
      <c r="P239" s="69">
        <f t="shared" si="73"/>
        <v>1.0591617812945335</v>
      </c>
      <c r="Q239" s="69">
        <f t="shared" si="74"/>
        <v>0.8320870376529188</v>
      </c>
      <c r="R239" s="43">
        <f t="shared" si="75"/>
        <v>1241.626981676877</v>
      </c>
      <c r="S239" s="43">
        <f t="shared" si="76"/>
        <v>1240.5290447331745</v>
      </c>
      <c r="T239" s="43">
        <f>R239+Thrust!C$33*0.8</f>
        <v>3053.386981676877</v>
      </c>
      <c r="U239" s="43"/>
      <c r="V239">
        <f t="shared" si="80"/>
        <v>613163.11129135778</v>
      </c>
      <c r="W239">
        <f t="shared" si="81"/>
        <v>1509214.370764063</v>
      </c>
      <c r="Y239">
        <f t="shared" si="82"/>
        <v>-1949.1277709923959</v>
      </c>
      <c r="Z239">
        <f t="shared" si="83"/>
        <v>-3.768389334284806</v>
      </c>
      <c r="AA239">
        <f t="shared" si="77"/>
        <v>2848.3748645489968</v>
      </c>
      <c r="AB239">
        <f t="shared" si="84"/>
        <v>5.5114950613546307</v>
      </c>
      <c r="AC239">
        <f t="shared" si="78"/>
        <v>7.9633725107272584</v>
      </c>
      <c r="AD239">
        <f t="shared" si="79"/>
        <v>2332.0754347300167</v>
      </c>
      <c r="AE239">
        <f t="shared" si="85"/>
        <v>1.7250860806967792</v>
      </c>
      <c r="AG239">
        <v>4.7281364379353015</v>
      </c>
      <c r="AH239">
        <v>2848.3748645489968</v>
      </c>
      <c r="AI239">
        <f t="shared" si="86"/>
        <v>8267.1877045293604</v>
      </c>
      <c r="AJ239">
        <f t="shared" si="87"/>
        <v>1038.1515737701382</v>
      </c>
      <c r="AN239" s="43"/>
      <c r="AO239" s="43"/>
    </row>
    <row r="240" spans="1:41">
      <c r="A240">
        <v>221</v>
      </c>
      <c r="B240">
        <f t="shared" si="60"/>
        <v>221</v>
      </c>
      <c r="D240" s="43">
        <f t="shared" si="61"/>
        <v>294.18136279062594</v>
      </c>
      <c r="E240" s="43">
        <f t="shared" si="62"/>
        <v>496.52220474625557</v>
      </c>
      <c r="F240" s="69">
        <f t="shared" si="63"/>
        <v>0.46962203817274106</v>
      </c>
      <c r="G240" s="98">
        <f t="shared" si="64"/>
        <v>165.42968443285139</v>
      </c>
      <c r="H240" s="69">
        <f t="shared" si="65"/>
        <v>0.23964884350775489</v>
      </c>
      <c r="I240" s="69">
        <f t="shared" si="66"/>
        <v>-1.2638643301290053</v>
      </c>
      <c r="J240" s="99">
        <f t="shared" si="67"/>
        <v>1.5047746178408776E-2</v>
      </c>
      <c r="K240" s="69">
        <f t="shared" si="68"/>
        <v>8.204432557151419E-4</v>
      </c>
      <c r="L240" s="99">
        <f t="shared" si="69"/>
        <v>1.5868189434123919E-2</v>
      </c>
      <c r="M240" s="69">
        <f t="shared" si="70"/>
        <v>15.102469283130656</v>
      </c>
      <c r="N240" s="69">
        <f t="shared" si="71"/>
        <v>7.3932540499427049</v>
      </c>
      <c r="O240" s="69">
        <f t="shared" si="72"/>
        <v>30.850363981428789</v>
      </c>
      <c r="P240" s="69">
        <f t="shared" si="73"/>
        <v>1.0639761530276906</v>
      </c>
      <c r="Q240" s="69">
        <f t="shared" si="74"/>
        <v>0.83055233671177531</v>
      </c>
      <c r="R240" s="43">
        <f t="shared" si="75"/>
        <v>1233.7290660642695</v>
      </c>
      <c r="S240" s="43">
        <f t="shared" si="76"/>
        <v>1249.7956225663861</v>
      </c>
      <c r="T240" s="43">
        <f>R240+Thrust!C$33*0.8</f>
        <v>3045.4890660642695</v>
      </c>
      <c r="U240" s="43"/>
      <c r="V240">
        <f t="shared" si="80"/>
        <v>620551.27799888107</v>
      </c>
      <c r="W240">
        <f t="shared" si="81"/>
        <v>1512152.9456128459</v>
      </c>
      <c r="Y240">
        <f t="shared" si="82"/>
        <v>-1972.6133340361782</v>
      </c>
      <c r="Z240">
        <f t="shared" si="83"/>
        <v>-3.7965797913824941</v>
      </c>
      <c r="AA240">
        <f t="shared" si="77"/>
        <v>2834.2304665874381</v>
      </c>
      <c r="AB240">
        <f t="shared" si="84"/>
        <v>5.4591518934711454</v>
      </c>
      <c r="AC240">
        <f t="shared" si="78"/>
        <v>7.8540493243528493</v>
      </c>
      <c r="AD240">
        <f t="shared" si="79"/>
        <v>2310.5149336629165</v>
      </c>
      <c r="AE240">
        <f t="shared" si="85"/>
        <v>-25.358629055717554</v>
      </c>
      <c r="AG240">
        <v>4.677603248374341</v>
      </c>
      <c r="AH240">
        <v>2834.2304665874381</v>
      </c>
      <c r="AI240">
        <f t="shared" si="86"/>
        <v>8132.603256159663</v>
      </c>
      <c r="AJ240">
        <f t="shared" si="87"/>
        <v>1035.4662824618517</v>
      </c>
      <c r="AN240" s="43"/>
      <c r="AO240" s="43"/>
    </row>
    <row r="241" spans="1:41">
      <c r="A241">
        <v>222</v>
      </c>
      <c r="B241">
        <f t="shared" si="60"/>
        <v>222</v>
      </c>
      <c r="D241" s="43">
        <f t="shared" si="61"/>
        <v>295.51250017881881</v>
      </c>
      <c r="E241" s="43">
        <f t="shared" si="62"/>
        <v>498.76891155506218</v>
      </c>
      <c r="F241" s="69">
        <f t="shared" si="63"/>
        <v>0.47174702477080782</v>
      </c>
      <c r="G241" s="98">
        <f t="shared" si="64"/>
        <v>166.93017275626318</v>
      </c>
      <c r="H241" s="69">
        <f t="shared" si="65"/>
        <v>0.23749470752703214</v>
      </c>
      <c r="I241" s="69">
        <f t="shared" si="66"/>
        <v>-1.2820034871117043</v>
      </c>
      <c r="J241" s="99">
        <f t="shared" si="67"/>
        <v>1.5047746178408776E-2</v>
      </c>
      <c r="K241" s="69">
        <f t="shared" si="68"/>
        <v>7.9532718168331593E-4</v>
      </c>
      <c r="L241" s="99">
        <f t="shared" si="69"/>
        <v>1.5843073360092091E-2</v>
      </c>
      <c r="M241" s="69">
        <f t="shared" si="70"/>
        <v>14.99044422310569</v>
      </c>
      <c r="N241" s="69">
        <f t="shared" si="71"/>
        <v>7.3053574509906678</v>
      </c>
      <c r="O241" s="69">
        <f t="shared" si="72"/>
        <v>30.760085254359428</v>
      </c>
      <c r="P241" s="69">
        <f t="shared" si="73"/>
        <v>1.0687905247608476</v>
      </c>
      <c r="Q241" s="69">
        <f t="shared" si="74"/>
        <v>0.82897349149894484</v>
      </c>
      <c r="R241" s="43">
        <f t="shared" si="75"/>
        <v>1225.8370249035652</v>
      </c>
      <c r="S241" s="43">
        <f t="shared" si="76"/>
        <v>1259.1354678406931</v>
      </c>
      <c r="T241" s="43">
        <f>R241+Thrust!C$33*0.8</f>
        <v>3037.5970249035654</v>
      </c>
      <c r="U241" s="43"/>
      <c r="V241">
        <f t="shared" si="80"/>
        <v>628017.62679527653</v>
      </c>
      <c r="W241">
        <f t="shared" si="81"/>
        <v>1515058.9618540464</v>
      </c>
      <c r="Y241">
        <f t="shared" si="82"/>
        <v>-1996.3474229253823</v>
      </c>
      <c r="Z241">
        <f t="shared" si="83"/>
        <v>-3.8249940715296034</v>
      </c>
      <c r="AA241">
        <f t="shared" si="77"/>
        <v>2819.7340452199305</v>
      </c>
      <c r="AB241">
        <f t="shared" si="84"/>
        <v>5.4066078069889514</v>
      </c>
      <c r="AC241">
        <f t="shared" si="78"/>
        <v>7.7459217253361858</v>
      </c>
      <c r="AD241">
        <f t="shared" si="79"/>
        <v>2289.0166952435256</v>
      </c>
      <c r="AE241">
        <f t="shared" si="85"/>
        <v>-52.794367598081195</v>
      </c>
      <c r="AG241">
        <v>4.6268457709173889</v>
      </c>
      <c r="AH241">
        <v>2819.7340452199305</v>
      </c>
      <c r="AI241">
        <f t="shared" si="86"/>
        <v>7999.8561879258114</v>
      </c>
      <c r="AJ241">
        <f t="shared" si="87"/>
        <v>1032.7829884672124</v>
      </c>
      <c r="AN241" s="43"/>
      <c r="AO241" s="43"/>
    </row>
    <row r="242" spans="1:41">
      <c r="A242">
        <v>223</v>
      </c>
      <c r="B242">
        <f t="shared" si="60"/>
        <v>223</v>
      </c>
      <c r="D242" s="43">
        <f t="shared" si="61"/>
        <v>296.84363756701168</v>
      </c>
      <c r="E242" s="43">
        <f t="shared" si="62"/>
        <v>501.01561836386873</v>
      </c>
      <c r="F242" s="69">
        <f t="shared" si="63"/>
        <v>0.47387201136887447</v>
      </c>
      <c r="G242" s="98">
        <f t="shared" si="64"/>
        <v>168.4374352933246</v>
      </c>
      <c r="H242" s="69">
        <f t="shared" si="65"/>
        <v>0.23536948592898019</v>
      </c>
      <c r="I242" s="69">
        <f t="shared" si="66"/>
        <v>-1.299899167112905</v>
      </c>
      <c r="J242" s="99">
        <f t="shared" si="67"/>
        <v>1.5047746178408776E-2</v>
      </c>
      <c r="K242" s="69">
        <f t="shared" si="68"/>
        <v>7.7093084419999471E-4</v>
      </c>
      <c r="L242" s="99">
        <f t="shared" si="69"/>
        <v>1.5818677022608772E-2</v>
      </c>
      <c r="M242" s="69">
        <f t="shared" si="70"/>
        <v>14.879214335849921</v>
      </c>
      <c r="N242" s="69">
        <f t="shared" si="71"/>
        <v>7.218634939562623</v>
      </c>
      <c r="O242" s="69">
        <f t="shared" si="72"/>
        <v>30.669374626330097</v>
      </c>
      <c r="P242" s="69">
        <f t="shared" si="73"/>
        <v>1.0736048964940044</v>
      </c>
      <c r="Q242" s="69">
        <f t="shared" si="74"/>
        <v>0.82735050201442784</v>
      </c>
      <c r="R242" s="43">
        <f t="shared" si="75"/>
        <v>1217.9507791662636</v>
      </c>
      <c r="S242" s="43">
        <f t="shared" si="76"/>
        <v>1268.548162151455</v>
      </c>
      <c r="T242" s="43">
        <f>R242+Thrust!C$33*0.8</f>
        <v>3029.7107791662638</v>
      </c>
      <c r="U242" s="43"/>
      <c r="V242">
        <f t="shared" si="80"/>
        <v>635562.44188466039</v>
      </c>
      <c r="W242">
        <f t="shared" si="81"/>
        <v>1517932.4194876642</v>
      </c>
      <c r="Y242">
        <f t="shared" si="82"/>
        <v>-2020.3309410903116</v>
      </c>
      <c r="Z242">
        <f t="shared" si="83"/>
        <v>-3.8536309309356742</v>
      </c>
      <c r="AA242">
        <f t="shared" si="77"/>
        <v>2804.8846970161712</v>
      </c>
      <c r="AB242">
        <f t="shared" si="84"/>
        <v>5.3538638449908849</v>
      </c>
      <c r="AC242">
        <f t="shared" si="78"/>
        <v>7.6389840649414253</v>
      </c>
      <c r="AD242">
        <f t="shared" si="79"/>
        <v>2267.5838171536502</v>
      </c>
      <c r="AE242">
        <f t="shared" si="85"/>
        <v>-80.583032976696572</v>
      </c>
      <c r="AG242">
        <v>4.5758649043593138</v>
      </c>
      <c r="AH242">
        <v>2804.8846970161712</v>
      </c>
      <c r="AI242">
        <f t="shared" si="86"/>
        <v>7868.9302035670016</v>
      </c>
      <c r="AJ242">
        <f t="shared" si="87"/>
        <v>1030.1016649165297</v>
      </c>
      <c r="AN242" s="43"/>
      <c r="AO242" s="43"/>
    </row>
    <row r="243" spans="1:41">
      <c r="A243">
        <v>224</v>
      </c>
      <c r="B243">
        <f t="shared" si="60"/>
        <v>224</v>
      </c>
      <c r="D243" s="43">
        <f t="shared" si="61"/>
        <v>298.17477495520455</v>
      </c>
      <c r="E243" s="43">
        <f t="shared" si="62"/>
        <v>503.26232517267533</v>
      </c>
      <c r="F243" s="69">
        <f t="shared" si="63"/>
        <v>0.47599699796694117</v>
      </c>
      <c r="G243" s="98">
        <f t="shared" si="64"/>
        <v>169.9514720440358</v>
      </c>
      <c r="H243" s="69">
        <f t="shared" si="65"/>
        <v>0.23327266353958573</v>
      </c>
      <c r="I243" s="69">
        <f t="shared" si="66"/>
        <v>-1.3175557082163609</v>
      </c>
      <c r="J243" s="99">
        <f t="shared" si="67"/>
        <v>1.5047746178408776E-2</v>
      </c>
      <c r="K243" s="69">
        <f t="shared" si="68"/>
        <v>7.4723295517677287E-4</v>
      </c>
      <c r="L243" s="99">
        <f t="shared" si="69"/>
        <v>1.579497913358555E-2</v>
      </c>
      <c r="M243" s="69">
        <f t="shared" si="70"/>
        <v>14.768785800012102</v>
      </c>
      <c r="N243" s="69">
        <f t="shared" si="71"/>
        <v>7.1330737754549487</v>
      </c>
      <c r="O243" s="69">
        <f t="shared" si="72"/>
        <v>30.578266939728604</v>
      </c>
      <c r="P243" s="69">
        <f t="shared" si="73"/>
        <v>1.0784192682271614</v>
      </c>
      <c r="Q243" s="69">
        <f t="shared" si="74"/>
        <v>0.82568336825822408</v>
      </c>
      <c r="R243" s="43">
        <f t="shared" si="75"/>
        <v>1210.070251235087</v>
      </c>
      <c r="S243" s="43">
        <f t="shared" si="76"/>
        <v>1278.033296412528</v>
      </c>
      <c r="T243" s="43">
        <f>R243+Thrust!C$33*0.8</f>
        <v>3021.830251235087</v>
      </c>
      <c r="U243" s="43"/>
      <c r="V243">
        <f t="shared" si="80"/>
        <v>643186.00840066781</v>
      </c>
      <c r="W243">
        <f t="shared" si="81"/>
        <v>1520773.3185136996</v>
      </c>
      <c r="Y243">
        <f t="shared" si="82"/>
        <v>-2044.56479491603</v>
      </c>
      <c r="Z243">
        <f t="shared" si="83"/>
        <v>-3.8824891545005915</v>
      </c>
      <c r="AA243">
        <f t="shared" si="77"/>
        <v>2789.681515591094</v>
      </c>
      <c r="AB243">
        <f t="shared" si="84"/>
        <v>5.3009210252729142</v>
      </c>
      <c r="AC243">
        <f t="shared" si="78"/>
        <v>7.5332302662728647</v>
      </c>
      <c r="AD243">
        <f t="shared" si="79"/>
        <v>2246.2192393316468</v>
      </c>
      <c r="AE243">
        <f t="shared" si="85"/>
        <v>-108.72553157662911</v>
      </c>
      <c r="AG243">
        <v>4.5246615259062573</v>
      </c>
      <c r="AH243">
        <v>2789.681515591094</v>
      </c>
      <c r="AI243">
        <f t="shared" si="86"/>
        <v>7739.8086567686523</v>
      </c>
      <c r="AJ243">
        <f t="shared" si="87"/>
        <v>1027.4222854199297</v>
      </c>
      <c r="AN243" s="43"/>
      <c r="AO243" s="43"/>
    </row>
    <row r="244" spans="1:41">
      <c r="A244">
        <v>225</v>
      </c>
      <c r="B244">
        <f t="shared" si="60"/>
        <v>225</v>
      </c>
      <c r="D244" s="43">
        <f t="shared" si="61"/>
        <v>299.50591234339743</v>
      </c>
      <c r="E244" s="43">
        <f t="shared" si="62"/>
        <v>505.50903198148188</v>
      </c>
      <c r="F244" s="69">
        <f t="shared" si="63"/>
        <v>0.47812198456500787</v>
      </c>
      <c r="G244" s="98">
        <f t="shared" si="64"/>
        <v>171.47228300839666</v>
      </c>
      <c r="H244" s="69">
        <f t="shared" si="65"/>
        <v>0.23120373660764951</v>
      </c>
      <c r="I244" s="69">
        <f t="shared" si="66"/>
        <v>-1.3349773523186674</v>
      </c>
      <c r="J244" s="99">
        <f t="shared" si="67"/>
        <v>1.5047746178408776E-2</v>
      </c>
      <c r="K244" s="69">
        <f t="shared" si="68"/>
        <v>7.2421292225591629E-4</v>
      </c>
      <c r="L244" s="99">
        <f t="shared" si="69"/>
        <v>1.5771959100664694E-2</v>
      </c>
      <c r="M244" s="69">
        <f t="shared" si="70"/>
        <v>14.659164098257499</v>
      </c>
      <c r="N244" s="69">
        <f t="shared" si="71"/>
        <v>7.0486611103022616</v>
      </c>
      <c r="O244" s="69">
        <f t="shared" si="72"/>
        <v>30.486795817940315</v>
      </c>
      <c r="P244" s="69">
        <f t="shared" si="73"/>
        <v>1.0832336399603184</v>
      </c>
      <c r="Q244" s="69">
        <f t="shared" si="74"/>
        <v>0.82397209023033402</v>
      </c>
      <c r="R244" s="43">
        <f t="shared" si="75"/>
        <v>1202.1953648726205</v>
      </c>
      <c r="S244" s="43">
        <f t="shared" si="76"/>
        <v>1287.5904706083227</v>
      </c>
      <c r="T244" s="43">
        <f>R244+Thrust!C$33*0.8</f>
        <v>3013.9553648726205</v>
      </c>
      <c r="U244" s="43"/>
      <c r="V244">
        <f t="shared" si="80"/>
        <v>650888.61238579394</v>
      </c>
      <c r="W244">
        <f t="shared" si="81"/>
        <v>1523581.6589321524</v>
      </c>
      <c r="Y244">
        <f t="shared" si="82"/>
        <v>-2069.0498936766958</v>
      </c>
      <c r="Z244">
        <f t="shared" si="83"/>
        <v>-3.911567555065238</v>
      </c>
      <c r="AA244">
        <f t="shared" si="77"/>
        <v>2774.1235916705436</v>
      </c>
      <c r="AB244">
        <f t="shared" si="84"/>
        <v>5.247780341010964</v>
      </c>
      <c r="AC244">
        <f t="shared" si="78"/>
        <v>7.4286538522301866</v>
      </c>
      <c r="AD244">
        <f t="shared" si="79"/>
        <v>2224.9257494954959</v>
      </c>
      <c r="AE244">
        <f t="shared" si="85"/>
        <v>-137.22277267203523</v>
      </c>
      <c r="AG244">
        <v>4.4732364917325453</v>
      </c>
      <c r="AH244">
        <v>2774.1235916705436</v>
      </c>
      <c r="AI244">
        <f t="shared" si="86"/>
        <v>7612.4745847816821</v>
      </c>
      <c r="AJ244">
        <f t="shared" si="87"/>
        <v>1024.744824056691</v>
      </c>
      <c r="AN244" s="43"/>
      <c r="AO244" s="43"/>
    </row>
    <row r="245" spans="1:41">
      <c r="A245">
        <v>226</v>
      </c>
      <c r="B245">
        <f t="shared" si="60"/>
        <v>226</v>
      </c>
      <c r="D245" s="43">
        <f t="shared" si="61"/>
        <v>300.8370497315903</v>
      </c>
      <c r="E245" s="43">
        <f t="shared" si="62"/>
        <v>507.75573879028843</v>
      </c>
      <c r="F245" s="69">
        <f t="shared" si="63"/>
        <v>0.48024697116307452</v>
      </c>
      <c r="G245" s="98">
        <f t="shared" si="64"/>
        <v>172.99986818640721</v>
      </c>
      <c r="H245" s="69">
        <f t="shared" si="65"/>
        <v>0.2291622125021979</v>
      </c>
      <c r="I245" s="69">
        <f t="shared" si="66"/>
        <v>-1.3521682476772448</v>
      </c>
      <c r="J245" s="99">
        <f t="shared" si="67"/>
        <v>1.5047746178408776E-2</v>
      </c>
      <c r="K245" s="69">
        <f t="shared" si="68"/>
        <v>7.0185082351255335E-4</v>
      </c>
      <c r="L245" s="99">
        <f t="shared" si="69"/>
        <v>1.5749597001921328E-2</v>
      </c>
      <c r="M245" s="69">
        <f t="shared" si="70"/>
        <v>14.550354048693556</v>
      </c>
      <c r="N245" s="69">
        <f t="shared" si="71"/>
        <v>6.9653840050141431</v>
      </c>
      <c r="O245" s="69">
        <f t="shared" si="72"/>
        <v>30.394993698829545</v>
      </c>
      <c r="P245" s="69">
        <f t="shared" si="73"/>
        <v>1.0880480116934752</v>
      </c>
      <c r="Q245" s="69">
        <f t="shared" si="74"/>
        <v>0.82221666793075654</v>
      </c>
      <c r="R245" s="43">
        <f t="shared" si="75"/>
        <v>1194.3260451907831</v>
      </c>
      <c r="S245" s="43">
        <f t="shared" si="76"/>
        <v>1297.21929355353</v>
      </c>
      <c r="T245" s="43">
        <f>R245+Thrust!C$33*0.8</f>
        <v>3006.0860451907829</v>
      </c>
      <c r="U245" s="43"/>
      <c r="V245">
        <f t="shared" si="80"/>
        <v>658670.54077128868</v>
      </c>
      <c r="W245">
        <f t="shared" si="81"/>
        <v>1526357.4407430224</v>
      </c>
      <c r="Y245">
        <f t="shared" si="82"/>
        <v>-2093.7871494716464</v>
      </c>
      <c r="Z245">
        <f t="shared" si="83"/>
        <v>-3.9408649726854539</v>
      </c>
      <c r="AA245">
        <f t="shared" si="77"/>
        <v>2758.2100131551801</v>
      </c>
      <c r="AB245">
        <f t="shared" si="84"/>
        <v>5.1944427614064379</v>
      </c>
      <c r="AC245">
        <f t="shared" si="78"/>
        <v>7.3252479722538242</v>
      </c>
      <c r="AD245">
        <f t="shared" si="79"/>
        <v>2203.7059885251547</v>
      </c>
      <c r="AE245">
        <f t="shared" si="85"/>
        <v>-166.07566836225425</v>
      </c>
      <c r="AG245">
        <v>4.421590637519861</v>
      </c>
      <c r="AH245">
        <v>2758.2100131551801</v>
      </c>
      <c r="AI245">
        <f t="shared" si="86"/>
        <v>7486.910740364463</v>
      </c>
      <c r="AJ245">
        <f t="shared" si="87"/>
        <v>1022.0692553648663</v>
      </c>
      <c r="AN245" s="43"/>
      <c r="AO245" s="43"/>
    </row>
    <row r="246" spans="1:41">
      <c r="A246">
        <v>227</v>
      </c>
      <c r="B246">
        <f t="shared" si="60"/>
        <v>227</v>
      </c>
      <c r="D246" s="43">
        <f t="shared" si="61"/>
        <v>302.16818711978317</v>
      </c>
      <c r="E246" s="43">
        <f t="shared" si="62"/>
        <v>510.00244559909504</v>
      </c>
      <c r="F246" s="69">
        <f t="shared" si="63"/>
        <v>0.48237195776114122</v>
      </c>
      <c r="G246" s="98">
        <f t="shared" si="64"/>
        <v>174.53422757806757</v>
      </c>
      <c r="H246" s="69">
        <f t="shared" si="65"/>
        <v>0.22714760941920584</v>
      </c>
      <c r="I246" s="69">
        <f t="shared" si="66"/>
        <v>-1.3691324513799106</v>
      </c>
      <c r="J246" s="99">
        <f t="shared" si="67"/>
        <v>1.5047746178408776E-2</v>
      </c>
      <c r="K246" s="69">
        <f t="shared" si="68"/>
        <v>6.8012738317518038E-4</v>
      </c>
      <c r="L246" s="99">
        <f t="shared" si="69"/>
        <v>1.5727873561583956E-2</v>
      </c>
      <c r="M246" s="69">
        <f t="shared" si="70"/>
        <v>14.442359835217912</v>
      </c>
      <c r="N246" s="69">
        <f t="shared" si="71"/>
        <v>6.8832294462373236</v>
      </c>
      <c r="O246" s="69">
        <f t="shared" si="72"/>
        <v>30.302891867702531</v>
      </c>
      <c r="P246" s="69">
        <f t="shared" si="73"/>
        <v>1.0928623834266322</v>
      </c>
      <c r="Q246" s="69">
        <f t="shared" si="74"/>
        <v>0.82041710135949253</v>
      </c>
      <c r="R246" s="43">
        <f t="shared" si="75"/>
        <v>1186.4622186211091</v>
      </c>
      <c r="S246" s="43">
        <f t="shared" si="76"/>
        <v>1306.9193826602373</v>
      </c>
      <c r="T246" s="43">
        <f>R246+Thrust!C$33*0.8</f>
        <v>2998.2222186211093</v>
      </c>
      <c r="U246" s="43"/>
      <c r="V246">
        <f t="shared" si="80"/>
        <v>666532.08135758049</v>
      </c>
      <c r="W246">
        <f t="shared" si="81"/>
        <v>1529100.6639463103</v>
      </c>
      <c r="Y246">
        <f t="shared" si="82"/>
        <v>-2118.7774771631703</v>
      </c>
      <c r="Z246">
        <f t="shared" si="83"/>
        <v>-3.9703802739284906</v>
      </c>
      <c r="AA246">
        <f t="shared" si="77"/>
        <v>2741.9398651827173</v>
      </c>
      <c r="AB246">
        <f t="shared" si="84"/>
        <v>5.1409092323114018</v>
      </c>
      <c r="AC246">
        <f t="shared" si="78"/>
        <v>7.2230054278985474</v>
      </c>
      <c r="AD246">
        <f t="shared" si="79"/>
        <v>2182.5624557044571</v>
      </c>
      <c r="AE246">
        <f t="shared" si="85"/>
        <v>-195.28513350957374</v>
      </c>
      <c r="AG246">
        <v>4.3697247789793687</v>
      </c>
      <c r="AH246">
        <v>2741.9398651827173</v>
      </c>
      <c r="AI246">
        <f t="shared" si="86"/>
        <v>7363.0996221097412</v>
      </c>
      <c r="AJ246">
        <f t="shared" si="87"/>
        <v>1019.3955543311772</v>
      </c>
      <c r="AN246" s="43"/>
      <c r="AO246" s="43"/>
    </row>
    <row r="247" spans="1:41">
      <c r="A247">
        <v>228</v>
      </c>
      <c r="B247">
        <f t="shared" si="60"/>
        <v>228</v>
      </c>
      <c r="D247" s="43">
        <f t="shared" si="61"/>
        <v>303.49932450797604</v>
      </c>
      <c r="E247" s="43">
        <f t="shared" si="62"/>
        <v>512.24915240790165</v>
      </c>
      <c r="F247" s="69">
        <f t="shared" si="63"/>
        <v>0.48449694435920798</v>
      </c>
      <c r="G247" s="98">
        <f t="shared" si="64"/>
        <v>176.07536118337762</v>
      </c>
      <c r="H247" s="69">
        <f t="shared" si="65"/>
        <v>0.22515945609730406</v>
      </c>
      <c r="I247" s="69">
        <f t="shared" si="66"/>
        <v>-1.3858739317388018</v>
      </c>
      <c r="J247" s="99">
        <f t="shared" si="67"/>
        <v>1.5047746178408776E-2</v>
      </c>
      <c r="K247" s="69">
        <f t="shared" si="68"/>
        <v>6.5902394831942798E-4</v>
      </c>
      <c r="L247" s="99">
        <f t="shared" si="69"/>
        <v>1.5706770126728203E-2</v>
      </c>
      <c r="M247" s="69">
        <f t="shared" si="70"/>
        <v>14.335185036810994</v>
      </c>
      <c r="N247" s="69">
        <f t="shared" si="71"/>
        <v>6.8021843618839046</v>
      </c>
      <c r="O247" s="69">
        <f t="shared" si="72"/>
        <v>30.210520489729284</v>
      </c>
      <c r="P247" s="69">
        <f t="shared" si="73"/>
        <v>1.0976767551597892</v>
      </c>
      <c r="Q247" s="69">
        <f t="shared" si="74"/>
        <v>0.81857339051654199</v>
      </c>
      <c r="R247" s="43">
        <f t="shared" si="75"/>
        <v>1178.6038128858065</v>
      </c>
      <c r="S247" s="43">
        <f t="shared" si="76"/>
        <v>1316.6903637121752</v>
      </c>
      <c r="T247" s="43">
        <f>R247+Thrust!C$33*0.8</f>
        <v>2990.3638128858065</v>
      </c>
      <c r="U247" s="43"/>
      <c r="V247">
        <f t="shared" si="80"/>
        <v>674473.5227952135</v>
      </c>
      <c r="W247">
        <f t="shared" si="81"/>
        <v>1531811.3285420153</v>
      </c>
      <c r="Y247">
        <f t="shared" si="82"/>
        <v>-2144.0217943159105</v>
      </c>
      <c r="Z247">
        <f t="shared" si="83"/>
        <v>-4.0001123511911434</v>
      </c>
      <c r="AA247">
        <f t="shared" si="77"/>
        <v>2725.3122301885091</v>
      </c>
      <c r="AB247">
        <f t="shared" si="84"/>
        <v>5.0871806768340138</v>
      </c>
      <c r="AC247">
        <f t="shared" si="78"/>
        <v>7.1219186972729913</v>
      </c>
      <c r="AD247">
        <f t="shared" si="79"/>
        <v>2161.497513823078</v>
      </c>
      <c r="AE247">
        <f t="shared" si="85"/>
        <v>-224.85208567863737</v>
      </c>
      <c r="AG247">
        <v>4.3176397123573498</v>
      </c>
      <c r="AH247">
        <v>2725.3122301885091</v>
      </c>
      <c r="AI247">
        <f t="shared" si="86"/>
        <v>7241.0235032175933</v>
      </c>
      <c r="AJ247">
        <f t="shared" si="87"/>
        <v>1016.7236963811742</v>
      </c>
      <c r="AN247" s="43"/>
      <c r="AO247" s="43"/>
    </row>
    <row r="248" spans="1:41">
      <c r="A248">
        <v>229</v>
      </c>
      <c r="B248">
        <f t="shared" si="60"/>
        <v>229</v>
      </c>
      <c r="D248" s="43">
        <f t="shared" si="61"/>
        <v>304.83046189616891</v>
      </c>
      <c r="E248" s="43">
        <f t="shared" si="62"/>
        <v>514.49585921670814</v>
      </c>
      <c r="F248" s="69">
        <f t="shared" si="63"/>
        <v>0.48662193095727457</v>
      </c>
      <c r="G248" s="98">
        <f t="shared" si="64"/>
        <v>177.62326900233731</v>
      </c>
      <c r="H248" s="69">
        <f t="shared" si="65"/>
        <v>0.22319729154215709</v>
      </c>
      <c r="I248" s="69">
        <f t="shared" si="66"/>
        <v>-1.4023965706112824</v>
      </c>
      <c r="J248" s="99">
        <f t="shared" si="67"/>
        <v>1.5047746178408776E-2</v>
      </c>
      <c r="K248" s="69">
        <f t="shared" si="68"/>
        <v>6.3852246649222038E-4</v>
      </c>
      <c r="L248" s="99">
        <f t="shared" si="69"/>
        <v>1.5686268644900997E-2</v>
      </c>
      <c r="M248" s="69">
        <f t="shared" si="70"/>
        <v>14.228832655796058</v>
      </c>
      <c r="N248" s="69">
        <f t="shared" si="71"/>
        <v>6.7222356357648705</v>
      </c>
      <c r="O248" s="69">
        <f t="shared" si="72"/>
        <v>30.117908641804405</v>
      </c>
      <c r="P248" s="69">
        <f t="shared" si="73"/>
        <v>1.102491126892946</v>
      </c>
      <c r="Q248" s="69">
        <f t="shared" si="74"/>
        <v>0.81668553540190469</v>
      </c>
      <c r="R248" s="43">
        <f t="shared" si="75"/>
        <v>1170.7507569695786</v>
      </c>
      <c r="S248" s="43">
        <f t="shared" si="76"/>
        <v>1326.5318706458568</v>
      </c>
      <c r="T248" s="43">
        <f>R248+Thrust!C$33*0.8</f>
        <v>2982.5107569695783</v>
      </c>
      <c r="U248" s="43"/>
      <c r="V248">
        <f t="shared" si="80"/>
        <v>682495.15456628718</v>
      </c>
      <c r="W248">
        <f t="shared" si="81"/>
        <v>1534489.4345301378</v>
      </c>
      <c r="Y248">
        <f t="shared" si="82"/>
        <v>-2169.5210211378667</v>
      </c>
      <c r="Z248">
        <f t="shared" si="83"/>
        <v>-4.0300601220388481</v>
      </c>
      <c r="AA248">
        <f t="shared" si="77"/>
        <v>2708.3261879645584</v>
      </c>
      <c r="AB248">
        <f t="shared" si="84"/>
        <v>5.0332579959249726</v>
      </c>
      <c r="AC248">
        <f t="shared" si="78"/>
        <v>7.0219799583825733</v>
      </c>
      <c r="AD248">
        <f t="shared" si="79"/>
        <v>2140.5133941394006</v>
      </c>
      <c r="AE248">
        <f t="shared" si="85"/>
        <v>-254.77744507744339</v>
      </c>
      <c r="AG248">
        <v>4.265336214924897</v>
      </c>
      <c r="AH248">
        <v>2708.3261879645584</v>
      </c>
      <c r="AI248">
        <f t="shared" si="86"/>
        <v>7120.6644587742776</v>
      </c>
      <c r="AJ248">
        <f t="shared" si="87"/>
        <v>1014.0536573696567</v>
      </c>
      <c r="AN248" s="43"/>
      <c r="AO248" s="43"/>
    </row>
    <row r="249" spans="1:41">
      <c r="A249">
        <v>230</v>
      </c>
      <c r="B249">
        <f t="shared" si="60"/>
        <v>230</v>
      </c>
      <c r="D249" s="43">
        <f t="shared" si="61"/>
        <v>306.16159928436184</v>
      </c>
      <c r="E249" s="43">
        <f t="shared" si="62"/>
        <v>516.74256602551486</v>
      </c>
      <c r="F249" s="69">
        <f t="shared" si="63"/>
        <v>0.48874691755534139</v>
      </c>
      <c r="G249" s="98">
        <f t="shared" si="64"/>
        <v>179.17795103494686</v>
      </c>
      <c r="H249" s="69">
        <f t="shared" si="65"/>
        <v>0.22126066475921086</v>
      </c>
      <c r="I249" s="69">
        <f t="shared" si="66"/>
        <v>-1.4187041656503732</v>
      </c>
      <c r="J249" s="99">
        <f t="shared" si="67"/>
        <v>1.5047746178408776E-2</v>
      </c>
      <c r="K249" s="69">
        <f t="shared" si="68"/>
        <v>6.1860546422551896E-4</v>
      </c>
      <c r="L249" s="99">
        <f t="shared" si="69"/>
        <v>1.5666351642634295E-2</v>
      </c>
      <c r="M249" s="69">
        <f t="shared" si="70"/>
        <v>14.123305145090303</v>
      </c>
      <c r="N249" s="69">
        <f t="shared" si="71"/>
        <v>6.6433701213672665</v>
      </c>
      <c r="O249" s="69">
        <f t="shared" si="72"/>
        <v>30.025084343830294</v>
      </c>
      <c r="P249" s="69">
        <f t="shared" si="73"/>
        <v>1.1073054986261033</v>
      </c>
      <c r="Q249" s="69">
        <f t="shared" si="74"/>
        <v>0.81475353601558065</v>
      </c>
      <c r="R249" s="43">
        <f t="shared" si="75"/>
        <v>1162.9029810921757</v>
      </c>
      <c r="S249" s="43">
        <f t="shared" si="76"/>
        <v>1336.4435453383612</v>
      </c>
      <c r="T249" s="43">
        <f>R249+Thrust!C$33*0.8</f>
        <v>2974.6629810921759</v>
      </c>
      <c r="U249" s="43"/>
      <c r="V249">
        <f t="shared" si="80"/>
        <v>690597.26696638134</v>
      </c>
      <c r="W249">
        <f t="shared" si="81"/>
        <v>1537134.9819106786</v>
      </c>
      <c r="Y249">
        <f t="shared" si="82"/>
        <v>-2195.2760804229333</v>
      </c>
      <c r="Z249">
        <f t="shared" si="83"/>
        <v>-4.0602225285649887</v>
      </c>
      <c r="AA249">
        <f t="shared" si="77"/>
        <v>2690.9808157169714</v>
      </c>
      <c r="AB249">
        <f t="shared" si="84"/>
        <v>4.9791420689455785</v>
      </c>
      <c r="AC249">
        <f t="shared" si="78"/>
        <v>6.9231811114127844</v>
      </c>
      <c r="AD249">
        <f t="shared" si="79"/>
        <v>2119.6122012054238</v>
      </c>
      <c r="AE249">
        <f t="shared" si="85"/>
        <v>-285.06213449988797</v>
      </c>
      <c r="AG249">
        <v>4.2128150454523121</v>
      </c>
      <c r="AH249">
        <v>2690.9808157169714</v>
      </c>
      <c r="AI249">
        <f t="shared" si="86"/>
        <v>7002.0043915955075</v>
      </c>
      <c r="AJ249">
        <f t="shared" si="87"/>
        <v>1011.3854135713399</v>
      </c>
      <c r="AN249" s="43"/>
      <c r="AO249" s="43"/>
    </row>
    <row r="250" spans="1:41">
      <c r="A250">
        <v>231</v>
      </c>
      <c r="B250">
        <f t="shared" si="60"/>
        <v>231</v>
      </c>
      <c r="D250" s="43">
        <f t="shared" si="61"/>
        <v>307.49273667255471</v>
      </c>
      <c r="E250" s="43">
        <f t="shared" si="62"/>
        <v>518.98927283432147</v>
      </c>
      <c r="F250" s="69">
        <f t="shared" si="63"/>
        <v>0.49087190415340815</v>
      </c>
      <c r="G250" s="98">
        <f t="shared" si="64"/>
        <v>180.73940728120604</v>
      </c>
      <c r="H250" s="69">
        <f t="shared" si="65"/>
        <v>0.2193491344945232</v>
      </c>
      <c r="I250" s="69">
        <f t="shared" si="66"/>
        <v>-1.4348004324871195</v>
      </c>
      <c r="J250" s="99">
        <f t="shared" si="67"/>
        <v>1.5047746178408776E-2</v>
      </c>
      <c r="K250" s="69">
        <f t="shared" si="68"/>
        <v>5.9925602640081876E-4</v>
      </c>
      <c r="L250" s="99">
        <f t="shared" si="69"/>
        <v>1.5647002204809596E-2</v>
      </c>
      <c r="M250" s="69">
        <f t="shared" si="70"/>
        <v>14.01860443447112</v>
      </c>
      <c r="N250" s="69">
        <f t="shared" si="71"/>
        <v>6.5655746548123091</v>
      </c>
      <c r="O250" s="69">
        <f t="shared" si="72"/>
        <v>29.932074589408703</v>
      </c>
      <c r="P250" s="69">
        <f t="shared" si="73"/>
        <v>1.1121198703592603</v>
      </c>
      <c r="Q250" s="69">
        <f t="shared" si="74"/>
        <v>0.81277739235756963</v>
      </c>
      <c r="R250" s="43">
        <f t="shared" si="75"/>
        <v>1155.0604166816645</v>
      </c>
      <c r="S250" s="43">
        <f t="shared" si="76"/>
        <v>1346.4250374015278</v>
      </c>
      <c r="T250" s="43">
        <f>R250+Thrust!C$33*0.8</f>
        <v>2966.8204166816645</v>
      </c>
      <c r="U250" s="43"/>
      <c r="V250">
        <f t="shared" si="80"/>
        <v>698780.15108694299</v>
      </c>
      <c r="W250">
        <f t="shared" si="81"/>
        <v>1539747.9706836357</v>
      </c>
      <c r="Y250">
        <f t="shared" si="82"/>
        <v>-2221.2878974949181</v>
      </c>
      <c r="Z250">
        <f t="shared" si="83"/>
        <v>-4.0905985367697006</v>
      </c>
      <c r="AA250">
        <f t="shared" si="77"/>
        <v>2673.2751881219369</v>
      </c>
      <c r="AB250">
        <f t="shared" si="84"/>
        <v>4.9248337542181515</v>
      </c>
      <c r="AC250">
        <f t="shared" si="78"/>
        <v>6.8255137999893618</v>
      </c>
      <c r="AD250">
        <f t="shared" si="79"/>
        <v>2098.7959175550172</v>
      </c>
      <c r="AE250">
        <f t="shared" si="85"/>
        <v>-315.70707926977758</v>
      </c>
      <c r="AG250">
        <v>4.1600769446686776</v>
      </c>
      <c r="AH250">
        <v>2673.2751881219369</v>
      </c>
      <c r="AI250">
        <f t="shared" si="86"/>
        <v>6885.0250566913028</v>
      </c>
      <c r="AJ250">
        <f t="shared" si="87"/>
        <v>1008.7189416717659</v>
      </c>
      <c r="AN250" s="43"/>
      <c r="AO250" s="43"/>
    </row>
    <row r="251" spans="1:41">
      <c r="A251">
        <v>232</v>
      </c>
      <c r="B251">
        <f t="shared" si="60"/>
        <v>232</v>
      </c>
      <c r="D251" s="43">
        <f t="shared" si="61"/>
        <v>308.82387406074758</v>
      </c>
      <c r="E251" s="43">
        <f t="shared" si="62"/>
        <v>521.23597964312796</v>
      </c>
      <c r="F251" s="69">
        <f t="shared" si="63"/>
        <v>0.49299689075147474</v>
      </c>
      <c r="G251" s="98">
        <f t="shared" si="64"/>
        <v>182.30763774111489</v>
      </c>
      <c r="H251" s="69">
        <f t="shared" si="65"/>
        <v>0.21746226898339507</v>
      </c>
      <c r="I251" s="69">
        <f t="shared" si="66"/>
        <v>-1.450689006847272</v>
      </c>
      <c r="J251" s="99">
        <f t="shared" si="67"/>
        <v>1.5047746178408776E-2</v>
      </c>
      <c r="K251" s="69">
        <f t="shared" si="68"/>
        <v>5.8045777642735323E-4</v>
      </c>
      <c r="L251" s="99">
        <f t="shared" si="69"/>
        <v>1.5628203954836131E-2</v>
      </c>
      <c r="M251" s="69">
        <f t="shared" si="70"/>
        <v>13.914731955881701</v>
      </c>
      <c r="N251" s="69">
        <f t="shared" si="71"/>
        <v>6.4888360670303724</v>
      </c>
      <c r="O251" s="69">
        <f t="shared" si="72"/>
        <v>29.838905375929123</v>
      </c>
      <c r="P251" s="69">
        <f t="shared" si="73"/>
        <v>1.1169342420924171</v>
      </c>
      <c r="Q251" s="69">
        <f t="shared" si="74"/>
        <v>0.81075710442787208</v>
      </c>
      <c r="R251" s="43">
        <f t="shared" si="75"/>
        <v>1147.2229963483887</v>
      </c>
      <c r="S251" s="43">
        <f t="shared" si="76"/>
        <v>1356.4760039823559</v>
      </c>
      <c r="T251" s="43">
        <f>R251+Thrust!C$33*0.8</f>
        <v>2958.982996348389</v>
      </c>
      <c r="U251" s="43"/>
      <c r="V251">
        <f t="shared" si="80"/>
        <v>707044.09879813879</v>
      </c>
      <c r="W251">
        <f t="shared" si="81"/>
        <v>1542328.4008490106</v>
      </c>
      <c r="Y251">
        <f t="shared" si="82"/>
        <v>-2247.557400153024</v>
      </c>
      <c r="Z251">
        <f t="shared" si="83"/>
        <v>-4.12118713595755</v>
      </c>
      <c r="AA251">
        <f t="shared" si="77"/>
        <v>2655.2083773802547</v>
      </c>
      <c r="AB251">
        <f t="shared" si="84"/>
        <v>4.8703338895593271</v>
      </c>
      <c r="AC251">
        <f t="shared" si="78"/>
        <v>6.7289694314511479</v>
      </c>
      <c r="AD251">
        <f t="shared" si="79"/>
        <v>2078.0664082570897</v>
      </c>
      <c r="AE251">
        <f t="shared" si="85"/>
        <v>-346.71320718631569</v>
      </c>
      <c r="AG251">
        <v>4.107122635707114</v>
      </c>
      <c r="AH251">
        <v>2655.2083773802547</v>
      </c>
      <c r="AI251">
        <f t="shared" si="86"/>
        <v>6769.7080844080911</v>
      </c>
      <c r="AJ251">
        <f t="shared" si="87"/>
        <v>1006.0542187584523</v>
      </c>
      <c r="AN251" s="43"/>
      <c r="AO251" s="43"/>
    </row>
    <row r="252" spans="1:41">
      <c r="A252">
        <v>233</v>
      </c>
      <c r="B252">
        <f t="shared" si="60"/>
        <v>233</v>
      </c>
      <c r="D252" s="43">
        <f t="shared" si="61"/>
        <v>310.15501144894046</v>
      </c>
      <c r="E252" s="43">
        <f t="shared" si="62"/>
        <v>523.48268645193457</v>
      </c>
      <c r="F252" s="69">
        <f t="shared" si="63"/>
        <v>0.49512187734954149</v>
      </c>
      <c r="G252" s="98">
        <f t="shared" si="64"/>
        <v>183.88264241467348</v>
      </c>
      <c r="H252" s="69">
        <f t="shared" si="65"/>
        <v>0.21559964570653831</v>
      </c>
      <c r="I252" s="69">
        <f t="shared" si="66"/>
        <v>-1.4663734466045053</v>
      </c>
      <c r="J252" s="99">
        <f t="shared" si="67"/>
        <v>1.5047746178408776E-2</v>
      </c>
      <c r="K252" s="69">
        <f t="shared" si="68"/>
        <v>5.6219485719878962E-4</v>
      </c>
      <c r="L252" s="99">
        <f t="shared" si="69"/>
        <v>1.5609941035607566E-2</v>
      </c>
      <c r="M252" s="69">
        <f t="shared" si="70"/>
        <v>13.811688667800711</v>
      </c>
      <c r="N252" s="69">
        <f t="shared" si="71"/>
        <v>6.4131411951878645</v>
      </c>
      <c r="O252" s="69">
        <f t="shared" si="72"/>
        <v>29.745601734044854</v>
      </c>
      <c r="P252" s="69">
        <f t="shared" si="73"/>
        <v>1.1217486138255741</v>
      </c>
      <c r="Q252" s="69">
        <f t="shared" si="74"/>
        <v>0.80869267222648777</v>
      </c>
      <c r="R252" s="43">
        <f t="shared" si="75"/>
        <v>1139.3906538595929</v>
      </c>
      <c r="S252" s="43">
        <f t="shared" si="76"/>
        <v>1366.5961095693842</v>
      </c>
      <c r="T252" s="43">
        <f>R252+Thrust!C$33*0.8</f>
        <v>2951.1506538595931</v>
      </c>
      <c r="U252" s="43"/>
      <c r="V252">
        <f t="shared" si="80"/>
        <v>715389.40273214353</v>
      </c>
      <c r="W252">
        <f t="shared" si="81"/>
        <v>1544876.272406803</v>
      </c>
      <c r="Y252">
        <f t="shared" si="82"/>
        <v>-2274.0855186187341</v>
      </c>
      <c r="Z252">
        <f t="shared" si="83"/>
        <v>-4.1519873381534209</v>
      </c>
      <c r="AA252">
        <f t="shared" si="77"/>
        <v>2636.7794532704406</v>
      </c>
      <c r="AB252">
        <f t="shared" si="84"/>
        <v>4.8156432927968487</v>
      </c>
      <c r="AC252">
        <f t="shared" si="78"/>
        <v>6.6335391961709576</v>
      </c>
      <c r="AD252">
        <f t="shared" si="79"/>
        <v>2057.4254253353988</v>
      </c>
      <c r="AE252">
        <f t="shared" si="85"/>
        <v>-378.08144847098544</v>
      </c>
      <c r="AG252">
        <v>4.0539528245362337</v>
      </c>
      <c r="AH252">
        <v>2636.7794532704406</v>
      </c>
      <c r="AI252">
        <f t="shared" si="86"/>
        <v>6656.0350023022756</v>
      </c>
      <c r="AJ252">
        <f t="shared" si="87"/>
        <v>1003.3912223122618</v>
      </c>
      <c r="AN252" s="43"/>
      <c r="AO252" s="43"/>
    </row>
    <row r="253" spans="1:41">
      <c r="A253">
        <v>234</v>
      </c>
      <c r="B253">
        <f t="shared" si="60"/>
        <v>234</v>
      </c>
      <c r="D253" s="43">
        <f t="shared" si="61"/>
        <v>311.48614883713333</v>
      </c>
      <c r="E253" s="43">
        <f t="shared" si="62"/>
        <v>525.72939326074118</v>
      </c>
      <c r="F253" s="69">
        <f t="shared" si="63"/>
        <v>0.4972468639476082</v>
      </c>
      <c r="G253" s="98">
        <f t="shared" si="64"/>
        <v>185.46442130188183</v>
      </c>
      <c r="H253" s="69">
        <f t="shared" si="65"/>
        <v>0.21376085115352209</v>
      </c>
      <c r="I253" s="69">
        <f t="shared" si="66"/>
        <v>-1.4818572337723432</v>
      </c>
      <c r="J253" s="99">
        <f t="shared" si="67"/>
        <v>1.5047746178408776E-2</v>
      </c>
      <c r="K253" s="69">
        <f t="shared" si="68"/>
        <v>5.4445191279482426E-4</v>
      </c>
      <c r="L253" s="99">
        <f t="shared" si="69"/>
        <v>1.55921980912036E-2</v>
      </c>
      <c r="M253" s="69">
        <f t="shared" si="70"/>
        <v>13.709475078700809</v>
      </c>
      <c r="N253" s="69">
        <f t="shared" si="71"/>
        <v>6.3384768933998643</v>
      </c>
      <c r="O253" s="69">
        <f t="shared" si="72"/>
        <v>29.652187756529823</v>
      </c>
      <c r="P253" s="69">
        <f t="shared" si="73"/>
        <v>1.1265629855587311</v>
      </c>
      <c r="Q253" s="69">
        <f t="shared" si="74"/>
        <v>0.80658409575341672</v>
      </c>
      <c r="R253" s="43">
        <f t="shared" si="75"/>
        <v>1131.5633241147073</v>
      </c>
      <c r="S253" s="43">
        <f t="shared" si="76"/>
        <v>1376.785025804847</v>
      </c>
      <c r="T253" s="43">
        <f>R253+Thrust!C$33*0.8</f>
        <v>2943.3233241147072</v>
      </c>
      <c r="U253" s="43"/>
      <c r="V253">
        <f t="shared" si="80"/>
        <v>723816.35626685608</v>
      </c>
      <c r="W253">
        <f t="shared" si="81"/>
        <v>1547391.5853570129</v>
      </c>
      <c r="Y253">
        <f t="shared" si="82"/>
        <v>-2300.8731854840462</v>
      </c>
      <c r="Z253">
        <f t="shared" si="83"/>
        <v>-4.1829981775359402</v>
      </c>
      <c r="AA253">
        <f t="shared" si="77"/>
        <v>2617.9874832004989</v>
      </c>
      <c r="AB253">
        <f t="shared" si="84"/>
        <v>4.7607627622704731</v>
      </c>
      <c r="AC253">
        <f t="shared" si="78"/>
        <v>6.5392140859590677</v>
      </c>
      <c r="AD253">
        <f t="shared" si="79"/>
        <v>2036.8746120569247</v>
      </c>
      <c r="AE253">
        <f t="shared" si="85"/>
        <v>-409.8127357157835</v>
      </c>
      <c r="AG253">
        <v>4.0005682003782868</v>
      </c>
      <c r="AH253">
        <v>2617.9874832004989</v>
      </c>
      <c r="AI253">
        <f t="shared" si="86"/>
        <v>6543.9872557981389</v>
      </c>
      <c r="AJ253">
        <f t="shared" si="87"/>
        <v>1000.7299301990006</v>
      </c>
      <c r="AN253" s="43"/>
      <c r="AO253" s="43"/>
    </row>
    <row r="254" spans="1:41">
      <c r="A254">
        <v>235</v>
      </c>
      <c r="B254">
        <f t="shared" si="60"/>
        <v>235</v>
      </c>
      <c r="D254" s="43">
        <f t="shared" si="61"/>
        <v>312.8172862253262</v>
      </c>
      <c r="E254" s="43">
        <f t="shared" si="62"/>
        <v>527.97610006954778</v>
      </c>
      <c r="F254" s="69">
        <f t="shared" si="63"/>
        <v>0.4993718505456749</v>
      </c>
      <c r="G254" s="98">
        <f t="shared" si="64"/>
        <v>187.05297440273986</v>
      </c>
      <c r="H254" s="69">
        <f t="shared" si="65"/>
        <v>0.21194548059325047</v>
      </c>
      <c r="I254" s="69">
        <f t="shared" si="66"/>
        <v>-1.4971437764368822</v>
      </c>
      <c r="J254" s="99">
        <f t="shared" si="67"/>
        <v>1.5047746178408776E-2</v>
      </c>
      <c r="K254" s="69">
        <f t="shared" si="68"/>
        <v>5.2721407089566653E-4</v>
      </c>
      <c r="L254" s="99">
        <f t="shared" si="69"/>
        <v>1.5574960249304442E-2</v>
      </c>
      <c r="M254" s="69">
        <f t="shared" si="70"/>
        <v>13.608091269620781</v>
      </c>
      <c r="N254" s="69">
        <f t="shared" si="71"/>
        <v>6.2648300427611714</v>
      </c>
      <c r="O254" s="69">
        <f t="shared" si="72"/>
        <v>29.558686626511051</v>
      </c>
      <c r="P254" s="69">
        <f t="shared" si="73"/>
        <v>1.1313773572918882</v>
      </c>
      <c r="Q254" s="69">
        <f t="shared" si="74"/>
        <v>0.80443137500865891</v>
      </c>
      <c r="R254" s="43">
        <f t="shared" si="75"/>
        <v>1123.7409431212564</v>
      </c>
      <c r="S254" s="43">
        <f t="shared" si="76"/>
        <v>1387.0424313024171</v>
      </c>
      <c r="T254" s="43">
        <f>R254+Thrust!C$33*0.8</f>
        <v>2935.5009431212566</v>
      </c>
      <c r="U254" s="43"/>
      <c r="V254">
        <f t="shared" si="80"/>
        <v>732325.25351003383</v>
      </c>
      <c r="W254">
        <f t="shared" si="81"/>
        <v>1549874.3396996404</v>
      </c>
      <c r="Y254">
        <f t="shared" si="82"/>
        <v>-2327.9213356610344</v>
      </c>
      <c r="Z254">
        <f t="shared" si="83"/>
        <v>-4.214218709887926</v>
      </c>
      <c r="AA254">
        <f t="shared" si="77"/>
        <v>2598.8315322583517</v>
      </c>
      <c r="AB254">
        <f t="shared" si="84"/>
        <v>4.7056930773174717</v>
      </c>
      <c r="AC254">
        <f t="shared" si="78"/>
        <v>6.4459849115831203</v>
      </c>
      <c r="AD254">
        <f t="shared" si="79"/>
        <v>2016.4155070908309</v>
      </c>
      <c r="AE254">
        <f t="shared" si="85"/>
        <v>-441.90800383278656</v>
      </c>
      <c r="AG254">
        <v>3.9469694361144088</v>
      </c>
      <c r="AH254">
        <v>2598.8315322583517</v>
      </c>
      <c r="AI254">
        <f t="shared" si="86"/>
        <v>6433.5462276811977</v>
      </c>
      <c r="AJ254">
        <f t="shared" si="87"/>
        <v>998.07032066122736</v>
      </c>
      <c r="AN254" s="43"/>
      <c r="AO254" s="43"/>
    </row>
    <row r="255" spans="1:41">
      <c r="A255">
        <v>236</v>
      </c>
      <c r="B255">
        <f t="shared" si="60"/>
        <v>236</v>
      </c>
      <c r="D255" s="43">
        <f t="shared" si="61"/>
        <v>314.14842361351907</v>
      </c>
      <c r="E255" s="43">
        <f t="shared" si="62"/>
        <v>530.22280687835428</v>
      </c>
      <c r="F255" s="69">
        <f t="shared" si="63"/>
        <v>0.50149683714374149</v>
      </c>
      <c r="G255" s="98">
        <f t="shared" si="64"/>
        <v>188.64830171724759</v>
      </c>
      <c r="H255" s="69">
        <f t="shared" si="65"/>
        <v>0.21015313785123271</v>
      </c>
      <c r="I255" s="69">
        <f t="shared" si="66"/>
        <v>-1.5122364106323118</v>
      </c>
      <c r="J255" s="99">
        <f t="shared" si="67"/>
        <v>1.5047746178408776E-2</v>
      </c>
      <c r="K255" s="69">
        <f t="shared" si="68"/>
        <v>5.1046692587890675E-4</v>
      </c>
      <c r="L255" s="99">
        <f t="shared" si="69"/>
        <v>1.5558213104287684E-2</v>
      </c>
      <c r="M255" s="69">
        <f t="shared" si="70"/>
        <v>13.50753691587607</v>
      </c>
      <c r="N255" s="69">
        <f t="shared" si="71"/>
        <v>6.1921875607273433</v>
      </c>
      <c r="O255" s="69">
        <f t="shared" si="72"/>
        <v>29.46512064507354</v>
      </c>
      <c r="P255" s="69">
        <f t="shared" si="73"/>
        <v>1.1361917290250449</v>
      </c>
      <c r="Q255" s="69">
        <f t="shared" si="74"/>
        <v>0.80223450999221435</v>
      </c>
      <c r="R255" s="43">
        <f t="shared" si="75"/>
        <v>1115.9234479713828</v>
      </c>
      <c r="S255" s="43">
        <f t="shared" si="76"/>
        <v>1397.3680114703436</v>
      </c>
      <c r="T255" s="43">
        <f>R255+Thrust!C$33*0.8</f>
        <v>2927.6834479713825</v>
      </c>
      <c r="U255" s="43"/>
      <c r="V255">
        <f t="shared" si="80"/>
        <v>740916.38928382995</v>
      </c>
      <c r="W255">
        <f t="shared" si="81"/>
        <v>1552324.5354346847</v>
      </c>
      <c r="Y255">
        <f t="shared" si="82"/>
        <v>-2355.2309063327039</v>
      </c>
      <c r="Z255">
        <f t="shared" si="83"/>
        <v>-4.2456480120632518</v>
      </c>
      <c r="AA255">
        <f t="shared" si="77"/>
        <v>2579.3106632609952</v>
      </c>
      <c r="AB255">
        <f t="shared" si="84"/>
        <v>4.6504349987432914</v>
      </c>
      <c r="AC255">
        <f t="shared" si="78"/>
        <v>6.3538423194376143</v>
      </c>
      <c r="AD255">
        <f t="shared" si="79"/>
        <v>1996.0495485401918</v>
      </c>
      <c r="AE255">
        <f t="shared" si="85"/>
        <v>-474.36819000499793</v>
      </c>
      <c r="AG255">
        <v>3.893157188677431</v>
      </c>
      <c r="AH255">
        <v>2579.3106632609952</v>
      </c>
      <c r="AI255">
        <f t="shared" si="86"/>
        <v>6324.6932564767849</v>
      </c>
      <c r="AJ255">
        <f t="shared" si="87"/>
        <v>995.41237231027014</v>
      </c>
      <c r="AN255" s="43"/>
      <c r="AO255" s="43"/>
    </row>
    <row r="256" spans="1:41">
      <c r="A256">
        <v>237</v>
      </c>
      <c r="B256">
        <f t="shared" si="60"/>
        <v>237</v>
      </c>
      <c r="D256" s="43">
        <f t="shared" si="61"/>
        <v>315.47956100171194</v>
      </c>
      <c r="E256" s="43">
        <f t="shared" si="62"/>
        <v>532.46951368716088</v>
      </c>
      <c r="F256" s="69">
        <f t="shared" si="63"/>
        <v>0.50362182374180819</v>
      </c>
      <c r="G256" s="98">
        <f t="shared" si="64"/>
        <v>190.25040324540504</v>
      </c>
      <c r="H256" s="69">
        <f t="shared" si="65"/>
        <v>0.20838343509341911</v>
      </c>
      <c r="I256" s="69">
        <f t="shared" si="66"/>
        <v>-1.5271384021611505</v>
      </c>
      <c r="J256" s="99">
        <f t="shared" si="67"/>
        <v>1.5047746178408776E-2</v>
      </c>
      <c r="K256" s="69">
        <f t="shared" si="68"/>
        <v>4.9419652256969923E-4</v>
      </c>
      <c r="L256" s="99">
        <f t="shared" si="69"/>
        <v>1.5541942700978476E-2</v>
      </c>
      <c r="M256" s="69">
        <f t="shared" si="70"/>
        <v>13.407811307932558</v>
      </c>
      <c r="N256" s="69">
        <f t="shared" si="71"/>
        <v>6.1205364098762587</v>
      </c>
      <c r="O256" s="69">
        <f t="shared" si="72"/>
        <v>29.371511258236048</v>
      </c>
      <c r="P256" s="69">
        <f t="shared" si="73"/>
        <v>1.141006100758202</v>
      </c>
      <c r="Q256" s="69">
        <f t="shared" si="74"/>
        <v>0.79999350070408304</v>
      </c>
      <c r="R256" s="43">
        <f t="shared" si="75"/>
        <v>1108.1107768189652</v>
      </c>
      <c r="S256" s="43">
        <f t="shared" si="76"/>
        <v>1407.7614583398001</v>
      </c>
      <c r="T256" s="43">
        <f>R256+Thrust!C$33*0.8</f>
        <v>2919.8707768189652</v>
      </c>
      <c r="U256" s="43"/>
      <c r="V256">
        <f t="shared" si="80"/>
        <v>749590.0591097218</v>
      </c>
      <c r="W256">
        <f t="shared" si="81"/>
        <v>1554742.172562147</v>
      </c>
      <c r="Y256">
        <f t="shared" si="82"/>
        <v>-2382.8028369050758</v>
      </c>
      <c r="Z256">
        <f t="shared" si="83"/>
        <v>-4.2772851814695363</v>
      </c>
      <c r="AA256">
        <f t="shared" si="77"/>
        <v>2559.4239368024109</v>
      </c>
      <c r="AB256">
        <f t="shared" si="84"/>
        <v>4.5949892692778702</v>
      </c>
      <c r="AC256">
        <f t="shared" si="78"/>
        <v>6.2627768073953103</v>
      </c>
      <c r="AD256">
        <f t="shared" si="79"/>
        <v>1975.7780778487759</v>
      </c>
      <c r="AE256">
        <f t="shared" si="85"/>
        <v>-507.19423363843828</v>
      </c>
      <c r="AG256">
        <v>3.8391320994326943</v>
      </c>
      <c r="AH256">
        <v>2559.4239368024109</v>
      </c>
      <c r="AI256">
        <f t="shared" si="86"/>
        <v>6217.409653762069</v>
      </c>
      <c r="AJ256">
        <f t="shared" si="87"/>
        <v>992.75606411844819</v>
      </c>
      <c r="AN256" s="43"/>
      <c r="AO256" s="43"/>
    </row>
    <row r="257" spans="1:42">
      <c r="A257">
        <v>238</v>
      </c>
      <c r="B257">
        <f t="shared" si="60"/>
        <v>238</v>
      </c>
      <c r="D257" s="43">
        <f t="shared" si="61"/>
        <v>316.81069838990481</v>
      </c>
      <c r="E257" s="43">
        <f t="shared" si="62"/>
        <v>534.71622049596749</v>
      </c>
      <c r="F257" s="69">
        <f t="shared" si="63"/>
        <v>0.50574681033987501</v>
      </c>
      <c r="G257" s="98">
        <f t="shared" si="64"/>
        <v>191.85927898721226</v>
      </c>
      <c r="H257" s="69">
        <f t="shared" si="65"/>
        <v>0.20663599261638047</v>
      </c>
      <c r="I257" s="69">
        <f t="shared" si="66"/>
        <v>-1.5418529483610637</v>
      </c>
      <c r="J257" s="99">
        <f t="shared" si="67"/>
        <v>1.5047746178408776E-2</v>
      </c>
      <c r="K257" s="69">
        <f t="shared" si="68"/>
        <v>4.7838934061651412E-4</v>
      </c>
      <c r="L257" s="99">
        <f t="shared" si="69"/>
        <v>1.552613551902529E-2</v>
      </c>
      <c r="M257" s="69">
        <f t="shared" si="70"/>
        <v>13.308913371468034</v>
      </c>
      <c r="N257" s="69">
        <f t="shared" si="71"/>
        <v>6.0498636060795716</v>
      </c>
      <c r="O257" s="69">
        <f t="shared" si="72"/>
        <v>29.277879083297634</v>
      </c>
      <c r="P257" s="69">
        <f t="shared" si="73"/>
        <v>1.1458204724913588</v>
      </c>
      <c r="Q257" s="69">
        <f t="shared" si="74"/>
        <v>0.79770834714426542</v>
      </c>
      <c r="R257" s="43">
        <f t="shared" si="75"/>
        <v>1100.3028688573138</v>
      </c>
      <c r="S257" s="43">
        <f t="shared" si="76"/>
        <v>1418.2224703982727</v>
      </c>
      <c r="T257" s="43">
        <f>R257+Thrust!C$33*0.8</f>
        <v>2912.0628688573138</v>
      </c>
      <c r="U257" s="43"/>
      <c r="V257">
        <f t="shared" si="80"/>
        <v>758346.55919381848</v>
      </c>
      <c r="W257">
        <f t="shared" si="81"/>
        <v>1557127.2510820271</v>
      </c>
      <c r="Y257">
        <f t="shared" si="82"/>
        <v>-2410.638068960483</v>
      </c>
      <c r="Z257">
        <f t="shared" si="83"/>
        <v>-4.3091293355661957</v>
      </c>
      <c r="AA257">
        <f t="shared" si="77"/>
        <v>2539.1704113002656</v>
      </c>
      <c r="AB257">
        <f t="shared" si="84"/>
        <v>4.539356614018093</v>
      </c>
      <c r="AC257">
        <f t="shared" si="78"/>
        <v>6.1727787398721032</v>
      </c>
      <c r="AD257">
        <f t="shared" si="79"/>
        <v>1955.6023435852371</v>
      </c>
      <c r="AE257">
        <f t="shared" si="85"/>
        <v>-540.38707631543991</v>
      </c>
      <c r="AG257">
        <v>3.7848947945472258</v>
      </c>
      <c r="AH257">
        <v>2539.1704113002656</v>
      </c>
      <c r="AI257">
        <f t="shared" si="86"/>
        <v>6111.6767204581538</v>
      </c>
      <c r="AJ257">
        <f t="shared" si="87"/>
        <v>990.10137541148674</v>
      </c>
      <c r="AN257" s="43"/>
      <c r="AO257" s="43"/>
      <c r="AP257" t="e">
        <f t="shared" ref="AP257:AP276" si="88">((325.9*Q442)/($J$74))*M442*LN(AN257/AO257)</f>
        <v>#DIV/0!</v>
      </c>
    </row>
    <row r="258" spans="1:42">
      <c r="A258">
        <v>239</v>
      </c>
      <c r="B258">
        <f t="shared" si="60"/>
        <v>239</v>
      </c>
      <c r="D258" s="43">
        <f t="shared" si="61"/>
        <v>318.14183577809774</v>
      </c>
      <c r="E258" s="43">
        <f t="shared" si="62"/>
        <v>536.9629273047741</v>
      </c>
      <c r="F258" s="69">
        <f t="shared" si="63"/>
        <v>0.50787179693794171</v>
      </c>
      <c r="G258" s="98">
        <f t="shared" si="64"/>
        <v>193.47492894266915</v>
      </c>
      <c r="H258" s="69">
        <f t="shared" si="65"/>
        <v>0.20491043864362063</v>
      </c>
      <c r="I258" s="69">
        <f t="shared" si="66"/>
        <v>-1.5563831798200398</v>
      </c>
      <c r="J258" s="99">
        <f t="shared" si="67"/>
        <v>1.5047746178408776E-2</v>
      </c>
      <c r="K258" s="69">
        <f t="shared" si="68"/>
        <v>4.6303227946602546E-4</v>
      </c>
      <c r="L258" s="99">
        <f t="shared" si="69"/>
        <v>1.5510778457874802E-2</v>
      </c>
      <c r="M258" s="69">
        <f t="shared" si="70"/>
        <v>13.210841686645836</v>
      </c>
      <c r="N258" s="69">
        <f t="shared" si="71"/>
        <v>5.9801562261123706</v>
      </c>
      <c r="O258" s="69">
        <f t="shared" si="72"/>
        <v>29.18424393455636</v>
      </c>
      <c r="P258" s="69">
        <f t="shared" si="73"/>
        <v>1.150634844224516</v>
      </c>
      <c r="Q258" s="69">
        <f t="shared" si="74"/>
        <v>0.79537904931275993</v>
      </c>
      <c r="R258" s="43">
        <f t="shared" si="75"/>
        <v>1092.4996642974208</v>
      </c>
      <c r="S258" s="43">
        <f t="shared" si="76"/>
        <v>1428.7507524278162</v>
      </c>
      <c r="T258" s="43">
        <f>R258+Thrust!C$33*0.8</f>
        <v>2904.2596642974208</v>
      </c>
      <c r="U258" s="43"/>
      <c r="V258">
        <f t="shared" si="80"/>
        <v>767186.18641253875</v>
      </c>
      <c r="W258">
        <f t="shared" si="81"/>
        <v>1559479.7709943235</v>
      </c>
      <c r="Y258">
        <f t="shared" si="82"/>
        <v>-2438.737546212044</v>
      </c>
      <c r="Z258">
        <f t="shared" si="83"/>
        <v>-4.3411796113772869</v>
      </c>
      <c r="AA258">
        <f t="shared" si="77"/>
        <v>2518.5491430414349</v>
      </c>
      <c r="AB258">
        <f t="shared" si="84"/>
        <v>4.4835377408568515</v>
      </c>
      <c r="AC258">
        <f t="shared" si="78"/>
        <v>6.0838383621360448</v>
      </c>
      <c r="AD258">
        <f t="shared" si="79"/>
        <v>1935.5235051071766</v>
      </c>
      <c r="AE258">
        <f t="shared" si="85"/>
        <v>-573.94766174912638</v>
      </c>
      <c r="AG258">
        <v>3.7304458853477165</v>
      </c>
      <c r="AH258">
        <v>2518.5491430414349</v>
      </c>
      <c r="AI258">
        <f t="shared" si="86"/>
        <v>6007.4757621473809</v>
      </c>
      <c r="AJ258">
        <f t="shared" si="87"/>
        <v>987.44828586112317</v>
      </c>
      <c r="AN258" s="43"/>
      <c r="AO258" s="43"/>
      <c r="AP258" t="e">
        <f t="shared" si="88"/>
        <v>#DIV/0!</v>
      </c>
    </row>
    <row r="259" spans="1:42">
      <c r="A259">
        <v>240</v>
      </c>
      <c r="B259">
        <f t="shared" si="60"/>
        <v>240</v>
      </c>
      <c r="D259" s="43">
        <f t="shared" si="61"/>
        <v>319.47297316629061</v>
      </c>
      <c r="E259" s="43">
        <f t="shared" si="62"/>
        <v>539.20963411358071</v>
      </c>
      <c r="F259" s="69">
        <f t="shared" si="63"/>
        <v>0.50999678353600841</v>
      </c>
      <c r="G259" s="98">
        <f t="shared" si="64"/>
        <v>195.09735311177576</v>
      </c>
      <c r="H259" s="69">
        <f t="shared" si="65"/>
        <v>0.20320640912781693</v>
      </c>
      <c r="I259" s="69">
        <f t="shared" si="66"/>
        <v>-1.5707321620416475</v>
      </c>
      <c r="J259" s="99">
        <f t="shared" si="67"/>
        <v>1.5047746178408776E-2</v>
      </c>
      <c r="K259" s="69">
        <f t="shared" si="68"/>
        <v>4.4811264391189545E-4</v>
      </c>
      <c r="L259" s="99">
        <f t="shared" si="69"/>
        <v>1.5495858822320671E-2</v>
      </c>
      <c r="M259" s="69">
        <f t="shared" si="70"/>
        <v>13.113594506624745</v>
      </c>
      <c r="N259" s="69">
        <f t="shared" si="71"/>
        <v>5.9114014147283394</v>
      </c>
      <c r="O259" s="69">
        <f t="shared" si="72"/>
        <v>29.090624848402619</v>
      </c>
      <c r="P259" s="69">
        <f t="shared" si="73"/>
        <v>1.155449215957673</v>
      </c>
      <c r="Q259" s="69">
        <f t="shared" si="74"/>
        <v>0.79300560720956859</v>
      </c>
      <c r="R259" s="43">
        <f t="shared" si="75"/>
        <v>1084.7011043467674</v>
      </c>
      <c r="S259" s="43">
        <f t="shared" si="76"/>
        <v>1439.3460153480194</v>
      </c>
      <c r="T259" s="43">
        <f>R259+Thrust!C$33*0.8</f>
        <v>2896.4611043467676</v>
      </c>
      <c r="U259" s="43"/>
      <c r="V259">
        <f t="shared" si="80"/>
        <v>776109.23829864583</v>
      </c>
      <c r="W259">
        <f t="shared" si="81"/>
        <v>1561799.7322990384</v>
      </c>
      <c r="Y259">
        <f t="shared" si="82"/>
        <v>-2467.1022144592712</v>
      </c>
      <c r="Z259">
        <f t="shared" si="83"/>
        <v>-4.3734351650186989</v>
      </c>
      <c r="AA259">
        <f t="shared" si="77"/>
        <v>2497.5591862264137</v>
      </c>
      <c r="AB259">
        <f t="shared" si="84"/>
        <v>4.4275333408992035</v>
      </c>
      <c r="AC259">
        <f t="shared" si="78"/>
        <v>5.9959458138905415</v>
      </c>
      <c r="AD259">
        <f t="shared" si="79"/>
        <v>1915.5426361075854</v>
      </c>
      <c r="AE259">
        <f t="shared" si="85"/>
        <v>-607.87693573900424</v>
      </c>
      <c r="AG259">
        <v>3.6757859686676575</v>
      </c>
      <c r="AH259">
        <v>2497.5591862264137</v>
      </c>
      <c r="AI259">
        <f t="shared" si="86"/>
        <v>5904.7881034596239</v>
      </c>
      <c r="AJ259">
        <f t="shared" si="87"/>
        <v>984.79677547790106</v>
      </c>
      <c r="AN259" s="43"/>
      <c r="AO259" s="43"/>
      <c r="AP259" t="e">
        <f t="shared" si="88"/>
        <v>#DIV/0!</v>
      </c>
    </row>
    <row r="260" spans="1:42">
      <c r="A260">
        <v>241</v>
      </c>
      <c r="B260">
        <f t="shared" si="60"/>
        <v>241</v>
      </c>
      <c r="D260" s="43">
        <f t="shared" si="61"/>
        <v>320.80411055448349</v>
      </c>
      <c r="E260" s="43">
        <f t="shared" si="62"/>
        <v>541.45634092238731</v>
      </c>
      <c r="F260" s="69">
        <f t="shared" si="63"/>
        <v>0.51212177013407512</v>
      </c>
      <c r="G260" s="98">
        <f t="shared" si="64"/>
        <v>196.72655149453212</v>
      </c>
      <c r="H260" s="69">
        <f t="shared" si="65"/>
        <v>0.20152354755879295</v>
      </c>
      <c r="I260" s="69">
        <f t="shared" si="66"/>
        <v>-1.5849028970620223</v>
      </c>
      <c r="J260" s="99">
        <f t="shared" si="67"/>
        <v>1.5047746178408776E-2</v>
      </c>
      <c r="K260" s="69">
        <f t="shared" si="68"/>
        <v>4.3361813019339489E-4</v>
      </c>
      <c r="L260" s="99">
        <f t="shared" si="69"/>
        <v>1.5481364308602171E-2</v>
      </c>
      <c r="M260" s="69">
        <f t="shared" si="70"/>
        <v>13.017169775328977</v>
      </c>
      <c r="N260" s="69">
        <f t="shared" si="71"/>
        <v>5.8435863912266015</v>
      </c>
      <c r="O260" s="69">
        <f t="shared" si="72"/>
        <v>28.997040107790788</v>
      </c>
      <c r="P260" s="69">
        <f t="shared" si="73"/>
        <v>1.16026358769083</v>
      </c>
      <c r="Q260" s="69">
        <f t="shared" si="74"/>
        <v>0.79058802083469071</v>
      </c>
      <c r="R260" s="43">
        <f t="shared" si="75"/>
        <v>1076.9071311886396</v>
      </c>
      <c r="S260" s="43">
        <f t="shared" si="76"/>
        <v>1450.0079760635203</v>
      </c>
      <c r="T260" s="43">
        <f>R260+Thrust!C$33*0.8</f>
        <v>2888.6671311886394</v>
      </c>
      <c r="U260" s="43"/>
      <c r="V260">
        <f t="shared" si="80"/>
        <v>785116.01302763028</v>
      </c>
      <c r="W260">
        <f t="shared" si="81"/>
        <v>1564087.1349961704</v>
      </c>
      <c r="Y260">
        <f t="shared" si="82"/>
        <v>-2495.7330215447851</v>
      </c>
      <c r="Z260">
        <f t="shared" si="83"/>
        <v>-4.4058951712391794</v>
      </c>
      <c r="AA260">
        <f t="shared" si="77"/>
        <v>2476.1995930125781</v>
      </c>
      <c r="AB260">
        <f t="shared" si="84"/>
        <v>4.371344088865956</v>
      </c>
      <c r="AC260">
        <f t="shared" si="78"/>
        <v>5.9090911421605883</v>
      </c>
      <c r="AD260">
        <f t="shared" si="79"/>
        <v>1895.6607280462042</v>
      </c>
      <c r="AE260">
        <f t="shared" si="85"/>
        <v>-642.17584612769542</v>
      </c>
      <c r="AG260">
        <v>3.6209156271839733</v>
      </c>
      <c r="AH260">
        <v>2476.1995930125781</v>
      </c>
      <c r="AI260">
        <f t="shared" si="86"/>
        <v>5803.5951015694573</v>
      </c>
      <c r="AJ260">
        <f t="shared" si="87"/>
        <v>982.14682460413746</v>
      </c>
      <c r="AN260" s="43"/>
      <c r="AO260" s="43"/>
      <c r="AP260" t="e">
        <f t="shared" si="88"/>
        <v>#DIV/0!</v>
      </c>
    </row>
    <row r="261" spans="1:42">
      <c r="A261">
        <v>242</v>
      </c>
      <c r="B261">
        <f t="shared" si="60"/>
        <v>242</v>
      </c>
      <c r="D261" s="43">
        <f t="shared" si="61"/>
        <v>322.13524794267636</v>
      </c>
      <c r="E261" s="43">
        <f t="shared" si="62"/>
        <v>543.70304773119392</v>
      </c>
      <c r="F261" s="69">
        <f t="shared" si="63"/>
        <v>0.51424675673214182</v>
      </c>
      <c r="G261" s="98">
        <f t="shared" si="64"/>
        <v>198.36252409093817</v>
      </c>
      <c r="H261" s="69">
        <f t="shared" si="65"/>
        <v>0.19986150477703457</v>
      </c>
      <c r="I261" s="69">
        <f t="shared" si="66"/>
        <v>-1.5988983250201783</v>
      </c>
      <c r="J261" s="99">
        <f t="shared" si="67"/>
        <v>1.5047746178408776E-2</v>
      </c>
      <c r="K261" s="69">
        <f t="shared" si="68"/>
        <v>4.1953681262088842E-4</v>
      </c>
      <c r="L261" s="99">
        <f t="shared" si="69"/>
        <v>1.5467282991029665E-2</v>
      </c>
      <c r="M261" s="69">
        <f t="shared" si="70"/>
        <v>12.921565144501807</v>
      </c>
      <c r="N261" s="69">
        <f t="shared" si="71"/>
        <v>5.7766984555354952</v>
      </c>
      <c r="O261" s="69">
        <f t="shared" si="72"/>
        <v>28.903507266093975</v>
      </c>
      <c r="P261" s="69">
        <f t="shared" si="73"/>
        <v>1.1650779594239871</v>
      </c>
      <c r="Q261" s="69">
        <f t="shared" si="74"/>
        <v>0.78812629018812586</v>
      </c>
      <c r="R261" s="43">
        <f t="shared" si="75"/>
        <v>1069.1176879619729</v>
      </c>
      <c r="S261" s="43">
        <f t="shared" si="76"/>
        <v>1460.7363573159257</v>
      </c>
      <c r="T261" s="43">
        <f>R261+Thrust!C$33*0.8</f>
        <v>2880.8776879619727</v>
      </c>
      <c r="U261" s="43"/>
      <c r="V261">
        <f t="shared" si="80"/>
        <v>794206.80940443114</v>
      </c>
      <c r="W261">
        <f t="shared" si="81"/>
        <v>1566341.9790857199</v>
      </c>
      <c r="Y261">
        <f t="shared" si="82"/>
        <v>-2524.6309173120981</v>
      </c>
      <c r="Z261">
        <f t="shared" si="83"/>
        <v>-4.4385588229747599</v>
      </c>
      <c r="AA261">
        <f t="shared" si="77"/>
        <v>2454.4694135564146</v>
      </c>
      <c r="AB261">
        <f t="shared" si="84"/>
        <v>4.3149706434852382</v>
      </c>
      <c r="AC261">
        <f t="shared" si="78"/>
        <v>5.8232643135104958</v>
      </c>
      <c r="AD261">
        <f t="shared" si="79"/>
        <v>1875.8786934684424</v>
      </c>
      <c r="AE261">
        <f t="shared" si="85"/>
        <v>-676.84534275871442</v>
      </c>
      <c r="AG261">
        <v>3.5658354297435282</v>
      </c>
      <c r="AH261">
        <v>2454.4694135564146</v>
      </c>
      <c r="AI261">
        <f t="shared" si="86"/>
        <v>5703.8781588451784</v>
      </c>
      <c r="AJ261">
        <f t="shared" si="87"/>
        <v>979.49841390707081</v>
      </c>
      <c r="AN261" s="43"/>
      <c r="AO261" s="43"/>
      <c r="AP261" t="e">
        <f t="shared" si="88"/>
        <v>#DIV/0!</v>
      </c>
    </row>
    <row r="262" spans="1:42">
      <c r="A262">
        <v>243</v>
      </c>
      <c r="B262">
        <f t="shared" si="60"/>
        <v>243</v>
      </c>
      <c r="D262" s="43">
        <f t="shared" si="61"/>
        <v>323.46638533086923</v>
      </c>
      <c r="E262" s="43">
        <f t="shared" si="62"/>
        <v>545.94975454000041</v>
      </c>
      <c r="F262" s="69">
        <f t="shared" si="63"/>
        <v>0.51637174333020852</v>
      </c>
      <c r="G262" s="98">
        <f t="shared" si="64"/>
        <v>200.00527090099385</v>
      </c>
      <c r="H262" s="69">
        <f t="shared" si="65"/>
        <v>0.19821993879256647</v>
      </c>
      <c r="I262" s="69">
        <f t="shared" si="66"/>
        <v>-1.6127213256831798</v>
      </c>
      <c r="J262" s="99">
        <f t="shared" si="67"/>
        <v>1.5047746178408776E-2</v>
      </c>
      <c r="K262" s="69">
        <f t="shared" si="68"/>
        <v>4.0585713070625851E-4</v>
      </c>
      <c r="L262" s="99">
        <f t="shared" si="69"/>
        <v>1.5453603309115035E-2</v>
      </c>
      <c r="M262" s="69">
        <f t="shared" si="70"/>
        <v>12.826777990065912</v>
      </c>
      <c r="N262" s="69">
        <f t="shared" si="71"/>
        <v>5.710724993837462</v>
      </c>
      <c r="O262" s="69">
        <f t="shared" si="72"/>
        <v>28.810043170347416</v>
      </c>
      <c r="P262" s="69">
        <f t="shared" si="73"/>
        <v>1.1698923311571436</v>
      </c>
      <c r="Q262" s="69">
        <f t="shared" si="74"/>
        <v>0.78562041526987425</v>
      </c>
      <c r="R262" s="43">
        <f t="shared" si="75"/>
        <v>1061.3327187416876</v>
      </c>
      <c r="S262" s="43">
        <f t="shared" si="76"/>
        <v>1471.5308875399824</v>
      </c>
      <c r="T262" s="43">
        <f>R262+Thrust!C$33*0.8</f>
        <v>2873.0927187416873</v>
      </c>
      <c r="U262" s="43"/>
      <c r="V262">
        <f t="shared" si="80"/>
        <v>803381.92685048236</v>
      </c>
      <c r="W262">
        <f t="shared" si="81"/>
        <v>1568564.2645676867</v>
      </c>
      <c r="Y262">
        <f t="shared" si="82"/>
        <v>-2553.7968535644468</v>
      </c>
      <c r="Z262">
        <f t="shared" si="83"/>
        <v>-4.4714253309161389</v>
      </c>
      <c r="AA262">
        <f t="shared" si="77"/>
        <v>2432.3676960546891</v>
      </c>
      <c r="AB262">
        <f t="shared" si="84"/>
        <v>4.2584136478723442</v>
      </c>
      <c r="AC262">
        <f t="shared" si="78"/>
        <v>5.7384552256203358</v>
      </c>
      <c r="AD262">
        <f t="shared" si="79"/>
        <v>1856.1973692144479</v>
      </c>
      <c r="AE262">
        <f t="shared" si="85"/>
        <v>-711.88637743529534</v>
      </c>
      <c r="AG262">
        <v>3.5105459316798502</v>
      </c>
      <c r="AH262">
        <v>2432.3676960546891</v>
      </c>
      <c r="AI262">
        <f t="shared" si="86"/>
        <v>5605.6187346886918</v>
      </c>
      <c r="AJ262">
        <f t="shared" si="87"/>
        <v>976.8515243721738</v>
      </c>
      <c r="AN262" s="43"/>
      <c r="AO262" s="43"/>
      <c r="AP262" t="e">
        <f t="shared" si="88"/>
        <v>#DIV/0!</v>
      </c>
    </row>
    <row r="263" spans="1:42">
      <c r="A263">
        <v>244</v>
      </c>
      <c r="B263">
        <f t="shared" si="60"/>
        <v>244</v>
      </c>
      <c r="D263" s="43">
        <f t="shared" si="61"/>
        <v>324.7975227190621</v>
      </c>
      <c r="E263" s="43">
        <f t="shared" si="62"/>
        <v>548.19646134880702</v>
      </c>
      <c r="F263" s="69">
        <f t="shared" si="63"/>
        <v>0.51849672992827522</v>
      </c>
      <c r="G263" s="98">
        <f t="shared" si="64"/>
        <v>201.65479192469931</v>
      </c>
      <c r="H263" s="69">
        <f t="shared" si="65"/>
        <v>0.19659851460901398</v>
      </c>
      <c r="I263" s="69">
        <f t="shared" si="66"/>
        <v>-1.6263747199276486</v>
      </c>
      <c r="J263" s="99">
        <f t="shared" si="67"/>
        <v>1.5047746178408776E-2</v>
      </c>
      <c r="K263" s="69">
        <f t="shared" si="68"/>
        <v>3.9256787677734086E-4</v>
      </c>
      <c r="L263" s="99">
        <f t="shared" si="69"/>
        <v>1.5440314055186118E-2</v>
      </c>
      <c r="M263" s="69">
        <f t="shared" si="70"/>
        <v>12.732805427813183</v>
      </c>
      <c r="N263" s="69">
        <f t="shared" si="71"/>
        <v>5.6456534837583403</v>
      </c>
      <c r="O263" s="69">
        <f t="shared" si="72"/>
        <v>28.716663983886924</v>
      </c>
      <c r="P263" s="69">
        <f t="shared" si="73"/>
        <v>1.1747067028903007</v>
      </c>
      <c r="Q263" s="69">
        <f t="shared" si="74"/>
        <v>0.78307039607993567</v>
      </c>
      <c r="R263" s="43">
        <f t="shared" si="75"/>
        <v>1053.5521685195085</v>
      </c>
      <c r="S263" s="43">
        <f t="shared" si="76"/>
        <v>1482.391300723875</v>
      </c>
      <c r="T263" s="43">
        <f>R263+Thrust!C$33*0.8</f>
        <v>2865.3121685195083</v>
      </c>
      <c r="U263" s="43"/>
      <c r="V263">
        <f t="shared" si="80"/>
        <v>812641.66539108357</v>
      </c>
      <c r="W263">
        <f t="shared" si="81"/>
        <v>1570753.991442071</v>
      </c>
      <c r="Y263">
        <f t="shared" si="82"/>
        <v>-2583.2317840246365</v>
      </c>
      <c r="Z263">
        <f t="shared" si="83"/>
        <v>-4.5044939230886056</v>
      </c>
      <c r="AA263">
        <f t="shared" si="77"/>
        <v>2409.893486784596</v>
      </c>
      <c r="AB263">
        <f t="shared" si="84"/>
        <v>4.2016737298982738</v>
      </c>
      <c r="AC263">
        <f t="shared" si="78"/>
        <v>5.654653718247701</v>
      </c>
      <c r="AD263">
        <f t="shared" si="79"/>
        <v>1836.6175195209869</v>
      </c>
      <c r="AE263">
        <f t="shared" si="85"/>
        <v>-747.29990388024487</v>
      </c>
      <c r="AG263">
        <v>3.4550476751203529</v>
      </c>
      <c r="AH263">
        <v>2409.893486784596</v>
      </c>
      <c r="AI263">
        <f t="shared" si="86"/>
        <v>5508.7983566041348</v>
      </c>
      <c r="AJ263">
        <f t="shared" si="87"/>
        <v>974.20613729663285</v>
      </c>
      <c r="AN263" s="43"/>
      <c r="AO263" s="43"/>
      <c r="AP263" t="e">
        <f t="shared" si="88"/>
        <v>#DIV/0!</v>
      </c>
    </row>
    <row r="264" spans="1:42">
      <c r="A264">
        <v>245</v>
      </c>
      <c r="B264">
        <f t="shared" si="60"/>
        <v>245</v>
      </c>
      <c r="D264" s="43">
        <f t="shared" si="61"/>
        <v>326.12866010725497</v>
      </c>
      <c r="E264" s="43">
        <f t="shared" si="62"/>
        <v>550.44316815761363</v>
      </c>
      <c r="F264" s="69">
        <f t="shared" si="63"/>
        <v>0.52062171652634193</v>
      </c>
      <c r="G264" s="98">
        <f t="shared" si="64"/>
        <v>203.31108716205455</v>
      </c>
      <c r="H264" s="69">
        <f t="shared" si="65"/>
        <v>0.19499690405268227</v>
      </c>
      <c r="I264" s="69">
        <f t="shared" si="66"/>
        <v>-1.6398612711790237</v>
      </c>
      <c r="J264" s="99">
        <f t="shared" si="67"/>
        <v>1.5047746178408776E-2</v>
      </c>
      <c r="K264" s="69">
        <f t="shared" si="68"/>
        <v>3.7965818405639616E-4</v>
      </c>
      <c r="L264" s="99">
        <f t="shared" si="69"/>
        <v>1.5427404362465173E-2</v>
      </c>
      <c r="M264" s="69">
        <f t="shared" si="70"/>
        <v>12.639644328446407</v>
      </c>
      <c r="N264" s="69">
        <f t="shared" si="71"/>
        <v>5.5814714991433227</v>
      </c>
      <c r="O264" s="69">
        <f t="shared" si="72"/>
        <v>28.623385208389656</v>
      </c>
      <c r="P264" s="69">
        <f t="shared" si="73"/>
        <v>1.1795210746234579</v>
      </c>
      <c r="Q264" s="69">
        <f t="shared" si="74"/>
        <v>0.78047623261831056</v>
      </c>
      <c r="R264" s="43">
        <f t="shared" si="75"/>
        <v>1045.7759831852547</v>
      </c>
      <c r="S264" s="43">
        <f t="shared" si="76"/>
        <v>1493.3173362734967</v>
      </c>
      <c r="T264" s="43">
        <f>R264+Thrust!C$33*0.8</f>
        <v>2857.5359831852547</v>
      </c>
      <c r="U264" s="43"/>
      <c r="V264">
        <f t="shared" si="80"/>
        <v>821986.32564307202</v>
      </c>
      <c r="W264">
        <f t="shared" si="81"/>
        <v>1572911.1597088729</v>
      </c>
      <c r="Y264">
        <f t="shared" si="82"/>
        <v>-2612.9366642958585</v>
      </c>
      <c r="Z264">
        <f t="shared" si="83"/>
        <v>-4.5377638444440613</v>
      </c>
      <c r="AA264">
        <f t="shared" si="77"/>
        <v>2387.0458301429435</v>
      </c>
      <c r="AB264">
        <f t="shared" si="84"/>
        <v>4.1447515025473756</v>
      </c>
      <c r="AC264">
        <f t="shared" si="78"/>
        <v>5.5718495836005406</v>
      </c>
      <c r="AD264">
        <f t="shared" si="79"/>
        <v>1817.139839018811</v>
      </c>
      <c r="AE264">
        <f t="shared" si="85"/>
        <v>-783.08687769675373</v>
      </c>
      <c r="AG264">
        <v>3.3993411892844025</v>
      </c>
      <c r="AH264">
        <v>2387.0458301429435</v>
      </c>
      <c r="AI264">
        <f t="shared" si="86"/>
        <v>5413.3986305316703</v>
      </c>
      <c r="AJ264">
        <f t="shared" si="87"/>
        <v>971.56223428298665</v>
      </c>
      <c r="AN264" s="43"/>
      <c r="AO264" s="43"/>
      <c r="AP264" t="e">
        <f t="shared" si="88"/>
        <v>#DIV/0!</v>
      </c>
    </row>
    <row r="265" spans="1:42">
      <c r="A265">
        <v>246</v>
      </c>
      <c r="B265">
        <f t="shared" si="60"/>
        <v>246</v>
      </c>
      <c r="D265" s="43">
        <f t="shared" si="61"/>
        <v>327.45979749544784</v>
      </c>
      <c r="E265" s="43">
        <f t="shared" si="62"/>
        <v>552.68987496642012</v>
      </c>
      <c r="F265" s="69">
        <f t="shared" si="63"/>
        <v>0.52274670312440852</v>
      </c>
      <c r="G265" s="98">
        <f t="shared" si="64"/>
        <v>204.97415661305936</v>
      </c>
      <c r="H265" s="69">
        <f t="shared" si="65"/>
        <v>0.1934147856064885</v>
      </c>
      <c r="I265" s="69">
        <f t="shared" si="66"/>
        <v>-1.6531836868099554</v>
      </c>
      <c r="J265" s="99">
        <f t="shared" si="67"/>
        <v>1.5047746178408776E-2</v>
      </c>
      <c r="K265" s="69">
        <f t="shared" si="68"/>
        <v>3.671175151835238E-4</v>
      </c>
      <c r="L265" s="99">
        <f t="shared" si="69"/>
        <v>1.5414863693592301E-2</v>
      </c>
      <c r="M265" s="69">
        <f t="shared" si="70"/>
        <v>12.547291331994572</v>
      </c>
      <c r="N265" s="69">
        <f t="shared" si="71"/>
        <v>5.5181667144410023</v>
      </c>
      <c r="O265" s="69">
        <f t="shared" si="72"/>
        <v>28.530221705324909</v>
      </c>
      <c r="P265" s="69">
        <f t="shared" si="73"/>
        <v>1.1843354463566147</v>
      </c>
      <c r="Q265" s="69">
        <f t="shared" si="74"/>
        <v>0.77783792488499848</v>
      </c>
      <c r="R265" s="43">
        <f t="shared" si="75"/>
        <v>1038.004109508586</v>
      </c>
      <c r="S265" s="43">
        <f t="shared" si="76"/>
        <v>1504.3087388805811</v>
      </c>
      <c r="T265" s="43">
        <f>R265+Thrust!C$33*0.8</f>
        <v>2849.764109508586</v>
      </c>
      <c r="U265" s="43"/>
      <c r="V265">
        <f t="shared" si="80"/>
        <v>831416.20880280156</v>
      </c>
      <c r="W265">
        <f t="shared" si="81"/>
        <v>1575035.7693680921</v>
      </c>
      <c r="Y265">
        <f t="shared" si="82"/>
        <v>-2642.9124518234748</v>
      </c>
      <c r="Z265">
        <f t="shared" si="83"/>
        <v>-4.5712343564648101</v>
      </c>
      <c r="AA265">
        <f t="shared" si="77"/>
        <v>2363.8237686843672</v>
      </c>
      <c r="AB265">
        <f t="shared" si="84"/>
        <v>4.0876475642644063</v>
      </c>
      <c r="AC265">
        <f t="shared" si="78"/>
        <v>5.4900325761458548</v>
      </c>
      <c r="AD265">
        <f t="shared" si="79"/>
        <v>1797.7649556281337</v>
      </c>
      <c r="AE265">
        <f t="shared" si="85"/>
        <v>-819.24825633018577</v>
      </c>
      <c r="AG265">
        <v>3.3434269907725227</v>
      </c>
      <c r="AH265">
        <v>2363.8237686843672</v>
      </c>
      <c r="AI265">
        <f t="shared" si="86"/>
        <v>5319.4012504813636</v>
      </c>
      <c r="AJ265">
        <f t="shared" si="87"/>
        <v>968.91979723291934</v>
      </c>
      <c r="AN265" s="43"/>
      <c r="AO265" s="43"/>
      <c r="AP265" t="e">
        <f t="shared" si="88"/>
        <v>#DIV/0!</v>
      </c>
    </row>
    <row r="266" spans="1:42">
      <c r="A266">
        <v>247</v>
      </c>
      <c r="B266">
        <f t="shared" si="60"/>
        <v>247</v>
      </c>
      <c r="D266" s="43">
        <f t="shared" si="61"/>
        <v>328.79093488364072</v>
      </c>
      <c r="E266" s="43">
        <f t="shared" si="62"/>
        <v>554.93658177522673</v>
      </c>
      <c r="F266" s="69">
        <f t="shared" si="63"/>
        <v>0.52487168972247522</v>
      </c>
      <c r="G266" s="98">
        <f t="shared" si="64"/>
        <v>206.64400027771399</v>
      </c>
      <c r="H266" s="69">
        <f t="shared" si="65"/>
        <v>0.19185184424859048</v>
      </c>
      <c r="I266" s="69">
        <f t="shared" si="66"/>
        <v>-1.6663446194991502</v>
      </c>
      <c r="J266" s="99">
        <f t="shared" si="67"/>
        <v>1.5047746178408776E-2</v>
      </c>
      <c r="K266" s="69">
        <f t="shared" si="68"/>
        <v>3.5493565116679124E-4</v>
      </c>
      <c r="L266" s="99">
        <f t="shared" si="69"/>
        <v>1.5402681829575568E-2</v>
      </c>
      <c r="M266" s="69">
        <f t="shared" si="70"/>
        <v>12.45574286162328</v>
      </c>
      <c r="N266" s="69">
        <f t="shared" si="71"/>
        <v>5.4557269087159286</v>
      </c>
      <c r="O266" s="69">
        <f t="shared" si="72"/>
        <v>28.43718771682337</v>
      </c>
      <c r="P266" s="69">
        <f t="shared" si="73"/>
        <v>1.1891498180897717</v>
      </c>
      <c r="Q266" s="69">
        <f t="shared" si="74"/>
        <v>0.77515547287999986</v>
      </c>
      <c r="R266" s="43">
        <f t="shared" si="75"/>
        <v>1030.2364951211912</v>
      </c>
      <c r="S266" s="43">
        <f t="shared" si="76"/>
        <v>1515.3652583945634</v>
      </c>
      <c r="T266" s="43">
        <f>R266+Thrust!C$33*0.8</f>
        <v>2841.9964951211914</v>
      </c>
      <c r="U266" s="43"/>
      <c r="V266">
        <f t="shared" si="80"/>
        <v>840931.6166344122</v>
      </c>
      <c r="W266">
        <f t="shared" si="81"/>
        <v>1577127.8204197288</v>
      </c>
      <c r="Y266">
        <f t="shared" si="82"/>
        <v>-2673.1601058577339</v>
      </c>
      <c r="Z266">
        <f t="shared" si="83"/>
        <v>-4.6049047367786846</v>
      </c>
      <c r="AA266">
        <f t="shared" si="77"/>
        <v>2340.2263431586221</v>
      </c>
      <c r="AB266">
        <f t="shared" si="84"/>
        <v>4.0303624992913569</v>
      </c>
      <c r="AC266">
        <f t="shared" si="78"/>
        <v>5.4091924218784131</v>
      </c>
      <c r="AD266">
        <f t="shared" si="79"/>
        <v>1778.4934333549081</v>
      </c>
      <c r="AE266">
        <f t="shared" si="85"/>
        <v>-855.78499903078659</v>
      </c>
      <c r="AG266">
        <v>3.2873055838470027</v>
      </c>
      <c r="AH266">
        <v>2340.2263431586221</v>
      </c>
      <c r="AI266">
        <f t="shared" si="86"/>
        <v>5226.7880075009507</v>
      </c>
      <c r="AJ266">
        <f t="shared" si="87"/>
        <v>966.27880834120515</v>
      </c>
      <c r="AN266" s="43"/>
      <c r="AO266" s="43"/>
      <c r="AP266" t="e">
        <f t="shared" si="88"/>
        <v>#DIV/0!</v>
      </c>
    </row>
    <row r="267" spans="1:42">
      <c r="A267">
        <v>248</v>
      </c>
      <c r="B267">
        <f t="shared" si="60"/>
        <v>248</v>
      </c>
      <c r="D267" s="43">
        <f t="shared" si="61"/>
        <v>330.12207227183359</v>
      </c>
      <c r="E267" s="43">
        <f t="shared" si="62"/>
        <v>557.18328858403333</v>
      </c>
      <c r="F267" s="69">
        <f t="shared" si="63"/>
        <v>0.52699667632054192</v>
      </c>
      <c r="G267" s="98">
        <f t="shared" si="64"/>
        <v>208.3206181560183</v>
      </c>
      <c r="H267" s="69">
        <f t="shared" si="65"/>
        <v>0.19030777129556223</v>
      </c>
      <c r="I267" s="69">
        <f t="shared" si="66"/>
        <v>-1.679346668551932</v>
      </c>
      <c r="J267" s="99">
        <f t="shared" si="67"/>
        <v>1.5047746178408776E-2</v>
      </c>
      <c r="K267" s="69">
        <f t="shared" si="68"/>
        <v>3.4310268074167957E-4</v>
      </c>
      <c r="L267" s="99">
        <f t="shared" si="69"/>
        <v>1.5390848859150456E-2</v>
      </c>
      <c r="M267" s="69">
        <f t="shared" si="70"/>
        <v>12.364995136861271</v>
      </c>
      <c r="N267" s="69">
        <f t="shared" si="71"/>
        <v>5.3941399693094016</v>
      </c>
      <c r="O267" s="69">
        <f t="shared" si="72"/>
        <v>28.344296885973719</v>
      </c>
      <c r="P267" s="69">
        <f t="shared" si="73"/>
        <v>1.1939641898229285</v>
      </c>
      <c r="Q267" s="69">
        <f t="shared" si="74"/>
        <v>0.7724288766033145</v>
      </c>
      <c r="R267" s="43">
        <f t="shared" si="75"/>
        <v>1022.4730884994099</v>
      </c>
      <c r="S267" s="43">
        <f t="shared" si="76"/>
        <v>1526.4866496980467</v>
      </c>
      <c r="T267" s="43">
        <f>R267+Thrust!C$33*0.8</f>
        <v>2834.2330884994099</v>
      </c>
      <c r="U267" s="43"/>
      <c r="V267">
        <f t="shared" si="80"/>
        <v>850532.85145838093</v>
      </c>
      <c r="W267">
        <f t="shared" si="81"/>
        <v>1579187.3128637827</v>
      </c>
      <c r="Y267">
        <f t="shared" si="82"/>
        <v>-2703.6805874173697</v>
      </c>
      <c r="Z267">
        <f t="shared" si="83"/>
        <v>-4.6387742787851529</v>
      </c>
      <c r="AA267">
        <f t="shared" si="77"/>
        <v>2316.2525925469727</v>
      </c>
      <c r="AB267">
        <f t="shared" si="84"/>
        <v>3.9728968779944149</v>
      </c>
      <c r="AC267">
        <f t="shared" si="78"/>
        <v>5.3293188270726874</v>
      </c>
      <c r="AD267">
        <f t="shared" si="79"/>
        <v>1759.3257749905331</v>
      </c>
      <c r="AE267">
        <f t="shared" si="85"/>
        <v>-892.69806681729176</v>
      </c>
      <c r="AG267">
        <v>3.2309774607042203</v>
      </c>
      <c r="AH267">
        <v>2316.2525925469727</v>
      </c>
      <c r="AI267">
        <f t="shared" si="86"/>
        <v>5135.5407980097743</v>
      </c>
      <c r="AJ267">
        <f t="shared" si="87"/>
        <v>963.63925008979948</v>
      </c>
      <c r="AN267" s="43"/>
      <c r="AO267" s="43"/>
      <c r="AP267" t="e">
        <f t="shared" si="88"/>
        <v>#DIV/0!</v>
      </c>
    </row>
    <row r="268" spans="1:42">
      <c r="A268">
        <v>249</v>
      </c>
      <c r="B268">
        <f t="shared" si="60"/>
        <v>249</v>
      </c>
      <c r="D268" s="43">
        <f t="shared" si="61"/>
        <v>331.45320966002652</v>
      </c>
      <c r="E268" s="43">
        <f t="shared" si="62"/>
        <v>559.42999539284006</v>
      </c>
      <c r="F268" s="69">
        <f t="shared" si="63"/>
        <v>0.52912166291860885</v>
      </c>
      <c r="G268" s="98">
        <f t="shared" si="64"/>
        <v>210.00401024797242</v>
      </c>
      <c r="H268" s="69">
        <f t="shared" si="65"/>
        <v>0.18878226424996777</v>
      </c>
      <c r="I268" s="69">
        <f t="shared" si="66"/>
        <v>-1.6921923811837627</v>
      </c>
      <c r="J268" s="99">
        <f t="shared" si="67"/>
        <v>1.5047746178408776E-2</v>
      </c>
      <c r="K268" s="69">
        <f t="shared" si="68"/>
        <v>3.3160899012318158E-4</v>
      </c>
      <c r="L268" s="99">
        <f t="shared" si="69"/>
        <v>1.5379355168531958E-2</v>
      </c>
      <c r="M268" s="69">
        <f t="shared" si="70"/>
        <v>12.275044186263374</v>
      </c>
      <c r="N268" s="69">
        <f t="shared" si="71"/>
        <v>5.3333938951671822</v>
      </c>
      <c r="O268" s="69">
        <f t="shared" si="72"/>
        <v>28.25156227655582</v>
      </c>
      <c r="P268" s="69">
        <f t="shared" si="73"/>
        <v>1.1987785615560858</v>
      </c>
      <c r="Q268" s="69">
        <f t="shared" si="74"/>
        <v>0.76965813605494215</v>
      </c>
      <c r="R268" s="43">
        <f t="shared" si="75"/>
        <v>1014.7138389472706</v>
      </c>
      <c r="S268" s="43">
        <f t="shared" si="76"/>
        <v>1537.6726725857684</v>
      </c>
      <c r="T268" s="43">
        <f>R268+Thrust!C$33*0.8</f>
        <v>2826.4738389472705</v>
      </c>
      <c r="U268" s="43"/>
      <c r="V268">
        <f t="shared" si="80"/>
        <v>860220.21614035242</v>
      </c>
      <c r="W268">
        <f t="shared" si="81"/>
        <v>1581214.2467002545</v>
      </c>
      <c r="Y268">
        <f t="shared" si="82"/>
        <v>-2734.4748592541005</v>
      </c>
      <c r="Z268">
        <f t="shared" si="83"/>
        <v>-4.6728422912920848</v>
      </c>
      <c r="AA268">
        <f t="shared" si="77"/>
        <v>2291.901554097702</v>
      </c>
      <c r="AB268">
        <f t="shared" si="84"/>
        <v>3.9152512571813358</v>
      </c>
      <c r="AC268">
        <f t="shared" si="78"/>
        <v>5.2504014865404915</v>
      </c>
      <c r="AD268">
        <f t="shared" si="79"/>
        <v>1740.2624247176207</v>
      </c>
      <c r="AE268">
        <f t="shared" si="85"/>
        <v>-929.98842244141929</v>
      </c>
      <c r="AG268">
        <v>3.1744431017389108</v>
      </c>
      <c r="AH268">
        <v>2291.901554097702</v>
      </c>
      <c r="AI268">
        <f t="shared" si="86"/>
        <v>5045.6416315300303</v>
      </c>
      <c r="AJ268">
        <f t="shared" si="87"/>
        <v>961.00110524207207</v>
      </c>
      <c r="AN268" s="43"/>
      <c r="AO268" s="43"/>
      <c r="AP268" t="e">
        <f t="shared" si="88"/>
        <v>#DIV/0!</v>
      </c>
    </row>
    <row r="269" spans="1:42">
      <c r="A269">
        <v>250</v>
      </c>
      <c r="B269">
        <f t="shared" si="60"/>
        <v>250</v>
      </c>
      <c r="D269" s="43">
        <f t="shared" si="61"/>
        <v>332.78434704821939</v>
      </c>
      <c r="E269" s="43">
        <f t="shared" si="62"/>
        <v>561.67670220164655</v>
      </c>
      <c r="F269" s="69">
        <f t="shared" si="63"/>
        <v>0.53124664951667544</v>
      </c>
      <c r="G269" s="98">
        <f t="shared" si="64"/>
        <v>211.69417655357611</v>
      </c>
      <c r="H269" s="69">
        <f t="shared" si="65"/>
        <v>0.18727502665219609</v>
      </c>
      <c r="I269" s="69">
        <f t="shared" si="66"/>
        <v>-1.704884253767885</v>
      </c>
      <c r="J269" s="99">
        <f t="shared" si="67"/>
        <v>1.5047746178408776E-2</v>
      </c>
      <c r="K269" s="69">
        <f t="shared" si="68"/>
        <v>3.2044525313467819E-4</v>
      </c>
      <c r="L269" s="99">
        <f t="shared" si="69"/>
        <v>1.5368191431543455E-2</v>
      </c>
      <c r="M269" s="69">
        <f t="shared" si="70"/>
        <v>12.185885859530039</v>
      </c>
      <c r="N269" s="69">
        <f t="shared" si="71"/>
        <v>5.2734767998521486</v>
      </c>
      <c r="O269" s="69">
        <f t="shared" si="72"/>
        <v>28.158996392220295</v>
      </c>
      <c r="P269" s="69">
        <f t="shared" si="73"/>
        <v>1.2035929332892426</v>
      </c>
      <c r="Q269" s="69">
        <f t="shared" si="74"/>
        <v>0.76684325123488351</v>
      </c>
      <c r="R269" s="43">
        <f t="shared" si="75"/>
        <v>1006.9586965799385</v>
      </c>
      <c r="S269" s="43">
        <f t="shared" si="76"/>
        <v>1548.9230916469403</v>
      </c>
      <c r="T269" s="43">
        <f>R269+Thrust!C$33*0.8</f>
        <v>2818.7186965799383</v>
      </c>
      <c r="U269" s="43"/>
      <c r="V269">
        <f t="shared" si="80"/>
        <v>869994.01408023213</v>
      </c>
      <c r="W269">
        <f t="shared" si="81"/>
        <v>1583208.6219291433</v>
      </c>
      <c r="Y269">
        <f t="shared" si="82"/>
        <v>-2765.5438858179568</v>
      </c>
      <c r="Z269">
        <f t="shared" si="83"/>
        <v>-4.7071080981627924</v>
      </c>
      <c r="AA269">
        <f t="shared" si="77"/>
        <v>2267.1722633607774</v>
      </c>
      <c r="AB269">
        <f t="shared" si="84"/>
        <v>3.8574261804095791</v>
      </c>
      <c r="AC269">
        <f t="shared" si="78"/>
        <v>5.172430091416012</v>
      </c>
      <c r="AD269">
        <f t="shared" si="79"/>
        <v>1721.303770624439</v>
      </c>
      <c r="AE269">
        <f t="shared" si="85"/>
        <v>-967.65703035319893</v>
      </c>
      <c r="AG269">
        <v>3.1177029758007024</v>
      </c>
      <c r="AH269">
        <v>2267.1722633607774</v>
      </c>
      <c r="AI269">
        <f t="shared" si="86"/>
        <v>4957.0726378451782</v>
      </c>
      <c r="AJ269">
        <f t="shared" si="87"/>
        <v>958.36435683717912</v>
      </c>
      <c r="AN269" s="43"/>
      <c r="AO269" s="43"/>
      <c r="AP269" t="e">
        <f t="shared" si="88"/>
        <v>#DIV/0!</v>
      </c>
    </row>
    <row r="270" spans="1:42">
      <c r="A270">
        <v>251</v>
      </c>
      <c r="B270">
        <f t="shared" si="60"/>
        <v>251</v>
      </c>
      <c r="D270" s="43">
        <f t="shared" si="61"/>
        <v>334.11548443641226</v>
      </c>
      <c r="E270" s="43">
        <f t="shared" si="62"/>
        <v>563.92340901045316</v>
      </c>
      <c r="F270" s="69">
        <f t="shared" si="63"/>
        <v>0.53337163611474214</v>
      </c>
      <c r="G270" s="98">
        <f t="shared" si="64"/>
        <v>213.39111707282959</v>
      </c>
      <c r="H270" s="69">
        <f t="shared" si="65"/>
        <v>0.18578576793641777</v>
      </c>
      <c r="I270" s="69">
        <f t="shared" si="66"/>
        <v>-1.7174247330482564</v>
      </c>
      <c r="J270" s="99">
        <f t="shared" si="67"/>
        <v>1.5047746178408776E-2</v>
      </c>
      <c r="K270" s="69">
        <f t="shared" si="68"/>
        <v>3.096024216983631E-4</v>
      </c>
      <c r="L270" s="99">
        <f t="shared" si="69"/>
        <v>1.5357348600107139E-2</v>
      </c>
      <c r="M270" s="69">
        <f t="shared" si="70"/>
        <v>12.097515839102698</v>
      </c>
      <c r="N270" s="69">
        <f t="shared" si="71"/>
        <v>5.2143769142590379</v>
      </c>
      <c r="O270" s="69">
        <f t="shared" si="72"/>
        <v>28.066611195124349</v>
      </c>
      <c r="P270" s="69">
        <f t="shared" si="73"/>
        <v>1.2084073050223996</v>
      </c>
      <c r="Q270" s="69">
        <f t="shared" si="74"/>
        <v>0.76398422214313788</v>
      </c>
      <c r="R270" s="43">
        <f t="shared" si="75"/>
        <v>999.20761230755443</v>
      </c>
      <c r="S270" s="43">
        <f t="shared" si="76"/>
        <v>1560.2376761508754</v>
      </c>
      <c r="T270" s="43">
        <f>R270+Thrust!C$33*0.8</f>
        <v>2810.9676123075542</v>
      </c>
      <c r="U270" s="43"/>
      <c r="V270">
        <f t="shared" si="80"/>
        <v>879854.54920154903</v>
      </c>
      <c r="W270">
        <f t="shared" si="81"/>
        <v>1585170.4385504499</v>
      </c>
      <c r="Y270">
        <f t="shared" si="82"/>
        <v>-2796.888633223467</v>
      </c>
      <c r="Z270">
        <f t="shared" si="83"/>
        <v>-4.7415710379730731</v>
      </c>
      <c r="AA270">
        <f t="shared" si="77"/>
        <v>2242.0637542216714</v>
      </c>
      <c r="AB270">
        <f t="shared" si="84"/>
        <v>3.7994221782854396</v>
      </c>
      <c r="AC270">
        <f t="shared" si="78"/>
        <v>5.0953943364890364</v>
      </c>
      <c r="AD270">
        <f t="shared" si="79"/>
        <v>1702.4501471305859</v>
      </c>
      <c r="AE270">
        <f t="shared" si="85"/>
        <v>-1005.704856667161</v>
      </c>
      <c r="AG270">
        <v>3.0607575404430416</v>
      </c>
      <c r="AH270">
        <v>2242.0637542216714</v>
      </c>
      <c r="AI270">
        <f t="shared" si="86"/>
        <v>4869.8160736140471</v>
      </c>
      <c r="AJ270">
        <f t="shared" si="87"/>
        <v>955.72898818456849</v>
      </c>
      <c r="AN270" s="43"/>
      <c r="AO270" s="43"/>
      <c r="AP270" t="e">
        <f t="shared" si="88"/>
        <v>#DIV/0!</v>
      </c>
    </row>
    <row r="271" spans="1:42">
      <c r="A271">
        <v>252</v>
      </c>
      <c r="B271">
        <f t="shared" si="60"/>
        <v>252</v>
      </c>
      <c r="D271" s="43">
        <f t="shared" si="61"/>
        <v>335.44662182460513</v>
      </c>
      <c r="E271" s="43">
        <f t="shared" si="62"/>
        <v>566.17011581925976</v>
      </c>
      <c r="F271" s="69">
        <f t="shared" si="63"/>
        <v>0.53549662271280885</v>
      </c>
      <c r="G271" s="98">
        <f t="shared" si="64"/>
        <v>215.09483180573278</v>
      </c>
      <c r="H271" s="69">
        <f t="shared" si="65"/>
        <v>0.18431420329053691</v>
      </c>
      <c r="I271" s="69">
        <f t="shared" si="66"/>
        <v>-1.7298162173188392</v>
      </c>
      <c r="J271" s="99">
        <f t="shared" si="67"/>
        <v>1.5047746178408776E-2</v>
      </c>
      <c r="K271" s="69">
        <f t="shared" si="68"/>
        <v>2.990717166727141E-4</v>
      </c>
      <c r="L271" s="99">
        <f t="shared" si="69"/>
        <v>1.534681789508149E-2</v>
      </c>
      <c r="M271" s="69">
        <f t="shared" si="70"/>
        <v>12.009929651254145</v>
      </c>
      <c r="N271" s="69">
        <f t="shared" si="71"/>
        <v>5.156082589047716</v>
      </c>
      <c r="O271" s="69">
        <f t="shared" si="72"/>
        <v>27.97441812403418</v>
      </c>
      <c r="P271" s="69">
        <f t="shared" si="73"/>
        <v>1.2132216767555568</v>
      </c>
      <c r="Q271" s="69">
        <f t="shared" si="74"/>
        <v>0.7610810487797055</v>
      </c>
      <c r="R271" s="43">
        <f t="shared" si="75"/>
        <v>991.46053781946432</v>
      </c>
      <c r="S271" s="43">
        <f t="shared" si="76"/>
        <v>1571.6161999357728</v>
      </c>
      <c r="T271" s="43">
        <f>R271+Thrust!C$33*0.8</f>
        <v>2803.2205378194644</v>
      </c>
      <c r="U271" s="43"/>
      <c r="V271">
        <f t="shared" si="80"/>
        <v>889802.12594106141</v>
      </c>
      <c r="W271">
        <f t="shared" si="81"/>
        <v>1587099.6965641738</v>
      </c>
      <c r="Y271">
        <f t="shared" si="82"/>
        <v>-2828.5100692166188</v>
      </c>
      <c r="Z271">
        <f t="shared" si="83"/>
        <v>-4.7762304636778836</v>
      </c>
      <c r="AA271">
        <f t="shared" si="77"/>
        <v>2216.575058934397</v>
      </c>
      <c r="AB271">
        <f t="shared" si="84"/>
        <v>3.7412397687545607</v>
      </c>
      <c r="AC271">
        <f t="shared" si="78"/>
        <v>5.0192839271067209</v>
      </c>
      <c r="AD271">
        <f t="shared" si="79"/>
        <v>1683.7018373264871</v>
      </c>
      <c r="AE271">
        <f t="shared" si="85"/>
        <v>-1044.132869129292</v>
      </c>
      <c r="AG271">
        <v>3.0036072421649291</v>
      </c>
      <c r="AH271">
        <v>2216.575058934397</v>
      </c>
      <c r="AI271">
        <f t="shared" si="86"/>
        <v>4783.8543284683165</v>
      </c>
      <c r="AJ271">
        <f t="shared" si="87"/>
        <v>953.09498285861798</v>
      </c>
      <c r="AN271" s="43"/>
      <c r="AO271" s="43"/>
      <c r="AP271" t="e">
        <f t="shared" si="88"/>
        <v>#DIV/0!</v>
      </c>
    </row>
    <row r="272" spans="1:42">
      <c r="A272">
        <v>253</v>
      </c>
      <c r="B272">
        <f t="shared" si="60"/>
        <v>253</v>
      </c>
      <c r="D272" s="43">
        <f t="shared" si="61"/>
        <v>336.777759212798</v>
      </c>
      <c r="E272" s="43">
        <f t="shared" si="62"/>
        <v>568.41682262806626</v>
      </c>
      <c r="F272" s="69">
        <f t="shared" si="63"/>
        <v>0.53762160931087544</v>
      </c>
      <c r="G272" s="98">
        <f t="shared" si="64"/>
        <v>216.80532075228561</v>
      </c>
      <c r="H272" s="69">
        <f t="shared" si="65"/>
        <v>0.18286005352000903</v>
      </c>
      <c r="I272" s="69">
        <f t="shared" si="66"/>
        <v>-1.7420610575703406</v>
      </c>
      <c r="J272" s="99">
        <f t="shared" si="67"/>
        <v>1.5047746178408776E-2</v>
      </c>
      <c r="K272" s="69">
        <f t="shared" si="68"/>
        <v>2.888446190230936E-4</v>
      </c>
      <c r="L272" s="99">
        <f t="shared" si="69"/>
        <v>1.5336590797431869E-2</v>
      </c>
      <c r="M272" s="69">
        <f t="shared" si="70"/>
        <v>11.923122676692213</v>
      </c>
      <c r="N272" s="69">
        <f t="shared" si="71"/>
        <v>5.0985822968106591</v>
      </c>
      <c r="O272" s="69">
        <f t="shared" si="72"/>
        <v>27.882428111904488</v>
      </c>
      <c r="P272" s="69">
        <f t="shared" si="73"/>
        <v>1.2180360484887134</v>
      </c>
      <c r="Q272" s="69">
        <f t="shared" si="74"/>
        <v>0.75813373114458704</v>
      </c>
      <c r="R272" s="43">
        <f t="shared" si="75"/>
        <v>983.71742556882054</v>
      </c>
      <c r="S272" s="43">
        <f t="shared" si="76"/>
        <v>1583.0584413005822</v>
      </c>
      <c r="T272" s="43">
        <f>R272+Thrust!C$33*0.8</f>
        <v>2795.4774255688208</v>
      </c>
      <c r="U272" s="43"/>
      <c r="V272">
        <f t="shared" si="80"/>
        <v>899837.04923861613</v>
      </c>
      <c r="W272">
        <f t="shared" si="81"/>
        <v>1588996.3959703157</v>
      </c>
      <c r="Y272">
        <f t="shared" si="82"/>
        <v>-2860.4091631426204</v>
      </c>
      <c r="Z272">
        <f t="shared" si="83"/>
        <v>-4.8110857422873812</v>
      </c>
      <c r="AA272">
        <f t="shared" si="77"/>
        <v>2190.7052081537468</v>
      </c>
      <c r="AB272">
        <f t="shared" si="84"/>
        <v>3.6828794573840136</v>
      </c>
      <c r="AC272">
        <f t="shared" si="78"/>
        <v>4.9440885856631116</v>
      </c>
      <c r="AD272">
        <f t="shared" si="79"/>
        <v>1665.0590752291946</v>
      </c>
      <c r="AE272">
        <f t="shared" si="85"/>
        <v>-1082.9420370847974</v>
      </c>
      <c r="AG272">
        <v>2.9462525166455267</v>
      </c>
      <c r="AH272">
        <v>2190.7052081537468</v>
      </c>
      <c r="AI272">
        <f t="shared" si="86"/>
        <v>4699.1699306194614</v>
      </c>
      <c r="AJ272">
        <f t="shared" si="87"/>
        <v>950.46232469339918</v>
      </c>
      <c r="AN272" s="43"/>
      <c r="AO272" s="43"/>
      <c r="AP272" t="e">
        <f t="shared" si="88"/>
        <v>#DIV/0!</v>
      </c>
    </row>
    <row r="273" spans="1:42">
      <c r="A273">
        <v>254</v>
      </c>
      <c r="B273">
        <f t="shared" si="60"/>
        <v>254</v>
      </c>
      <c r="D273" s="43">
        <f t="shared" si="61"/>
        <v>338.10889660099087</v>
      </c>
      <c r="E273" s="43">
        <f t="shared" si="62"/>
        <v>570.66352943687286</v>
      </c>
      <c r="F273" s="69">
        <f t="shared" si="63"/>
        <v>0.53974659590894214</v>
      </c>
      <c r="G273" s="98">
        <f t="shared" si="64"/>
        <v>218.52258391248824</v>
      </c>
      <c r="H273" s="69">
        <f t="shared" si="65"/>
        <v>0.18142304491540484</v>
      </c>
      <c r="I273" s="69">
        <f t="shared" si="66"/>
        <v>-1.7541615586054047</v>
      </c>
      <c r="J273" s="99">
        <f t="shared" si="67"/>
        <v>1.5047746178408776E-2</v>
      </c>
      <c r="K273" s="69">
        <f t="shared" si="68"/>
        <v>2.7891286131219976E-4</v>
      </c>
      <c r="L273" s="99">
        <f t="shared" si="69"/>
        <v>1.5326659039720976E-2</v>
      </c>
      <c r="M273" s="69">
        <f t="shared" si="70"/>
        <v>11.837090160694778</v>
      </c>
      <c r="N273" s="69">
        <f t="shared" si="71"/>
        <v>5.0418646339895732</v>
      </c>
      <c r="O273" s="69">
        <f t="shared" si="72"/>
        <v>27.790651602945623</v>
      </c>
      <c r="P273" s="69">
        <f t="shared" si="73"/>
        <v>1.2228504202218704</v>
      </c>
      <c r="Q273" s="69">
        <f t="shared" si="74"/>
        <v>0.75514226923778138</v>
      </c>
      <c r="R273" s="43">
        <f t="shared" si="75"/>
        <v>975.97822875754036</v>
      </c>
      <c r="S273" s="43">
        <f t="shared" si="76"/>
        <v>1594.5641828998396</v>
      </c>
      <c r="T273" s="43">
        <f>R273+Thrust!C$33*0.8</f>
        <v>2787.7382287575401</v>
      </c>
      <c r="U273" s="43"/>
      <c r="V273">
        <f t="shared" si="80"/>
        <v>909959.62452724576</v>
      </c>
      <c r="W273">
        <f t="shared" si="81"/>
        <v>1590860.5367688744</v>
      </c>
      <c r="Y273">
        <f t="shared" si="82"/>
        <v>-2892.5868859144239</v>
      </c>
      <c r="Z273">
        <f t="shared" si="83"/>
        <v>-4.8461362545520164</v>
      </c>
      <c r="AA273">
        <f t="shared" si="77"/>
        <v>2164.4532309667666</v>
      </c>
      <c r="AB273">
        <f t="shared" si="84"/>
        <v>3.624341737636235</v>
      </c>
      <c r="AC273">
        <f t="shared" si="78"/>
        <v>4.8697980576952222</v>
      </c>
      <c r="AD273">
        <f t="shared" si="79"/>
        <v>1646.52204795698</v>
      </c>
      <c r="AE273">
        <f t="shared" si="85"/>
        <v>-1122.1333314466333</v>
      </c>
      <c r="AG273">
        <v>2.8886937889719353</v>
      </c>
      <c r="AH273">
        <v>2164.4532309667666</v>
      </c>
      <c r="AI273">
        <f t="shared" si="86"/>
        <v>4615.7455520005042</v>
      </c>
      <c r="AJ273">
        <f t="shared" si="87"/>
        <v>947.83099777756377</v>
      </c>
      <c r="AN273" s="43"/>
      <c r="AO273" s="43"/>
      <c r="AP273" t="e">
        <f t="shared" si="88"/>
        <v>#DIV/0!</v>
      </c>
    </row>
    <row r="274" spans="1:42">
      <c r="A274">
        <v>255</v>
      </c>
      <c r="B274">
        <f t="shared" si="60"/>
        <v>255</v>
      </c>
      <c r="D274" s="43">
        <f t="shared" si="61"/>
        <v>339.44003398918375</v>
      </c>
      <c r="E274" s="43">
        <f t="shared" si="62"/>
        <v>572.91023624567947</v>
      </c>
      <c r="F274" s="69">
        <f t="shared" si="63"/>
        <v>0.54187158250700895</v>
      </c>
      <c r="G274" s="98">
        <f t="shared" si="64"/>
        <v>220.24662128634057</v>
      </c>
      <c r="H274" s="69">
        <f t="shared" si="65"/>
        <v>0.18000290912360256</v>
      </c>
      <c r="I274" s="69">
        <f t="shared" si="66"/>
        <v>-1.7661199801232554</v>
      </c>
      <c r="J274" s="99">
        <f t="shared" si="67"/>
        <v>1.5047746178408776E-2</v>
      </c>
      <c r="K274" s="69">
        <f t="shared" si="68"/>
        <v>2.6926841949765598E-4</v>
      </c>
      <c r="L274" s="99">
        <f t="shared" si="69"/>
        <v>1.5317014597906433E-2</v>
      </c>
      <c r="M274" s="69">
        <f t="shared" si="70"/>
        <v>11.751827222793519</v>
      </c>
      <c r="N274" s="69">
        <f t="shared" si="71"/>
        <v>4.9859183225554791</v>
      </c>
      <c r="O274" s="69">
        <f t="shared" si="72"/>
        <v>27.699098569189232</v>
      </c>
      <c r="P274" s="69">
        <f t="shared" si="73"/>
        <v>1.2276647919550274</v>
      </c>
      <c r="Q274" s="69">
        <f t="shared" si="74"/>
        <v>0.75210666305928875</v>
      </c>
      <c r="R274" s="43">
        <f t="shared" si="75"/>
        <v>968.24290132163208</v>
      </c>
      <c r="S274" s="43">
        <f t="shared" si="76"/>
        <v>1606.1332116413837</v>
      </c>
      <c r="T274" s="43">
        <f>R274+Thrust!C$33*0.8</f>
        <v>2780.0029013216322</v>
      </c>
      <c r="U274" s="43"/>
      <c r="V274">
        <f t="shared" si="80"/>
        <v>920170.15772349702</v>
      </c>
      <c r="W274">
        <f t="shared" si="81"/>
        <v>1592692.1189598506</v>
      </c>
      <c r="Y274">
        <f t="shared" si="82"/>
        <v>-2925.0442099819775</v>
      </c>
      <c r="Z274">
        <f t="shared" si="83"/>
        <v>-4.881381394656418</v>
      </c>
      <c r="AA274">
        <f t="shared" si="77"/>
        <v>2137.8181549235082</v>
      </c>
      <c r="AB274">
        <f t="shared" si="84"/>
        <v>3.5656270911351418</v>
      </c>
      <c r="AC274">
        <f t="shared" si="78"/>
        <v>4.796402117603658</v>
      </c>
      <c r="AD274">
        <f t="shared" si="79"/>
        <v>1628.0908978251784</v>
      </c>
      <c r="AE274">
        <f t="shared" si="85"/>
        <v>-1161.7077246647482</v>
      </c>
      <c r="AG274">
        <v>2.8309314738603963</v>
      </c>
      <c r="AH274">
        <v>2137.8181549235082</v>
      </c>
      <c r="AI274">
        <f t="shared" si="86"/>
        <v>4533.5640129667527</v>
      </c>
      <c r="AJ274">
        <f t="shared" si="87"/>
        <v>945.20098644935501</v>
      </c>
      <c r="AN274" s="43"/>
      <c r="AO274" s="43"/>
      <c r="AP274" t="e">
        <f t="shared" si="88"/>
        <v>#DIV/0!</v>
      </c>
    </row>
    <row r="275" spans="1:42">
      <c r="A275">
        <v>256</v>
      </c>
      <c r="B275">
        <f t="shared" si="60"/>
        <v>256</v>
      </c>
      <c r="D275" s="43">
        <f t="shared" si="61"/>
        <v>340.77117137737662</v>
      </c>
      <c r="E275" s="43">
        <f t="shared" si="62"/>
        <v>575.15694305448608</v>
      </c>
      <c r="F275" s="69">
        <f t="shared" si="63"/>
        <v>0.54399656910507566</v>
      </c>
      <c r="G275" s="98">
        <f t="shared" si="64"/>
        <v>221.97743287384264</v>
      </c>
      <c r="H275" s="69">
        <f t="shared" si="65"/>
        <v>0.17859938302249537</v>
      </c>
      <c r="I275" s="69">
        <f t="shared" si="66"/>
        <v>-1.7779385377747352</v>
      </c>
      <c r="J275" s="99">
        <f t="shared" si="67"/>
        <v>1.5047746178408776E-2</v>
      </c>
      <c r="K275" s="69">
        <f t="shared" si="68"/>
        <v>2.5990350502457708E-4</v>
      </c>
      <c r="L275" s="99">
        <f t="shared" si="69"/>
        <v>1.5307649683433353E-2</v>
      </c>
      <c r="M275" s="69">
        <f t="shared" si="70"/>
        <v>11.667328866023364</v>
      </c>
      <c r="N275" s="69">
        <f t="shared" si="71"/>
        <v>4.9307322114658962</v>
      </c>
      <c r="O275" s="69">
        <f t="shared" si="72"/>
        <v>27.607778526563276</v>
      </c>
      <c r="P275" s="69">
        <f t="shared" si="73"/>
        <v>1.2324791636881844</v>
      </c>
      <c r="Q275" s="69">
        <f t="shared" si="74"/>
        <v>0.74902691260910936</v>
      </c>
      <c r="R275" s="43">
        <f t="shared" si="75"/>
        <v>960.51139791685375</v>
      </c>
      <c r="S275" s="43">
        <f t="shared" si="76"/>
        <v>1617.7653185868639</v>
      </c>
      <c r="T275" s="43">
        <f>R275+Thrust!C$33*0.8</f>
        <v>2772.2713979168539</v>
      </c>
      <c r="U275" s="43"/>
      <c r="V275">
        <f t="shared" si="80"/>
        <v>930468.95521798742</v>
      </c>
      <c r="W275">
        <f t="shared" si="81"/>
        <v>1594491.1425432444</v>
      </c>
      <c r="Y275">
        <f t="shared" si="82"/>
        <v>-2957.7821093022117</v>
      </c>
      <c r="Z275">
        <f t="shared" si="83"/>
        <v>-4.9168205699217644</v>
      </c>
      <c r="AA275">
        <f t="shared" si="77"/>
        <v>2110.7990060670422</v>
      </c>
      <c r="AB275">
        <f t="shared" si="84"/>
        <v>3.5067359879245714</v>
      </c>
      <c r="AC275">
        <f t="shared" si="78"/>
        <v>4.7238905740150425</v>
      </c>
      <c r="AD275">
        <f t="shared" si="79"/>
        <v>1609.7657243656543</v>
      </c>
      <c r="AE275">
        <f t="shared" si="85"/>
        <v>-1201.6661906960703</v>
      </c>
      <c r="AG275">
        <v>2.7729659758710365</v>
      </c>
      <c r="AH275">
        <v>2110.7990060670422</v>
      </c>
      <c r="AI275">
        <f t="shared" si="86"/>
        <v>4452.6082865785174</v>
      </c>
      <c r="AJ275">
        <f t="shared" si="87"/>
        <v>942.57227529173042</v>
      </c>
      <c r="AN275" s="43"/>
      <c r="AO275" s="43"/>
      <c r="AP275" t="e">
        <f t="shared" si="88"/>
        <v>#DIV/0!</v>
      </c>
    </row>
    <row r="276" spans="1:42">
      <c r="A276">
        <v>257</v>
      </c>
      <c r="B276">
        <f t="shared" ref="B276:B319" si="89">A276</f>
        <v>257</v>
      </c>
      <c r="D276" s="43">
        <f t="shared" ref="D276:D339" si="90">A276/SQRT(D$75)</f>
        <v>342.10230876556949</v>
      </c>
      <c r="E276" s="43">
        <f t="shared" ref="E276:E339" si="91">D276*1.68780986</f>
        <v>577.40364986329257</v>
      </c>
      <c r="F276" s="69">
        <f t="shared" ref="F276:F339" si="92">E276/SQRT(1716.46*1.4*$D$77)</f>
        <v>0.54612155570314225</v>
      </c>
      <c r="G276" s="98">
        <f t="shared" ref="G276:G339" si="93">0.5*$D$76*E276^2</f>
        <v>223.71501867499433</v>
      </c>
      <c r="H276" s="69">
        <f t="shared" ref="H276:H339" si="94">2*$D$66/($D$76*E276^2*$D$69)</f>
        <v>0.17721220859910458</v>
      </c>
      <c r="I276" s="69">
        <f t="shared" ref="I276:I339" si="95">DEGREES((H276-$J$66)/$J$67)</f>
        <v>-1.7896194041886688</v>
      </c>
      <c r="J276" s="99">
        <f t="shared" ref="J276:J339" si="96">$J$69</f>
        <v>1.5047746178408776E-2</v>
      </c>
      <c r="K276" s="69">
        <f t="shared" ref="K276:K339" si="97">$J$71*(H276-$J$68)^2</f>
        <v>2.5081055720147552E-4</v>
      </c>
      <c r="L276" s="99">
        <f t="shared" ref="L276:L319" si="98">SUM(J276:K276)</f>
        <v>1.5298556735610251E-2</v>
      </c>
      <c r="M276" s="69">
        <f t="shared" ref="M276:M319" si="99">H276/L276</f>
        <v>11.583589985754017</v>
      </c>
      <c r="N276" s="69">
        <f t="shared" ref="N276:N319" si="100">H276^1.5/L276</f>
        <v>4.8762952779120434</v>
      </c>
      <c r="O276" s="69">
        <f t="shared" ref="O276:O319" si="101">H276^0.5/L276</f>
        <v>27.516700550487261</v>
      </c>
      <c r="P276" s="69">
        <f t="shared" ref="P276:P339" si="102">60*E276/($J$79*$J$75)</f>
        <v>1.2372935354213412</v>
      </c>
      <c r="Q276" s="69">
        <f t="shared" ref="Q276:Q319" si="103">0.096574+1.703049*P276-0.952281*P276^2</f>
        <v>0.74590301788724345</v>
      </c>
      <c r="R276" s="43">
        <f t="shared" ref="R276:R339" si="104">Q276*550*$J$78/E276</f>
        <v>952.78367390470942</v>
      </c>
      <c r="S276" s="43">
        <f t="shared" ref="S276:S339" si="105">$D$69*G276*L276</f>
        <v>1629.4602988549545</v>
      </c>
      <c r="T276" s="43">
        <f>R276+Thrust!C$33*0.8</f>
        <v>2764.5436739047095</v>
      </c>
      <c r="U276" s="43"/>
      <c r="V276">
        <f t="shared" si="80"/>
        <v>940856.32386618224</v>
      </c>
      <c r="W276">
        <f t="shared" si="81"/>
        <v>1596257.6075190555</v>
      </c>
      <c r="Y276">
        <f t="shared" si="82"/>
        <v>-2990.8015593097184</v>
      </c>
      <c r="Z276">
        <f t="shared" si="83"/>
        <v>-4.9524532005164179</v>
      </c>
      <c r="AA276">
        <f t="shared" ref="AA276:AA339" si="106">60*(((T276*E276)-(S276*E276))/$D$66)</f>
        <v>2083.3948089627756</v>
      </c>
      <c r="AB276">
        <f t="shared" si="84"/>
        <v>3.4476688867193546</v>
      </c>
      <c r="AC276">
        <f t="shared" ref="AC276:AC339" si="107">((325.9*Q276)/($J$74*D276))*M276*LN($D$66/$D$68)</f>
        <v>4.6522532748028969</v>
      </c>
      <c r="AD276">
        <f t="shared" ref="AD276:AD339" si="108">((325.9*Q276)/($J$74))*M276*LN($D$66/$D$68)</f>
        <v>1591.5465862722522</v>
      </c>
      <c r="AE276">
        <f t="shared" si="85"/>
        <v>-1242.0097049751923</v>
      </c>
      <c r="AG276">
        <v>2.7147976896164123</v>
      </c>
      <c r="AH276">
        <v>2083.3948089627756</v>
      </c>
      <c r="AI276">
        <f t="shared" si="86"/>
        <v>4372.8615024879982</v>
      </c>
      <c r="AJ276">
        <f t="shared" si="87"/>
        <v>939.94484912760129</v>
      </c>
      <c r="AN276" s="43"/>
      <c r="AO276" s="43"/>
      <c r="AP276" t="e">
        <f t="shared" si="88"/>
        <v>#DIV/0!</v>
      </c>
    </row>
    <row r="277" spans="1:42">
      <c r="A277">
        <v>258</v>
      </c>
      <c r="B277">
        <f t="shared" si="89"/>
        <v>258</v>
      </c>
      <c r="D277" s="43">
        <f t="shared" si="90"/>
        <v>343.43344615376236</v>
      </c>
      <c r="E277" s="43">
        <f t="shared" si="91"/>
        <v>579.65035667209918</v>
      </c>
      <c r="F277" s="69">
        <f t="shared" si="92"/>
        <v>0.54824654230120895</v>
      </c>
      <c r="G277" s="98">
        <f t="shared" si="93"/>
        <v>225.45937868979581</v>
      </c>
      <c r="H277" s="69">
        <f t="shared" si="94"/>
        <v>0.17584113283099362</v>
      </c>
      <c r="I277" s="69">
        <f t="shared" si="95"/>
        <v>-1.8011647099704307</v>
      </c>
      <c r="J277" s="99">
        <f t="shared" si="96"/>
        <v>1.5047746178408776E-2</v>
      </c>
      <c r="K277" s="69">
        <f t="shared" si="97"/>
        <v>2.4198223584837348E-4</v>
      </c>
      <c r="L277" s="99">
        <f t="shared" si="98"/>
        <v>1.528972841425715E-2</v>
      </c>
      <c r="M277" s="69">
        <f t="shared" si="99"/>
        <v>11.500605378119586</v>
      </c>
      <c r="N277" s="69">
        <f t="shared" si="100"/>
        <v>4.8225966283685215</v>
      </c>
      <c r="O277" s="69">
        <f t="shared" si="101"/>
        <v>27.425873290998808</v>
      </c>
      <c r="P277" s="69">
        <f t="shared" si="102"/>
        <v>1.2421079071544983</v>
      </c>
      <c r="Q277" s="69">
        <f t="shared" si="103"/>
        <v>0.74273497889369078</v>
      </c>
      <c r="R277" s="43">
        <f t="shared" si="104"/>
        <v>945.05968533877319</v>
      </c>
      <c r="S277" s="43">
        <f t="shared" si="105"/>
        <v>1641.2179515271891</v>
      </c>
      <c r="T277" s="43">
        <f>R277+Thrust!C$33*0.8</f>
        <v>2756.8196853387731</v>
      </c>
      <c r="U277" s="43"/>
      <c r="V277">
        <f t="shared" ref="V277:V340" si="109">S277*E277</f>
        <v>951332.57097938715</v>
      </c>
      <c r="W277">
        <f t="shared" ref="W277:W340" si="110">T277*E277</f>
        <v>1597991.5138872841</v>
      </c>
      <c r="Y277">
        <f t="shared" ref="Y277:Y340" si="111">-(E277/M277)*60</f>
        <v>-3024.103536888118</v>
      </c>
      <c r="Z277">
        <f t="shared" ref="Z277:Z340" si="112">ASIN((Y277/60)/E277)*180/PI()</f>
        <v>-4.9882787191745237</v>
      </c>
      <c r="AA277">
        <f t="shared" si="106"/>
        <v>2055.6045867270896</v>
      </c>
      <c r="AB277">
        <f t="shared" ref="AB277:AB340" si="113">ASIN((AA277/60)/E277)*180/PI()</f>
        <v>3.3884262351492307</v>
      </c>
      <c r="AC277">
        <f t="shared" si="107"/>
        <v>4.5814801117829766</v>
      </c>
      <c r="AD277">
        <f t="shared" si="108"/>
        <v>1573.4335032745521</v>
      </c>
      <c r="AE277">
        <f t="shared" ref="AE277:AE340" si="114">60*(((R277*E277)-(S277*E277))/$D$66)</f>
        <v>-1282.7392443857339</v>
      </c>
      <c r="AG277">
        <v>2.6564269999640295</v>
      </c>
      <c r="AH277">
        <v>2055.6045867270896</v>
      </c>
      <c r="AI277">
        <f t="shared" ref="AI277:AI340" si="115">($J$74*T277)*AC277</f>
        <v>4294.3069504514742</v>
      </c>
      <c r="AJ277">
        <f t="shared" ref="AJ277:AJ340" si="116">$J$74*T277</f>
        <v>937.31869301518293</v>
      </c>
      <c r="AN277" s="43"/>
      <c r="AO277" s="43"/>
      <c r="AP277" t="e">
        <f t="shared" ref="AP277:AP340" si="117">((325.9*Q462)/($J$74))*M462*LN(AN277/AO277)</f>
        <v>#DIV/0!</v>
      </c>
    </row>
    <row r="278" spans="1:42">
      <c r="A278">
        <v>259</v>
      </c>
      <c r="B278">
        <f t="shared" si="89"/>
        <v>259</v>
      </c>
      <c r="D278" s="43">
        <f t="shared" si="90"/>
        <v>344.76458354195529</v>
      </c>
      <c r="E278" s="43">
        <f t="shared" si="91"/>
        <v>581.8970634809059</v>
      </c>
      <c r="F278" s="69">
        <f t="shared" si="92"/>
        <v>0.55037152889927576</v>
      </c>
      <c r="G278" s="98">
        <f t="shared" si="93"/>
        <v>227.2105129182471</v>
      </c>
      <c r="H278" s="69">
        <f t="shared" si="94"/>
        <v>0.17448590757088078</v>
      </c>
      <c r="I278" s="69">
        <f t="shared" si="95"/>
        <v>-1.8125765446735762</v>
      </c>
      <c r="J278" s="99">
        <f t="shared" si="96"/>
        <v>1.5047746178408776E-2</v>
      </c>
      <c r="K278" s="69">
        <f t="shared" si="97"/>
        <v>2.3341141420646269E-4</v>
      </c>
      <c r="L278" s="99">
        <f t="shared" si="98"/>
        <v>1.5281157592615238E-2</v>
      </c>
      <c r="M278" s="69">
        <f t="shared" si="99"/>
        <v>11.418369748061673</v>
      </c>
      <c r="N278" s="69">
        <f t="shared" si="100"/>
        <v>4.76962549945722</v>
      </c>
      <c r="O278" s="69">
        <f t="shared" si="101"/>
        <v>27.335304987422397</v>
      </c>
      <c r="P278" s="69">
        <f t="shared" si="102"/>
        <v>1.2469222788876555</v>
      </c>
      <c r="Q278" s="69">
        <f t="shared" si="103"/>
        <v>0.73952279562845114</v>
      </c>
      <c r="R278" s="43">
        <f t="shared" si="104"/>
        <v>937.33938895132746</v>
      </c>
      <c r="S278" s="43">
        <f t="shared" si="105"/>
        <v>1653.0380795563333</v>
      </c>
      <c r="T278" s="43">
        <f>R278+Thrust!C$33*0.8</f>
        <v>2749.0993889513275</v>
      </c>
      <c r="U278" s="43"/>
      <c r="V278">
        <f t="shared" si="109"/>
        <v>961898.00431594648</v>
      </c>
      <c r="W278">
        <f t="shared" si="110"/>
        <v>1599692.8616479302</v>
      </c>
      <c r="Y278">
        <f t="shared" si="111"/>
        <v>-3057.6890203420812</v>
      </c>
      <c r="Z278">
        <f t="shared" si="112"/>
        <v>-5.0242965709223739</v>
      </c>
      <c r="AA278">
        <f t="shared" si="106"/>
        <v>2027.4273610553123</v>
      </c>
      <c r="AB278">
        <f t="shared" si="113"/>
        <v>3.329008469995836</v>
      </c>
      <c r="AC278">
        <f t="shared" si="107"/>
        <v>4.5115610250984233</v>
      </c>
      <c r="AD278">
        <f t="shared" si="108"/>
        <v>1555.4264579421747</v>
      </c>
      <c r="AE278">
        <f t="shared" si="114"/>
        <v>-1323.8557872323677</v>
      </c>
      <c r="AG278">
        <v>2.5978542822330346</v>
      </c>
      <c r="AH278">
        <v>2027.4273610553123</v>
      </c>
      <c r="AI278">
        <f t="shared" si="115"/>
        <v>4216.9280834869987</v>
      </c>
      <c r="AJ278">
        <f t="shared" si="116"/>
        <v>934.69379224345141</v>
      </c>
      <c r="AN278" s="43"/>
      <c r="AO278" s="43"/>
      <c r="AP278" t="e">
        <f t="shared" si="117"/>
        <v>#DIV/0!</v>
      </c>
    </row>
    <row r="279" spans="1:42">
      <c r="A279">
        <v>260</v>
      </c>
      <c r="B279">
        <f t="shared" si="89"/>
        <v>260</v>
      </c>
      <c r="D279" s="43">
        <f t="shared" si="90"/>
        <v>346.09572093014816</v>
      </c>
      <c r="E279" s="43">
        <f t="shared" si="91"/>
        <v>584.14377028971239</v>
      </c>
      <c r="F279" s="69">
        <f t="shared" si="92"/>
        <v>0.55249651549734236</v>
      </c>
      <c r="G279" s="98">
        <f t="shared" si="93"/>
        <v>228.96842136034795</v>
      </c>
      <c r="H279" s="69">
        <f t="shared" si="94"/>
        <v>0.17314628943435287</v>
      </c>
      <c r="I279" s="69">
        <f t="shared" si="95"/>
        <v>-1.8238569577453625</v>
      </c>
      <c r="J279" s="99">
        <f t="shared" si="96"/>
        <v>1.5047746178408776E-2</v>
      </c>
      <c r="K279" s="69">
        <f t="shared" si="97"/>
        <v>2.250911720991075E-4</v>
      </c>
      <c r="L279" s="99">
        <f t="shared" si="98"/>
        <v>1.5272837350507884E-2</v>
      </c>
      <c r="M279" s="69">
        <f t="shared" si="99"/>
        <v>11.336877717000963</v>
      </c>
      <c r="N279" s="69">
        <f t="shared" si="100"/>
        <v>4.7173712586367023</v>
      </c>
      <c r="O279" s="69">
        <f t="shared" si="101"/>
        <v>27.245003482591283</v>
      </c>
      <c r="P279" s="69">
        <f t="shared" si="102"/>
        <v>1.2517366506208123</v>
      </c>
      <c r="Q279" s="69">
        <f t="shared" si="103"/>
        <v>0.73626646809152518</v>
      </c>
      <c r="R279" s="43">
        <f t="shared" si="104"/>
        <v>929.62274214031436</v>
      </c>
      <c r="S279" s="43">
        <f t="shared" si="105"/>
        <v>1664.9204896772192</v>
      </c>
      <c r="T279" s="43">
        <f>R279+Thrust!C$33*0.8</f>
        <v>2741.3827421403143</v>
      </c>
      <c r="U279" s="43"/>
      <c r="V279">
        <f t="shared" si="109"/>
        <v>972552.93207264494</v>
      </c>
      <c r="W279">
        <f t="shared" si="110"/>
        <v>1601361.6508009937</v>
      </c>
      <c r="Y279">
        <f t="shared" si="111"/>
        <v>-3091.5589893699976</v>
      </c>
      <c r="Z279">
        <f t="shared" si="112"/>
        <v>-5.0605062128122436</v>
      </c>
      <c r="AA279">
        <f t="shared" si="106"/>
        <v>1998.8621522490557</v>
      </c>
      <c r="AB279">
        <f t="shared" si="113"/>
        <v>3.2694160174229872</v>
      </c>
      <c r="AC279">
        <f t="shared" si="107"/>
        <v>4.4424860073094576</v>
      </c>
      <c r="AD279">
        <f t="shared" si="108"/>
        <v>1537.5253974218622</v>
      </c>
      <c r="AE279">
        <f t="shared" si="114"/>
        <v>-1365.3603132134801</v>
      </c>
      <c r="AG279">
        <v>2.5390799023852622</v>
      </c>
      <c r="AH279">
        <v>1998.8621522490557</v>
      </c>
      <c r="AI279">
        <f t="shared" si="115"/>
        <v>4140.7085206969123</v>
      </c>
      <c r="AJ279">
        <f t="shared" si="116"/>
        <v>932.07013232770692</v>
      </c>
      <c r="AN279" s="43"/>
      <c r="AO279" s="43"/>
      <c r="AP279" t="e">
        <f t="shared" si="117"/>
        <v>#DIV/0!</v>
      </c>
    </row>
    <row r="280" spans="1:42">
      <c r="A280">
        <v>261</v>
      </c>
      <c r="B280">
        <f t="shared" si="89"/>
        <v>261</v>
      </c>
      <c r="D280" s="43">
        <f t="shared" si="90"/>
        <v>347.42685831834103</v>
      </c>
      <c r="E280" s="43">
        <f t="shared" si="91"/>
        <v>586.390477098519</v>
      </c>
      <c r="F280" s="69">
        <f t="shared" si="92"/>
        <v>0.55462150209540917</v>
      </c>
      <c r="G280" s="98">
        <f t="shared" si="93"/>
        <v>230.73310401609857</v>
      </c>
      <c r="H280" s="69">
        <f t="shared" si="94"/>
        <v>0.17182203969058374</v>
      </c>
      <c r="I280" s="69">
        <f t="shared" si="95"/>
        <v>-1.835007959446967</v>
      </c>
      <c r="J280" s="99">
        <f t="shared" si="96"/>
        <v>1.5047746178408776E-2</v>
      </c>
      <c r="K280" s="69">
        <f t="shared" si="97"/>
        <v>2.1701478933441583E-4</v>
      </c>
      <c r="L280" s="99">
        <f t="shared" si="98"/>
        <v>1.5264760967743192E-2</v>
      </c>
      <c r="M280" s="69">
        <f t="shared" si="99"/>
        <v>11.256123830151704</v>
      </c>
      <c r="N280" s="69">
        <f t="shared" si="100"/>
        <v>4.6658234047277007</v>
      </c>
      <c r="O280" s="69">
        <f t="shared" si="101"/>
        <v>27.154976236633502</v>
      </c>
      <c r="P280" s="69">
        <f t="shared" si="102"/>
        <v>1.2565510223539693</v>
      </c>
      <c r="Q280" s="69">
        <f t="shared" si="103"/>
        <v>0.73296599628291226</v>
      </c>
      <c r="R280" s="43">
        <f t="shared" si="104"/>
        <v>921.90970295657837</v>
      </c>
      <c r="S280" s="43">
        <f t="shared" si="105"/>
        <v>1676.8649923199728</v>
      </c>
      <c r="T280" s="43">
        <f>R280+Thrust!C$33*0.8</f>
        <v>2733.6697029565785</v>
      </c>
      <c r="U280" s="43"/>
      <c r="V280">
        <f t="shared" si="109"/>
        <v>983297.6628763132</v>
      </c>
      <c r="W280">
        <f t="shared" si="110"/>
        <v>1602997.8813464749</v>
      </c>
      <c r="Y280">
        <f t="shared" si="111"/>
        <v>-3125.7144250372871</v>
      </c>
      <c r="Z280">
        <f t="shared" si="112"/>
        <v>-5.0969071136635549</v>
      </c>
      <c r="AA280">
        <f t="shared" si="106"/>
        <v>1969.9079792428979</v>
      </c>
      <c r="AB280">
        <f t="shared" si="113"/>
        <v>3.2096492932004037</v>
      </c>
      <c r="AC280">
        <f t="shared" si="107"/>
        <v>4.3742451072017481</v>
      </c>
      <c r="AD280">
        <f t="shared" si="108"/>
        <v>1519.7302351094781</v>
      </c>
      <c r="AE280">
        <f t="shared" si="114"/>
        <v>-1407.2538033944941</v>
      </c>
      <c r="AG280">
        <v>2.4801042172107559</v>
      </c>
      <c r="AH280">
        <v>1969.9079792428979</v>
      </c>
      <c r="AI280">
        <f t="shared" si="115"/>
        <v>4065.6320497735796</v>
      </c>
      <c r="AJ280">
        <f t="shared" si="116"/>
        <v>929.4476990052367</v>
      </c>
      <c r="AN280" s="43"/>
      <c r="AO280" s="43"/>
      <c r="AP280" t="e">
        <f t="shared" si="117"/>
        <v>#DIV/0!</v>
      </c>
    </row>
    <row r="281" spans="1:42">
      <c r="A281">
        <v>262</v>
      </c>
      <c r="B281">
        <f t="shared" si="89"/>
        <v>262</v>
      </c>
      <c r="D281" s="43">
        <f t="shared" si="90"/>
        <v>348.7579957065339</v>
      </c>
      <c r="E281" s="43">
        <f t="shared" si="91"/>
        <v>588.63718390732561</v>
      </c>
      <c r="F281" s="69">
        <f t="shared" si="92"/>
        <v>0.55674648869347587</v>
      </c>
      <c r="G281" s="98">
        <f t="shared" si="93"/>
        <v>232.50456088549888</v>
      </c>
      <c r="H281" s="69">
        <f t="shared" si="94"/>
        <v>0.17051292415596783</v>
      </c>
      <c r="I281" s="69">
        <f t="shared" si="95"/>
        <v>-1.8460315217491576</v>
      </c>
      <c r="J281" s="99">
        <f t="shared" si="96"/>
        <v>1.5047746178408776E-2</v>
      </c>
      <c r="K281" s="69">
        <f t="shared" si="97"/>
        <v>2.0917573934003104E-4</v>
      </c>
      <c r="L281" s="99">
        <f t="shared" si="98"/>
        <v>1.5256921917748807E-2</v>
      </c>
      <c r="M281" s="69">
        <f t="shared" si="99"/>
        <v>11.176102563493187</v>
      </c>
      <c r="N281" s="69">
        <f t="shared" si="100"/>
        <v>4.6149715682849575</v>
      </c>
      <c r="O281" s="69">
        <f t="shared" si="101"/>
        <v>27.065230340332743</v>
      </c>
      <c r="P281" s="69">
        <f t="shared" si="102"/>
        <v>1.2613653940871263</v>
      </c>
      <c r="Q281" s="69">
        <f t="shared" si="103"/>
        <v>0.7296213802026128</v>
      </c>
      <c r="R281" s="43">
        <f t="shared" si="104"/>
        <v>914.20023009141062</v>
      </c>
      <c r="S281" s="43">
        <f t="shared" si="105"/>
        <v>1688.8714015255473</v>
      </c>
      <c r="T281" s="43">
        <f>R281+Thrust!C$33*0.8</f>
        <v>2725.9602300914107</v>
      </c>
      <c r="U281" s="43"/>
      <c r="V281">
        <f t="shared" si="109"/>
        <v>994132.50577561639</v>
      </c>
      <c r="W281">
        <f t="shared" si="110"/>
        <v>1604601.5532843734</v>
      </c>
      <c r="Y281">
        <f t="shared" si="111"/>
        <v>-3160.1563097503035</v>
      </c>
      <c r="Z281">
        <f t="shared" si="112"/>
        <v>-5.1334987538110486</v>
      </c>
      <c r="AA281">
        <f t="shared" si="106"/>
        <v>1940.5638596304857</v>
      </c>
      <c r="AB281">
        <f t="shared" si="113"/>
        <v>3.1497087029211901</v>
      </c>
      <c r="AC281">
        <f t="shared" si="107"/>
        <v>4.3068284333270839</v>
      </c>
      <c r="AD281">
        <f t="shared" si="108"/>
        <v>1502.0408522590651</v>
      </c>
      <c r="AE281">
        <f t="shared" si="114"/>
        <v>-1449.5372401817622</v>
      </c>
      <c r="AG281">
        <v>2.4209275745080245</v>
      </c>
      <c r="AH281">
        <v>1940.5638596304857</v>
      </c>
      <c r="AI281">
        <f t="shared" si="115"/>
        <v>3991.6826292060196</v>
      </c>
      <c r="AJ281">
        <f t="shared" si="116"/>
        <v>926.8264782310797</v>
      </c>
      <c r="AN281" s="43"/>
      <c r="AO281" s="43"/>
      <c r="AP281" t="e">
        <f t="shared" si="117"/>
        <v>#DIV/0!</v>
      </c>
    </row>
    <row r="282" spans="1:42">
      <c r="A282">
        <v>263</v>
      </c>
      <c r="B282">
        <f t="shared" si="89"/>
        <v>263</v>
      </c>
      <c r="D282" s="43">
        <f t="shared" si="90"/>
        <v>350.08913309472678</v>
      </c>
      <c r="E282" s="43">
        <f t="shared" si="91"/>
        <v>590.88389071613221</v>
      </c>
      <c r="F282" s="69">
        <f t="shared" si="92"/>
        <v>0.55887147529154257</v>
      </c>
      <c r="G282" s="98">
        <f t="shared" si="93"/>
        <v>234.28279196854893</v>
      </c>
      <c r="H282" s="69">
        <f t="shared" si="94"/>
        <v>0.16921871309057895</v>
      </c>
      <c r="I282" s="69">
        <f t="shared" si="95"/>
        <v>-1.8569295792041747</v>
      </c>
      <c r="J282" s="99">
        <f t="shared" si="96"/>
        <v>1.5047746178408776E-2</v>
      </c>
      <c r="K282" s="69">
        <f t="shared" si="97"/>
        <v>2.0156768302117574E-4</v>
      </c>
      <c r="L282" s="99">
        <f t="shared" si="98"/>
        <v>1.5249313861429952E-2</v>
      </c>
      <c r="M282" s="69">
        <f t="shared" si="99"/>
        <v>11.096808330411729</v>
      </c>
      <c r="N282" s="69">
        <f t="shared" si="100"/>
        <v>4.5648055118250417</v>
      </c>
      <c r="O282" s="69">
        <f t="shared" si="101"/>
        <v>26.975772528074977</v>
      </c>
      <c r="P282" s="69">
        <f t="shared" si="102"/>
        <v>1.2661797658202834</v>
      </c>
      <c r="Q282" s="69">
        <f t="shared" si="103"/>
        <v>0.72623261985062637</v>
      </c>
      <c r="R282" s="43">
        <f t="shared" si="104"/>
        <v>906.4942828643708</v>
      </c>
      <c r="S282" s="43">
        <f t="shared" si="105"/>
        <v>1700.9395348635055</v>
      </c>
      <c r="T282" s="43">
        <f>R282+Thrust!C$33*0.8</f>
        <v>2718.2542828643709</v>
      </c>
      <c r="U282" s="43"/>
      <c r="V282">
        <f t="shared" si="109"/>
        <v>1005057.7702330364</v>
      </c>
      <c r="W282">
        <f t="shared" si="110"/>
        <v>1606172.6666146892</v>
      </c>
      <c r="Y282">
        <f t="shared" si="111"/>
        <v>-3194.885627230844</v>
      </c>
      <c r="Z282">
        <f t="shared" si="112"/>
        <v>-5.1702806248598216</v>
      </c>
      <c r="AA282">
        <f t="shared" si="106"/>
        <v>1910.8288096900221</v>
      </c>
      <c r="AB282">
        <f t="shared" si="113"/>
        <v>3.0895946422131537</v>
      </c>
      <c r="AC282">
        <f t="shared" si="107"/>
        <v>4.2402261572893263</v>
      </c>
      <c r="AD282">
        <f t="shared" si="108"/>
        <v>1484.4570995310048</v>
      </c>
      <c r="AE282">
        <f t="shared" si="114"/>
        <v>-1492.2116072970814</v>
      </c>
      <c r="AG282">
        <v>2.361550313259114</v>
      </c>
      <c r="AH282">
        <v>1910.8288096900221</v>
      </c>
      <c r="AI282">
        <f t="shared" si="115"/>
        <v>3918.8443902041836</v>
      </c>
      <c r="AJ282">
        <f t="shared" si="116"/>
        <v>924.20645617388618</v>
      </c>
      <c r="AM282">
        <f t="shared" ref="AM282:AM341" si="118">AL282*190</f>
        <v>0</v>
      </c>
      <c r="AN282" s="43"/>
      <c r="AO282" s="43"/>
      <c r="AP282" t="e">
        <f t="shared" si="117"/>
        <v>#DIV/0!</v>
      </c>
    </row>
    <row r="283" spans="1:42">
      <c r="A283">
        <v>264</v>
      </c>
      <c r="B283">
        <f t="shared" si="89"/>
        <v>264</v>
      </c>
      <c r="D283" s="43">
        <f t="shared" si="90"/>
        <v>351.42027048291965</v>
      </c>
      <c r="E283" s="43">
        <f t="shared" si="91"/>
        <v>593.13059752493871</v>
      </c>
      <c r="F283" s="69">
        <f t="shared" si="92"/>
        <v>0.56099646188960917</v>
      </c>
      <c r="G283" s="98">
        <f t="shared" si="93"/>
        <v>236.06779726524863</v>
      </c>
      <c r="H283" s="69">
        <f t="shared" si="94"/>
        <v>0.16793918109736938</v>
      </c>
      <c r="I283" s="69">
        <f t="shared" si="95"/>
        <v>-1.8677040297945344</v>
      </c>
      <c r="J283" s="99">
        <f t="shared" si="96"/>
        <v>1.5047746178408776E-2</v>
      </c>
      <c r="K283" s="69">
        <f t="shared" si="97"/>
        <v>1.9418446283336549E-4</v>
      </c>
      <c r="L283" s="99">
        <f t="shared" si="98"/>
        <v>1.5241930641242142E-2</v>
      </c>
      <c r="M283" s="69">
        <f t="shared" si="99"/>
        <v>11.018235488026285</v>
      </c>
      <c r="N283" s="69">
        <f t="shared" si="100"/>
        <v>4.5153151299193217</v>
      </c>
      <c r="O283" s="69">
        <f t="shared" si="101"/>
        <v>26.886609190391312</v>
      </c>
      <c r="P283" s="69">
        <f t="shared" si="102"/>
        <v>1.2709941375534402</v>
      </c>
      <c r="Q283" s="69">
        <f t="shared" si="103"/>
        <v>0.72279971522695341</v>
      </c>
      <c r="R283" s="43">
        <f t="shared" si="104"/>
        <v>898.79182121138979</v>
      </c>
      <c r="S283" s="43">
        <f t="shared" si="105"/>
        <v>1713.0692133519749</v>
      </c>
      <c r="T283" s="43">
        <f>R283+Thrust!C$33*0.8</f>
        <v>2710.5518212113898</v>
      </c>
      <c r="U283" s="43"/>
      <c r="V283">
        <f t="shared" si="109"/>
        <v>1016073.7661170335</v>
      </c>
      <c r="W283">
        <f t="shared" si="110"/>
        <v>1607711.2213374225</v>
      </c>
      <c r="Y283">
        <f t="shared" si="111"/>
        <v>-3229.9033624912327</v>
      </c>
      <c r="Z283">
        <f t="shared" si="112"/>
        <v>-5.2072522294469969</v>
      </c>
      <c r="AA283">
        <f t="shared" si="106"/>
        <v>1880.7018444091834</v>
      </c>
      <c r="AB283">
        <f t="shared" si="113"/>
        <v>3.029307496944218</v>
      </c>
      <c r="AC283">
        <f t="shared" si="107"/>
        <v>4.1744285167881419</v>
      </c>
      <c r="AD283">
        <f t="shared" si="108"/>
        <v>1466.9787984813017</v>
      </c>
      <c r="AE283">
        <f t="shared" si="114"/>
        <v>-1535.2778897527758</v>
      </c>
      <c r="AG283">
        <v>2.3019727637996898</v>
      </c>
      <c r="AH283">
        <v>1880.7018444091834</v>
      </c>
      <c r="AI283">
        <f t="shared" si="115"/>
        <v>3847.1016383569322</v>
      </c>
      <c r="AJ283">
        <f t="shared" si="116"/>
        <v>921.58761921187261</v>
      </c>
      <c r="AM283">
        <f t="shared" si="118"/>
        <v>0</v>
      </c>
      <c r="AN283" s="43"/>
      <c r="AO283" s="43"/>
      <c r="AP283" t="e">
        <f t="shared" si="117"/>
        <v>#DIV/0!</v>
      </c>
    </row>
    <row r="284" spans="1:42">
      <c r="A284">
        <v>265</v>
      </c>
      <c r="B284">
        <f t="shared" si="89"/>
        <v>265</v>
      </c>
      <c r="D284" s="43">
        <f t="shared" si="90"/>
        <v>352.75140787111252</v>
      </c>
      <c r="E284" s="43">
        <f t="shared" si="91"/>
        <v>595.37730433374531</v>
      </c>
      <c r="F284" s="69">
        <f t="shared" si="92"/>
        <v>0.56312144848767587</v>
      </c>
      <c r="G284" s="98">
        <f t="shared" si="93"/>
        <v>237.8595767755981</v>
      </c>
      <c r="H284" s="69">
        <f t="shared" si="94"/>
        <v>0.16667410702402646</v>
      </c>
      <c r="I284" s="69">
        <f t="shared" si="95"/>
        <v>-1.8783567357594619</v>
      </c>
      <c r="J284" s="99">
        <f t="shared" si="96"/>
        <v>1.5047746178408776E-2</v>
      </c>
      <c r="K284" s="69">
        <f t="shared" si="97"/>
        <v>1.8702009706156623E-4</v>
      </c>
      <c r="L284" s="99">
        <f t="shared" si="98"/>
        <v>1.5234766275470343E-2</v>
      </c>
      <c r="M284" s="69">
        <f t="shared" si="99"/>
        <v>10.940378343210305</v>
      </c>
      <c r="N284" s="69">
        <f t="shared" si="100"/>
        <v>4.4664904491608484</v>
      </c>
      <c r="O284" s="69">
        <f t="shared" si="101"/>
        <v>26.797746386107786</v>
      </c>
      <c r="P284" s="69">
        <f t="shared" si="102"/>
        <v>1.2758085092865969</v>
      </c>
      <c r="Q284" s="69">
        <f t="shared" si="103"/>
        <v>0.71932266633159347</v>
      </c>
      <c r="R284" s="43">
        <f t="shared" si="104"/>
        <v>891.09280567313783</v>
      </c>
      <c r="S284" s="43">
        <f t="shared" si="105"/>
        <v>1725.2602613797164</v>
      </c>
      <c r="T284" s="43">
        <f>R284+Thrust!C$33*0.8</f>
        <v>2702.8528056731379</v>
      </c>
      <c r="U284" s="43"/>
      <c r="V284">
        <f t="shared" si="109"/>
        <v>1027180.8036943885</v>
      </c>
      <c r="W284">
        <f t="shared" si="110"/>
        <v>1609217.2174525731</v>
      </c>
      <c r="Y284">
        <f t="shared" si="111"/>
        <v>-3265.210501809976</v>
      </c>
      <c r="Z284">
        <f t="shared" si="112"/>
        <v>-5.2444130810098395</v>
      </c>
      <c r="AA284">
        <f t="shared" si="106"/>
        <v>1850.1819775094611</v>
      </c>
      <c r="AB284">
        <f t="shared" si="113"/>
        <v>2.9688476434220616</v>
      </c>
      <c r="AC284">
        <f t="shared" si="107"/>
        <v>4.1094258184324497</v>
      </c>
      <c r="AD284">
        <f t="shared" si="108"/>
        <v>1449.6057429939458</v>
      </c>
      <c r="AE284">
        <f t="shared" si="114"/>
        <v>-1578.7370738273539</v>
      </c>
      <c r="AG284">
        <v>2.2421952479842751</v>
      </c>
      <c r="AH284">
        <v>1850.1819775094611</v>
      </c>
      <c r="AI284">
        <f t="shared" si="115"/>
        <v>3776.4388550389649</v>
      </c>
      <c r="AJ284">
        <f t="shared" si="116"/>
        <v>918.96995392886697</v>
      </c>
      <c r="AM284">
        <f t="shared" si="118"/>
        <v>0</v>
      </c>
      <c r="AN284" s="43"/>
      <c r="AO284" s="43"/>
      <c r="AP284" t="e">
        <f t="shared" si="117"/>
        <v>#DIV/0!</v>
      </c>
    </row>
    <row r="285" spans="1:42">
      <c r="A285">
        <v>266</v>
      </c>
      <c r="B285">
        <f t="shared" si="89"/>
        <v>266</v>
      </c>
      <c r="D285" s="43">
        <f t="shared" si="90"/>
        <v>354.08254525930539</v>
      </c>
      <c r="E285" s="43">
        <f t="shared" si="91"/>
        <v>597.62401114255192</v>
      </c>
      <c r="F285" s="69">
        <f t="shared" si="92"/>
        <v>0.56524643508574268</v>
      </c>
      <c r="G285" s="98">
        <f t="shared" si="93"/>
        <v>239.65813049959729</v>
      </c>
      <c r="H285" s="69">
        <f t="shared" si="94"/>
        <v>0.1654232738674071</v>
      </c>
      <c r="I285" s="69">
        <f t="shared" si="95"/>
        <v>-1.8888895243996064</v>
      </c>
      <c r="J285" s="99">
        <f t="shared" si="96"/>
        <v>1.5047746178408776E-2</v>
      </c>
      <c r="K285" s="69">
        <f t="shared" si="97"/>
        <v>1.8006877429791398E-4</v>
      </c>
      <c r="L285" s="99">
        <f t="shared" si="98"/>
        <v>1.5227814952706691E-2</v>
      </c>
      <c r="M285" s="69">
        <f t="shared" si="99"/>
        <v>10.86323115832214</v>
      </c>
      <c r="N285" s="69">
        <f t="shared" si="100"/>
        <v>4.4183216280134046</v>
      </c>
      <c r="O285" s="69">
        <f t="shared" si="101"/>
        <v>26.709189854112392</v>
      </c>
      <c r="P285" s="69">
        <f t="shared" si="102"/>
        <v>1.280622881019754</v>
      </c>
      <c r="Q285" s="69">
        <f t="shared" si="103"/>
        <v>0.71580147316454701</v>
      </c>
      <c r="R285" s="43">
        <f t="shared" si="104"/>
        <v>883.39719738366023</v>
      </c>
      <c r="S285" s="43">
        <f t="shared" si="105"/>
        <v>1737.5125066302376</v>
      </c>
      <c r="T285" s="43">
        <f>R285+Thrust!C$33*0.8</f>
        <v>2695.1571973836603</v>
      </c>
      <c r="U285" s="43"/>
      <c r="V285">
        <f t="shared" si="109"/>
        <v>1038379.1936227124</v>
      </c>
      <c r="W285">
        <f t="shared" si="110"/>
        <v>1610690.6549601415</v>
      </c>
      <c r="Y285">
        <f t="shared" si="111"/>
        <v>-3300.8080327079597</v>
      </c>
      <c r="Z285">
        <f t="shared" si="112"/>
        <v>-5.2817627035601005</v>
      </c>
      <c r="AA285">
        <f t="shared" si="106"/>
        <v>1819.2682214699735</v>
      </c>
      <c r="AB285">
        <f t="shared" si="113"/>
        <v>2.9082154485882241</v>
      </c>
      <c r="AC285">
        <f t="shared" si="107"/>
        <v>4.0452084403350925</v>
      </c>
      <c r="AD285">
        <f t="shared" si="108"/>
        <v>1432.3377006582746</v>
      </c>
      <c r="AE285">
        <f t="shared" si="114"/>
        <v>-1622.5901470416977</v>
      </c>
      <c r="AG285">
        <v>2.1822180793467862</v>
      </c>
      <c r="AH285">
        <v>1819.2682214699735</v>
      </c>
      <c r="AI285">
        <f t="shared" si="115"/>
        <v>3706.8406985813272</v>
      </c>
      <c r="AJ285">
        <f t="shared" si="116"/>
        <v>916.35344711044456</v>
      </c>
      <c r="AM285">
        <f t="shared" si="118"/>
        <v>0</v>
      </c>
      <c r="AN285" s="43"/>
      <c r="AO285" s="43"/>
      <c r="AP285" t="e">
        <f t="shared" si="117"/>
        <v>#DIV/0!</v>
      </c>
    </row>
    <row r="286" spans="1:42">
      <c r="A286">
        <v>267</v>
      </c>
      <c r="B286">
        <f t="shared" si="89"/>
        <v>267</v>
      </c>
      <c r="D286" s="43">
        <f t="shared" si="90"/>
        <v>355.41368264749826</v>
      </c>
      <c r="E286" s="43">
        <f t="shared" si="91"/>
        <v>599.87071795135842</v>
      </c>
      <c r="F286" s="69">
        <f t="shared" si="92"/>
        <v>0.56737142168380927</v>
      </c>
      <c r="G286" s="98">
        <f t="shared" si="93"/>
        <v>241.46345843724615</v>
      </c>
      <c r="H286" s="69">
        <f t="shared" si="94"/>
        <v>0.16418646868047326</v>
      </c>
      <c r="I286" s="69">
        <f t="shared" si="95"/>
        <v>-1.8993041888607063</v>
      </c>
      <c r="J286" s="99">
        <f t="shared" si="96"/>
        <v>1.5047746178408776E-2</v>
      </c>
      <c r="K286" s="69">
        <f t="shared" si="97"/>
        <v>1.7332484811044446E-4</v>
      </c>
      <c r="L286" s="99">
        <f t="shared" si="98"/>
        <v>1.522107102651922E-2</v>
      </c>
      <c r="M286" s="69">
        <f t="shared" si="99"/>
        <v>10.786788156655735</v>
      </c>
      <c r="N286" s="69">
        <f t="shared" si="100"/>
        <v>4.3707989565506624</v>
      </c>
      <c r="O286" s="69">
        <f t="shared" si="101"/>
        <v>26.62094502474967</v>
      </c>
      <c r="P286" s="69">
        <f t="shared" si="102"/>
        <v>1.2854372527529108</v>
      </c>
      <c r="Q286" s="69">
        <f t="shared" si="103"/>
        <v>0.71223613572581379</v>
      </c>
      <c r="R286" s="43">
        <f t="shared" si="104"/>
        <v>875.70495805926248</v>
      </c>
      <c r="S286" s="43">
        <f t="shared" si="105"/>
        <v>1749.8257800078909</v>
      </c>
      <c r="T286" s="43">
        <f>R286+Thrust!C$33*0.8</f>
        <v>2687.4649580592622</v>
      </c>
      <c r="U286" s="43"/>
      <c r="V286">
        <f t="shared" si="109"/>
        <v>1049669.2469431292</v>
      </c>
      <c r="W286">
        <f t="shared" si="110"/>
        <v>1612131.533860127</v>
      </c>
      <c r="Y286">
        <f t="shared" si="111"/>
        <v>-3336.6969439251789</v>
      </c>
      <c r="Z286">
        <f t="shared" si="112"/>
        <v>-5.3193006314644302</v>
      </c>
      <c r="AA286">
        <f t="shared" si="106"/>
        <v>1787.9595875507214</v>
      </c>
      <c r="AB286">
        <f t="shared" si="113"/>
        <v>2.8474112702067584</v>
      </c>
      <c r="AC286">
        <f t="shared" si="107"/>
        <v>3.9817668344996306</v>
      </c>
      <c r="AD286">
        <f t="shared" si="108"/>
        <v>1415.1744140931853</v>
      </c>
      <c r="AE286">
        <f t="shared" si="114"/>
        <v>-1666.8380981358046</v>
      </c>
      <c r="AG286">
        <v>2.1220415632564853</v>
      </c>
      <c r="AH286">
        <v>1787.9595875507214</v>
      </c>
      <c r="AI286">
        <f t="shared" si="115"/>
        <v>3638.2920052193062</v>
      </c>
      <c r="AJ286">
        <f t="shared" si="116"/>
        <v>913.73808574014924</v>
      </c>
      <c r="AM286">
        <f t="shared" si="118"/>
        <v>0</v>
      </c>
      <c r="AN286" s="43"/>
      <c r="AO286" s="43"/>
      <c r="AP286" t="e">
        <f t="shared" si="117"/>
        <v>#DIV/0!</v>
      </c>
    </row>
    <row r="287" spans="1:42">
      <c r="A287">
        <v>268</v>
      </c>
      <c r="B287">
        <f t="shared" si="89"/>
        <v>268</v>
      </c>
      <c r="D287" s="43">
        <f t="shared" si="90"/>
        <v>356.74482003569113</v>
      </c>
      <c r="E287" s="43">
        <f t="shared" si="91"/>
        <v>602.11742476016502</v>
      </c>
      <c r="F287" s="69">
        <f t="shared" si="92"/>
        <v>0.56949640828187598</v>
      </c>
      <c r="G287" s="98">
        <f t="shared" si="93"/>
        <v>243.27556058854475</v>
      </c>
      <c r="H287" s="69">
        <f t="shared" si="94"/>
        <v>0.16296348248165318</v>
      </c>
      <c r="I287" s="69">
        <f t="shared" si="95"/>
        <v>-1.9096024888968204</v>
      </c>
      <c r="J287" s="99">
        <f t="shared" si="96"/>
        <v>1.5047746178408776E-2</v>
      </c>
      <c r="K287" s="69">
        <f t="shared" si="97"/>
        <v>1.6678283189558646E-4</v>
      </c>
      <c r="L287" s="99">
        <f t="shared" si="98"/>
        <v>1.5214529010304362E-2</v>
      </c>
      <c r="M287" s="69">
        <f t="shared" si="99"/>
        <v>10.711043527623017</v>
      </c>
      <c r="N287" s="69">
        <f t="shared" si="100"/>
        <v>4.3239128560928179</v>
      </c>
      <c r="O287" s="69">
        <f t="shared" si="101"/>
        <v>26.533017030852996</v>
      </c>
      <c r="P287" s="69">
        <f t="shared" si="102"/>
        <v>1.290251624486068</v>
      </c>
      <c r="Q287" s="69">
        <f t="shared" si="103"/>
        <v>0.7086266540153936</v>
      </c>
      <c r="R287" s="43">
        <f t="shared" si="104"/>
        <v>868.01604998764844</v>
      </c>
      <c r="S287" s="43">
        <f t="shared" si="105"/>
        <v>1762.1999155659034</v>
      </c>
      <c r="T287" s="43">
        <f>R287+Thrust!C$33*0.8</f>
        <v>2679.7760499876485</v>
      </c>
      <c r="U287" s="43"/>
      <c r="V287">
        <f t="shared" si="109"/>
        <v>1061051.275073122</v>
      </c>
      <c r="W287">
        <f t="shared" si="110"/>
        <v>1613539.8541525302</v>
      </c>
      <c r="Y287">
        <f t="shared" si="111"/>
        <v>-3372.8782253980044</v>
      </c>
      <c r="Z287">
        <f t="shared" si="112"/>
        <v>-5.3570264092306887</v>
      </c>
      <c r="AA287">
        <f t="shared" si="106"/>
        <v>1756.2550858153372</v>
      </c>
      <c r="AB287">
        <f t="shared" si="113"/>
        <v>2.7864354570476695</v>
      </c>
      <c r="AC287">
        <f t="shared" si="107"/>
        <v>3.9190915290098247</v>
      </c>
      <c r="AD287">
        <f t="shared" si="108"/>
        <v>1398.1156022200116</v>
      </c>
      <c r="AE287">
        <f t="shared" si="114"/>
        <v>-1711.4819170460455</v>
      </c>
      <c r="AG287">
        <v>2.0616659970695457</v>
      </c>
      <c r="AH287">
        <v>1756.2550858153372</v>
      </c>
      <c r="AI287">
        <f t="shared" si="115"/>
        <v>3570.777789831001</v>
      </c>
      <c r="AJ287">
        <f t="shared" si="116"/>
        <v>911.12385699580057</v>
      </c>
      <c r="AM287">
        <f t="shared" si="118"/>
        <v>0</v>
      </c>
      <c r="AN287" s="43"/>
      <c r="AO287" s="43"/>
      <c r="AP287" t="e">
        <f t="shared" si="117"/>
        <v>#DIV/0!</v>
      </c>
    </row>
    <row r="288" spans="1:42">
      <c r="A288">
        <v>269</v>
      </c>
      <c r="B288">
        <f t="shared" si="89"/>
        <v>269</v>
      </c>
      <c r="D288" s="43">
        <f t="shared" si="90"/>
        <v>358.07595742388406</v>
      </c>
      <c r="E288" s="43">
        <f t="shared" si="91"/>
        <v>604.36413156897174</v>
      </c>
      <c r="F288" s="69">
        <f t="shared" si="92"/>
        <v>0.57162139487994279</v>
      </c>
      <c r="G288" s="98">
        <f t="shared" si="93"/>
        <v>245.09443695349319</v>
      </c>
      <c r="H288" s="69">
        <f t="shared" si="94"/>
        <v>0.1617541101665573</v>
      </c>
      <c r="I288" s="69">
        <f t="shared" si="95"/>
        <v>-1.9197861516137369</v>
      </c>
      <c r="J288" s="99">
        <f t="shared" si="96"/>
        <v>1.5047746178408776E-2</v>
      </c>
      <c r="K288" s="69">
        <f t="shared" si="97"/>
        <v>1.6043739390748379E-4</v>
      </c>
      <c r="L288" s="99">
        <f t="shared" si="98"/>
        <v>1.520818357231626E-2</v>
      </c>
      <c r="M288" s="69">
        <f t="shared" si="99"/>
        <v>10.635991431679015</v>
      </c>
      <c r="N288" s="69">
        <f t="shared" si="100"/>
        <v>4.2776538787478868</v>
      </c>
      <c r="O288" s="69">
        <f t="shared" si="101"/>
        <v>26.445410718424473</v>
      </c>
      <c r="P288" s="69">
        <f t="shared" si="102"/>
        <v>1.2950659962192252</v>
      </c>
      <c r="Q288" s="69">
        <f t="shared" si="103"/>
        <v>0.70497302803328665</v>
      </c>
      <c r="R288" s="43">
        <f t="shared" si="104"/>
        <v>860.33043601730037</v>
      </c>
      <c r="S288" s="43">
        <f t="shared" si="105"/>
        <v>1774.6347504362705</v>
      </c>
      <c r="T288" s="43">
        <f>R288+Thrust!C$33*0.8</f>
        <v>2672.0904360173004</v>
      </c>
      <c r="U288" s="43"/>
      <c r="V288">
        <f t="shared" si="109"/>
        <v>1072525.5897995355</v>
      </c>
      <c r="W288">
        <f t="shared" si="110"/>
        <v>1614915.6158373507</v>
      </c>
      <c r="Y288">
        <f t="shared" si="111"/>
        <v>-3409.3528682369342</v>
      </c>
      <c r="Z288">
        <f t="shared" si="112"/>
        <v>-5.3949395912999289</v>
      </c>
      <c r="AA288">
        <f t="shared" si="106"/>
        <v>1724.15372515332</v>
      </c>
      <c r="AB288">
        <f t="shared" si="113"/>
        <v>2.7252883490652522</v>
      </c>
      <c r="AC288">
        <f t="shared" si="107"/>
        <v>3.8571731300318421</v>
      </c>
      <c r="AD288">
        <f t="shared" si="108"/>
        <v>1381.1609614858314</v>
      </c>
      <c r="AE288">
        <f t="shared" si="114"/>
        <v>-1756.5225948829188</v>
      </c>
      <c r="AG288">
        <v>2.0010916702762835</v>
      </c>
      <c r="AH288">
        <v>1724.15372515332</v>
      </c>
      <c r="AI288">
        <f t="shared" si="115"/>
        <v>3504.2832464791404</v>
      </c>
      <c r="AJ288">
        <f t="shared" si="116"/>
        <v>908.51074824588216</v>
      </c>
      <c r="AM288">
        <f t="shared" si="118"/>
        <v>0</v>
      </c>
      <c r="AN288" s="43"/>
      <c r="AO288" s="43"/>
      <c r="AP288" t="e">
        <f t="shared" si="117"/>
        <v>#DIV/0!</v>
      </c>
    </row>
    <row r="289" spans="1:42">
      <c r="A289">
        <v>270</v>
      </c>
      <c r="B289">
        <f t="shared" si="89"/>
        <v>270</v>
      </c>
      <c r="D289" s="43">
        <f t="shared" si="90"/>
        <v>359.40709481207693</v>
      </c>
      <c r="E289" s="43">
        <f t="shared" si="91"/>
        <v>606.61083837777835</v>
      </c>
      <c r="F289" s="69">
        <f t="shared" si="92"/>
        <v>0.57374638147800949</v>
      </c>
      <c r="G289" s="98">
        <f t="shared" si="93"/>
        <v>246.92008753209126</v>
      </c>
      <c r="H289" s="69">
        <f t="shared" si="94"/>
        <v>0.16055815042197877</v>
      </c>
      <c r="I289" s="69">
        <f t="shared" si="95"/>
        <v>-1.9298568721931404</v>
      </c>
      <c r="J289" s="99">
        <f t="shared" si="96"/>
        <v>1.5047746178408776E-2</v>
      </c>
      <c r="K289" s="69">
        <f t="shared" si="97"/>
        <v>1.5428335245748503E-4</v>
      </c>
      <c r="L289" s="99">
        <f t="shared" si="98"/>
        <v>1.5202029530866261E-2</v>
      </c>
      <c r="M289" s="69">
        <f t="shared" si="99"/>
        <v>10.561626005000244</v>
      </c>
      <c r="N289" s="69">
        <f t="shared" si="100"/>
        <v>4.2320127068643369</v>
      </c>
      <c r="O289" s="69">
        <f t="shared" si="101"/>
        <v>26.358130656972349</v>
      </c>
      <c r="P289" s="69">
        <f t="shared" si="102"/>
        <v>1.299880367952382</v>
      </c>
      <c r="Q289" s="69">
        <f t="shared" si="103"/>
        <v>0.7012752577794934</v>
      </c>
      <c r="R289" s="43">
        <f t="shared" si="104"/>
        <v>852.64807954709408</v>
      </c>
      <c r="S289" s="43">
        <f t="shared" si="105"/>
        <v>1787.1301247614631</v>
      </c>
      <c r="T289" s="43">
        <f>R289+Thrust!C$33*0.8</f>
        <v>2664.4080795470941</v>
      </c>
      <c r="U289" s="43"/>
      <c r="V289">
        <f t="shared" si="109"/>
        <v>1084092.5032717348</v>
      </c>
      <c r="W289">
        <f t="shared" si="110"/>
        <v>1616258.818914589</v>
      </c>
      <c r="Y289">
        <f t="shared" si="111"/>
        <v>-3446.1218647048522</v>
      </c>
      <c r="Z289">
        <f t="shared" si="112"/>
        <v>-5.43303974184394</v>
      </c>
      <c r="AA289">
        <f t="shared" si="106"/>
        <v>1691.6545133017883</v>
      </c>
      <c r="AB289">
        <f t="shared" si="113"/>
        <v>2.6639702775715168</v>
      </c>
      <c r="AC289">
        <f t="shared" si="107"/>
        <v>3.796002323638775</v>
      </c>
      <c r="AD289">
        <f t="shared" si="108"/>
        <v>1364.3101670389055</v>
      </c>
      <c r="AE289">
        <f t="shared" si="114"/>
        <v>-1801.9611239093067</v>
      </c>
      <c r="AG289">
        <v>1.940318864644264</v>
      </c>
      <c r="AH289">
        <v>1691.6545133017883</v>
      </c>
      <c r="AI289">
        <f t="shared" si="115"/>
        <v>3438.7937487681165</v>
      </c>
      <c r="AJ289">
        <f t="shared" si="116"/>
        <v>905.89874704601209</v>
      </c>
      <c r="AM289">
        <f t="shared" si="118"/>
        <v>0</v>
      </c>
      <c r="AN289" s="43"/>
      <c r="AO289" s="43"/>
      <c r="AP289" t="e">
        <f t="shared" si="117"/>
        <v>#DIV/0!</v>
      </c>
    </row>
    <row r="290" spans="1:42">
      <c r="A290">
        <v>271</v>
      </c>
      <c r="B290">
        <f t="shared" si="89"/>
        <v>271</v>
      </c>
      <c r="D290" s="43">
        <f t="shared" si="90"/>
        <v>360.73823220026981</v>
      </c>
      <c r="E290" s="43">
        <f t="shared" si="91"/>
        <v>608.85754518658484</v>
      </c>
      <c r="F290" s="69">
        <f t="shared" si="92"/>
        <v>0.57587136807607608</v>
      </c>
      <c r="G290" s="98">
        <f t="shared" si="93"/>
        <v>248.75251232433894</v>
      </c>
      <c r="H290" s="69">
        <f t="shared" si="94"/>
        <v>0.15937540564211075</v>
      </c>
      <c r="I290" s="69">
        <f t="shared" si="95"/>
        <v>-1.939816314598116</v>
      </c>
      <c r="J290" s="99">
        <f t="shared" si="96"/>
        <v>1.5047746178408776E-2</v>
      </c>
      <c r="K290" s="69">
        <f t="shared" si="97"/>
        <v>1.4831567127741667E-4</v>
      </c>
      <c r="L290" s="99">
        <f t="shared" si="98"/>
        <v>1.5196061849686193E-2</v>
      </c>
      <c r="M290" s="69">
        <f t="shared" si="99"/>
        <v>10.487941363926598</v>
      </c>
      <c r="N290" s="69">
        <f t="shared" si="100"/>
        <v>4.1869801524013894</v>
      </c>
      <c r="O290" s="69">
        <f t="shared" si="101"/>
        <v>26.2711811495154</v>
      </c>
      <c r="P290" s="69">
        <f t="shared" si="102"/>
        <v>1.3046947396855388</v>
      </c>
      <c r="Q290" s="69">
        <f t="shared" si="103"/>
        <v>0.69753334325401362</v>
      </c>
      <c r="R290" s="43">
        <f t="shared" si="104"/>
        <v>844.96894451614185</v>
      </c>
      <c r="S290" s="43">
        <f t="shared" si="105"/>
        <v>1799.6858816279039</v>
      </c>
      <c r="T290" s="43">
        <f>R290+Thrust!C$33*0.8</f>
        <v>2656.7289445161418</v>
      </c>
      <c r="U290" s="43"/>
      <c r="V290">
        <f t="shared" si="109"/>
        <v>1095752.3279949203</v>
      </c>
      <c r="W290">
        <f t="shared" si="110"/>
        <v>1617569.4633842446</v>
      </c>
      <c r="Y290">
        <f t="shared" si="111"/>
        <v>-3483.1862081957729</v>
      </c>
      <c r="Z290">
        <f t="shared" si="112"/>
        <v>-5.4713264345681747</v>
      </c>
      <c r="AA290">
        <f t="shared" si="106"/>
        <v>1658.7564568667262</v>
      </c>
      <c r="AB290">
        <f t="shared" si="113"/>
        <v>2.6024815654047786</v>
      </c>
      <c r="AC290">
        <f t="shared" si="107"/>
        <v>3.7355698774666903</v>
      </c>
      <c r="AD290">
        <f t="shared" si="108"/>
        <v>1347.5628738579123</v>
      </c>
      <c r="AE290">
        <f t="shared" si="114"/>
        <v>-1847.7984975192244</v>
      </c>
      <c r="AG290">
        <v>1.879347854357295</v>
      </c>
      <c r="AH290">
        <v>1658.7564568667262</v>
      </c>
      <c r="AI290">
        <f t="shared" si="115"/>
        <v>3374.294850027647</v>
      </c>
      <c r="AJ290">
        <f t="shared" si="116"/>
        <v>903.28784113548829</v>
      </c>
      <c r="AM290">
        <f t="shared" si="118"/>
        <v>0</v>
      </c>
      <c r="AN290" s="43"/>
      <c r="AO290" s="43"/>
      <c r="AP290" t="e">
        <f t="shared" si="117"/>
        <v>#DIV/0!</v>
      </c>
    </row>
    <row r="291" spans="1:42">
      <c r="A291">
        <v>272</v>
      </c>
      <c r="B291">
        <f t="shared" si="89"/>
        <v>272</v>
      </c>
      <c r="D291" s="43">
        <f t="shared" si="90"/>
        <v>362.06936958846268</v>
      </c>
      <c r="E291" s="43">
        <f t="shared" si="91"/>
        <v>611.10425199539145</v>
      </c>
      <c r="F291" s="69">
        <f t="shared" si="92"/>
        <v>0.5779963546741429</v>
      </c>
      <c r="G291" s="98">
        <f t="shared" si="93"/>
        <v>250.59171133023642</v>
      </c>
      <c r="H291" s="69">
        <f t="shared" si="94"/>
        <v>0.1582056818469163</v>
      </c>
      <c r="I291" s="69">
        <f t="shared" si="95"/>
        <v>-1.9496661122605237</v>
      </c>
      <c r="J291" s="99">
        <f t="shared" si="96"/>
        <v>1.5047746178408776E-2</v>
      </c>
      <c r="K291" s="69">
        <f t="shared" si="97"/>
        <v>1.4252945504052055E-4</v>
      </c>
      <c r="L291" s="99">
        <f t="shared" si="98"/>
        <v>1.5190275633449296E-2</v>
      </c>
      <c r="M291" s="69">
        <f t="shared" si="99"/>
        <v>10.414931609176609</v>
      </c>
      <c r="N291" s="69">
        <f t="shared" si="100"/>
        <v>4.1425471562231095</v>
      </c>
      <c r="O291" s="69">
        <f t="shared" si="101"/>
        <v>26.184566242263919</v>
      </c>
      <c r="P291" s="69">
        <f t="shared" si="102"/>
        <v>1.3095091114186959</v>
      </c>
      <c r="Q291" s="69">
        <f t="shared" si="103"/>
        <v>0.69374728445684664</v>
      </c>
      <c r="R291" s="43">
        <f t="shared" si="104"/>
        <v>837.29299539386272</v>
      </c>
      <c r="S291" s="43">
        <f t="shared" si="105"/>
        <v>1812.3018670011445</v>
      </c>
      <c r="T291" s="43">
        <f>R291+Thrust!C$33*0.8</f>
        <v>2649.0529953938626</v>
      </c>
      <c r="U291" s="43"/>
      <c r="V291">
        <f t="shared" si="109"/>
        <v>1107505.3768235857</v>
      </c>
      <c r="W291">
        <f t="shared" si="110"/>
        <v>1618847.5492463175</v>
      </c>
      <c r="Y291">
        <f t="shared" si="111"/>
        <v>-3520.546893214047</v>
      </c>
      <c r="Z291">
        <f t="shared" si="112"/>
        <v>-5.5097992525198825</v>
      </c>
      <c r="AA291">
        <f t="shared" si="106"/>
        <v>1625.458561343783</v>
      </c>
      <c r="AB291">
        <f t="shared" si="113"/>
        <v>2.540822527093638</v>
      </c>
      <c r="AC291">
        <f t="shared" si="107"/>
        <v>3.6758666422110062</v>
      </c>
      <c r="AD291">
        <f t="shared" si="108"/>
        <v>1330.9187178365978</v>
      </c>
      <c r="AE291">
        <f t="shared" si="114"/>
        <v>-1894.0357102170231</v>
      </c>
      <c r="AG291">
        <v>1.8181789061505564</v>
      </c>
      <c r="AH291">
        <v>1625.458561343783</v>
      </c>
      <c r="AI291">
        <f t="shared" si="115"/>
        <v>3310.7722833339321</v>
      </c>
      <c r="AJ291">
        <f t="shared" si="116"/>
        <v>900.67801843391339</v>
      </c>
      <c r="AM291">
        <f t="shared" si="118"/>
        <v>0</v>
      </c>
      <c r="AN291" s="43"/>
      <c r="AO291" s="43"/>
      <c r="AP291" t="e">
        <f t="shared" si="117"/>
        <v>#DIV/0!</v>
      </c>
    </row>
    <row r="292" spans="1:42">
      <c r="A292">
        <v>273</v>
      </c>
      <c r="B292">
        <f t="shared" si="89"/>
        <v>273</v>
      </c>
      <c r="D292" s="43">
        <f t="shared" si="90"/>
        <v>363.40050697665555</v>
      </c>
      <c r="E292" s="43">
        <f t="shared" si="91"/>
        <v>613.35095880419806</v>
      </c>
      <c r="F292" s="69">
        <f t="shared" si="92"/>
        <v>0.5801213412722096</v>
      </c>
      <c r="G292" s="98">
        <f t="shared" si="93"/>
        <v>252.4376845497836</v>
      </c>
      <c r="H292" s="69">
        <f t="shared" si="94"/>
        <v>0.15704878860258767</v>
      </c>
      <c r="I292" s="69">
        <f t="shared" si="95"/>
        <v>-1.9594078687507799</v>
      </c>
      <c r="J292" s="99">
        <f t="shared" si="96"/>
        <v>1.5047746178408776E-2</v>
      </c>
      <c r="K292" s="69">
        <f t="shared" si="97"/>
        <v>1.3691994503418157E-4</v>
      </c>
      <c r="L292" s="99">
        <f t="shared" si="98"/>
        <v>1.5184666123442958E-2</v>
      </c>
      <c r="M292" s="69">
        <f t="shared" si="99"/>
        <v>10.342590829845561</v>
      </c>
      <c r="N292" s="69">
        <f t="shared" si="100"/>
        <v>4.0987047873219344</v>
      </c>
      <c r="O292" s="69">
        <f t="shared" si="101"/>
        <v>26.098289733986526</v>
      </c>
      <c r="P292" s="69">
        <f t="shared" si="102"/>
        <v>1.3143234831518531</v>
      </c>
      <c r="Q292" s="69">
        <f t="shared" si="103"/>
        <v>0.68991708138799268</v>
      </c>
      <c r="R292" s="43">
        <f t="shared" si="104"/>
        <v>829.62019717027169</v>
      </c>
      <c r="S292" s="43">
        <f t="shared" si="105"/>
        <v>1824.9779296627023</v>
      </c>
      <c r="T292" s="43">
        <f>R292+Thrust!C$33*0.8</f>
        <v>2641.3801971702715</v>
      </c>
      <c r="U292" s="43"/>
      <c r="V292">
        <f t="shared" si="109"/>
        <v>1119351.9629551189</v>
      </c>
      <c r="W292">
        <f t="shared" si="110"/>
        <v>1620093.0765008077</v>
      </c>
      <c r="Y292">
        <f t="shared" si="111"/>
        <v>-3558.2049153540197</v>
      </c>
      <c r="Z292">
        <f t="shared" si="112"/>
        <v>-5.5484577879013139</v>
      </c>
      <c r="AA292">
        <f t="shared" si="106"/>
        <v>1591.7598311386134</v>
      </c>
      <c r="AB292">
        <f t="shared" si="113"/>
        <v>2.478993469016451</v>
      </c>
      <c r="AC292">
        <f t="shared" si="107"/>
        <v>3.6168835529716077</v>
      </c>
      <c r="AD292">
        <f t="shared" si="108"/>
        <v>1314.3773168254097</v>
      </c>
      <c r="AE292">
        <f t="shared" si="114"/>
        <v>-1940.6737575970485</v>
      </c>
      <c r="AG292">
        <v>1.7568122794418985</v>
      </c>
      <c r="AH292">
        <v>1591.7598311386134</v>
      </c>
      <c r="AI292">
        <f t="shared" si="115"/>
        <v>3248.2119613786194</v>
      </c>
      <c r="AJ292">
        <f t="shared" si="116"/>
        <v>898.06926703789236</v>
      </c>
      <c r="AM292">
        <f t="shared" si="118"/>
        <v>0</v>
      </c>
      <c r="AN292" s="43"/>
      <c r="AO292" s="43"/>
      <c r="AP292" t="e">
        <f t="shared" si="117"/>
        <v>#DIV/0!</v>
      </c>
    </row>
    <row r="293" spans="1:42">
      <c r="A293">
        <v>274</v>
      </c>
      <c r="B293">
        <f t="shared" si="89"/>
        <v>274</v>
      </c>
      <c r="D293" s="43">
        <f t="shared" si="90"/>
        <v>364.73164436484842</v>
      </c>
      <c r="E293" s="43">
        <f t="shared" si="91"/>
        <v>615.59766561300455</v>
      </c>
      <c r="F293" s="69">
        <f t="shared" si="92"/>
        <v>0.58224632787027619</v>
      </c>
      <c r="G293" s="98">
        <f t="shared" si="93"/>
        <v>254.29043198298046</v>
      </c>
      <c r="H293" s="69">
        <f t="shared" si="94"/>
        <v>0.15590453894403347</v>
      </c>
      <c r="I293" s="69">
        <f t="shared" si="95"/>
        <v>-1.9690431584305665</v>
      </c>
      <c r="J293" s="99">
        <f t="shared" si="96"/>
        <v>1.5047746178408776E-2</v>
      </c>
      <c r="K293" s="69">
        <f t="shared" si="97"/>
        <v>1.3148251497880706E-4</v>
      </c>
      <c r="L293" s="99">
        <f t="shared" si="98"/>
        <v>1.5179228693387583E-2</v>
      </c>
      <c r="M293" s="69">
        <f t="shared" si="99"/>
        <v>10.270913107195561</v>
      </c>
      <c r="N293" s="69">
        <f t="shared" si="100"/>
        <v>4.0554442419770602</v>
      </c>
      <c r="O293" s="69">
        <f t="shared" si="101"/>
        <v>26.012355185071808</v>
      </c>
      <c r="P293" s="69">
        <f t="shared" si="102"/>
        <v>1.3191378548850099</v>
      </c>
      <c r="Q293" s="69">
        <f t="shared" si="103"/>
        <v>0.6860427340474522</v>
      </c>
      <c r="R293" s="43">
        <f t="shared" si="104"/>
        <v>821.95051534647871</v>
      </c>
      <c r="S293" s="43">
        <f t="shared" si="105"/>
        <v>1837.7139211485119</v>
      </c>
      <c r="T293" s="43">
        <f>R293+Thrust!C$33*0.8</f>
        <v>2633.7105153464786</v>
      </c>
      <c r="U293" s="43"/>
      <c r="V293">
        <f t="shared" si="109"/>
        <v>1131292.3999235451</v>
      </c>
      <c r="W293">
        <f t="shared" si="110"/>
        <v>1621306.0451477154</v>
      </c>
      <c r="Y293">
        <f t="shared" si="111"/>
        <v>-3596.161271280143</v>
      </c>
      <c r="Z293">
        <f t="shared" si="112"/>
        <v>-5.5873016418878434</v>
      </c>
      <c r="AA293">
        <f t="shared" si="106"/>
        <v>1557.6592695867664</v>
      </c>
      <c r="AB293">
        <f t="shared" si="113"/>
        <v>2.4169946895564043</v>
      </c>
      <c r="AC293">
        <f t="shared" si="107"/>
        <v>3.5586116304547035</v>
      </c>
      <c r="AD293">
        <f t="shared" si="108"/>
        <v>1297.9382716316184</v>
      </c>
      <c r="AE293">
        <f t="shared" si="114"/>
        <v>-1987.7136363237512</v>
      </c>
      <c r="AG293">
        <v>1.6952482264594104</v>
      </c>
      <c r="AH293">
        <v>1557.6592695867664</v>
      </c>
      <c r="AI293">
        <f t="shared" si="115"/>
        <v>3186.5999761953622</v>
      </c>
      <c r="AJ293">
        <f t="shared" si="116"/>
        <v>895.46157521780276</v>
      </c>
      <c r="AM293">
        <f t="shared" si="118"/>
        <v>0</v>
      </c>
      <c r="AN293" s="43"/>
      <c r="AO293" s="43"/>
      <c r="AP293" t="e">
        <f t="shared" si="117"/>
        <v>#DIV/0!</v>
      </c>
    </row>
    <row r="294" spans="1:42">
      <c r="A294">
        <v>275</v>
      </c>
      <c r="B294">
        <f t="shared" si="89"/>
        <v>275</v>
      </c>
      <c r="D294" s="43">
        <f t="shared" si="90"/>
        <v>366.06278175304129</v>
      </c>
      <c r="E294" s="43">
        <f t="shared" si="91"/>
        <v>617.84437242181116</v>
      </c>
      <c r="F294" s="69">
        <f t="shared" si="92"/>
        <v>0.5843713144683429</v>
      </c>
      <c r="G294" s="98">
        <f t="shared" si="93"/>
        <v>256.14995362982705</v>
      </c>
      <c r="H294" s="69">
        <f t="shared" si="94"/>
        <v>0.15477274929933565</v>
      </c>
      <c r="I294" s="69">
        <f t="shared" si="95"/>
        <v>-1.9785735270889457</v>
      </c>
      <c r="J294" s="99">
        <f t="shared" si="96"/>
        <v>1.5047746178408776E-2</v>
      </c>
      <c r="K294" s="69">
        <f t="shared" si="97"/>
        <v>1.2621266698745456E-4</v>
      </c>
      <c r="L294" s="99">
        <f t="shared" si="98"/>
        <v>1.5173958845396232E-2</v>
      </c>
      <c r="M294" s="69">
        <f t="shared" si="99"/>
        <v>10.19989251824639</v>
      </c>
      <c r="N294" s="69">
        <f t="shared" si="100"/>
        <v>4.0127568428528217</v>
      </c>
      <c r="O294" s="69">
        <f t="shared" si="101"/>
        <v>25.926765926293761</v>
      </c>
      <c r="P294" s="69">
        <f t="shared" si="102"/>
        <v>1.3239522266181669</v>
      </c>
      <c r="Q294" s="69">
        <f t="shared" si="103"/>
        <v>0.68212424243522496</v>
      </c>
      <c r="R294" s="43">
        <f t="shared" si="104"/>
        <v>814.28391592539447</v>
      </c>
      <c r="S294" s="43">
        <f t="shared" si="105"/>
        <v>1850.5096956889379</v>
      </c>
      <c r="T294" s="43">
        <f>R294+Thrust!C$33*0.8</f>
        <v>2626.0439159253947</v>
      </c>
      <c r="U294" s="43"/>
      <c r="V294">
        <f t="shared" si="109"/>
        <v>1143327.0015934086</v>
      </c>
      <c r="W294">
        <f t="shared" si="110"/>
        <v>1622486.4551870408</v>
      </c>
      <c r="Y294">
        <f t="shared" si="111"/>
        <v>-3634.4169587075235</v>
      </c>
      <c r="Z294">
        <f t="shared" si="112"/>
        <v>-5.6263304244508898</v>
      </c>
      <c r="AA294">
        <f t="shared" si="106"/>
        <v>1523.1558789731355</v>
      </c>
      <c r="AB294">
        <f t="shared" si="113"/>
        <v>2.3548264792523348</v>
      </c>
      <c r="AC294">
        <f t="shared" si="107"/>
        <v>3.5010419820391028</v>
      </c>
      <c r="AD294">
        <f t="shared" si="108"/>
        <v>1281.6011669794154</v>
      </c>
      <c r="AE294">
        <f t="shared" si="114"/>
        <v>-2035.1563441122389</v>
      </c>
      <c r="AG294">
        <v>1.6334869923654187</v>
      </c>
      <c r="AH294">
        <v>1523.1558789731355</v>
      </c>
      <c r="AI294">
        <f t="shared" si="115"/>
        <v>3125.9225987532782</v>
      </c>
      <c r="AJ294">
        <f t="shared" si="116"/>
        <v>892.85493141463428</v>
      </c>
      <c r="AM294">
        <f t="shared" si="118"/>
        <v>0</v>
      </c>
      <c r="AN294" s="43"/>
      <c r="AO294" s="43"/>
      <c r="AP294" t="e">
        <f t="shared" si="117"/>
        <v>#DIV/0!</v>
      </c>
    </row>
    <row r="295" spans="1:42">
      <c r="A295">
        <v>276</v>
      </c>
      <c r="B295">
        <f t="shared" si="89"/>
        <v>276</v>
      </c>
      <c r="D295" s="43">
        <f t="shared" si="90"/>
        <v>367.39391914123416</v>
      </c>
      <c r="E295" s="43">
        <f t="shared" si="91"/>
        <v>620.09107923061777</v>
      </c>
      <c r="F295" s="69">
        <f t="shared" si="92"/>
        <v>0.5864963010664096</v>
      </c>
      <c r="G295" s="98">
        <f t="shared" si="93"/>
        <v>258.01624949032345</v>
      </c>
      <c r="H295" s="69">
        <f t="shared" si="94"/>
        <v>0.15365323941611866</v>
      </c>
      <c r="I295" s="69">
        <f t="shared" si="95"/>
        <v>-1.9880004925623802</v>
      </c>
      <c r="J295" s="99">
        <f t="shared" si="96"/>
        <v>1.5047746178408776E-2</v>
      </c>
      <c r="K295" s="69">
        <f t="shared" si="97"/>
        <v>1.2110602766101575E-4</v>
      </c>
      <c r="L295" s="99">
        <f t="shared" si="98"/>
        <v>1.5168852206069791E-2</v>
      </c>
      <c r="M295" s="69">
        <f t="shared" si="99"/>
        <v>10.129523139175591</v>
      </c>
      <c r="N295" s="69">
        <f t="shared" si="100"/>
        <v>3.9706340380419016</v>
      </c>
      <c r="O295" s="69">
        <f t="shared" si="101"/>
        <v>25.841525067289741</v>
      </c>
      <c r="P295" s="69">
        <f t="shared" si="102"/>
        <v>1.3287665983513237</v>
      </c>
      <c r="Q295" s="69">
        <f t="shared" si="103"/>
        <v>0.67816160655131119</v>
      </c>
      <c r="R295" s="43">
        <f t="shared" si="104"/>
        <v>806.62036540264205</v>
      </c>
      <c r="S295" s="43">
        <f t="shared" si="105"/>
        <v>1863.365110150306</v>
      </c>
      <c r="T295" s="43">
        <f>R295+Thrust!C$33*0.8</f>
        <v>2618.3803654026419</v>
      </c>
      <c r="U295" s="43"/>
      <c r="V295">
        <f t="shared" si="109"/>
        <v>1155456.0821537822</v>
      </c>
      <c r="W295">
        <f t="shared" si="110"/>
        <v>1623634.3066187836</v>
      </c>
      <c r="Y295">
        <f t="shared" si="111"/>
        <v>-3672.9729763828841</v>
      </c>
      <c r="Z295">
        <f t="shared" si="112"/>
        <v>-5.6655437541854639</v>
      </c>
      <c r="AA295">
        <f t="shared" si="106"/>
        <v>1488.2486605509978</v>
      </c>
      <c r="AB295">
        <f t="shared" si="113"/>
        <v>2.292489120945445</v>
      </c>
      <c r="AC295">
        <f t="shared" si="107"/>
        <v>3.4441658027142692</v>
      </c>
      <c r="AD295">
        <f t="shared" si="108"/>
        <v>1265.3655724314103</v>
      </c>
      <c r="AE295">
        <f t="shared" si="114"/>
        <v>-2083.0028797092323</v>
      </c>
      <c r="AG295">
        <v>1.5715288153769891</v>
      </c>
      <c r="AH295">
        <v>1488.2486605509978</v>
      </c>
      <c r="AI295">
        <f t="shared" si="115"/>
        <v>3066.1662784262126</v>
      </c>
      <c r="AJ295">
        <f t="shared" si="116"/>
        <v>890.24932423689836</v>
      </c>
      <c r="AM295">
        <f t="shared" si="118"/>
        <v>0</v>
      </c>
      <c r="AN295" s="43"/>
      <c r="AO295" s="43"/>
      <c r="AP295" t="e">
        <f t="shared" si="117"/>
        <v>#DIV/0!</v>
      </c>
    </row>
    <row r="296" spans="1:42">
      <c r="A296">
        <v>277</v>
      </c>
      <c r="B296">
        <f t="shared" si="89"/>
        <v>277</v>
      </c>
      <c r="D296" s="43">
        <f t="shared" si="90"/>
        <v>368.72505652942704</v>
      </c>
      <c r="E296" s="43">
        <f t="shared" si="91"/>
        <v>622.33778603942437</v>
      </c>
      <c r="F296" s="69">
        <f t="shared" si="92"/>
        <v>0.5886212876644763</v>
      </c>
      <c r="G296" s="98">
        <f t="shared" si="93"/>
        <v>259.88931956446947</v>
      </c>
      <c r="H296" s="69">
        <f t="shared" si="94"/>
        <v>0.15254583228977645</v>
      </c>
      <c r="I296" s="69">
        <f t="shared" si="95"/>
        <v>-1.9973255453391048</v>
      </c>
      <c r="J296" s="99">
        <f t="shared" si="96"/>
        <v>1.5047746178408776E-2</v>
      </c>
      <c r="K296" s="69">
        <f t="shared" si="97"/>
        <v>1.1615834431397893E-4</v>
      </c>
      <c r="L296" s="99">
        <f t="shared" si="98"/>
        <v>1.5163904522722755E-2</v>
      </c>
      <c r="M296" s="69">
        <f t="shared" si="99"/>
        <v>10.059799048535956</v>
      </c>
      <c r="N296" s="69">
        <f t="shared" si="100"/>
        <v>3.9290674000579324</v>
      </c>
      <c r="O296" s="69">
        <f t="shared" si="101"/>
        <v>25.756635504759419</v>
      </c>
      <c r="P296" s="69">
        <f t="shared" si="102"/>
        <v>1.3335809700844807</v>
      </c>
      <c r="Q296" s="69">
        <f t="shared" si="103"/>
        <v>0.67415482639571045</v>
      </c>
      <c r="R296" s="43">
        <f t="shared" si="104"/>
        <v>798.95983075766151</v>
      </c>
      <c r="S296" s="43">
        <f t="shared" si="105"/>
        <v>1876.2800239779101</v>
      </c>
      <c r="T296" s="43">
        <f>R296+Thrust!C$33*0.8</f>
        <v>2610.7198307576614</v>
      </c>
      <c r="U296" s="43"/>
      <c r="V296">
        <f t="shared" si="109"/>
        <v>1167679.9561124106</v>
      </c>
      <c r="W296">
        <f t="shared" si="110"/>
        <v>1624749.5994429437</v>
      </c>
      <c r="Y296">
        <f t="shared" si="111"/>
        <v>-3711.8303240659411</v>
      </c>
      <c r="Z296">
        <f t="shared" si="112"/>
        <v>-5.7049412581422159</v>
      </c>
      <c r="AA296">
        <f t="shared" si="106"/>
        <v>1452.9366145606348</v>
      </c>
      <c r="AB296">
        <f t="shared" si="113"/>
        <v>2.229982889921994</v>
      </c>
      <c r="AC296">
        <f t="shared" si="107"/>
        <v>3.3879743758971039</v>
      </c>
      <c r="AD296">
        <f t="shared" si="108"/>
        <v>1249.23104327291</v>
      </c>
      <c r="AE296">
        <f t="shared" si="114"/>
        <v>-2131.2542428744514</v>
      </c>
      <c r="AG296">
        <v>1.5093739268830275</v>
      </c>
      <c r="AH296">
        <v>1452.9366145606348</v>
      </c>
      <c r="AI296">
        <f t="shared" si="115"/>
        <v>3007.3176423461496</v>
      </c>
      <c r="AJ296">
        <f t="shared" si="116"/>
        <v>887.64474245760493</v>
      </c>
      <c r="AM296">
        <f t="shared" si="118"/>
        <v>0</v>
      </c>
      <c r="AN296" s="43"/>
      <c r="AO296" s="43"/>
      <c r="AP296" t="e">
        <f t="shared" si="117"/>
        <v>#DIV/0!</v>
      </c>
    </row>
    <row r="297" spans="1:42">
      <c r="A297">
        <v>278</v>
      </c>
      <c r="B297">
        <f t="shared" si="89"/>
        <v>278</v>
      </c>
      <c r="D297" s="43">
        <f t="shared" si="90"/>
        <v>370.05619391761996</v>
      </c>
      <c r="E297" s="43">
        <f t="shared" si="91"/>
        <v>624.58449284823098</v>
      </c>
      <c r="F297" s="69">
        <f t="shared" si="92"/>
        <v>0.59074627426254311</v>
      </c>
      <c r="G297" s="98">
        <f t="shared" si="93"/>
        <v>261.76916385226525</v>
      </c>
      <c r="H297" s="69">
        <f t="shared" si="94"/>
        <v>0.1514503540935026</v>
      </c>
      <c r="I297" s="69">
        <f t="shared" si="95"/>
        <v>-2.0065501491483166</v>
      </c>
      <c r="J297" s="99">
        <f t="shared" si="96"/>
        <v>1.5047746178408776E-2</v>
      </c>
      <c r="K297" s="69">
        <f t="shared" si="97"/>
        <v>1.1136548132598204E-4</v>
      </c>
      <c r="L297" s="99">
        <f t="shared" si="98"/>
        <v>1.5159111659734758E-2</v>
      </c>
      <c r="M297" s="69">
        <f t="shared" si="99"/>
        <v>9.9907143302982018</v>
      </c>
      <c r="N297" s="69">
        <f t="shared" si="100"/>
        <v>3.8880486247818093</v>
      </c>
      <c r="O297" s="69">
        <f t="shared" si="101"/>
        <v>25.672099930393042</v>
      </c>
      <c r="P297" s="69">
        <f t="shared" si="102"/>
        <v>1.3383953418176378</v>
      </c>
      <c r="Q297" s="69">
        <f t="shared" si="103"/>
        <v>0.67010390196842295</v>
      </c>
      <c r="R297" s="43">
        <f t="shared" si="104"/>
        <v>791.30227944500939</v>
      </c>
      <c r="S297" s="43">
        <f t="shared" si="105"/>
        <v>1889.2542991404521</v>
      </c>
      <c r="T297" s="43">
        <f>R297+Thrust!C$33*0.8</f>
        <v>2603.0622794450092</v>
      </c>
      <c r="U297" s="43"/>
      <c r="V297">
        <f t="shared" si="109"/>
        <v>1179998.9382899792</v>
      </c>
      <c r="W297">
        <f t="shared" si="110"/>
        <v>1625832.3336595211</v>
      </c>
      <c r="Y297">
        <f t="shared" si="111"/>
        <v>-3750.9900025111924</v>
      </c>
      <c r="Z297">
        <f t="shared" si="112"/>
        <v>-5.7445225716639019</v>
      </c>
      <c r="AA297">
        <f t="shared" si="106"/>
        <v>1417.2187402475502</v>
      </c>
      <c r="AB297">
        <f t="shared" si="113"/>
        <v>2.1673080540521026</v>
      </c>
      <c r="AC297">
        <f t="shared" si="107"/>
        <v>3.3324590741341638</v>
      </c>
      <c r="AD297">
        <f t="shared" si="108"/>
        <v>1233.1971213603244</v>
      </c>
      <c r="AE297">
        <f t="shared" si="114"/>
        <v>-2179.911434362391</v>
      </c>
      <c r="AG297">
        <v>1.4470225515580779</v>
      </c>
      <c r="AH297">
        <v>1417.2187402475502</v>
      </c>
      <c r="AI297">
        <f t="shared" si="115"/>
        <v>2949.3634946487796</v>
      </c>
      <c r="AJ297">
        <f t="shared" si="116"/>
        <v>885.04117501130315</v>
      </c>
      <c r="AM297">
        <f t="shared" si="118"/>
        <v>0</v>
      </c>
      <c r="AN297" s="43"/>
      <c r="AO297" s="43"/>
      <c r="AP297" t="e">
        <f t="shared" si="117"/>
        <v>#DIV/0!</v>
      </c>
    </row>
    <row r="298" spans="1:42">
      <c r="A298">
        <v>279</v>
      </c>
      <c r="B298">
        <f t="shared" si="89"/>
        <v>279</v>
      </c>
      <c r="D298" s="43">
        <f t="shared" si="90"/>
        <v>371.38733130581284</v>
      </c>
      <c r="E298" s="43">
        <f t="shared" si="91"/>
        <v>626.83119965703759</v>
      </c>
      <c r="F298" s="69">
        <f t="shared" si="92"/>
        <v>0.59287126086060982</v>
      </c>
      <c r="G298" s="98">
        <f t="shared" si="93"/>
        <v>263.65578235371072</v>
      </c>
      <c r="H298" s="69">
        <f t="shared" si="94"/>
        <v>0.15036663411007381</v>
      </c>
      <c r="I298" s="69">
        <f t="shared" si="95"/>
        <v>-2.0156757415345998</v>
      </c>
      <c r="J298" s="99">
        <f t="shared" si="96"/>
        <v>1.5047746178408776E-2</v>
      </c>
      <c r="K298" s="69">
        <f t="shared" si="97"/>
        <v>1.0672341661457299E-4</v>
      </c>
      <c r="L298" s="99">
        <f t="shared" si="98"/>
        <v>1.5154469595023349E-2</v>
      </c>
      <c r="M298" s="69">
        <f t="shared" si="99"/>
        <v>9.9222630767264501</v>
      </c>
      <c r="N298" s="69">
        <f t="shared" si="100"/>
        <v>3.8475695303658517</v>
      </c>
      <c r="O298" s="69">
        <f t="shared" si="101"/>
        <v>25.587920838537169</v>
      </c>
      <c r="P298" s="69">
        <f t="shared" si="102"/>
        <v>1.3432097135507948</v>
      </c>
      <c r="Q298" s="69">
        <f t="shared" si="103"/>
        <v>0.66600883326944893</v>
      </c>
      <c r="R298" s="43">
        <f t="shared" si="104"/>
        <v>783.64767938584373</v>
      </c>
      <c r="S298" s="43">
        <f t="shared" si="105"/>
        <v>1902.287800075871</v>
      </c>
      <c r="T298" s="43">
        <f>R298+Thrust!C$33*0.8</f>
        <v>2595.4076793858439</v>
      </c>
      <c r="U298" s="43"/>
      <c r="V298">
        <f t="shared" si="109"/>
        <v>1192413.343814505</v>
      </c>
      <c r="W298">
        <f t="shared" si="110"/>
        <v>1626882.5092685164</v>
      </c>
      <c r="Y298">
        <f t="shared" si="111"/>
        <v>-3790.4530134500819</v>
      </c>
      <c r="Z298">
        <f t="shared" si="112"/>
        <v>-5.784287338226064</v>
      </c>
      <c r="AA298">
        <f t="shared" si="106"/>
        <v>1381.0940358803014</v>
      </c>
      <c r="AB298">
        <f t="shared" si="113"/>
        <v>2.1044648739247824</v>
      </c>
      <c r="AC298">
        <f t="shared" si="107"/>
        <v>3.2776113596956717</v>
      </c>
      <c r="AD298">
        <f t="shared" si="108"/>
        <v>1217.2633359349923</v>
      </c>
      <c r="AE298">
        <f t="shared" si="114"/>
        <v>-2228.9754559044973</v>
      </c>
      <c r="AG298">
        <v>1.3844749074729317</v>
      </c>
      <c r="AH298">
        <v>1381.0940358803014</v>
      </c>
      <c r="AI298">
        <f t="shared" si="115"/>
        <v>2892.2908156187846</v>
      </c>
      <c r="AJ298">
        <f t="shared" si="116"/>
        <v>882.43861099118703</v>
      </c>
      <c r="AM298">
        <f t="shared" si="118"/>
        <v>0</v>
      </c>
      <c r="AN298" s="43"/>
      <c r="AO298" s="43"/>
      <c r="AP298" t="e">
        <f t="shared" si="117"/>
        <v>#DIV/0!</v>
      </c>
    </row>
    <row r="299" spans="1:42">
      <c r="A299">
        <v>280</v>
      </c>
      <c r="B299">
        <f t="shared" si="89"/>
        <v>280</v>
      </c>
      <c r="D299" s="43">
        <f t="shared" si="90"/>
        <v>372.71846869400571</v>
      </c>
      <c r="E299" s="43">
        <f t="shared" si="91"/>
        <v>629.07790646584419</v>
      </c>
      <c r="F299" s="69">
        <f t="shared" si="92"/>
        <v>0.59499624745867652</v>
      </c>
      <c r="G299" s="98">
        <f t="shared" si="93"/>
        <v>265.54917506880594</v>
      </c>
      <c r="H299" s="69">
        <f t="shared" si="94"/>
        <v>0.14929450466533487</v>
      </c>
      <c r="I299" s="69">
        <f t="shared" si="95"/>
        <v>-2.0247037344180243</v>
      </c>
      <c r="J299" s="99">
        <f t="shared" si="96"/>
        <v>1.5047746178408776E-2</v>
      </c>
      <c r="K299" s="69">
        <f t="shared" si="97"/>
        <v>1.0222823822476141E-4</v>
      </c>
      <c r="L299" s="99">
        <f t="shared" si="98"/>
        <v>1.5149974416633539E-2</v>
      </c>
      <c r="M299" s="69">
        <f t="shared" si="99"/>
        <v>9.8544393910936687</v>
      </c>
      <c r="N299" s="69">
        <f t="shared" si="100"/>
        <v>3.8076220560995804</v>
      </c>
      <c r="O299" s="69">
        <f t="shared" si="101"/>
        <v>25.504100533605804</v>
      </c>
      <c r="P299" s="69">
        <f t="shared" si="102"/>
        <v>1.348024085283952</v>
      </c>
      <c r="Q299" s="69">
        <f t="shared" si="103"/>
        <v>0.66186962029878793</v>
      </c>
      <c r="R299" s="43">
        <f t="shared" si="104"/>
        <v>775.99599895959125</v>
      </c>
      <c r="S299" s="43">
        <f t="shared" si="105"/>
        <v>1915.3803936385273</v>
      </c>
      <c r="T299" s="43">
        <f>R299+Thrust!C$33*0.8</f>
        <v>2587.7559989595911</v>
      </c>
      <c r="U299" s="43"/>
      <c r="V299">
        <f t="shared" si="109"/>
        <v>1204923.4881158492</v>
      </c>
      <c r="W299">
        <f t="shared" si="110"/>
        <v>1627900.1262699289</v>
      </c>
      <c r="Y299">
        <f t="shared" si="111"/>
        <v>-3830.2203595735605</v>
      </c>
      <c r="Z299">
        <f t="shared" si="112"/>
        <v>-5.8242352092818859</v>
      </c>
      <c r="AA299">
        <f t="shared" si="106"/>
        <v>1344.5614987679353</v>
      </c>
      <c r="AB299">
        <f t="shared" si="113"/>
        <v>2.0414536029792711</v>
      </c>
      <c r="AC299">
        <f t="shared" si="107"/>
        <v>3.22342278506739</v>
      </c>
      <c r="AD299">
        <f t="shared" si="108"/>
        <v>1201.4292044036847</v>
      </c>
      <c r="AE299">
        <f t="shared" si="114"/>
        <v>-2278.4473101917183</v>
      </c>
      <c r="AG299">
        <v>1.3217312062021302</v>
      </c>
      <c r="AH299">
        <v>1344.5614987679353</v>
      </c>
      <c r="AI299">
        <f t="shared" si="115"/>
        <v>2836.0867607419982</v>
      </c>
      <c r="AJ299">
        <f t="shared" si="116"/>
        <v>879.83703964626102</v>
      </c>
      <c r="AM299">
        <f t="shared" si="118"/>
        <v>0</v>
      </c>
      <c r="AN299" s="43"/>
      <c r="AO299" s="43"/>
      <c r="AP299" t="e">
        <f t="shared" si="117"/>
        <v>#DIV/0!</v>
      </c>
    </row>
    <row r="300" spans="1:42">
      <c r="A300">
        <v>281</v>
      </c>
      <c r="B300">
        <f t="shared" si="89"/>
        <v>281</v>
      </c>
      <c r="D300" s="43">
        <f t="shared" si="90"/>
        <v>374.04960608219858</v>
      </c>
      <c r="E300" s="43">
        <f t="shared" si="91"/>
        <v>631.32461327465069</v>
      </c>
      <c r="F300" s="69">
        <f t="shared" si="92"/>
        <v>0.59712123405674311</v>
      </c>
      <c r="G300" s="98">
        <f t="shared" si="93"/>
        <v>267.44934199755073</v>
      </c>
      <c r="H300" s="69">
        <f t="shared" si="94"/>
        <v>0.14823380106333833</v>
      </c>
      <c r="I300" s="69">
        <f t="shared" si="95"/>
        <v>-2.0336355146403085</v>
      </c>
      <c r="J300" s="99">
        <f t="shared" si="96"/>
        <v>1.5047746178408776E-2</v>
      </c>
      <c r="K300" s="69">
        <f t="shared" si="97"/>
        <v>9.7876141031133382E-5</v>
      </c>
      <c r="L300" s="99">
        <f t="shared" si="98"/>
        <v>1.5145622319439909E-2</v>
      </c>
      <c r="M300" s="69">
        <f t="shared" si="99"/>
        <v>9.7872373902441314</v>
      </c>
      <c r="N300" s="69">
        <f t="shared" si="100"/>
        <v>3.7681982612408418</v>
      </c>
      <c r="O300" s="69">
        <f t="shared" si="101"/>
        <v>25.420641137244669</v>
      </c>
      <c r="P300" s="69">
        <f t="shared" si="102"/>
        <v>1.3528384570171088</v>
      </c>
      <c r="Q300" s="69">
        <f t="shared" si="103"/>
        <v>0.6576862630564404</v>
      </c>
      <c r="R300" s="43">
        <f t="shared" si="104"/>
        <v>768.34720699579407</v>
      </c>
      <c r="S300" s="43">
        <f t="shared" si="105"/>
        <v>1928.5319490476959</v>
      </c>
      <c r="T300" s="43">
        <f>R300+Thrust!C$33*0.8</f>
        <v>2580.1072069957941</v>
      </c>
      <c r="U300" s="43"/>
      <c r="V300">
        <f t="shared" si="109"/>
        <v>1217529.6869203451</v>
      </c>
      <c r="W300">
        <f t="shared" si="110"/>
        <v>1628885.1846637588</v>
      </c>
      <c r="Y300">
        <f t="shared" si="111"/>
        <v>-3870.2930445150037</v>
      </c>
      <c r="Z300">
        <f t="shared" si="112"/>
        <v>-5.8643658441110285</v>
      </c>
      <c r="AA300">
        <f t="shared" si="106"/>
        <v>1307.6201252770768</v>
      </c>
      <c r="AB300">
        <f t="shared" si="113"/>
        <v>1.9782744876328433</v>
      </c>
      <c r="AC300">
        <f t="shared" si="107"/>
        <v>3.1698849933461775</v>
      </c>
      <c r="AD300">
        <f t="shared" si="108"/>
        <v>1185.6942330870104</v>
      </c>
      <c r="AE300">
        <f t="shared" si="114"/>
        <v>-2328.3280008574329</v>
      </c>
      <c r="AG300">
        <v>1.2587916529283991</v>
      </c>
      <c r="AH300">
        <v>1307.6201252770768</v>
      </c>
      <c r="AI300">
        <f t="shared" si="115"/>
        <v>2780.7386596712977</v>
      </c>
      <c r="AJ300">
        <f t="shared" si="116"/>
        <v>877.23645037857</v>
      </c>
      <c r="AM300">
        <f t="shared" si="118"/>
        <v>0</v>
      </c>
      <c r="AN300" s="43"/>
      <c r="AO300" s="43"/>
      <c r="AP300" t="e">
        <f t="shared" si="117"/>
        <v>#DIV/0!</v>
      </c>
    </row>
    <row r="301" spans="1:42">
      <c r="A301">
        <v>282</v>
      </c>
      <c r="B301">
        <f t="shared" si="89"/>
        <v>282</v>
      </c>
      <c r="D301" s="43">
        <f t="shared" si="90"/>
        <v>375.38074347039145</v>
      </c>
      <c r="E301" s="43">
        <f t="shared" si="91"/>
        <v>633.57132008345729</v>
      </c>
      <c r="F301" s="69">
        <f t="shared" si="92"/>
        <v>0.59924622065480981</v>
      </c>
      <c r="G301" s="98">
        <f t="shared" si="93"/>
        <v>269.35628313994539</v>
      </c>
      <c r="H301" s="69">
        <f t="shared" si="94"/>
        <v>0.14718436152309058</v>
      </c>
      <c r="I301" s="69">
        <f t="shared" si="95"/>
        <v>-2.0424724444974562</v>
      </c>
      <c r="J301" s="99">
        <f t="shared" si="96"/>
        <v>1.5047746178408776E-2</v>
      </c>
      <c r="K301" s="69">
        <f t="shared" si="97"/>
        <v>9.3663423548456142E-5</v>
      </c>
      <c r="L301" s="99">
        <f t="shared" si="98"/>
        <v>1.5141409601957232E-2</v>
      </c>
      <c r="M301" s="69">
        <f t="shared" si="99"/>
        <v>9.7206512070094853</v>
      </c>
      <c r="N301" s="69">
        <f t="shared" si="100"/>
        <v>3.7292903238156048</v>
      </c>
      <c r="O301" s="69">
        <f t="shared" si="101"/>
        <v>25.337544595256109</v>
      </c>
      <c r="P301" s="69">
        <f t="shared" si="102"/>
        <v>1.3576528287502656</v>
      </c>
      <c r="Q301" s="69">
        <f t="shared" si="103"/>
        <v>0.65345876154240679</v>
      </c>
      <c r="R301" s="43">
        <f t="shared" si="104"/>
        <v>760.70127276612834</v>
      </c>
      <c r="S301" s="43">
        <f t="shared" si="105"/>
        <v>1941.7423378373442</v>
      </c>
      <c r="T301" s="43">
        <f>R301+Thrust!C$33*0.8</f>
        <v>2572.4612727661283</v>
      </c>
      <c r="U301" s="43"/>
      <c r="V301">
        <f t="shared" si="109"/>
        <v>1230232.2562455446</v>
      </c>
      <c r="W301">
        <f t="shared" si="110"/>
        <v>1629837.6844500066</v>
      </c>
      <c r="Y301">
        <f t="shared" si="111"/>
        <v>-3910.6720728335199</v>
      </c>
      <c r="Z301">
        <f t="shared" si="112"/>
        <v>-5.9046789096724321</v>
      </c>
      <c r="AA301">
        <f t="shared" si="106"/>
        <v>1270.2689108486206</v>
      </c>
      <c r="AB301">
        <f t="shared" si="113"/>
        <v>1.9149277674051031</v>
      </c>
      <c r="AC301">
        <f t="shared" si="107"/>
        <v>3.1169897185447111</v>
      </c>
      <c r="AD301">
        <f t="shared" si="108"/>
        <v>1170.0579179368797</v>
      </c>
      <c r="AE301">
        <f t="shared" si="114"/>
        <v>-2378.6185324607445</v>
      </c>
      <c r="AG301">
        <v>1.1956564465441883</v>
      </c>
      <c r="AH301">
        <v>1270.2689108486206</v>
      </c>
      <c r="AI301">
        <f t="shared" si="115"/>
        <v>2726.2340151125977</v>
      </c>
      <c r="AJ301">
        <f t="shared" si="116"/>
        <v>874.63683274048367</v>
      </c>
      <c r="AM301">
        <f t="shared" si="118"/>
        <v>0</v>
      </c>
      <c r="AN301" s="43"/>
      <c r="AO301" s="43"/>
      <c r="AP301" t="e">
        <f t="shared" si="117"/>
        <v>#DIV/0!</v>
      </c>
    </row>
    <row r="302" spans="1:42">
      <c r="A302">
        <v>283</v>
      </c>
      <c r="B302">
        <f t="shared" si="89"/>
        <v>283</v>
      </c>
      <c r="D302" s="43">
        <f t="shared" si="90"/>
        <v>376.71188085858432</v>
      </c>
      <c r="E302" s="43">
        <f t="shared" si="91"/>
        <v>635.8180268922639</v>
      </c>
      <c r="F302" s="69">
        <f t="shared" si="92"/>
        <v>0.60137120725287652</v>
      </c>
      <c r="G302" s="98">
        <f t="shared" si="93"/>
        <v>271.26999849598974</v>
      </c>
      <c r="H302" s="69">
        <f t="shared" si="94"/>
        <v>0.1461460271168607</v>
      </c>
      <c r="I302" s="69">
        <f t="shared" si="95"/>
        <v>-2.0512158622592365</v>
      </c>
      <c r="J302" s="99">
        <f t="shared" si="96"/>
        <v>1.5047746178408776E-2</v>
      </c>
      <c r="K302" s="69">
        <f t="shared" si="97"/>
        <v>8.9586484846873891E-5</v>
      </c>
      <c r="L302" s="99">
        <f t="shared" si="98"/>
        <v>1.513733266325565E-2</v>
      </c>
      <c r="M302" s="69">
        <f t="shared" si="99"/>
        <v>9.6546749924850008</v>
      </c>
      <c r="N302" s="69">
        <f t="shared" si="100"/>
        <v>3.6908905393897955</v>
      </c>
      <c r="O302" s="69">
        <f t="shared" si="101"/>
        <v>25.254812684292133</v>
      </c>
      <c r="P302" s="69">
        <f t="shared" si="102"/>
        <v>1.3624672004834226</v>
      </c>
      <c r="Q302" s="69">
        <f t="shared" si="103"/>
        <v>0.64918711575668553</v>
      </c>
      <c r="R302" s="43">
        <f t="shared" si="104"/>
        <v>753.05816597659157</v>
      </c>
      <c r="S302" s="43">
        <f t="shared" si="105"/>
        <v>1955.011433807136</v>
      </c>
      <c r="T302" s="43">
        <f>R302+Thrust!C$33*0.8</f>
        <v>2564.8181659765914</v>
      </c>
      <c r="U302" s="43"/>
      <c r="V302">
        <f t="shared" si="109"/>
        <v>1243031.512395069</v>
      </c>
      <c r="W302">
        <f t="shared" si="110"/>
        <v>1630757.6256286714</v>
      </c>
      <c r="Y302">
        <f t="shared" si="111"/>
        <v>-3951.35844999757</v>
      </c>
      <c r="Z302">
        <f t="shared" si="112"/>
        <v>-5.9451740804608351</v>
      </c>
      <c r="AA302">
        <f t="shared" si="106"/>
        <v>1232.5068500141003</v>
      </c>
      <c r="AB302">
        <f t="shared" si="113"/>
        <v>1.8514136750389567</v>
      </c>
      <c r="AC302">
        <f t="shared" si="107"/>
        <v>3.064728785810682</v>
      </c>
      <c r="AD302">
        <f t="shared" si="108"/>
        <v>1154.5197452241875</v>
      </c>
      <c r="AE302">
        <f t="shared" si="114"/>
        <v>-2429.3199104701212</v>
      </c>
      <c r="AG302">
        <v>1.1323257797503321</v>
      </c>
      <c r="AH302">
        <v>1232.5068500141003</v>
      </c>
      <c r="AI302">
        <f t="shared" si="115"/>
        <v>2672.560501637131</v>
      </c>
      <c r="AJ302">
        <f t="shared" si="116"/>
        <v>872.03817643204115</v>
      </c>
      <c r="AM302">
        <f t="shared" si="118"/>
        <v>0</v>
      </c>
      <c r="AN302" s="43"/>
      <c r="AO302" s="43"/>
      <c r="AP302" t="e">
        <f t="shared" si="117"/>
        <v>#DIV/0!</v>
      </c>
    </row>
    <row r="303" spans="1:42">
      <c r="A303">
        <v>284</v>
      </c>
      <c r="B303">
        <f t="shared" si="89"/>
        <v>284</v>
      </c>
      <c r="D303" s="43">
        <f t="shared" si="90"/>
        <v>378.04301824677719</v>
      </c>
      <c r="E303" s="43">
        <f t="shared" si="91"/>
        <v>638.06473370107051</v>
      </c>
      <c r="F303" s="69">
        <f t="shared" si="92"/>
        <v>0.60349619385094333</v>
      </c>
      <c r="G303" s="98">
        <f t="shared" si="93"/>
        <v>273.19048806568378</v>
      </c>
      <c r="H303" s="69">
        <f t="shared" si="94"/>
        <v>0.14511864171000616</v>
      </c>
      <c r="I303" s="69">
        <f t="shared" si="95"/>
        <v>-2.0598670826758863</v>
      </c>
      <c r="J303" s="99">
        <f t="shared" si="96"/>
        <v>1.5047746178408776E-2</v>
      </c>
      <c r="K303" s="69">
        <f t="shared" si="97"/>
        <v>8.5641821567931147E-5</v>
      </c>
      <c r="L303" s="99">
        <f t="shared" si="98"/>
        <v>1.5133387999976707E-2</v>
      </c>
      <c r="M303" s="69">
        <f t="shared" si="99"/>
        <v>9.5893029181720255</v>
      </c>
      <c r="N303" s="69">
        <f t="shared" si="100"/>
        <v>3.6529913198160746</v>
      </c>
      <c r="O303" s="69">
        <f t="shared" si="101"/>
        <v>25.172447018322622</v>
      </c>
      <c r="P303" s="69">
        <f t="shared" si="102"/>
        <v>1.3672815722165796</v>
      </c>
      <c r="Q303" s="69">
        <f t="shared" si="103"/>
        <v>0.64487132569927752</v>
      </c>
      <c r="R303" s="43">
        <f t="shared" si="104"/>
        <v>745.41785675985898</v>
      </c>
      <c r="S303" s="43">
        <f t="shared" si="105"/>
        <v>1968.3391129746556</v>
      </c>
      <c r="T303" s="43">
        <f>R303+Thrust!C$33*0.8</f>
        <v>2557.177856759859</v>
      </c>
      <c r="U303" s="43"/>
      <c r="V303">
        <f t="shared" si="109"/>
        <v>1255927.7719535748</v>
      </c>
      <c r="W303">
        <f t="shared" si="110"/>
        <v>1631645.0081997537</v>
      </c>
      <c r="Y303">
        <f t="shared" si="111"/>
        <v>-3992.35318236898</v>
      </c>
      <c r="Z303">
        <f t="shared" si="112"/>
        <v>-5.9858510383670751</v>
      </c>
      <c r="AA303">
        <f t="shared" si="106"/>
        <v>1194.3329364116944</v>
      </c>
      <c r="AB303">
        <f t="shared" si="113"/>
        <v>1.7877324366182816</v>
      </c>
      <c r="AC303">
        <f t="shared" si="107"/>
        <v>3.0130941115654797</v>
      </c>
      <c r="AD303">
        <f t="shared" si="108"/>
        <v>1139.0791921978055</v>
      </c>
      <c r="AE303">
        <f t="shared" si="114"/>
        <v>-2480.4331412473839</v>
      </c>
      <c r="AG303">
        <v>1.068799839151932</v>
      </c>
      <c r="AH303">
        <v>1194.3329364116944</v>
      </c>
      <c r="AI303">
        <f t="shared" si="115"/>
        <v>2619.7059644257802</v>
      </c>
      <c r="AJ303">
        <f t="shared" si="116"/>
        <v>869.44047129835212</v>
      </c>
      <c r="AM303">
        <f t="shared" si="118"/>
        <v>0</v>
      </c>
      <c r="AN303" s="43"/>
      <c r="AO303" s="43"/>
      <c r="AP303" t="e">
        <f t="shared" si="117"/>
        <v>#DIV/0!</v>
      </c>
    </row>
    <row r="304" spans="1:42">
      <c r="A304">
        <v>285</v>
      </c>
      <c r="B304">
        <f t="shared" si="89"/>
        <v>285</v>
      </c>
      <c r="D304" s="43">
        <f t="shared" si="90"/>
        <v>379.37415563497007</v>
      </c>
      <c r="E304" s="43">
        <f t="shared" si="91"/>
        <v>640.311440509877</v>
      </c>
      <c r="F304" s="69">
        <f t="shared" si="92"/>
        <v>0.60562118044900992</v>
      </c>
      <c r="G304" s="98">
        <f t="shared" si="93"/>
        <v>275.11775184902746</v>
      </c>
      <c r="H304" s="69">
        <f t="shared" si="94"/>
        <v>0.14410205190227465</v>
      </c>
      <c r="I304" s="69">
        <f t="shared" si="95"/>
        <v>-2.0684273974723864</v>
      </c>
      <c r="J304" s="99">
        <f t="shared" si="96"/>
        <v>1.5047746178408776E-2</v>
      </c>
      <c r="K304" s="69">
        <f t="shared" si="97"/>
        <v>8.1826025037824772E-5</v>
      </c>
      <c r="L304" s="99">
        <f t="shared" si="98"/>
        <v>1.5129572203446601E-2</v>
      </c>
      <c r="M304" s="69">
        <f t="shared" si="99"/>
        <v>9.5245291779927133</v>
      </c>
      <c r="N304" s="69">
        <f t="shared" si="100"/>
        <v>3.6155851919585218</v>
      </c>
      <c r="O304" s="69">
        <f t="shared" si="101"/>
        <v>25.090449054885735</v>
      </c>
      <c r="P304" s="69">
        <f t="shared" si="102"/>
        <v>1.3720959439497364</v>
      </c>
      <c r="Q304" s="69">
        <f t="shared" si="103"/>
        <v>0.64051139137018342</v>
      </c>
      <c r="R304" s="43">
        <f t="shared" si="104"/>
        <v>737.78031566779691</v>
      </c>
      <c r="S304" s="43">
        <f t="shared" si="105"/>
        <v>1981.7252535287932</v>
      </c>
      <c r="T304" s="43">
        <f>R304+Thrust!C$33*0.8</f>
        <v>2549.5403156677967</v>
      </c>
      <c r="U304" s="43"/>
      <c r="V304">
        <f t="shared" si="109"/>
        <v>1268921.3517818227</v>
      </c>
      <c r="W304">
        <f t="shared" si="110"/>
        <v>1632499.8321632533</v>
      </c>
      <c r="Y304">
        <f t="shared" si="111"/>
        <v>-4033.6572771872516</v>
      </c>
      <c r="Z304">
        <f t="shared" si="112"/>
        <v>-6.0267094725419073</v>
      </c>
      <c r="AA304">
        <f t="shared" si="106"/>
        <v>1155.7461628018984</v>
      </c>
      <c r="AB304">
        <f t="shared" si="113"/>
        <v>1.7238842716824261</v>
      </c>
      <c r="AC304">
        <f t="shared" si="107"/>
        <v>2.962077703567104</v>
      </c>
      <c r="AD304">
        <f t="shared" si="108"/>
        <v>1123.7357277159413</v>
      </c>
      <c r="AE304">
        <f t="shared" si="114"/>
        <v>-2531.9592320320339</v>
      </c>
      <c r="AG304">
        <v>1.00507880535153</v>
      </c>
      <c r="AH304">
        <v>1155.7461628018984</v>
      </c>
      <c r="AI304">
        <f t="shared" si="115"/>
        <v>2567.6584179509055</v>
      </c>
      <c r="AJ304">
        <f t="shared" si="116"/>
        <v>866.84370732705088</v>
      </c>
      <c r="AM304">
        <f t="shared" si="118"/>
        <v>0</v>
      </c>
      <c r="AN304" s="43"/>
      <c r="AO304" s="43"/>
      <c r="AP304" t="e">
        <f t="shared" si="117"/>
        <v>#DIV/0!</v>
      </c>
    </row>
    <row r="305" spans="1:42">
      <c r="A305">
        <v>286</v>
      </c>
      <c r="B305">
        <f t="shared" si="89"/>
        <v>286</v>
      </c>
      <c r="D305" s="43">
        <f t="shared" si="90"/>
        <v>380.70529302316294</v>
      </c>
      <c r="E305" s="43">
        <f t="shared" si="91"/>
        <v>642.55814731868361</v>
      </c>
      <c r="F305" s="69">
        <f t="shared" si="92"/>
        <v>0.60774616704707662</v>
      </c>
      <c r="G305" s="98">
        <f t="shared" si="93"/>
        <v>277.05178984602094</v>
      </c>
      <c r="H305" s="69">
        <f t="shared" si="94"/>
        <v>0.14309610697053962</v>
      </c>
      <c r="I305" s="69">
        <f t="shared" si="95"/>
        <v>-2.0768980758306621</v>
      </c>
      <c r="J305" s="99">
        <f t="shared" si="96"/>
        <v>1.5047746178408776E-2</v>
      </c>
      <c r="K305" s="69">
        <f t="shared" si="97"/>
        <v>7.8135778474412411E-5</v>
      </c>
      <c r="L305" s="99">
        <f t="shared" si="98"/>
        <v>1.5125881956883188E-2</v>
      </c>
      <c r="M305" s="69">
        <f t="shared" si="99"/>
        <v>9.4603479901826333</v>
      </c>
      <c r="N305" s="69">
        <f t="shared" si="100"/>
        <v>3.5786647963978986</v>
      </c>
      <c r="O305" s="69">
        <f t="shared" si="101"/>
        <v>25.008820101127341</v>
      </c>
      <c r="P305" s="69">
        <f t="shared" si="102"/>
        <v>1.3769103156828935</v>
      </c>
      <c r="Q305" s="69">
        <f t="shared" si="103"/>
        <v>0.63610731276940213</v>
      </c>
      <c r="R305" s="43">
        <f t="shared" si="104"/>
        <v>730.14551366413093</v>
      </c>
      <c r="S305" s="43">
        <f t="shared" si="105"/>
        <v>1995.169735784277</v>
      </c>
      <c r="T305" s="43">
        <f>R305+Thrust!C$33*0.8</f>
        <v>2541.9055136641309</v>
      </c>
      <c r="U305" s="43"/>
      <c r="V305">
        <f t="shared" si="109"/>
        <v>1282012.5690118526</v>
      </c>
      <c r="W305">
        <f t="shared" si="110"/>
        <v>1633322.0975191707</v>
      </c>
      <c r="Y305">
        <f t="shared" si="111"/>
        <v>-4075.2717425542332</v>
      </c>
      <c r="Z305">
        <f t="shared" si="112"/>
        <v>-6.0677490792633737</v>
      </c>
      <c r="AA305">
        <f t="shared" si="106"/>
        <v>1116.7455210828655</v>
      </c>
      <c r="AB305">
        <f t="shared" si="113"/>
        <v>1.6598693933376072</v>
      </c>
      <c r="AC305">
        <f t="shared" si="107"/>
        <v>2.911671660901896</v>
      </c>
      <c r="AD305">
        <f t="shared" si="108"/>
        <v>1108.4888128508958</v>
      </c>
      <c r="AE305">
        <f t="shared" si="114"/>
        <v>-2583.899190925923</v>
      </c>
      <c r="AG305">
        <v>0.94116285303964287</v>
      </c>
      <c r="AH305">
        <v>1116.7455210828655</v>
      </c>
      <c r="AI305">
        <f t="shared" si="115"/>
        <v>2516.4060446008834</v>
      </c>
      <c r="AJ305">
        <f t="shared" si="116"/>
        <v>864.24787464580459</v>
      </c>
      <c r="AM305">
        <f t="shared" si="118"/>
        <v>0</v>
      </c>
      <c r="AN305" s="43"/>
      <c r="AO305" s="43"/>
      <c r="AP305" t="e">
        <f t="shared" si="117"/>
        <v>#DIV/0!</v>
      </c>
    </row>
    <row r="306" spans="1:42">
      <c r="A306">
        <v>287</v>
      </c>
      <c r="B306">
        <f t="shared" si="89"/>
        <v>287</v>
      </c>
      <c r="D306" s="43">
        <f t="shared" si="90"/>
        <v>382.03643041135581</v>
      </c>
      <c r="E306" s="43">
        <f t="shared" si="91"/>
        <v>644.80485412749022</v>
      </c>
      <c r="F306" s="69">
        <f t="shared" si="92"/>
        <v>0.60987115364514333</v>
      </c>
      <c r="G306" s="98">
        <f t="shared" si="93"/>
        <v>278.99260205666417</v>
      </c>
      <c r="H306" s="69">
        <f t="shared" si="94"/>
        <v>0.1421006588129303</v>
      </c>
      <c r="I306" s="69">
        <f t="shared" si="95"/>
        <v>-2.0852803648600466</v>
      </c>
      <c r="J306" s="99">
        <f t="shared" si="96"/>
        <v>1.5047746178408776E-2</v>
      </c>
      <c r="K306" s="69">
        <f t="shared" si="97"/>
        <v>7.4567854284648413E-5</v>
      </c>
      <c r="L306" s="99">
        <f t="shared" si="98"/>
        <v>1.5122314032693424E-2</v>
      </c>
      <c r="M306" s="69">
        <f t="shared" si="99"/>
        <v>9.3967535990668001</v>
      </c>
      <c r="N306" s="69">
        <f t="shared" si="100"/>
        <v>3.5422228861200087</v>
      </c>
      <c r="O306" s="69">
        <f t="shared" si="101"/>
        <v>24.927561319636098</v>
      </c>
      <c r="P306" s="69">
        <f t="shared" si="102"/>
        <v>1.3817246874160503</v>
      </c>
      <c r="Q306" s="69">
        <f t="shared" si="103"/>
        <v>0.63165908989693409</v>
      </c>
      <c r="R306" s="43">
        <f t="shared" si="104"/>
        <v>722.51342211727581</v>
      </c>
      <c r="S306" s="43">
        <f t="shared" si="105"/>
        <v>2008.6724421373028</v>
      </c>
      <c r="T306" s="43">
        <f>R306+Thrust!C$33*0.8</f>
        <v>2534.2734221172759</v>
      </c>
      <c r="U306" s="43"/>
      <c r="V306">
        <f t="shared" si="109"/>
        <v>1295201.7410422531</v>
      </c>
      <c r="W306">
        <f t="shared" si="110"/>
        <v>1634111.8042675056</v>
      </c>
      <c r="Y306">
        <f t="shared" si="111"/>
        <v>-4117.197587419083</v>
      </c>
      <c r="Z306">
        <f t="shared" si="112"/>
        <v>-6.108969561807517</v>
      </c>
      <c r="AA306">
        <f t="shared" si="106"/>
        <v>1077.3300023054387</v>
      </c>
      <c r="AB306">
        <f t="shared" si="113"/>
        <v>1.5956880083653231</v>
      </c>
      <c r="AC306">
        <f t="shared" si="107"/>
        <v>2.8618681739094303</v>
      </c>
      <c r="AD306">
        <f t="shared" si="108"/>
        <v>1093.3379014682241</v>
      </c>
      <c r="AE306">
        <f t="shared" si="114"/>
        <v>-2636.2540268782072</v>
      </c>
      <c r="AG306">
        <v>0.87705215108277557</v>
      </c>
      <c r="AH306">
        <v>1077.3300023054387</v>
      </c>
      <c r="AI306">
        <f t="shared" si="115"/>
        <v>2465.9371932522704</v>
      </c>
      <c r="AJ306">
        <f t="shared" si="116"/>
        <v>861.65296351987388</v>
      </c>
      <c r="AM306">
        <f t="shared" si="118"/>
        <v>0</v>
      </c>
      <c r="AN306" s="43"/>
      <c r="AO306" s="43"/>
      <c r="AP306" t="e">
        <f t="shared" si="117"/>
        <v>#DIV/0!</v>
      </c>
    </row>
    <row r="307" spans="1:42">
      <c r="A307">
        <v>288</v>
      </c>
      <c r="B307">
        <f t="shared" si="89"/>
        <v>288</v>
      </c>
      <c r="D307" s="43">
        <f t="shared" si="90"/>
        <v>383.36756779954874</v>
      </c>
      <c r="E307" s="43">
        <f t="shared" si="91"/>
        <v>647.05156093629682</v>
      </c>
      <c r="F307" s="69">
        <f t="shared" si="92"/>
        <v>0.61199614024321003</v>
      </c>
      <c r="G307" s="98">
        <f t="shared" si="93"/>
        <v>280.94018848095709</v>
      </c>
      <c r="H307" s="69">
        <f t="shared" si="94"/>
        <v>0.14111556189431732</v>
      </c>
      <c r="I307" s="69">
        <f t="shared" si="95"/>
        <v>-2.0935754900563204</v>
      </c>
      <c r="J307" s="99">
        <f t="shared" si="96"/>
        <v>1.5047746178408776E-2</v>
      </c>
      <c r="K307" s="69">
        <f t="shared" si="97"/>
        <v>7.1119111449242299E-5</v>
      </c>
      <c r="L307" s="99">
        <f t="shared" si="98"/>
        <v>1.5118865289858018E-2</v>
      </c>
      <c r="M307" s="69">
        <f t="shared" si="99"/>
        <v>9.3337402767243347</v>
      </c>
      <c r="N307" s="69">
        <f t="shared" si="100"/>
        <v>3.5062523251895521</v>
      </c>
      <c r="O307" s="69">
        <f t="shared" si="101"/>
        <v>24.846673734080543</v>
      </c>
      <c r="P307" s="69">
        <f t="shared" si="102"/>
        <v>1.3865390591492075</v>
      </c>
      <c r="Q307" s="69">
        <f t="shared" si="103"/>
        <v>0.62716672275277929</v>
      </c>
      <c r="R307" s="43">
        <f t="shared" si="104"/>
        <v>714.88401279330617</v>
      </c>
      <c r="S307" s="43">
        <f t="shared" si="105"/>
        <v>2022.2332570222491</v>
      </c>
      <c r="T307" s="43">
        <f>R307+Thrust!C$33*0.8</f>
        <v>2526.644012793306</v>
      </c>
      <c r="U307" s="43"/>
      <c r="V307">
        <f t="shared" si="109"/>
        <v>1308489.1855335378</v>
      </c>
      <c r="W307">
        <f t="shared" si="110"/>
        <v>1634868.9524082574</v>
      </c>
      <c r="Y307">
        <f t="shared" si="111"/>
        <v>-4159.4358215635639</v>
      </c>
      <c r="Z307">
        <f t="shared" si="112"/>
        <v>-6.1503706303224277</v>
      </c>
      <c r="AA307">
        <f t="shared" si="106"/>
        <v>1037.4985966878505</v>
      </c>
      <c r="AB307">
        <f t="shared" si="113"/>
        <v>1.5313403173278115</v>
      </c>
      <c r="AC307">
        <f t="shared" si="107"/>
        <v>2.8126595240446655</v>
      </c>
      <c r="AD307">
        <f t="shared" si="108"/>
        <v>1078.2824407812398</v>
      </c>
      <c r="AE307">
        <f t="shared" si="114"/>
        <v>-2689.0247496706502</v>
      </c>
      <c r="AG307">
        <v>0.81274686260891005</v>
      </c>
      <c r="AH307">
        <v>1037.4985966878505</v>
      </c>
      <c r="AI307">
        <f t="shared" si="115"/>
        <v>2416.2403777941981</v>
      </c>
      <c r="AJ307">
        <f t="shared" si="116"/>
        <v>859.05896434972408</v>
      </c>
      <c r="AM307">
        <f t="shared" si="118"/>
        <v>0</v>
      </c>
      <c r="AN307" s="43"/>
      <c r="AO307" s="43"/>
      <c r="AP307" t="e">
        <f t="shared" si="117"/>
        <v>#DIV/0!</v>
      </c>
    </row>
    <row r="308" spans="1:42">
      <c r="A308">
        <v>289</v>
      </c>
      <c r="B308">
        <f t="shared" si="89"/>
        <v>289</v>
      </c>
      <c r="D308" s="43">
        <f t="shared" si="90"/>
        <v>384.69870518774161</v>
      </c>
      <c r="E308" s="43">
        <f t="shared" si="91"/>
        <v>649.29826774510343</v>
      </c>
      <c r="F308" s="69">
        <f t="shared" si="92"/>
        <v>0.61412112684127684</v>
      </c>
      <c r="G308" s="98">
        <f t="shared" si="93"/>
        <v>282.8945491188997</v>
      </c>
      <c r="H308" s="69">
        <f t="shared" si="94"/>
        <v>0.14014067319311618</v>
      </c>
      <c r="I308" s="69">
        <f t="shared" si="95"/>
        <v>-2.1017846557496642</v>
      </c>
      <c r="J308" s="99">
        <f t="shared" si="96"/>
        <v>1.5047746178408776E-2</v>
      </c>
      <c r="K308" s="69">
        <f t="shared" si="97"/>
        <v>6.7786492991459414E-5</v>
      </c>
      <c r="L308" s="99">
        <f t="shared" si="98"/>
        <v>1.5115532671400235E-2</v>
      </c>
      <c r="M308" s="69">
        <f t="shared" si="99"/>
        <v>9.2713023245468058</v>
      </c>
      <c r="N308" s="69">
        <f t="shared" si="100"/>
        <v>3.4707460874117269</v>
      </c>
      <c r="O308" s="69">
        <f t="shared" si="101"/>
        <v>24.766158234654551</v>
      </c>
      <c r="P308" s="69">
        <f t="shared" si="102"/>
        <v>1.3913534308823645</v>
      </c>
      <c r="Q308" s="69">
        <f t="shared" si="103"/>
        <v>0.62263021133693752</v>
      </c>
      <c r="R308" s="43">
        <f t="shared" si="104"/>
        <v>707.25725784907797</v>
      </c>
      <c r="S308" s="43">
        <f t="shared" si="105"/>
        <v>2035.8520668694339</v>
      </c>
      <c r="T308" s="43">
        <f>R308+Thrust!C$33*0.8</f>
        <v>2519.0172578490779</v>
      </c>
      <c r="U308" s="43"/>
      <c r="V308">
        <f t="shared" si="109"/>
        <v>1321875.2204036119</v>
      </c>
      <c r="W308">
        <f t="shared" si="110"/>
        <v>1635593.5419414267</v>
      </c>
      <c r="Y308">
        <f t="shared" si="111"/>
        <v>-4201.9874555876404</v>
      </c>
      <c r="Z308">
        <f t="shared" si="112"/>
        <v>-6.1919520017054994</v>
      </c>
      <c r="AA308">
        <f t="shared" si="106"/>
        <v>997.25029363013971</v>
      </c>
      <c r="AB308">
        <f t="shared" si="113"/>
        <v>1.4668265146707005</v>
      </c>
      <c r="AC308">
        <f t="shared" si="107"/>
        <v>2.7640380836812861</v>
      </c>
      <c r="AD308">
        <f t="shared" si="108"/>
        <v>1063.3218718817975</v>
      </c>
      <c r="AE308">
        <f t="shared" si="114"/>
        <v>-2742.2123699032163</v>
      </c>
      <c r="AG308">
        <v>0.74824714509058532</v>
      </c>
      <c r="AH308">
        <v>997.25029363013971</v>
      </c>
      <c r="AI308">
        <f t="shared" si="115"/>
        <v>2367.3042756093864</v>
      </c>
      <c r="AJ308">
        <f t="shared" si="116"/>
        <v>856.46586766868654</v>
      </c>
      <c r="AM308">
        <f t="shared" si="118"/>
        <v>0</v>
      </c>
      <c r="AN308" s="43"/>
      <c r="AO308" s="43"/>
      <c r="AP308" t="e">
        <f t="shared" si="117"/>
        <v>#DIV/0!</v>
      </c>
    </row>
    <row r="309" spans="1:42">
      <c r="A309">
        <v>290</v>
      </c>
      <c r="B309">
        <f t="shared" si="89"/>
        <v>290</v>
      </c>
      <c r="D309" s="43">
        <f t="shared" si="90"/>
        <v>386.02984257593448</v>
      </c>
      <c r="E309" s="43">
        <f t="shared" si="91"/>
        <v>651.54497455391004</v>
      </c>
      <c r="F309" s="69">
        <f t="shared" si="92"/>
        <v>0.61624611343934355</v>
      </c>
      <c r="G309" s="98">
        <f t="shared" si="93"/>
        <v>284.85568397049207</v>
      </c>
      <c r="H309" s="69">
        <f t="shared" si="94"/>
        <v>0.13917585214937281</v>
      </c>
      <c r="I309" s="69">
        <f t="shared" si="95"/>
        <v>-2.1099090455418081</v>
      </c>
      <c r="J309" s="99">
        <f t="shared" si="96"/>
        <v>1.5047746178408776E-2</v>
      </c>
      <c r="K309" s="69">
        <f t="shared" si="97"/>
        <v>6.4567023527103938E-5</v>
      </c>
      <c r="L309" s="99">
        <f t="shared" si="98"/>
        <v>1.511231320193588E-2</v>
      </c>
      <c r="M309" s="69">
        <f t="shared" si="99"/>
        <v>9.2094340746950945</v>
      </c>
      <c r="N309" s="69">
        <f t="shared" si="100"/>
        <v>3.4356972549836473</v>
      </c>
      <c r="O309" s="69">
        <f t="shared" si="101"/>
        <v>24.686015583337173</v>
      </c>
      <c r="P309" s="69">
        <f t="shared" si="102"/>
        <v>1.3961678026155215</v>
      </c>
      <c r="Q309" s="69">
        <f t="shared" si="103"/>
        <v>0.61804955564940944</v>
      </c>
      <c r="R309" s="43">
        <f t="shared" si="104"/>
        <v>699.63312982549098</v>
      </c>
      <c r="S309" s="43">
        <f t="shared" si="105"/>
        <v>2049.5287600638926</v>
      </c>
      <c r="T309" s="43">
        <f>R309+Thrust!C$33*0.8</f>
        <v>2511.3931298254911</v>
      </c>
      <c r="U309" s="43"/>
      <c r="V309">
        <f t="shared" si="109"/>
        <v>1335360.1638233357</v>
      </c>
      <c r="W309">
        <f t="shared" si="110"/>
        <v>1636285.572867014</v>
      </c>
      <c r="Y309">
        <f t="shared" si="111"/>
        <v>-4244.8535008953722</v>
      </c>
      <c r="Z309">
        <f t="shared" si="112"/>
        <v>-6.233713399483813</v>
      </c>
      <c r="AA309">
        <f t="shared" si="106"/>
        <v>956.58408172824898</v>
      </c>
      <c r="AB309">
        <f t="shared" si="113"/>
        <v>1.4021467888228609</v>
      </c>
      <c r="AC309">
        <f t="shared" si="107"/>
        <v>2.7159963158600013</v>
      </c>
      <c r="AD309">
        <f t="shared" si="108"/>
        <v>1048.4556302482542</v>
      </c>
      <c r="AE309">
        <f t="shared" si="114"/>
        <v>-2795.817898979964</v>
      </c>
      <c r="AG309">
        <v>0.68355315042560627</v>
      </c>
      <c r="AH309">
        <v>956.58408172824898</v>
      </c>
      <c r="AI309">
        <f t="shared" si="115"/>
        <v>2319.117726015932</v>
      </c>
      <c r="AJ309">
        <f t="shared" si="116"/>
        <v>853.87366414066707</v>
      </c>
      <c r="AM309">
        <f t="shared" si="118"/>
        <v>0</v>
      </c>
      <c r="AN309" s="43"/>
      <c r="AO309" s="43"/>
      <c r="AP309" t="e">
        <f t="shared" si="117"/>
        <v>#DIV/0!</v>
      </c>
    </row>
    <row r="310" spans="1:42">
      <c r="A310">
        <v>291</v>
      </c>
      <c r="B310">
        <f t="shared" si="89"/>
        <v>291</v>
      </c>
      <c r="D310" s="43">
        <f t="shared" si="90"/>
        <v>387.36097996412735</v>
      </c>
      <c r="E310" s="43">
        <f t="shared" si="91"/>
        <v>653.79168136271664</v>
      </c>
      <c r="F310" s="69">
        <f t="shared" si="92"/>
        <v>0.61837110003741025</v>
      </c>
      <c r="G310" s="98">
        <f t="shared" si="93"/>
        <v>286.82359303573412</v>
      </c>
      <c r="H310" s="69">
        <f t="shared" si="94"/>
        <v>0.13822096061409589</v>
      </c>
      <c r="I310" s="69">
        <f t="shared" si="95"/>
        <v>-2.1179498227326832</v>
      </c>
      <c r="J310" s="99">
        <f t="shared" si="96"/>
        <v>1.5047746178408776E-2</v>
      </c>
      <c r="K310" s="69">
        <f t="shared" si="97"/>
        <v>6.1457806892835986E-5</v>
      </c>
      <c r="L310" s="99">
        <f t="shared" si="98"/>
        <v>1.5109203985301613E-2</v>
      </c>
      <c r="M310" s="69">
        <f t="shared" si="99"/>
        <v>9.1481298914594475</v>
      </c>
      <c r="N310" s="69">
        <f t="shared" si="100"/>
        <v>3.4010990171375859</v>
      </c>
      <c r="O310" s="69">
        <f t="shared" si="101"/>
        <v>24.606246418972862</v>
      </c>
      <c r="P310" s="69">
        <f t="shared" si="102"/>
        <v>1.4009821743486786</v>
      </c>
      <c r="Q310" s="69">
        <f t="shared" si="103"/>
        <v>0.61342475569019439</v>
      </c>
      <c r="R310" s="43">
        <f t="shared" si="104"/>
        <v>692.01160164088833</v>
      </c>
      <c r="S310" s="43">
        <f t="shared" si="105"/>
        <v>2063.2632269051414</v>
      </c>
      <c r="T310" s="43">
        <f>R310+Thrust!C$33*0.8</f>
        <v>2503.7716016408885</v>
      </c>
      <c r="U310" s="43"/>
      <c r="V310">
        <f t="shared" si="109"/>
        <v>1348944.3342121767</v>
      </c>
      <c r="W310">
        <f t="shared" si="110"/>
        <v>1636945.0451850186</v>
      </c>
      <c r="Y310">
        <f t="shared" si="111"/>
        <v>-4288.0349696810918</v>
      </c>
      <c r="Z310">
        <f t="shared" si="112"/>
        <v>-6.2756545536975414</v>
      </c>
      <c r="AA310">
        <f t="shared" si="106"/>
        <v>915.49894878784153</v>
      </c>
      <c r="AB310">
        <f t="shared" si="113"/>
        <v>1.3373013222935888</v>
      </c>
      <c r="AC310">
        <f t="shared" si="107"/>
        <v>2.6685267739853078</v>
      </c>
      <c r="AD310">
        <f t="shared" si="108"/>
        <v>1033.6831462314606</v>
      </c>
      <c r="AE310">
        <f t="shared" si="114"/>
        <v>-2849.8423490952287</v>
      </c>
      <c r="AG310">
        <v>0.61866502501550147</v>
      </c>
      <c r="AH310">
        <v>915.49894878784153</v>
      </c>
      <c r="AI310">
        <f t="shared" si="115"/>
        <v>2271.6697286737481</v>
      </c>
      <c r="AJ310">
        <f t="shared" si="116"/>
        <v>851.28234455790221</v>
      </c>
      <c r="AM310">
        <f t="shared" si="118"/>
        <v>0</v>
      </c>
      <c r="AN310" s="43">
        <f t="shared" ref="AN310:AN341" si="119">$D$66-2280</f>
        <v>16595</v>
      </c>
      <c r="AO310" s="43"/>
      <c r="AP310" t="e">
        <f t="shared" si="117"/>
        <v>#DIV/0!</v>
      </c>
    </row>
    <row r="311" spans="1:42">
      <c r="A311">
        <v>292</v>
      </c>
      <c r="B311">
        <f t="shared" si="89"/>
        <v>292</v>
      </c>
      <c r="D311" s="43">
        <f t="shared" si="90"/>
        <v>388.69211735232022</v>
      </c>
      <c r="E311" s="43">
        <f t="shared" si="91"/>
        <v>656.03838817152314</v>
      </c>
      <c r="F311" s="69">
        <f t="shared" si="92"/>
        <v>0.62049608663547684</v>
      </c>
      <c r="G311" s="98">
        <f t="shared" si="93"/>
        <v>288.79827631462581</v>
      </c>
      <c r="H311" s="69">
        <f t="shared" si="94"/>
        <v>0.13727586279980128</v>
      </c>
      <c r="I311" s="69">
        <f t="shared" si="95"/>
        <v>-2.1259081307368706</v>
      </c>
      <c r="J311" s="99">
        <f t="shared" si="96"/>
        <v>1.5047746178408776E-2</v>
      </c>
      <c r="K311" s="69">
        <f t="shared" si="97"/>
        <v>5.8456023850080958E-5</v>
      </c>
      <c r="L311" s="99">
        <f t="shared" si="98"/>
        <v>1.5106202202258858E-2</v>
      </c>
      <c r="M311" s="69">
        <f t="shared" si="99"/>
        <v>9.0873841725271074</v>
      </c>
      <c r="N311" s="69">
        <f t="shared" si="100"/>
        <v>3.3669446687778373</v>
      </c>
      <c r="O311" s="69">
        <f t="shared" si="101"/>
        <v>24.526851262177697</v>
      </c>
      <c r="P311" s="69">
        <f t="shared" si="102"/>
        <v>1.4057965460818354</v>
      </c>
      <c r="Q311" s="69">
        <f t="shared" si="103"/>
        <v>0.60875581145929325</v>
      </c>
      <c r="R311" s="43">
        <f t="shared" si="104"/>
        <v>684.39264658459672</v>
      </c>
      <c r="S311" s="43">
        <f t="shared" si="105"/>
        <v>2077.0553595679071</v>
      </c>
      <c r="T311" s="43">
        <f>R311+Thrust!C$33*0.8</f>
        <v>2496.1526465845968</v>
      </c>
      <c r="U311" s="43"/>
      <c r="V311">
        <f t="shared" si="109"/>
        <v>1362628.0502339532</v>
      </c>
      <c r="W311">
        <f t="shared" si="110"/>
        <v>1637571.9588954404</v>
      </c>
      <c r="Y311">
        <f t="shared" si="111"/>
        <v>-4331.532874915878</v>
      </c>
      <c r="Z311">
        <f t="shared" si="112"/>
        <v>-6.3177752007863379</v>
      </c>
      <c r="AA311">
        <f t="shared" si="106"/>
        <v>873.99388183784038</v>
      </c>
      <c r="AB311">
        <f t="shared" si="113"/>
        <v>1.2722902917671768</v>
      </c>
      <c r="AC311">
        <f t="shared" si="107"/>
        <v>2.6216221014741476</v>
      </c>
      <c r="AD311">
        <f t="shared" si="108"/>
        <v>1019.0038455196257</v>
      </c>
      <c r="AE311">
        <f t="shared" si="114"/>
        <v>-2904.2867332200844</v>
      </c>
      <c r="AG311">
        <v>0.55358290984169645</v>
      </c>
      <c r="AH311">
        <v>873.99388183784038</v>
      </c>
      <c r="AI311">
        <f t="shared" si="115"/>
        <v>2224.9494419593848</v>
      </c>
      <c r="AJ311">
        <f t="shared" si="116"/>
        <v>848.69189983876299</v>
      </c>
      <c r="AM311">
        <f t="shared" si="118"/>
        <v>0</v>
      </c>
      <c r="AN311" s="43">
        <f t="shared" si="119"/>
        <v>16595</v>
      </c>
      <c r="AO311" s="43"/>
      <c r="AP311" t="e">
        <f t="shared" si="117"/>
        <v>#DIV/0!</v>
      </c>
    </row>
    <row r="312" spans="1:42">
      <c r="A312">
        <v>293</v>
      </c>
      <c r="B312">
        <f t="shared" si="89"/>
        <v>293</v>
      </c>
      <c r="D312" s="43">
        <f t="shared" si="90"/>
        <v>390.0232547405131</v>
      </c>
      <c r="E312" s="43">
        <f t="shared" si="91"/>
        <v>658.28509498032975</v>
      </c>
      <c r="F312" s="69">
        <f t="shared" si="92"/>
        <v>0.62262107323354354</v>
      </c>
      <c r="G312" s="98">
        <f t="shared" si="93"/>
        <v>290.7797338071673</v>
      </c>
      <c r="H312" s="69">
        <f t="shared" si="94"/>
        <v>0.13634042523223633</v>
      </c>
      <c r="I312" s="69">
        <f t="shared" si="95"/>
        <v>-2.1337850934901144</v>
      </c>
      <c r="J312" s="99">
        <f t="shared" si="96"/>
        <v>1.5047746178408776E-2</v>
      </c>
      <c r="K312" s="69">
        <f t="shared" si="97"/>
        <v>5.5558929861899446E-5</v>
      </c>
      <c r="L312" s="99">
        <f t="shared" si="98"/>
        <v>1.5103305108270676E-2</v>
      </c>
      <c r="M312" s="69">
        <f t="shared" si="99"/>
        <v>9.0271913501618499</v>
      </c>
      <c r="N312" s="69">
        <f t="shared" si="100"/>
        <v>3.3332276091129884</v>
      </c>
      <c r="O312" s="69">
        <f t="shared" si="101"/>
        <v>24.447830520077332</v>
      </c>
      <c r="P312" s="69">
        <f t="shared" si="102"/>
        <v>1.4106109178149921</v>
      </c>
      <c r="Q312" s="69">
        <f t="shared" si="103"/>
        <v>0.60404272295670491</v>
      </c>
      <c r="R312" s="43">
        <f t="shared" si="104"/>
        <v>676.776238310591</v>
      </c>
      <c r="S312" s="43">
        <f t="shared" si="105"/>
        <v>2090.9050520637948</v>
      </c>
      <c r="T312" s="43">
        <f>R312+Thrust!C$33*0.8</f>
        <v>2488.5362383105912</v>
      </c>
      <c r="U312" s="43"/>
      <c r="V312">
        <f t="shared" si="109"/>
        <v>1376411.6307926665</v>
      </c>
      <c r="W312">
        <f t="shared" si="110"/>
        <v>1638166.3139982801</v>
      </c>
      <c r="Y312">
        <f t="shared" si="111"/>
        <v>-4375.3482303343035</v>
      </c>
      <c r="Z312">
        <f t="shared" si="112"/>
        <v>-6.3600750834785957</v>
      </c>
      <c r="AA312">
        <f t="shared" si="106"/>
        <v>832.06786714367252</v>
      </c>
      <c r="AB312">
        <f t="shared" si="113"/>
        <v>1.2071138681949145</v>
      </c>
      <c r="AC312">
        <f t="shared" si="107"/>
        <v>2.5752750313596082</v>
      </c>
      <c r="AD312">
        <f t="shared" si="108"/>
        <v>1004.4171495828513</v>
      </c>
      <c r="AE312">
        <f t="shared" si="114"/>
        <v>-2959.1520650891089</v>
      </c>
      <c r="AG312">
        <v>0.48830694053953566</v>
      </c>
      <c r="AH312">
        <v>832.06786714367252</v>
      </c>
      <c r="AI312">
        <f t="shared" si="115"/>
        <v>2178.9461813126422</v>
      </c>
      <c r="AJ312">
        <f t="shared" si="116"/>
        <v>846.1023210256011</v>
      </c>
      <c r="AM312">
        <f t="shared" si="118"/>
        <v>0</v>
      </c>
      <c r="AN312" s="43">
        <f t="shared" si="119"/>
        <v>16595</v>
      </c>
      <c r="AO312" s="43"/>
      <c r="AP312" t="e">
        <f t="shared" si="117"/>
        <v>#DIV/0!</v>
      </c>
    </row>
    <row r="313" spans="1:42">
      <c r="A313">
        <v>294</v>
      </c>
      <c r="B313">
        <f t="shared" si="89"/>
        <v>294</v>
      </c>
      <c r="D313" s="43">
        <f t="shared" si="90"/>
        <v>391.35439212870597</v>
      </c>
      <c r="E313" s="43">
        <f t="shared" si="91"/>
        <v>660.53180178913635</v>
      </c>
      <c r="F313" s="69">
        <f t="shared" si="92"/>
        <v>0.62474605983161025</v>
      </c>
      <c r="G313" s="98">
        <f t="shared" si="93"/>
        <v>292.76796551335849</v>
      </c>
      <c r="H313" s="69">
        <f t="shared" si="94"/>
        <v>0.13541451670325161</v>
      </c>
      <c r="I313" s="69">
        <f t="shared" si="95"/>
        <v>-2.1415818158461648</v>
      </c>
      <c r="J313" s="99">
        <f t="shared" si="96"/>
        <v>1.5047746178408776E-2</v>
      </c>
      <c r="K313" s="69">
        <f t="shared" si="97"/>
        <v>5.2763852940280684E-5</v>
      </c>
      <c r="L313" s="99">
        <f t="shared" si="98"/>
        <v>1.5100510031349056E-2</v>
      </c>
      <c r="M313" s="69">
        <f t="shared" si="99"/>
        <v>8.9675458922994995</v>
      </c>
      <c r="N313" s="69">
        <f t="shared" si="100"/>
        <v>3.2999413402851627</v>
      </c>
      <c r="O313" s="69">
        <f t="shared" si="101"/>
        <v>24.36918449088202</v>
      </c>
      <c r="P313" s="69">
        <f t="shared" si="102"/>
        <v>1.4154252895481492</v>
      </c>
      <c r="Q313" s="69">
        <f t="shared" si="103"/>
        <v>0.59928549018242983</v>
      </c>
      <c r="R313" s="43">
        <f t="shared" si="104"/>
        <v>669.16235083129743</v>
      </c>
      <c r="S313" s="43">
        <f t="shared" si="105"/>
        <v>2104.8122002038604</v>
      </c>
      <c r="T313" s="43">
        <f>R313+Thrust!C$33*0.8</f>
        <v>2480.9223508312975</v>
      </c>
      <c r="U313" s="43"/>
      <c r="V313">
        <f t="shared" si="109"/>
        <v>1390295.3950284123</v>
      </c>
      <c r="W313">
        <f t="shared" si="110"/>
        <v>1638728.1104935368</v>
      </c>
      <c r="Y313">
        <f t="shared" si="111"/>
        <v>-4419.4820504214431</v>
      </c>
      <c r="Z313">
        <f t="shared" si="112"/>
        <v>-6.402553950683509</v>
      </c>
      <c r="AA313">
        <f t="shared" si="106"/>
        <v>789.71989022026321</v>
      </c>
      <c r="AB313">
        <f t="shared" si="113"/>
        <v>1.1417722168846498</v>
      </c>
      <c r="AC313">
        <f t="shared" si="107"/>
        <v>2.529478385852804</v>
      </c>
      <c r="AD313">
        <f t="shared" si="108"/>
        <v>989.92247609812443</v>
      </c>
      <c r="AE313">
        <f t="shared" si="114"/>
        <v>-3014.4393591873736</v>
      </c>
      <c r="AG313">
        <v>0.42283724747021673</v>
      </c>
      <c r="AH313">
        <v>789.71989022026321</v>
      </c>
      <c r="AI313">
        <f t="shared" si="115"/>
        <v>2133.6494175583443</v>
      </c>
      <c r="AJ313">
        <f t="shared" si="116"/>
        <v>843.51359928264117</v>
      </c>
      <c r="AM313">
        <f t="shared" si="118"/>
        <v>0</v>
      </c>
      <c r="AN313" s="43">
        <f t="shared" si="119"/>
        <v>16595</v>
      </c>
      <c r="AO313" s="43"/>
      <c r="AP313" t="e">
        <f t="shared" si="117"/>
        <v>#DIV/0!</v>
      </c>
    </row>
    <row r="314" spans="1:42">
      <c r="A314">
        <v>295</v>
      </c>
      <c r="B314">
        <f t="shared" si="89"/>
        <v>295</v>
      </c>
      <c r="D314" s="43">
        <f t="shared" si="90"/>
        <v>392.68552951689884</v>
      </c>
      <c r="E314" s="43">
        <f t="shared" si="91"/>
        <v>662.77850859794285</v>
      </c>
      <c r="F314" s="69">
        <f t="shared" si="92"/>
        <v>0.62687104642967695</v>
      </c>
      <c r="G314" s="98">
        <f t="shared" si="93"/>
        <v>294.76297143319931</v>
      </c>
      <c r="H314" s="69">
        <f t="shared" si="94"/>
        <v>0.13449800822478894</v>
      </c>
      <c r="I314" s="69">
        <f t="shared" si="95"/>
        <v>-2.1492993839642329</v>
      </c>
      <c r="J314" s="99">
        <f t="shared" si="96"/>
        <v>1.5047746178408776E-2</v>
      </c>
      <c r="K314" s="69">
        <f t="shared" si="97"/>
        <v>5.0068191561420205E-5</v>
      </c>
      <c r="L314" s="99">
        <f t="shared" si="98"/>
        <v>1.5097814369970196E-2</v>
      </c>
      <c r="M314" s="69">
        <f t="shared" si="99"/>
        <v>8.9084423035633371</v>
      </c>
      <c r="N314" s="69">
        <f t="shared" si="100"/>
        <v>3.2670794659977815</v>
      </c>
      <c r="O314" s="69">
        <f t="shared" si="101"/>
        <v>24.290913368303958</v>
      </c>
      <c r="P314" s="69">
        <f t="shared" si="102"/>
        <v>1.420239661281306</v>
      </c>
      <c r="Q314" s="69">
        <f t="shared" si="103"/>
        <v>0.59448411313646821</v>
      </c>
      <c r="R314" s="43">
        <f t="shared" si="104"/>
        <v>661.55095851151589</v>
      </c>
      <c r="S314" s="43">
        <f t="shared" si="105"/>
        <v>2118.7767015620771</v>
      </c>
      <c r="T314" s="43">
        <f>R314+Thrust!C$33*0.8</f>
        <v>2473.3109585115158</v>
      </c>
      <c r="U314" s="43"/>
      <c r="V314">
        <f t="shared" si="109"/>
        <v>1404279.6623133821</v>
      </c>
      <c r="W314">
        <f t="shared" si="110"/>
        <v>1639257.3483812108</v>
      </c>
      <c r="Y314">
        <f t="shared" si="111"/>
        <v>-4463.9353504001547</v>
      </c>
      <c r="Z314">
        <f t="shared" si="112"/>
        <v>-6.4452115573858428</v>
      </c>
      <c r="AA314">
        <f t="shared" si="106"/>
        <v>746.94893584475346</v>
      </c>
      <c r="AB314">
        <f t="shared" si="113"/>
        <v>1.0762654975879111</v>
      </c>
      <c r="AC314">
        <f t="shared" si="107"/>
        <v>2.4842250758657403</v>
      </c>
      <c r="AD314">
        <f t="shared" si="108"/>
        <v>975.51923935549632</v>
      </c>
      <c r="AE314">
        <f t="shared" si="114"/>
        <v>-3070.1496307377379</v>
      </c>
      <c r="AG314">
        <v>0.35717395579061106</v>
      </c>
      <c r="AH314">
        <v>746.94893584475346</v>
      </c>
      <c r="AI314">
        <f t="shared" si="115"/>
        <v>2089.048775206265</v>
      </c>
      <c r="AJ314">
        <f t="shared" si="116"/>
        <v>840.92572589391546</v>
      </c>
      <c r="AM314">
        <f t="shared" si="118"/>
        <v>0</v>
      </c>
      <c r="AN314" s="43">
        <f t="shared" si="119"/>
        <v>16595</v>
      </c>
      <c r="AO314" s="43"/>
      <c r="AP314" t="e">
        <f t="shared" si="117"/>
        <v>#DIV/0!</v>
      </c>
    </row>
    <row r="315" spans="1:42">
      <c r="A315">
        <v>296</v>
      </c>
      <c r="B315">
        <f t="shared" si="89"/>
        <v>296</v>
      </c>
      <c r="D315" s="43">
        <f t="shared" si="90"/>
        <v>394.01666690509171</v>
      </c>
      <c r="E315" s="43">
        <f t="shared" si="91"/>
        <v>665.02521540674945</v>
      </c>
      <c r="F315" s="69">
        <f t="shared" si="92"/>
        <v>0.62899603302774365</v>
      </c>
      <c r="G315" s="98">
        <f t="shared" si="93"/>
        <v>296.76475156668999</v>
      </c>
      <c r="H315" s="69">
        <f t="shared" si="94"/>
        <v>0.13359077298395564</v>
      </c>
      <c r="I315" s="69">
        <f t="shared" si="95"/>
        <v>-2.156938865687291</v>
      </c>
      <c r="J315" s="99">
        <f t="shared" si="96"/>
        <v>1.5047746178408776E-2</v>
      </c>
      <c r="K315" s="69">
        <f t="shared" si="97"/>
        <v>4.746941264663438E-5</v>
      </c>
      <c r="L315" s="99">
        <f t="shared" si="98"/>
        <v>1.5095215591055412E-2</v>
      </c>
      <c r="M315" s="69">
        <f t="shared" si="99"/>
        <v>8.849875126203175</v>
      </c>
      <c r="N315" s="69">
        <f t="shared" si="100"/>
        <v>3.2346356901432252</v>
      </c>
      <c r="O315" s="69">
        <f t="shared" si="101"/>
        <v>24.213017245822119</v>
      </c>
      <c r="P315" s="69">
        <f t="shared" si="102"/>
        <v>1.4250540330144632</v>
      </c>
      <c r="Q315" s="69">
        <f t="shared" si="103"/>
        <v>0.58963859181881961</v>
      </c>
      <c r="R315" s="43">
        <f t="shared" si="104"/>
        <v>653.94203606246697</v>
      </c>
      <c r="S315" s="43">
        <f t="shared" si="105"/>
        <v>2132.7984554396603</v>
      </c>
      <c r="T315" s="43">
        <f>R315+Thrust!C$33*0.8</f>
        <v>2465.702036062467</v>
      </c>
      <c r="U315" s="43"/>
      <c r="V315">
        <f t="shared" si="109"/>
        <v>1418364.7522479426</v>
      </c>
      <c r="W315">
        <f t="shared" si="110"/>
        <v>1639754.0276613028</v>
      </c>
      <c r="Y315">
        <f t="shared" si="111"/>
        <v>-4508.7091462186254</v>
      </c>
      <c r="Z315">
        <f t="shared" si="112"/>
        <v>-6.4880476645434104</v>
      </c>
      <c r="AA315">
        <f t="shared" si="106"/>
        <v>703.75398806895964</v>
      </c>
      <c r="AB315">
        <f t="shared" si="113"/>
        <v>1.0105938645846919</v>
      </c>
      <c r="AC315">
        <f t="shared" si="107"/>
        <v>2.4395081004979917</v>
      </c>
      <c r="AD315">
        <f t="shared" si="108"/>
        <v>961.20685064618999</v>
      </c>
      <c r="AE315">
        <f t="shared" si="114"/>
        <v>-3126.2838956883884</v>
      </c>
      <c r="AG315">
        <v>0.29131718552111618</v>
      </c>
      <c r="AH315">
        <v>703.75398806895964</v>
      </c>
      <c r="AI315">
        <f t="shared" si="115"/>
        <v>2045.1340307321852</v>
      </c>
      <c r="AJ315">
        <f t="shared" si="116"/>
        <v>838.33869226123886</v>
      </c>
      <c r="AM315">
        <f t="shared" si="118"/>
        <v>0</v>
      </c>
      <c r="AN315" s="43">
        <f t="shared" si="119"/>
        <v>16595</v>
      </c>
      <c r="AO315" s="43"/>
      <c r="AP315" t="e">
        <f t="shared" si="117"/>
        <v>#DIV/0!</v>
      </c>
    </row>
    <row r="316" spans="1:42">
      <c r="A316">
        <v>297</v>
      </c>
      <c r="B316">
        <f t="shared" si="89"/>
        <v>297</v>
      </c>
      <c r="D316" s="43">
        <f t="shared" si="90"/>
        <v>395.34780429328458</v>
      </c>
      <c r="E316" s="43">
        <f t="shared" si="91"/>
        <v>667.27192221555606</v>
      </c>
      <c r="F316" s="69">
        <f t="shared" si="92"/>
        <v>0.63112101962581035</v>
      </c>
      <c r="G316" s="98">
        <f t="shared" si="93"/>
        <v>298.77330591383031</v>
      </c>
      <c r="H316" s="69">
        <f t="shared" si="94"/>
        <v>0.13269268629915607</v>
      </c>
      <c r="I316" s="69">
        <f t="shared" si="95"/>
        <v>-2.1645013109114708</v>
      </c>
      <c r="J316" s="99">
        <f t="shared" si="96"/>
        <v>1.5047746178408776E-2</v>
      </c>
      <c r="K316" s="69">
        <f t="shared" si="97"/>
        <v>4.4965049606653624E-5</v>
      </c>
      <c r="L316" s="99">
        <f t="shared" si="98"/>
        <v>1.5092711228015429E-2</v>
      </c>
      <c r="M316" s="69">
        <f t="shared" si="99"/>
        <v>8.7918389409617088</v>
      </c>
      <c r="N316" s="69">
        <f t="shared" si="100"/>
        <v>3.2026038154317495</v>
      </c>
      <c r="O316" s="69">
        <f t="shared" si="101"/>
        <v>24.135496120799516</v>
      </c>
      <c r="P316" s="69">
        <f t="shared" si="102"/>
        <v>1.4298684047476202</v>
      </c>
      <c r="Q316" s="69">
        <f t="shared" si="103"/>
        <v>0.58474892622948405</v>
      </c>
      <c r="R316" s="43">
        <f t="shared" si="104"/>
        <v>646.33555853596135</v>
      </c>
      <c r="S316" s="43">
        <f t="shared" si="105"/>
        <v>2146.8773628302306</v>
      </c>
      <c r="T316" s="43">
        <f>R316+Thrust!C$33*0.8</f>
        <v>2458.0955585359616</v>
      </c>
      <c r="U316" s="43"/>
      <c r="V316">
        <f t="shared" si="109"/>
        <v>1432550.9846567917</v>
      </c>
      <c r="W316">
        <f t="shared" si="110"/>
        <v>1640218.1483338119</v>
      </c>
      <c r="Y316">
        <f t="shared" si="111"/>
        <v>-4553.8044545381454</v>
      </c>
      <c r="Z316">
        <f t="shared" si="112"/>
        <v>-6.5310620389870762</v>
      </c>
      <c r="AA316">
        <f t="shared" si="106"/>
        <v>660.13403023158742</v>
      </c>
      <c r="AB316">
        <f t="shared" si="113"/>
        <v>0.94475746676595918</v>
      </c>
      <c r="AC316">
        <f t="shared" si="107"/>
        <v>2.3953205464897729</v>
      </c>
      <c r="AD316">
        <f t="shared" si="108"/>
        <v>946.98471863332225</v>
      </c>
      <c r="AE316">
        <f t="shared" si="114"/>
        <v>-3182.8431707006171</v>
      </c>
      <c r="AG316">
        <v>0.22526705161154192</v>
      </c>
      <c r="AH316">
        <v>660.13403023158742</v>
      </c>
      <c r="AI316">
        <f t="shared" si="115"/>
        <v>2001.8951108427907</v>
      </c>
      <c r="AJ316">
        <f t="shared" si="116"/>
        <v>835.75248990222701</v>
      </c>
      <c r="AM316">
        <f t="shared" si="118"/>
        <v>0</v>
      </c>
      <c r="AN316" s="43">
        <f t="shared" si="119"/>
        <v>16595</v>
      </c>
      <c r="AO316" s="43"/>
      <c r="AP316" t="e">
        <f t="shared" si="117"/>
        <v>#DIV/0!</v>
      </c>
    </row>
    <row r="317" spans="1:42">
      <c r="A317">
        <v>298</v>
      </c>
      <c r="B317">
        <f t="shared" si="89"/>
        <v>298</v>
      </c>
      <c r="D317" s="43">
        <f t="shared" si="90"/>
        <v>396.67894168147751</v>
      </c>
      <c r="E317" s="43">
        <f t="shared" si="91"/>
        <v>669.51862902436267</v>
      </c>
      <c r="F317" s="69">
        <f t="shared" si="92"/>
        <v>0.63324600622387706</v>
      </c>
      <c r="G317" s="98">
        <f t="shared" si="93"/>
        <v>300.78863447462038</v>
      </c>
      <c r="H317" s="69">
        <f t="shared" si="94"/>
        <v>0.13180362557725164</v>
      </c>
      <c r="I317" s="69">
        <f t="shared" si="95"/>
        <v>-2.1719877519468063</v>
      </c>
      <c r="J317" s="99">
        <f t="shared" si="96"/>
        <v>1.5047746178408776E-2</v>
      </c>
      <c r="K317" s="69">
        <f t="shared" si="97"/>
        <v>4.2552700447117871E-5</v>
      </c>
      <c r="L317" s="99">
        <f t="shared" si="98"/>
        <v>1.5090298878855895E-2</v>
      </c>
      <c r="M317" s="69">
        <f t="shared" si="99"/>
        <v>8.7343283678715729</v>
      </c>
      <c r="N317" s="69">
        <f t="shared" si="100"/>
        <v>3.1709777420228193</v>
      </c>
      <c r="O317" s="69">
        <f t="shared" si="101"/>
        <v>24.058349898457632</v>
      </c>
      <c r="P317" s="69">
        <f t="shared" si="102"/>
        <v>1.4346827764807772</v>
      </c>
      <c r="Q317" s="69">
        <f t="shared" si="103"/>
        <v>0.57981511636846172</v>
      </c>
      <c r="R317" s="43">
        <f t="shared" si="104"/>
        <v>638.7315013186851</v>
      </c>
      <c r="S317" s="43">
        <f t="shared" si="105"/>
        <v>2161.0133263857992</v>
      </c>
      <c r="T317" s="43">
        <f>R317+Thrust!C$33*0.8</f>
        <v>2450.4915013186851</v>
      </c>
      <c r="U317" s="43"/>
      <c r="V317">
        <f t="shared" si="109"/>
        <v>1446838.6795851979</v>
      </c>
      <c r="W317">
        <f t="shared" si="110"/>
        <v>1640649.7103987383</v>
      </c>
      <c r="Y317">
        <f t="shared" si="111"/>
        <v>-4599.2222927211596</v>
      </c>
      <c r="Z317">
        <f t="shared" si="112"/>
        <v>-6.5742544533233218</v>
      </c>
      <c r="AA317">
        <f t="shared" si="106"/>
        <v>616.08804497019435</v>
      </c>
      <c r="AB317">
        <f t="shared" si="113"/>
        <v>0.87875644771393102</v>
      </c>
      <c r="AC317">
        <f t="shared" si="107"/>
        <v>2.3516555876438892</v>
      </c>
      <c r="AD317">
        <f t="shared" si="108"/>
        <v>932.85224970591082</v>
      </c>
      <c r="AE317">
        <f t="shared" si="114"/>
        <v>-3239.8284731368663</v>
      </c>
      <c r="AG317">
        <v>0.15902366400508514</v>
      </c>
      <c r="AH317">
        <v>616.08804497019435</v>
      </c>
      <c r="AI317">
        <f t="shared" si="115"/>
        <v>1959.3220907269827</v>
      </c>
      <c r="AJ317">
        <f t="shared" si="116"/>
        <v>833.16711044835301</v>
      </c>
      <c r="AM317">
        <f t="shared" si="118"/>
        <v>0</v>
      </c>
      <c r="AN317" s="43">
        <f t="shared" si="119"/>
        <v>16595</v>
      </c>
      <c r="AO317" s="43"/>
      <c r="AP317" t="e">
        <f t="shared" si="117"/>
        <v>#DIV/0!</v>
      </c>
    </row>
    <row r="318" spans="1:42">
      <c r="A318">
        <v>299</v>
      </c>
      <c r="B318">
        <f t="shared" si="89"/>
        <v>299</v>
      </c>
      <c r="D318" s="43">
        <f t="shared" si="90"/>
        <v>398.01007906967038</v>
      </c>
      <c r="E318" s="43">
        <f t="shared" si="91"/>
        <v>671.76533583316927</v>
      </c>
      <c r="F318" s="69">
        <f t="shared" si="92"/>
        <v>0.63537099282194376</v>
      </c>
      <c r="G318" s="98">
        <f t="shared" si="93"/>
        <v>302.81073724906014</v>
      </c>
      <c r="H318" s="69">
        <f t="shared" si="94"/>
        <v>0.13092347027172241</v>
      </c>
      <c r="I318" s="69">
        <f t="shared" si="95"/>
        <v>-2.1793992038695369</v>
      </c>
      <c r="J318" s="99">
        <f t="shared" si="96"/>
        <v>1.5047746178408776E-2</v>
      </c>
      <c r="K318" s="69">
        <f t="shared" si="97"/>
        <v>4.023002593318267E-5</v>
      </c>
      <c r="L318" s="99">
        <f t="shared" si="98"/>
        <v>1.5087976204341959E-2</v>
      </c>
      <c r="M318" s="69">
        <f t="shared" si="99"/>
        <v>8.6773380669864633</v>
      </c>
      <c r="N318" s="69">
        <f t="shared" si="100"/>
        <v>3.1397514661600865</v>
      </c>
      <c r="O318" s="69">
        <f t="shared" si="101"/>
        <v>23.981578395712813</v>
      </c>
      <c r="P318" s="69">
        <f t="shared" si="102"/>
        <v>1.439497148213934</v>
      </c>
      <c r="Q318" s="69">
        <f t="shared" si="103"/>
        <v>0.57483716223575332</v>
      </c>
      <c r="R318" s="43">
        <f t="shared" si="104"/>
        <v>631.12984012660002</v>
      </c>
      <c r="S318" s="43">
        <f t="shared" si="105"/>
        <v>2175.2062503835423</v>
      </c>
      <c r="T318" s="43">
        <f>R318+Thrust!C$33*0.8</f>
        <v>2442.8898401266001</v>
      </c>
      <c r="U318" s="43"/>
      <c r="V318">
        <f t="shared" si="109"/>
        <v>1461228.1572953092</v>
      </c>
      <c r="W318">
        <f t="shared" si="110"/>
        <v>1641048.7138560826</v>
      </c>
      <c r="Y318">
        <f t="shared" si="111"/>
        <v>-4644.9636788195266</v>
      </c>
      <c r="Z318">
        <f t="shared" si="112"/>
        <v>-6.617624685839222</v>
      </c>
      <c r="AA318">
        <f t="shared" si="106"/>
        <v>571.61501423292202</v>
      </c>
      <c r="AB318">
        <f t="shared" si="113"/>
        <v>0.81259094578020419</v>
      </c>
      <c r="AC318">
        <f t="shared" si="107"/>
        <v>2.3085064842189245</v>
      </c>
      <c r="AD318">
        <f t="shared" si="108"/>
        <v>918.80884831682101</v>
      </c>
      <c r="AE318">
        <f t="shared" si="114"/>
        <v>-3297.2408210489939</v>
      </c>
      <c r="AG318">
        <v>9.258712770047843E-2</v>
      </c>
      <c r="AH318">
        <v>571.61501423292202</v>
      </c>
      <c r="AI318">
        <f t="shared" si="115"/>
        <v>1917.4051922960282</v>
      </c>
      <c r="AJ318">
        <f t="shared" si="116"/>
        <v>830.58254564304411</v>
      </c>
      <c r="AM318">
        <f t="shared" si="118"/>
        <v>0</v>
      </c>
      <c r="AN318" s="43">
        <f t="shared" si="119"/>
        <v>16595</v>
      </c>
      <c r="AO318" s="43"/>
      <c r="AP318" t="e">
        <f t="shared" si="117"/>
        <v>#DIV/0!</v>
      </c>
    </row>
    <row r="319" spans="1:42">
      <c r="A319">
        <v>300</v>
      </c>
      <c r="B319">
        <f t="shared" si="89"/>
        <v>300</v>
      </c>
      <c r="D319" s="43">
        <f t="shared" si="90"/>
        <v>399.34121645786325</v>
      </c>
      <c r="E319" s="43">
        <f t="shared" si="91"/>
        <v>674.01204264197588</v>
      </c>
      <c r="F319" s="69">
        <f t="shared" si="92"/>
        <v>0.63749597942001046</v>
      </c>
      <c r="G319" s="98">
        <f t="shared" si="93"/>
        <v>304.83961423714965</v>
      </c>
      <c r="H319" s="69">
        <f t="shared" si="94"/>
        <v>0.13005210184180283</v>
      </c>
      <c r="I319" s="69">
        <f t="shared" si="95"/>
        <v>-2.1867366648662081</v>
      </c>
      <c r="J319" s="99">
        <f t="shared" si="96"/>
        <v>1.5047746178408776E-2</v>
      </c>
      <c r="K319" s="69">
        <f t="shared" si="97"/>
        <v>3.7994747811218435E-5</v>
      </c>
      <c r="L319" s="99">
        <f t="shared" si="98"/>
        <v>1.5085740926219995E-2</v>
      </c>
      <c r="M319" s="69">
        <f t="shared" si="99"/>
        <v>8.6208627390494197</v>
      </c>
      <c r="N319" s="69">
        <f t="shared" si="100"/>
        <v>3.108919078810974</v>
      </c>
      <c r="O319" s="69">
        <f t="shared" si="101"/>
        <v>23.905181344879043</v>
      </c>
      <c r="P319" s="69">
        <f t="shared" si="102"/>
        <v>1.4443115199470911</v>
      </c>
      <c r="Q319" s="69">
        <f t="shared" si="103"/>
        <v>0.56981506383135749</v>
      </c>
      <c r="R319" s="43">
        <f t="shared" si="104"/>
        <v>623.53055099945254</v>
      </c>
      <c r="S319" s="43">
        <f t="shared" si="105"/>
        <v>2189.4560406933533</v>
      </c>
      <c r="T319" s="43">
        <f>R319+Thrust!C$33*0.8</f>
        <v>2435.2905509994525</v>
      </c>
      <c r="U319" s="43"/>
      <c r="V319">
        <f t="shared" si="109"/>
        <v>1475719.7382625402</v>
      </c>
      <c r="W319">
        <f t="shared" si="110"/>
        <v>1641415.1587058438</v>
      </c>
      <c r="Y319">
        <f t="shared" si="111"/>
        <v>-4691.0296315630412</v>
      </c>
      <c r="Z319">
        <f t="shared" si="112"/>
        <v>-6.6611725204098624</v>
      </c>
      <c r="AA319">
        <f t="shared" si="106"/>
        <v>526.71391928997184</v>
      </c>
      <c r="AB319">
        <f t="shared" si="113"/>
        <v>0.74626109416174513</v>
      </c>
      <c r="AC319">
        <f t="shared" si="107"/>
        <v>2.2658665822958888</v>
      </c>
      <c r="AD319">
        <f t="shared" si="108"/>
        <v>904.85391730526135</v>
      </c>
      <c r="AE319">
        <f t="shared" si="114"/>
        <v>-3355.0812331667998</v>
      </c>
      <c r="AG319">
        <v>2.5957542812278956E-2</v>
      </c>
      <c r="AH319">
        <v>526.71391928997184</v>
      </c>
      <c r="AI319">
        <f t="shared" si="115"/>
        <v>1876.1347824148047</v>
      </c>
      <c r="AJ319">
        <f t="shared" si="116"/>
        <v>827.99878733981393</v>
      </c>
      <c r="AM319">
        <f t="shared" si="118"/>
        <v>0</v>
      </c>
      <c r="AN319" s="43">
        <f t="shared" si="119"/>
        <v>16595</v>
      </c>
      <c r="AO319" s="43"/>
      <c r="AP319" t="e">
        <f t="shared" si="117"/>
        <v>#DIV/0!</v>
      </c>
    </row>
    <row r="320" spans="1:42">
      <c r="A320">
        <v>301</v>
      </c>
      <c r="B320">
        <f t="shared" ref="B320:B369" si="120">A320</f>
        <v>301</v>
      </c>
      <c r="D320" s="43">
        <f t="shared" si="90"/>
        <v>400.67235384605613</v>
      </c>
      <c r="E320" s="43">
        <f t="shared" si="91"/>
        <v>676.25874945078249</v>
      </c>
      <c r="F320" s="69">
        <f t="shared" si="92"/>
        <v>0.63962096601807727</v>
      </c>
      <c r="G320" s="98">
        <f t="shared" si="93"/>
        <v>306.87526543888885</v>
      </c>
      <c r="H320" s="69">
        <f t="shared" si="94"/>
        <v>0.12918940371256671</v>
      </c>
      <c r="I320" s="69">
        <f t="shared" si="95"/>
        <v>-2.1940011165697837</v>
      </c>
      <c r="J320" s="99">
        <f t="shared" si="96"/>
        <v>1.5047746178408776E-2</v>
      </c>
      <c r="K320" s="69">
        <f t="shared" si="97"/>
        <v>3.584464708566398E-5</v>
      </c>
      <c r="L320" s="99">
        <f t="shared" ref="L320:L369" si="121">SUM(J320:K320)</f>
        <v>1.5083590825494441E-2</v>
      </c>
      <c r="M320" s="69">
        <f t="shared" ref="M320:M369" si="122">H320/L320</f>
        <v>8.5648971261013944</v>
      </c>
      <c r="N320" s="69">
        <f t="shared" ref="N320:N369" si="123">H320^1.5/L320</f>
        <v>3.0784747643119355</v>
      </c>
      <c r="O320" s="69">
        <f t="shared" ref="O320:O369" si="124">H320^0.5/L320</f>
        <v>23.829158397241539</v>
      </c>
      <c r="P320" s="69">
        <f t="shared" si="102"/>
        <v>1.4491258916802481</v>
      </c>
      <c r="Q320" s="69">
        <f t="shared" ref="Q320:Q369" si="125">0.096574+1.703049*P320-0.952281*P320^2</f>
        <v>0.56474882115527558</v>
      </c>
      <c r="R320" s="43">
        <f t="shared" si="104"/>
        <v>615.93361029540108</v>
      </c>
      <c r="S320" s="43">
        <f t="shared" si="105"/>
        <v>2203.7626047461472</v>
      </c>
      <c r="T320" s="43">
        <f>R320+Thrust!C$33*0.8</f>
        <v>2427.693610295401</v>
      </c>
      <c r="V320">
        <f t="shared" si="109"/>
        <v>1490313.7431720286</v>
      </c>
      <c r="W320">
        <f t="shared" si="110"/>
        <v>1641749.044948023</v>
      </c>
      <c r="Y320">
        <f t="shared" si="111"/>
        <v>-4737.4211703481697</v>
      </c>
      <c r="Z320">
        <f t="shared" si="112"/>
        <v>-6.7048977464080286</v>
      </c>
      <c r="AA320">
        <f t="shared" si="106"/>
        <v>481.38374074488308</v>
      </c>
      <c r="AB320">
        <f t="shared" si="113"/>
        <v>0.67976702097487196</v>
      </c>
      <c r="AC320">
        <f t="shared" si="107"/>
        <v>2.2237293131204794</v>
      </c>
      <c r="AD320">
        <f t="shared" si="108"/>
        <v>890.98685820445598</v>
      </c>
      <c r="AE320">
        <f t="shared" si="114"/>
        <v>-3413.3507288867449</v>
      </c>
      <c r="AG320">
        <v>2.5957542812278956E-2</v>
      </c>
      <c r="AH320">
        <v>481.38374074488308</v>
      </c>
      <c r="AI320">
        <f t="shared" si="115"/>
        <v>1835.5013711263175</v>
      </c>
      <c r="AJ320">
        <f t="shared" si="116"/>
        <v>825.41582750043642</v>
      </c>
      <c r="AM320">
        <f t="shared" si="118"/>
        <v>0</v>
      </c>
      <c r="AN320" s="43">
        <f t="shared" si="119"/>
        <v>16595</v>
      </c>
      <c r="AO320" s="43"/>
      <c r="AP320" t="e">
        <f t="shared" si="117"/>
        <v>#DIV/0!</v>
      </c>
    </row>
    <row r="321" spans="1:42">
      <c r="A321">
        <v>302</v>
      </c>
      <c r="B321">
        <f t="shared" si="120"/>
        <v>302</v>
      </c>
      <c r="D321" s="43">
        <f t="shared" si="90"/>
        <v>402.003491234249</v>
      </c>
      <c r="E321" s="43">
        <f t="shared" si="91"/>
        <v>678.50545625958898</v>
      </c>
      <c r="F321" s="69">
        <f t="shared" si="92"/>
        <v>0.64174595261614387</v>
      </c>
      <c r="G321" s="98">
        <f t="shared" si="93"/>
        <v>308.91769085427768</v>
      </c>
      <c r="H321" s="69">
        <f t="shared" si="94"/>
        <v>0.12833526123593547</v>
      </c>
      <c r="I321" s="69">
        <f t="shared" si="95"/>
        <v>-2.2011935243879783</v>
      </c>
      <c r="J321" s="99">
        <f t="shared" si="96"/>
        <v>1.5047746178408776E-2</v>
      </c>
      <c r="K321" s="69">
        <f t="shared" si="97"/>
        <v>3.3777562349163369E-5</v>
      </c>
      <c r="L321" s="99">
        <f t="shared" si="121"/>
        <v>1.5081523740757941E-2</v>
      </c>
      <c r="M321" s="69">
        <f t="shared" si="122"/>
        <v>8.509436012032948</v>
      </c>
      <c r="N321" s="69">
        <f t="shared" si="123"/>
        <v>3.0484127990202441</v>
      </c>
      <c r="O321" s="69">
        <f t="shared" si="124"/>
        <v>23.753509126505378</v>
      </c>
      <c r="P321" s="69">
        <f t="shared" si="102"/>
        <v>1.4539402634134051</v>
      </c>
      <c r="Q321" s="69">
        <f t="shared" si="125"/>
        <v>0.55963843420750692</v>
      </c>
      <c r="R321" s="43">
        <f t="shared" si="104"/>
        <v>608.33899468573861</v>
      </c>
      <c r="S321" s="43">
        <f t="shared" si="105"/>
        <v>2218.1258515028976</v>
      </c>
      <c r="T321" s="43">
        <f>R321+Thrust!C$33*0.8</f>
        <v>2420.0989946857385</v>
      </c>
      <c r="V321">
        <f t="shared" si="109"/>
        <v>1505010.4929151628</v>
      </c>
      <c r="W321">
        <f t="shared" si="110"/>
        <v>1642050.3725826195</v>
      </c>
      <c r="Y321">
        <f t="shared" si="111"/>
        <v>-4784.1393152270066</v>
      </c>
      <c r="Z321">
        <f t="shared" si="112"/>
        <v>-6.7488001586161968</v>
      </c>
      <c r="AA321">
        <f t="shared" si="106"/>
        <v>435.62345854555781</v>
      </c>
      <c r="AB321">
        <f t="shared" si="113"/>
        <v>0.61310884932719745</v>
      </c>
      <c r="AC321">
        <f t="shared" si="107"/>
        <v>2.1820881924229014</v>
      </c>
      <c r="AD321">
        <f t="shared" si="108"/>
        <v>877.20707153503827</v>
      </c>
      <c r="AE321">
        <f t="shared" si="114"/>
        <v>-3472.0503282609252</v>
      </c>
      <c r="AG321">
        <v>2.5957542812278956E-2</v>
      </c>
      <c r="AH321">
        <v>435.62345854555781</v>
      </c>
      <c r="AI321">
        <f t="shared" si="115"/>
        <v>1795.4956098714167</v>
      </c>
      <c r="AJ321">
        <f t="shared" si="116"/>
        <v>822.83365819315111</v>
      </c>
      <c r="AM321">
        <f t="shared" si="118"/>
        <v>0</v>
      </c>
      <c r="AN321" s="43">
        <f t="shared" si="119"/>
        <v>16595</v>
      </c>
      <c r="AO321" s="43"/>
      <c r="AP321" t="e">
        <f t="shared" si="117"/>
        <v>#DIV/0!</v>
      </c>
    </row>
    <row r="322" spans="1:42">
      <c r="A322">
        <v>303</v>
      </c>
      <c r="B322">
        <f t="shared" si="120"/>
        <v>303</v>
      </c>
      <c r="D322" s="43">
        <f t="shared" si="90"/>
        <v>403.33462862244187</v>
      </c>
      <c r="E322" s="43">
        <f t="shared" si="91"/>
        <v>680.75216306839559</v>
      </c>
      <c r="F322" s="69">
        <f t="shared" si="92"/>
        <v>0.64387093921421057</v>
      </c>
      <c r="G322" s="98">
        <f t="shared" si="93"/>
        <v>310.96689048331632</v>
      </c>
      <c r="H322" s="69">
        <f t="shared" si="94"/>
        <v>0.12748956165258585</v>
      </c>
      <c r="I322" s="69">
        <f t="shared" si="95"/>
        <v>-2.20831483782402</v>
      </c>
      <c r="J322" s="99">
        <f t="shared" si="96"/>
        <v>1.5047746178408776E-2</v>
      </c>
      <c r="K322" s="69">
        <f t="shared" si="97"/>
        <v>3.1791388164187216E-5</v>
      </c>
      <c r="L322" s="99">
        <f t="shared" si="121"/>
        <v>1.5079537566572964E-2</v>
      </c>
      <c r="M322" s="69">
        <f t="shared" si="122"/>
        <v>8.4544742230818706</v>
      </c>
      <c r="N322" s="69">
        <f t="shared" si="123"/>
        <v>3.018727549973184</v>
      </c>
      <c r="O322" s="69">
        <f t="shared" si="124"/>
        <v>23.678233032123345</v>
      </c>
      <c r="P322" s="69">
        <f t="shared" si="102"/>
        <v>1.4587546351465621</v>
      </c>
      <c r="Q322" s="69">
        <f t="shared" si="125"/>
        <v>0.55448390298805084</v>
      </c>
      <c r="R322" s="43">
        <f t="shared" si="104"/>
        <v>600.74668114972769</v>
      </c>
      <c r="S322" s="43">
        <f t="shared" si="105"/>
        <v>2232.54569142439</v>
      </c>
      <c r="T322" s="43">
        <f>R322+Thrust!C$33*0.8</f>
        <v>2412.5066811497277</v>
      </c>
      <c r="V322">
        <f t="shared" si="109"/>
        <v>1519810.3085861804</v>
      </c>
      <c r="W322">
        <f t="shared" si="110"/>
        <v>1642319.1416096333</v>
      </c>
      <c r="Y322">
        <f t="shared" si="111"/>
        <v>-4831.1850868964675</v>
      </c>
      <c r="Z322">
        <f t="shared" si="112"/>
        <v>-6.7928795571407141</v>
      </c>
      <c r="AA322">
        <f t="shared" si="106"/>
        <v>389.43205199508208</v>
      </c>
      <c r="AB322">
        <f t="shared" si="113"/>
        <v>0.54628669738764613</v>
      </c>
      <c r="AC322">
        <f t="shared" si="107"/>
        <v>2.1409368197172096</v>
      </c>
      <c r="AD322">
        <f t="shared" si="108"/>
        <v>863.51395708475263</v>
      </c>
      <c r="AE322">
        <f t="shared" si="114"/>
        <v>-3531.1810519862579</v>
      </c>
      <c r="AG322">
        <v>2.5957542812278956E-2</v>
      </c>
      <c r="AH322">
        <v>389.43205199508208</v>
      </c>
      <c r="AI322">
        <f t="shared" si="115"/>
        <v>1756.1082897056544</v>
      </c>
      <c r="AJ322">
        <f t="shared" si="116"/>
        <v>820.25227159090753</v>
      </c>
      <c r="AM322">
        <f t="shared" si="118"/>
        <v>0</v>
      </c>
      <c r="AN322" s="43">
        <f t="shared" si="119"/>
        <v>16595</v>
      </c>
      <c r="AO322" s="43"/>
      <c r="AP322" t="e">
        <f t="shared" si="117"/>
        <v>#DIV/0!</v>
      </c>
    </row>
    <row r="323" spans="1:42">
      <c r="A323">
        <v>304</v>
      </c>
      <c r="B323">
        <f t="shared" si="120"/>
        <v>304</v>
      </c>
      <c r="D323" s="43">
        <f t="shared" si="90"/>
        <v>404.66576601063474</v>
      </c>
      <c r="E323" s="43">
        <f t="shared" si="91"/>
        <v>682.9988698772022</v>
      </c>
      <c r="F323" s="69">
        <f t="shared" si="92"/>
        <v>0.64599592581227727</v>
      </c>
      <c r="G323" s="98">
        <f t="shared" si="93"/>
        <v>313.02286432600465</v>
      </c>
      <c r="H323" s="69">
        <f t="shared" si="94"/>
        <v>0.12665219405473355</v>
      </c>
      <c r="I323" s="69">
        <f t="shared" si="95"/>
        <v>-2.2153659907900334</v>
      </c>
      <c r="J323" s="99">
        <f t="shared" si="96"/>
        <v>1.5047746178408776E-2</v>
      </c>
      <c r="K323" s="69">
        <f t="shared" si="97"/>
        <v>2.9884073494404515E-5</v>
      </c>
      <c r="L323" s="99">
        <f t="shared" si="121"/>
        <v>1.507763025190318E-2</v>
      </c>
      <c r="M323" s="69">
        <f t="shared" si="122"/>
        <v>8.4000066282794545</v>
      </c>
      <c r="N323" s="69">
        <f t="shared" si="123"/>
        <v>2.9894134735554134</v>
      </c>
      <c r="O323" s="69">
        <f t="shared" si="124"/>
        <v>23.603329542506938</v>
      </c>
      <c r="P323" s="69">
        <f t="shared" si="102"/>
        <v>1.4635690068797189</v>
      </c>
      <c r="Q323" s="69">
        <f t="shared" si="125"/>
        <v>0.54928522749690867</v>
      </c>
      <c r="R323" s="43">
        <f t="shared" si="104"/>
        <v>593.15664696953786</v>
      </c>
      <c r="S323" s="43">
        <f t="shared" si="105"/>
        <v>2247.0220364416664</v>
      </c>
      <c r="T323" s="43">
        <f>R323+Thrust!C$33*0.8</f>
        <v>2404.9166469695379</v>
      </c>
      <c r="V323">
        <f t="shared" si="109"/>
        <v>1534713.5114788276</v>
      </c>
      <c r="W323">
        <f t="shared" si="110"/>
        <v>1642555.3520290649</v>
      </c>
      <c r="Y323">
        <f t="shared" si="111"/>
        <v>-4878.5595066876649</v>
      </c>
      <c r="Z323">
        <f t="shared" si="112"/>
        <v>-6.8371357473281291</v>
      </c>
      <c r="AA323">
        <f t="shared" si="106"/>
        <v>342.80849976234384</v>
      </c>
      <c r="AB323">
        <f t="shared" si="113"/>
        <v>0.47930067845458973</v>
      </c>
      <c r="AC323">
        <f t="shared" si="107"/>
        <v>2.1002688775819527</v>
      </c>
      <c r="AD323">
        <f t="shared" si="108"/>
        <v>849.90691417499693</v>
      </c>
      <c r="AE323">
        <f t="shared" si="114"/>
        <v>-3590.7439213938524</v>
      </c>
      <c r="AG323">
        <v>2.5957542812278956E-2</v>
      </c>
      <c r="AH323">
        <v>342.80849976234384</v>
      </c>
      <c r="AI323">
        <f t="shared" si="115"/>
        <v>1717.3303395150142</v>
      </c>
      <c r="AJ323">
        <f t="shared" si="116"/>
        <v>817.67165996964297</v>
      </c>
      <c r="AM323">
        <f t="shared" si="118"/>
        <v>0</v>
      </c>
      <c r="AN323" s="43">
        <f t="shared" si="119"/>
        <v>16595</v>
      </c>
      <c r="AO323" s="43"/>
      <c r="AP323" t="e">
        <f t="shared" si="117"/>
        <v>#DIV/0!</v>
      </c>
    </row>
    <row r="324" spans="1:42">
      <c r="A324">
        <v>305</v>
      </c>
      <c r="B324">
        <f t="shared" si="120"/>
        <v>305</v>
      </c>
      <c r="D324" s="43">
        <f t="shared" si="90"/>
        <v>405.99690339882761</v>
      </c>
      <c r="E324" s="43">
        <f t="shared" si="91"/>
        <v>685.2455766860088</v>
      </c>
      <c r="F324" s="69">
        <f t="shared" si="92"/>
        <v>0.64812091241034397</v>
      </c>
      <c r="G324" s="98">
        <f t="shared" si="93"/>
        <v>315.08561238234273</v>
      </c>
      <c r="H324" s="69">
        <f t="shared" si="94"/>
        <v>0.12582304934976893</v>
      </c>
      <c r="I324" s="69">
        <f t="shared" si="95"/>
        <v>-2.2223479019132482</v>
      </c>
      <c r="J324" s="99">
        <f t="shared" si="96"/>
        <v>1.5047746178408776E-2</v>
      </c>
      <c r="K324" s="69">
        <f t="shared" si="97"/>
        <v>2.8053620184132078E-5</v>
      </c>
      <c r="L324" s="99">
        <f t="shared" si="121"/>
        <v>1.5075799798592908E-2</v>
      </c>
      <c r="M324" s="69">
        <f t="shared" si="122"/>
        <v>8.3460281398478475</v>
      </c>
      <c r="N324" s="69">
        <f t="shared" si="123"/>
        <v>2.9604651141752103</v>
      </c>
      <c r="O324" s="69">
        <f t="shared" si="124"/>
        <v>23.528798018124395</v>
      </c>
      <c r="P324" s="69">
        <f t="shared" si="102"/>
        <v>1.4683833786128759</v>
      </c>
      <c r="Q324" s="69">
        <f t="shared" si="125"/>
        <v>0.54404240773407908</v>
      </c>
      <c r="R324" s="43">
        <f t="shared" si="104"/>
        <v>585.56886972527445</v>
      </c>
      <c r="S324" s="43">
        <f t="shared" si="105"/>
        <v>2261.5547999271544</v>
      </c>
      <c r="T324" s="43">
        <f>R324+Thrust!C$33*0.8</f>
        <v>2397.3288697252747</v>
      </c>
      <c r="V324">
        <f t="shared" si="109"/>
        <v>1549720.4230830942</v>
      </c>
      <c r="W324">
        <f t="shared" si="110"/>
        <v>1642759.0038409135</v>
      </c>
      <c r="Y324">
        <f t="shared" si="111"/>
        <v>-4926.263596555531</v>
      </c>
      <c r="Z324">
        <f t="shared" si="112"/>
        <v>-6.8815685396836379</v>
      </c>
      <c r="AA324">
        <f t="shared" si="106"/>
        <v>295.75177989240586</v>
      </c>
      <c r="AB324">
        <f t="shared" si="113"/>
        <v>0.41215090102208302</v>
      </c>
      <c r="AC324">
        <f t="shared" si="107"/>
        <v>2.0600781309237872</v>
      </c>
      <c r="AD324">
        <f t="shared" si="108"/>
        <v>836.38534191470205</v>
      </c>
      <c r="AE324">
        <f t="shared" si="114"/>
        <v>-3650.7399584386462</v>
      </c>
      <c r="AG324">
        <v>2.5957542812278956E-2</v>
      </c>
      <c r="AH324">
        <v>295.75177989240586</v>
      </c>
      <c r="AI324">
        <f t="shared" si="115"/>
        <v>1679.1528242321151</v>
      </c>
      <c r="AJ324">
        <f t="shared" si="116"/>
        <v>815.09181570659348</v>
      </c>
      <c r="AM324">
        <f t="shared" si="118"/>
        <v>0</v>
      </c>
      <c r="AN324" s="43">
        <f t="shared" si="119"/>
        <v>16595</v>
      </c>
      <c r="AO324" s="43"/>
      <c r="AP324" t="e">
        <f t="shared" si="117"/>
        <v>#DIV/0!</v>
      </c>
    </row>
    <row r="325" spans="1:42">
      <c r="A325">
        <v>306</v>
      </c>
      <c r="B325">
        <f t="shared" si="120"/>
        <v>306</v>
      </c>
      <c r="D325" s="43">
        <f t="shared" si="90"/>
        <v>407.32804078702048</v>
      </c>
      <c r="E325" s="43">
        <f t="shared" si="91"/>
        <v>687.4922834948153</v>
      </c>
      <c r="F325" s="69">
        <f t="shared" si="92"/>
        <v>0.65024589900841068</v>
      </c>
      <c r="G325" s="98">
        <f t="shared" si="93"/>
        <v>317.15513465233039</v>
      </c>
      <c r="H325" s="69">
        <f t="shared" si="94"/>
        <v>0.12500202022472401</v>
      </c>
      <c r="I325" s="69">
        <f t="shared" si="95"/>
        <v>-2.2292614748352149</v>
      </c>
      <c r="J325" s="99">
        <f t="shared" si="96"/>
        <v>1.5047746178408776E-2</v>
      </c>
      <c r="K325" s="69">
        <f t="shared" si="97"/>
        <v>2.62980814842558E-5</v>
      </c>
      <c r="L325" s="99">
        <f t="shared" si="121"/>
        <v>1.5074044259893032E-2</v>
      </c>
      <c r="M325" s="69">
        <f t="shared" si="122"/>
        <v>8.292533713551073</v>
      </c>
      <c r="N325" s="69">
        <f t="shared" si="123"/>
        <v>2.9318771029502813</v>
      </c>
      <c r="O325" s="69">
        <f t="shared" si="124"/>
        <v>23.454637754489571</v>
      </c>
      <c r="P325" s="69">
        <f t="shared" si="102"/>
        <v>1.4731977503460327</v>
      </c>
      <c r="Q325" s="69">
        <f t="shared" si="125"/>
        <v>0.53875544369956385</v>
      </c>
      <c r="R325" s="43">
        <f t="shared" si="104"/>
        <v>577.98332729011634</v>
      </c>
      <c r="S325" s="43">
        <f t="shared" si="105"/>
        <v>2276.1438966664441</v>
      </c>
      <c r="T325" s="43">
        <f>R325+Thrust!C$33*0.8</f>
        <v>2389.7433272901162</v>
      </c>
      <c r="V325">
        <f t="shared" si="109"/>
        <v>1564831.3650820006</v>
      </c>
      <c r="W325">
        <f t="shared" si="110"/>
        <v>1642930.0970451797</v>
      </c>
      <c r="Y325">
        <f t="shared" si="111"/>
        <v>-4974.2983790686112</v>
      </c>
      <c r="Z325">
        <f t="shared" si="112"/>
        <v>-6.9261777497915444</v>
      </c>
      <c r="AA325">
        <f t="shared" si="106"/>
        <v>248.26086981672816</v>
      </c>
      <c r="AB325">
        <f t="shared" si="113"/>
        <v>0.34483746884437433</v>
      </c>
      <c r="AC325">
        <f t="shared" si="107"/>
        <v>2.0203584262257581</v>
      </c>
      <c r="AD325">
        <f t="shared" si="108"/>
        <v>822.94863944208601</v>
      </c>
      <c r="AE325">
        <f t="shared" si="114"/>
        <v>-3711.1701856891787</v>
      </c>
      <c r="AG325">
        <v>2.5957542812278956E-2</v>
      </c>
      <c r="AH325">
        <v>248.26086981672816</v>
      </c>
      <c r="AI325">
        <f t="shared" si="115"/>
        <v>1641.5669430545045</v>
      </c>
      <c r="AJ325">
        <f t="shared" si="116"/>
        <v>812.51273127863954</v>
      </c>
      <c r="AM325">
        <f t="shared" si="118"/>
        <v>0</v>
      </c>
      <c r="AN325" s="43">
        <f t="shared" si="119"/>
        <v>16595</v>
      </c>
      <c r="AO325" s="43"/>
      <c r="AP325" t="e">
        <f t="shared" si="117"/>
        <v>#DIV/0!</v>
      </c>
    </row>
    <row r="326" spans="1:42">
      <c r="A326">
        <v>307</v>
      </c>
      <c r="B326">
        <f t="shared" si="120"/>
        <v>307</v>
      </c>
      <c r="D326" s="43">
        <f t="shared" si="90"/>
        <v>408.65917817521336</v>
      </c>
      <c r="E326" s="43">
        <f t="shared" si="91"/>
        <v>689.7389903036219</v>
      </c>
      <c r="F326" s="69">
        <f t="shared" si="92"/>
        <v>0.65237088560647738</v>
      </c>
      <c r="G326" s="98">
        <f t="shared" si="93"/>
        <v>319.23143113596785</v>
      </c>
      <c r="H326" s="69">
        <f t="shared" si="94"/>
        <v>0.12418900111154771</v>
      </c>
      <c r="I326" s="69">
        <f t="shared" si="95"/>
        <v>-2.2361075985042005</v>
      </c>
      <c r="J326" s="99">
        <f t="shared" si="96"/>
        <v>1.5047746178408776E-2</v>
      </c>
      <c r="K326" s="69">
        <f t="shared" si="97"/>
        <v>2.4615560623069212E-5</v>
      </c>
      <c r="L326" s="99">
        <f t="shared" si="121"/>
        <v>1.5072361739031846E-2</v>
      </c>
      <c r="M326" s="69">
        <f t="shared" si="122"/>
        <v>8.2395183490019424</v>
      </c>
      <c r="N326" s="69">
        <f t="shared" si="123"/>
        <v>2.9036441564037019</v>
      </c>
      <c r="O326" s="69">
        <f t="shared" si="124"/>
        <v>23.380847985045168</v>
      </c>
      <c r="P326" s="69">
        <f t="shared" si="102"/>
        <v>1.4780121220791897</v>
      </c>
      <c r="Q326" s="69">
        <f t="shared" si="125"/>
        <v>0.5334243353933612</v>
      </c>
      <c r="R326" s="43">
        <f t="shared" si="104"/>
        <v>570.39999782553639</v>
      </c>
      <c r="S326" s="43">
        <f t="shared" si="105"/>
        <v>2290.7892428307223</v>
      </c>
      <c r="T326" s="43">
        <f>R326+Thrust!C$33*0.8</f>
        <v>2382.1599978255363</v>
      </c>
      <c r="V326">
        <f t="shared" si="109"/>
        <v>1580046.6593484608</v>
      </c>
      <c r="W326">
        <f t="shared" si="110"/>
        <v>1643068.6316418636</v>
      </c>
      <c r="Y326">
        <f t="shared" si="111"/>
        <v>-5022.664877399081</v>
      </c>
      <c r="Z326">
        <f t="shared" si="112"/>
        <v>-6.9709631982377278</v>
      </c>
      <c r="AA326">
        <f t="shared" si="106"/>
        <v>200.33474636313463</v>
      </c>
      <c r="AB326">
        <f t="shared" si="113"/>
        <v>0.2773604809985824</v>
      </c>
      <c r="AC326">
        <f t="shared" si="107"/>
        <v>1.9811036907816733</v>
      </c>
      <c r="AD326">
        <f t="shared" si="108"/>
        <v>809.59620615472045</v>
      </c>
      <c r="AE326">
        <f t="shared" si="114"/>
        <v>-3772.0356263176282</v>
      </c>
      <c r="AG326">
        <v>2.5957542812278956E-2</v>
      </c>
      <c r="AH326">
        <v>200.33474636313463</v>
      </c>
      <c r="AI326">
        <f t="shared" si="115"/>
        <v>1604.5640276663753</v>
      </c>
      <c r="AJ326">
        <f t="shared" si="116"/>
        <v>809.93439926068243</v>
      </c>
      <c r="AM326">
        <f t="shared" si="118"/>
        <v>0</v>
      </c>
      <c r="AN326" s="43">
        <f t="shared" si="119"/>
        <v>16595</v>
      </c>
      <c r="AO326" s="43"/>
      <c r="AP326" t="e">
        <f t="shared" si="117"/>
        <v>#DIV/0!</v>
      </c>
    </row>
    <row r="327" spans="1:42">
      <c r="A327">
        <v>308</v>
      </c>
      <c r="B327">
        <f t="shared" si="120"/>
        <v>308</v>
      </c>
      <c r="D327" s="43">
        <f t="shared" si="90"/>
        <v>409.99031556340628</v>
      </c>
      <c r="E327" s="43">
        <f t="shared" si="91"/>
        <v>691.98569711242862</v>
      </c>
      <c r="F327" s="69">
        <f t="shared" si="92"/>
        <v>0.65449587220454419</v>
      </c>
      <c r="G327" s="98">
        <f t="shared" si="93"/>
        <v>321.31450183325524</v>
      </c>
      <c r="H327" s="69">
        <f t="shared" si="94"/>
        <v>0.12338388815316929</v>
      </c>
      <c r="I327" s="69">
        <f t="shared" si="95"/>
        <v>-2.2428871474609622</v>
      </c>
      <c r="J327" s="99">
        <f t="shared" si="96"/>
        <v>1.5047746178408776E-2</v>
      </c>
      <c r="K327" s="69">
        <f t="shared" si="97"/>
        <v>2.3004209420536883E-5</v>
      </c>
      <c r="L327" s="99">
        <f t="shared" si="121"/>
        <v>1.5070750387829313E-2</v>
      </c>
      <c r="M327" s="69">
        <f t="shared" si="122"/>
        <v>8.1869770899271508</v>
      </c>
      <c r="N327" s="69">
        <f t="shared" si="123"/>
        <v>2.8757610751706038</v>
      </c>
      <c r="O327" s="69">
        <f t="shared" si="124"/>
        <v>23.307427883943976</v>
      </c>
      <c r="P327" s="69">
        <f t="shared" si="102"/>
        <v>1.4828264938123472</v>
      </c>
      <c r="Q327" s="69">
        <f t="shared" si="125"/>
        <v>0.52804908281547114</v>
      </c>
      <c r="R327" s="43">
        <f t="shared" si="104"/>
        <v>562.81885977662591</v>
      </c>
      <c r="S327" s="43">
        <f t="shared" si="105"/>
        <v>2305.4907559498197</v>
      </c>
      <c r="T327" s="43">
        <f>R327+Thrust!C$33*0.8</f>
        <v>2374.5788597766259</v>
      </c>
      <c r="V327">
        <f t="shared" si="109"/>
        <v>1595366.6279421961</v>
      </c>
      <c r="W327">
        <f t="shared" si="110"/>
        <v>1643174.6076309644</v>
      </c>
      <c r="Y327">
        <f t="shared" si="111"/>
        <v>-5071.3641153129411</v>
      </c>
      <c r="Z327">
        <f t="shared" si="112"/>
        <v>-7.0159247105340574</v>
      </c>
      <c r="AA327">
        <f t="shared" si="106"/>
        <v>151.97238576562103</v>
      </c>
      <c r="AB327">
        <f t="shared" si="113"/>
        <v>0.20972003194571259</v>
      </c>
      <c r="AC327">
        <f t="shared" si="107"/>
        <v>1.9423079319181131</v>
      </c>
      <c r="AD327">
        <f t="shared" si="108"/>
        <v>796.32744192841437</v>
      </c>
      <c r="AE327">
        <f t="shared" si="114"/>
        <v>-3833.3373040899987</v>
      </c>
      <c r="AG327">
        <v>2.5957542812278956E-2</v>
      </c>
      <c r="AH327">
        <v>151.97238576562103</v>
      </c>
      <c r="AI327">
        <f t="shared" si="115"/>
        <v>1568.1355404651313</v>
      </c>
      <c r="AJ327">
        <f t="shared" si="116"/>
        <v>807.35681232405284</v>
      </c>
      <c r="AM327">
        <f t="shared" si="118"/>
        <v>0</v>
      </c>
      <c r="AN327" s="43">
        <f t="shared" si="119"/>
        <v>16595</v>
      </c>
      <c r="AO327" s="43"/>
      <c r="AP327" t="e">
        <f t="shared" si="117"/>
        <v>#DIV/0!</v>
      </c>
    </row>
    <row r="328" spans="1:42">
      <c r="A328">
        <v>309</v>
      </c>
      <c r="B328">
        <f t="shared" si="120"/>
        <v>309</v>
      </c>
      <c r="D328" s="43">
        <f t="shared" si="90"/>
        <v>411.32145295159916</v>
      </c>
      <c r="E328" s="43">
        <f t="shared" si="91"/>
        <v>694.23240392123512</v>
      </c>
      <c r="F328" s="69">
        <f t="shared" si="92"/>
        <v>0.65662085880261079</v>
      </c>
      <c r="G328" s="98">
        <f t="shared" si="93"/>
        <v>323.40434674419203</v>
      </c>
      <c r="H328" s="69">
        <f t="shared" si="94"/>
        <v>0.12258657917032975</v>
      </c>
      <c r="I328" s="69">
        <f t="shared" si="95"/>
        <v>-2.2496009821180434</v>
      </c>
      <c r="J328" s="99">
        <f t="shared" si="96"/>
        <v>1.5047746178408776E-2</v>
      </c>
      <c r="K328" s="69">
        <f t="shared" si="97"/>
        <v>2.1462226944542056E-5</v>
      </c>
      <c r="L328" s="99">
        <f t="shared" si="121"/>
        <v>1.5069208405353319E-2</v>
      </c>
      <c r="M328" s="69">
        <f t="shared" si="122"/>
        <v>8.1349050243927223</v>
      </c>
      <c r="N328" s="69">
        <f t="shared" si="123"/>
        <v>2.8482227427160542</v>
      </c>
      <c r="O328" s="69">
        <f t="shared" si="124"/>
        <v>23.234376568731463</v>
      </c>
      <c r="P328" s="69">
        <f t="shared" si="102"/>
        <v>1.487640865545504</v>
      </c>
      <c r="Q328" s="69">
        <f t="shared" si="125"/>
        <v>0.52262968596589543</v>
      </c>
      <c r="R328" s="43">
        <f t="shared" si="104"/>
        <v>555.23989186750725</v>
      </c>
      <c r="S328" s="43">
        <f t="shared" si="105"/>
        <v>2320.2483548858686</v>
      </c>
      <c r="T328" s="43">
        <f>R328+Thrust!C$33*0.8</f>
        <v>2366.9998918675074</v>
      </c>
      <c r="V328">
        <f t="shared" si="109"/>
        <v>1610791.5931067076</v>
      </c>
      <c r="W328">
        <f t="shared" si="110"/>
        <v>1643248.0250124831</v>
      </c>
      <c r="Y328">
        <f t="shared" si="111"/>
        <v>-5120.3971171603944</v>
      </c>
      <c r="Z328">
        <f t="shared" si="112"/>
        <v>-7.0610621170446572</v>
      </c>
      <c r="AA328">
        <f t="shared" si="106"/>
        <v>103.17276367398854</v>
      </c>
      <c r="AB328">
        <f t="shared" si="113"/>
        <v>0.14191621159002829</v>
      </c>
      <c r="AC328">
        <f t="shared" si="107"/>
        <v>1.9039652362053852</v>
      </c>
      <c r="AD328">
        <f t="shared" si="108"/>
        <v>783.14174732533365</v>
      </c>
      <c r="AE328">
        <f t="shared" si="114"/>
        <v>-3895.076243356486</v>
      </c>
      <c r="AG328">
        <v>2.5957542812278956E-2</v>
      </c>
      <c r="AH328">
        <v>103.17276367398854</v>
      </c>
      <c r="AI328">
        <f t="shared" si="115"/>
        <v>1532.2730727939977</v>
      </c>
      <c r="AJ328">
        <f t="shared" si="116"/>
        <v>804.77996323495256</v>
      </c>
      <c r="AM328">
        <f t="shared" si="118"/>
        <v>0</v>
      </c>
      <c r="AN328" s="43">
        <f t="shared" si="119"/>
        <v>16595</v>
      </c>
      <c r="AO328" s="43"/>
      <c r="AP328" t="e">
        <f t="shared" si="117"/>
        <v>#DIV/0!</v>
      </c>
    </row>
    <row r="329" spans="1:42">
      <c r="A329">
        <v>310</v>
      </c>
      <c r="B329">
        <f t="shared" si="120"/>
        <v>310</v>
      </c>
      <c r="D329" s="43">
        <f t="shared" si="90"/>
        <v>412.65259033979203</v>
      </c>
      <c r="E329" s="43">
        <f t="shared" si="91"/>
        <v>696.47911073004173</v>
      </c>
      <c r="F329" s="69">
        <f t="shared" si="92"/>
        <v>0.65874584540067749</v>
      </c>
      <c r="G329" s="98">
        <f t="shared" si="93"/>
        <v>325.50096586877862</v>
      </c>
      <c r="H329" s="69">
        <f t="shared" si="94"/>
        <v>0.12179697362915981</v>
      </c>
      <c r="I329" s="69">
        <f t="shared" si="95"/>
        <v>-2.2562499490327901</v>
      </c>
      <c r="J329" s="99">
        <f t="shared" si="96"/>
        <v>1.5047746178408776E-2</v>
      </c>
      <c r="K329" s="69">
        <f t="shared" si="97"/>
        <v>1.9987858207726842E-5</v>
      </c>
      <c r="L329" s="99">
        <f t="shared" si="121"/>
        <v>1.5067734036616503E-2</v>
      </c>
      <c r="M329" s="69">
        <f t="shared" si="122"/>
        <v>8.0832972849917404</v>
      </c>
      <c r="N329" s="69">
        <f t="shared" si="123"/>
        <v>2.8210241240646159</v>
      </c>
      <c r="O329" s="69">
        <f t="shared" si="124"/>
        <v>23.161693102932936</v>
      </c>
      <c r="P329" s="69">
        <f t="shared" si="102"/>
        <v>1.4924552372786608</v>
      </c>
      <c r="Q329" s="69">
        <f t="shared" si="125"/>
        <v>0.5171661448446323</v>
      </c>
      <c r="R329" s="43">
        <f t="shared" si="104"/>
        <v>547.66307309682497</v>
      </c>
      <c r="S329" s="43">
        <f t="shared" si="105"/>
        <v>2335.0619598075673</v>
      </c>
      <c r="T329" s="43">
        <f>R329+Thrust!C$33*0.8</f>
        <v>2359.4230730968247</v>
      </c>
      <c r="V329">
        <f t="shared" si="109"/>
        <v>1626321.877266323</v>
      </c>
      <c r="W329">
        <f t="shared" si="110"/>
        <v>1643288.8837864187</v>
      </c>
      <c r="Y329">
        <f t="shared" si="111"/>
        <v>-5169.7649078664563</v>
      </c>
      <c r="Z329">
        <f t="shared" si="112"/>
        <v>-7.1063752529140878</v>
      </c>
      <c r="AA329">
        <f t="shared" si="106"/>
        <v>53.934855163218266</v>
      </c>
      <c r="AB329">
        <f t="shared" si="113"/>
        <v>7.3949105336694007E-2</v>
      </c>
      <c r="AC329">
        <f t="shared" si="107"/>
        <v>1.866069768658682</v>
      </c>
      <c r="AD329">
        <f t="shared" si="108"/>
        <v>770.0385237917817</v>
      </c>
      <c r="AE329">
        <f t="shared" si="114"/>
        <v>-3957.2534690421126</v>
      </c>
      <c r="AG329">
        <v>2.5957542812278956E-2</v>
      </c>
      <c r="AH329">
        <v>53.934855163218266</v>
      </c>
      <c r="AI329">
        <f t="shared" si="115"/>
        <v>1496.9683431817946</v>
      </c>
      <c r="AJ329">
        <f t="shared" si="116"/>
        <v>802.2038448529205</v>
      </c>
      <c r="AM329">
        <f t="shared" si="118"/>
        <v>0</v>
      </c>
      <c r="AN329" s="43">
        <f t="shared" si="119"/>
        <v>16595</v>
      </c>
      <c r="AO329" s="43"/>
      <c r="AP329" t="e">
        <f t="shared" si="117"/>
        <v>#DIV/0!</v>
      </c>
    </row>
    <row r="330" spans="1:42">
      <c r="A330">
        <v>311</v>
      </c>
      <c r="B330">
        <f t="shared" si="120"/>
        <v>311</v>
      </c>
      <c r="D330" s="43">
        <f t="shared" si="90"/>
        <v>413.9837277279849</v>
      </c>
      <c r="E330" s="43">
        <f t="shared" si="91"/>
        <v>698.72581753884833</v>
      </c>
      <c r="F330" s="69">
        <f t="shared" si="92"/>
        <v>0.66087083199874419</v>
      </c>
      <c r="G330" s="98">
        <f t="shared" si="93"/>
        <v>327.60435920701502</v>
      </c>
      <c r="H330" s="69">
        <f t="shared" si="94"/>
        <v>0.12101497260948765</v>
      </c>
      <c r="I330" s="69">
        <f t="shared" si="95"/>
        <v>-2.2628348811742161</v>
      </c>
      <c r="J330" s="99">
        <f t="shared" si="96"/>
        <v>1.5047746178408776E-2</v>
      </c>
      <c r="K330" s="69">
        <f t="shared" si="97"/>
        <v>1.8579392903590833E-5</v>
      </c>
      <c r="L330" s="99">
        <f t="shared" si="121"/>
        <v>1.5066325571312367E-2</v>
      </c>
      <c r="M330" s="69">
        <f t="shared" si="122"/>
        <v>8.0321490489964589</v>
      </c>
      <c r="N330" s="69">
        <f t="shared" si="123"/>
        <v>2.7941602645420103</v>
      </c>
      <c r="O330" s="69">
        <f t="shared" si="124"/>
        <v>23.089376498548628</v>
      </c>
      <c r="P330" s="69">
        <f t="shared" si="102"/>
        <v>1.4972696090118178</v>
      </c>
      <c r="Q330" s="69">
        <f t="shared" si="125"/>
        <v>0.51165845945168309</v>
      </c>
      <c r="R330" s="43">
        <f t="shared" si="104"/>
        <v>540.08838273334209</v>
      </c>
      <c r="S330" s="43">
        <f t="shared" si="105"/>
        <v>2349.9314921650084</v>
      </c>
      <c r="T330" s="43">
        <f>R330+Thrust!C$33*0.8</f>
        <v>2351.8483827333421</v>
      </c>
      <c r="V330">
        <f t="shared" si="109"/>
        <v>1641957.8030232813</v>
      </c>
      <c r="W330">
        <f t="shared" si="110"/>
        <v>1643297.1839527728</v>
      </c>
      <c r="Y330">
        <f t="shared" si="111"/>
        <v>-5219.4685129216878</v>
      </c>
      <c r="Z330">
        <f t="shared" si="112"/>
        <v>-7.1518639579972607</v>
      </c>
      <c r="AA330">
        <f t="shared" si="106"/>
        <v>4.2576347427543819</v>
      </c>
      <c r="AB330">
        <f t="shared" si="113"/>
        <v>5.8187941479602738E-3</v>
      </c>
      <c r="AC330">
        <f t="shared" si="107"/>
        <v>1.8286157719307687</v>
      </c>
      <c r="AD330">
        <f t="shared" si="108"/>
        <v>757.01717384608617</v>
      </c>
      <c r="AE330">
        <f t="shared" si="114"/>
        <v>-4019.8700066374331</v>
      </c>
      <c r="AG330">
        <v>2.5957542812278956E-2</v>
      </c>
      <c r="AH330">
        <v>4.2576347427543819</v>
      </c>
      <c r="AI330">
        <f t="shared" si="115"/>
        <v>1462.2131955910606</v>
      </c>
      <c r="AJ330">
        <f t="shared" si="116"/>
        <v>799.62845012933633</v>
      </c>
      <c r="AM330">
        <f t="shared" si="118"/>
        <v>0</v>
      </c>
      <c r="AN330" s="43">
        <f t="shared" si="119"/>
        <v>16595</v>
      </c>
      <c r="AO330" s="43"/>
      <c r="AP330" t="e">
        <f t="shared" si="117"/>
        <v>#DIV/0!</v>
      </c>
    </row>
    <row r="331" spans="1:42">
      <c r="A331">
        <v>312</v>
      </c>
      <c r="B331">
        <f t="shared" si="120"/>
        <v>312</v>
      </c>
      <c r="D331" s="43">
        <f t="shared" si="90"/>
        <v>415.31486511617777</v>
      </c>
      <c r="E331" s="43">
        <f t="shared" si="91"/>
        <v>700.97252434765494</v>
      </c>
      <c r="F331" s="69">
        <f t="shared" si="92"/>
        <v>0.662995818596811</v>
      </c>
      <c r="G331" s="98">
        <f t="shared" si="93"/>
        <v>329.71452675890106</v>
      </c>
      <c r="H331" s="69">
        <f t="shared" si="94"/>
        <v>0.12024047877385616</v>
      </c>
      <c r="I331" s="69">
        <f t="shared" si="95"/>
        <v>-2.2693565981839008</v>
      </c>
      <c r="J331" s="99">
        <f t="shared" si="96"/>
        <v>1.5047746178408776E-2</v>
      </c>
      <c r="K331" s="69">
        <f t="shared" si="97"/>
        <v>1.7235164180554172E-5</v>
      </c>
      <c r="L331" s="99">
        <f t="shared" si="121"/>
        <v>1.506498134258933E-2</v>
      </c>
      <c r="M331" s="69">
        <f t="shared" si="122"/>
        <v>7.9814555384765935</v>
      </c>
      <c r="N331" s="69">
        <f t="shared" si="123"/>
        <v>2.7676262885292653</v>
      </c>
      <c r="O331" s="69">
        <f t="shared" si="124"/>
        <v>23.017425718459705</v>
      </c>
      <c r="P331" s="69">
        <f t="shared" si="102"/>
        <v>1.5020839807449748</v>
      </c>
      <c r="Q331" s="69">
        <f t="shared" si="125"/>
        <v>0.5061066297870469</v>
      </c>
      <c r="R331" s="43">
        <f t="shared" si="104"/>
        <v>532.51580031160347</v>
      </c>
      <c r="S331" s="43">
        <f t="shared" si="105"/>
        <v>2364.8568746650735</v>
      </c>
      <c r="T331" s="43">
        <f>R331+Thrust!C$33*0.8</f>
        <v>2344.2758003116032</v>
      </c>
      <c r="V331">
        <f t="shared" si="109"/>
        <v>1657699.6931548824</v>
      </c>
      <c r="W331">
        <f t="shared" si="110"/>
        <v>1643272.9255115436</v>
      </c>
      <c r="Y331">
        <f t="shared" si="111"/>
        <v>-5269.5089583731369</v>
      </c>
      <c r="Z331">
        <f t="shared" si="112"/>
        <v>-7.1975280767911221</v>
      </c>
      <c r="AA331">
        <f t="shared" si="106"/>
        <v>-45.859923634454361</v>
      </c>
      <c r="AB331">
        <f t="shared" si="113"/>
        <v>-6.2474645402286998E-2</v>
      </c>
      <c r="AC331">
        <f t="shared" si="107"/>
        <v>1.7915975654972303</v>
      </c>
      <c r="AD331">
        <f t="shared" si="108"/>
        <v>744.07710125695462</v>
      </c>
      <c r="AE331">
        <f t="shared" si="114"/>
        <v>-4082.9268821894971</v>
      </c>
      <c r="AG331">
        <v>2.5957542812278956E-2</v>
      </c>
      <c r="AH331">
        <v>-45.859923634454361</v>
      </c>
      <c r="AI331">
        <f t="shared" si="115"/>
        <v>1427.9995976753955</v>
      </c>
      <c r="AJ331">
        <f t="shared" si="116"/>
        <v>797.0537721059452</v>
      </c>
      <c r="AM331">
        <f t="shared" si="118"/>
        <v>0</v>
      </c>
      <c r="AN331" s="43">
        <f t="shared" si="119"/>
        <v>16595</v>
      </c>
      <c r="AO331" s="43"/>
      <c r="AP331" t="e">
        <f t="shared" si="117"/>
        <v>#DIV/0!</v>
      </c>
    </row>
    <row r="332" spans="1:42">
      <c r="A332">
        <v>313</v>
      </c>
      <c r="B332">
        <f t="shared" si="120"/>
        <v>313</v>
      </c>
      <c r="D332" s="43">
        <f t="shared" si="90"/>
        <v>416.64600250437064</v>
      </c>
      <c r="E332" s="43">
        <f t="shared" si="91"/>
        <v>703.21923115646143</v>
      </c>
      <c r="F332" s="69">
        <f t="shared" si="92"/>
        <v>0.6651208051948776</v>
      </c>
      <c r="G332" s="98">
        <f t="shared" si="93"/>
        <v>331.83146852443679</v>
      </c>
      <c r="H332" s="69">
        <f t="shared" si="94"/>
        <v>0.11947339633723172</v>
      </c>
      <c r="I332" s="69">
        <f t="shared" si="95"/>
        <v>-2.2758159066310548</v>
      </c>
      <c r="J332" s="99">
        <f t="shared" si="96"/>
        <v>1.5047746178408776E-2</v>
      </c>
      <c r="K332" s="69">
        <f t="shared" si="97"/>
        <v>1.5953547452741002E-5</v>
      </c>
      <c r="L332" s="99">
        <f t="shared" si="121"/>
        <v>1.5063699725861517E-2</v>
      </c>
      <c r="M332" s="69">
        <f t="shared" si="122"/>
        <v>7.9312120203855736</v>
      </c>
      <c r="N332" s="69">
        <f t="shared" si="123"/>
        <v>2.7414173982296561</v>
      </c>
      <c r="O332" s="69">
        <f t="shared" si="124"/>
        <v>22.945839678748161</v>
      </c>
      <c r="P332" s="69">
        <f t="shared" si="102"/>
        <v>1.5068983524781316</v>
      </c>
      <c r="Q332" s="69">
        <f t="shared" si="125"/>
        <v>0.50051065585072418</v>
      </c>
      <c r="R332" s="43">
        <f t="shared" si="104"/>
        <v>524.94530562769535</v>
      </c>
      <c r="S332" s="43">
        <f t="shared" si="105"/>
        <v>2379.8380312473855</v>
      </c>
      <c r="T332" s="43">
        <f>R332+Thrust!C$33*0.8</f>
        <v>2336.7053056276955</v>
      </c>
      <c r="V332">
        <f t="shared" si="109"/>
        <v>1673547.8706106932</v>
      </c>
      <c r="W332">
        <f t="shared" si="110"/>
        <v>1643216.1084627323</v>
      </c>
      <c r="Y332">
        <f t="shared" si="111"/>
        <v>-5319.8872708154486</v>
      </c>
      <c r="Z332">
        <f t="shared" si="112"/>
        <v>-7.2433674583680734</v>
      </c>
      <c r="AA332">
        <f t="shared" si="106"/>
        <v>-96.418846563054686</v>
      </c>
      <c r="AB332">
        <f t="shared" si="113"/>
        <v>-0.1309311410754401</v>
      </c>
      <c r="AC332">
        <f t="shared" si="107"/>
        <v>1.7550095448354466</v>
      </c>
      <c r="AD332">
        <f t="shared" si="108"/>
        <v>731.21771121270376</v>
      </c>
      <c r="AE332">
        <f t="shared" si="114"/>
        <v>-4146.4251222929533</v>
      </c>
      <c r="AG332">
        <v>2.5957542812278956E-2</v>
      </c>
      <c r="AH332">
        <v>-96.418846563054686</v>
      </c>
      <c r="AI332">
        <f t="shared" si="115"/>
        <v>1394.31963904704</v>
      </c>
      <c r="AJ332">
        <f t="shared" si="116"/>
        <v>794.4798039134165</v>
      </c>
      <c r="AM332">
        <f t="shared" si="118"/>
        <v>0</v>
      </c>
      <c r="AN332" s="43">
        <f t="shared" si="119"/>
        <v>16595</v>
      </c>
      <c r="AO332" s="43"/>
      <c r="AP332" t="e">
        <f t="shared" si="117"/>
        <v>#DIV/0!</v>
      </c>
    </row>
    <row r="333" spans="1:42">
      <c r="A333">
        <v>314</v>
      </c>
      <c r="B333">
        <f t="shared" si="120"/>
        <v>314</v>
      </c>
      <c r="D333" s="43">
        <f t="shared" si="90"/>
        <v>417.97713989256351</v>
      </c>
      <c r="E333" s="43">
        <f t="shared" si="91"/>
        <v>705.46593796526804</v>
      </c>
      <c r="F333" s="69">
        <f t="shared" si="92"/>
        <v>0.6672457917929443</v>
      </c>
      <c r="G333" s="98">
        <f t="shared" si="93"/>
        <v>333.95518450362221</v>
      </c>
      <c r="H333" s="69">
        <f t="shared" si="94"/>
        <v>0.1187136310373875</v>
      </c>
      <c r="I333" s="69">
        <f t="shared" si="95"/>
        <v>-2.2822136002619176</v>
      </c>
      <c r="J333" s="99">
        <f t="shared" si="96"/>
        <v>1.5047746178408776E-2</v>
      </c>
      <c r="K333" s="69">
        <f t="shared" si="97"/>
        <v>1.4732959246283697E-5</v>
      </c>
      <c r="L333" s="99">
        <f t="shared" si="121"/>
        <v>1.5062479137655059E-2</v>
      </c>
      <c r="M333" s="69">
        <f t="shared" si="122"/>
        <v>7.8814138066164947</v>
      </c>
      <c r="N333" s="69">
        <f t="shared" si="123"/>
        <v>2.7155288724487843</v>
      </c>
      <c r="O333" s="69">
        <f t="shared" si="124"/>
        <v>22.874617250933554</v>
      </c>
      <c r="P333" s="69">
        <f t="shared" si="102"/>
        <v>1.5117127242112887</v>
      </c>
      <c r="Q333" s="69">
        <f t="shared" si="125"/>
        <v>0.49487053764271405</v>
      </c>
      <c r="R333" s="43">
        <f t="shared" si="104"/>
        <v>517.37687873507684</v>
      </c>
      <c r="S333" s="43">
        <f t="shared" si="105"/>
        <v>2394.8748870607865</v>
      </c>
      <c r="T333" s="43">
        <f>R333+Thrust!C$33*0.8</f>
        <v>2329.1368787350766</v>
      </c>
      <c r="V333">
        <f t="shared" si="109"/>
        <v>1689502.658509803</v>
      </c>
      <c r="W333">
        <f t="shared" si="110"/>
        <v>1643126.7328063375</v>
      </c>
      <c r="Y333">
        <f t="shared" si="111"/>
        <v>-5370.604477382155</v>
      </c>
      <c r="Z333">
        <f t="shared" si="112"/>
        <v>-7.2893819563110318</v>
      </c>
      <c r="AA333">
        <f t="shared" si="106"/>
        <v>-147.42016117657897</v>
      </c>
      <c r="AB333">
        <f t="shared" si="113"/>
        <v>-0.1995506249165819</v>
      </c>
      <c r="AC333">
        <f t="shared" si="107"/>
        <v>1.7188461805982669</v>
      </c>
      <c r="AD333">
        <f t="shared" si="108"/>
        <v>718.43841048172021</v>
      </c>
      <c r="AE333">
        <f t="shared" si="114"/>
        <v>-4210.3657540813329</v>
      </c>
      <c r="AG333">
        <v>2.5957542812278956E-2</v>
      </c>
      <c r="AH333">
        <v>-147.42016117657897</v>
      </c>
      <c r="AI333">
        <f t="shared" si="115"/>
        <v>1361.1655295554808</v>
      </c>
      <c r="AJ333">
        <f t="shared" si="116"/>
        <v>791.9065387699261</v>
      </c>
      <c r="AM333">
        <f t="shared" si="118"/>
        <v>0</v>
      </c>
      <c r="AN333" s="43">
        <f t="shared" si="119"/>
        <v>16595</v>
      </c>
      <c r="AO333" s="43"/>
      <c r="AP333" t="e">
        <f t="shared" si="117"/>
        <v>#DIV/0!</v>
      </c>
    </row>
    <row r="334" spans="1:42">
      <c r="A334">
        <v>315</v>
      </c>
      <c r="B334">
        <f t="shared" si="120"/>
        <v>315</v>
      </c>
      <c r="D334" s="43">
        <f t="shared" si="90"/>
        <v>419.30827728075639</v>
      </c>
      <c r="E334" s="43">
        <f t="shared" si="91"/>
        <v>707.71264477407465</v>
      </c>
      <c r="F334" s="69">
        <f t="shared" si="92"/>
        <v>0.669370778391011</v>
      </c>
      <c r="G334" s="98">
        <f t="shared" si="93"/>
        <v>336.08567469645743</v>
      </c>
      <c r="H334" s="69">
        <f t="shared" si="94"/>
        <v>0.11796109010594363</v>
      </c>
      <c r="I334" s="69">
        <f t="shared" si="95"/>
        <v>-2.2885504602436106</v>
      </c>
      <c r="J334" s="99">
        <f t="shared" si="96"/>
        <v>1.5047746178408776E-2</v>
      </c>
      <c r="K334" s="69">
        <f t="shared" si="97"/>
        <v>1.3571856079989783E-5</v>
      </c>
      <c r="L334" s="99">
        <f t="shared" si="121"/>
        <v>1.5061318034488767E-2</v>
      </c>
      <c r="M334" s="69">
        <f t="shared" si="122"/>
        <v>7.8320562540294061</v>
      </c>
      <c r="N334" s="69">
        <f t="shared" si="123"/>
        <v>2.6899560653880306</v>
      </c>
      <c r="O334" s="69">
        <f t="shared" si="124"/>
        <v>22.803757264129363</v>
      </c>
      <c r="P334" s="69">
        <f t="shared" si="102"/>
        <v>1.5165270959444457</v>
      </c>
      <c r="Q334" s="69">
        <f t="shared" si="125"/>
        <v>0.48918627516301738</v>
      </c>
      <c r="R334" s="43">
        <f t="shared" si="104"/>
        <v>509.81049994049857</v>
      </c>
      <c r="S334" s="43">
        <f t="shared" si="105"/>
        <v>2409.9673684403456</v>
      </c>
      <c r="T334" s="43">
        <f>R334+Thrust!C$33*0.8</f>
        <v>2321.5704999404984</v>
      </c>
      <c r="V334">
        <f t="shared" si="109"/>
        <v>1705564.3801381337</v>
      </c>
      <c r="W334">
        <f t="shared" si="110"/>
        <v>1643004.7985423608</v>
      </c>
      <c r="Y334">
        <f t="shared" si="111"/>
        <v>-5421.6616057371139</v>
      </c>
      <c r="Z334">
        <f t="shared" si="112"/>
        <v>-7.3355714286501321</v>
      </c>
      <c r="AA334">
        <f t="shared" si="106"/>
        <v>-198.86489513888068</v>
      </c>
      <c r="AB334">
        <f t="shared" si="113"/>
        <v>-0.26833303320430429</v>
      </c>
      <c r="AC334">
        <f t="shared" si="107"/>
        <v>1.6831020177833871</v>
      </c>
      <c r="AD334">
        <f t="shared" si="108"/>
        <v>705.73860756451711</v>
      </c>
      <c r="AE334">
        <f t="shared" si="114"/>
        <v>-4274.749805218491</v>
      </c>
      <c r="AG334">
        <v>2.5957542812278956E-2</v>
      </c>
      <c r="AH334">
        <v>-198.86489513888068</v>
      </c>
      <c r="AI334">
        <f t="shared" si="115"/>
        <v>1328.5295975779215</v>
      </c>
      <c r="AJ334">
        <f t="shared" si="116"/>
        <v>789.33396997976956</v>
      </c>
      <c r="AM334">
        <f t="shared" si="118"/>
        <v>0</v>
      </c>
      <c r="AN334" s="43">
        <f t="shared" si="119"/>
        <v>16595</v>
      </c>
      <c r="AO334" s="43"/>
      <c r="AP334" t="e">
        <f t="shared" si="117"/>
        <v>#DIV/0!</v>
      </c>
    </row>
    <row r="335" spans="1:42">
      <c r="A335">
        <v>316</v>
      </c>
      <c r="B335">
        <f t="shared" si="120"/>
        <v>316</v>
      </c>
      <c r="D335" s="43">
        <f t="shared" si="90"/>
        <v>420.63941466894926</v>
      </c>
      <c r="E335" s="43">
        <f t="shared" si="91"/>
        <v>709.95935158288114</v>
      </c>
      <c r="F335" s="69">
        <f t="shared" si="92"/>
        <v>0.67149576498907759</v>
      </c>
      <c r="G335" s="98">
        <f t="shared" si="93"/>
        <v>338.22293910294229</v>
      </c>
      <c r="H335" s="69">
        <f t="shared" si="94"/>
        <v>0.11721568224004826</v>
      </c>
      <c r="I335" s="69">
        <f t="shared" si="95"/>
        <v>-2.2948272554026041</v>
      </c>
      <c r="J335" s="99">
        <f t="shared" si="96"/>
        <v>1.5047746178408776E-2</v>
      </c>
      <c r="K335" s="69">
        <f t="shared" si="97"/>
        <v>1.246873337925525E-5</v>
      </c>
      <c r="L335" s="99">
        <f t="shared" si="121"/>
        <v>1.5060214911788031E-2</v>
      </c>
      <c r="M335" s="69">
        <f t="shared" si="122"/>
        <v>7.7831347644514972</v>
      </c>
      <c r="N335" s="69">
        <f t="shared" si="123"/>
        <v>2.6646944054516539</v>
      </c>
      <c r="O335" s="69">
        <f t="shared" si="124"/>
        <v>22.733258507121722</v>
      </c>
      <c r="P335" s="69">
        <f t="shared" si="102"/>
        <v>1.5213414676776023</v>
      </c>
      <c r="Q335" s="69">
        <f t="shared" si="125"/>
        <v>0.48345786841163463</v>
      </c>
      <c r="R335" s="43">
        <f t="shared" si="104"/>
        <v>502.24614979999234</v>
      </c>
      <c r="S335" s="43">
        <f t="shared" si="105"/>
        <v>2425.1154028848664</v>
      </c>
      <c r="T335" s="43">
        <f>R335+Thrust!C$33*0.8</f>
        <v>2314.0061497999923</v>
      </c>
      <c r="V335">
        <f t="shared" si="109"/>
        <v>1721733.3589457972</v>
      </c>
      <c r="W335">
        <f t="shared" si="110"/>
        <v>1642850.3056708018</v>
      </c>
      <c r="Y335">
        <f t="shared" si="111"/>
        <v>-5473.0596840661101</v>
      </c>
      <c r="Z335">
        <f t="shared" si="112"/>
        <v>-7.3819357378010109</v>
      </c>
      <c r="AA335">
        <f t="shared" si="106"/>
        <v>-250.75407663574703</v>
      </c>
      <c r="AB335">
        <f t="shared" si="113"/>
        <v>-0.33727830640194806</v>
      </c>
      <c r="AC335">
        <f t="shared" si="107"/>
        <v>1.6477716748993059</v>
      </c>
      <c r="AD335">
        <f t="shared" si="108"/>
        <v>693.11771283771827</v>
      </c>
      <c r="AE335">
        <f t="shared" si="114"/>
        <v>-4339.5783038902127</v>
      </c>
      <c r="AG335">
        <v>2.5957542812278956E-2</v>
      </c>
      <c r="AH335">
        <v>-250.75407663574703</v>
      </c>
      <c r="AI335">
        <f t="shared" si="115"/>
        <v>1296.4042883222974</v>
      </c>
      <c r="AJ335">
        <f t="shared" si="116"/>
        <v>786.76209093199748</v>
      </c>
      <c r="AM335">
        <f t="shared" si="118"/>
        <v>0</v>
      </c>
      <c r="AN335" s="43">
        <f t="shared" si="119"/>
        <v>16595</v>
      </c>
      <c r="AO335" s="43"/>
      <c r="AP335" t="e">
        <f t="shared" si="117"/>
        <v>#DIV/0!</v>
      </c>
    </row>
    <row r="336" spans="1:42">
      <c r="A336">
        <v>317</v>
      </c>
      <c r="B336">
        <f t="shared" si="120"/>
        <v>317</v>
      </c>
      <c r="D336" s="43">
        <f t="shared" si="90"/>
        <v>421.97055205714219</v>
      </c>
      <c r="E336" s="43">
        <f t="shared" si="91"/>
        <v>712.20605839168786</v>
      </c>
      <c r="F336" s="69">
        <f t="shared" si="92"/>
        <v>0.67362075158714441</v>
      </c>
      <c r="G336" s="98">
        <f t="shared" si="93"/>
        <v>340.36697772307701</v>
      </c>
      <c r="H336" s="69">
        <f t="shared" si="94"/>
        <v>0.11647731757468235</v>
      </c>
      <c r="I336" s="69">
        <f t="shared" si="95"/>
        <v>-2.3010447424579277</v>
      </c>
      <c r="J336" s="99">
        <f t="shared" si="96"/>
        <v>1.5047746178408776E-2</v>
      </c>
      <c r="K336" s="69">
        <f t="shared" si="97"/>
        <v>1.1422124422146151E-5</v>
      </c>
      <c r="L336" s="99">
        <f t="shared" si="121"/>
        <v>1.5059168302830923E-2</v>
      </c>
      <c r="M336" s="69">
        <f t="shared" si="122"/>
        <v>7.7346447846516311</v>
      </c>
      <c r="N336" s="69">
        <f t="shared" si="123"/>
        <v>2.6397393940677052</v>
      </c>
      <c r="O336" s="69">
        <f t="shared" si="124"/>
        <v>22.663119730373001</v>
      </c>
      <c r="P336" s="69">
        <f t="shared" si="102"/>
        <v>1.5261558394107597</v>
      </c>
      <c r="Q336" s="69">
        <f t="shared" si="125"/>
        <v>0.47768531738856401</v>
      </c>
      <c r="R336" s="43">
        <f t="shared" si="104"/>
        <v>494.68380911493699</v>
      </c>
      <c r="S336" s="43">
        <f t="shared" si="105"/>
        <v>2440.3189190349008</v>
      </c>
      <c r="T336" s="43">
        <f>R336+Thrust!C$33*0.8</f>
        <v>2306.4438091149368</v>
      </c>
      <c r="V336">
        <f t="shared" si="109"/>
        <v>1738009.9185445111</v>
      </c>
      <c r="W336">
        <f t="shared" si="110"/>
        <v>1642663.2541916596</v>
      </c>
      <c r="Y336">
        <f t="shared" si="111"/>
        <v>-5524.7997410686448</v>
      </c>
      <c r="Z336">
        <f t="shared" si="112"/>
        <v>-7.4284747505046385</v>
      </c>
      <c r="AA336">
        <f t="shared" si="106"/>
        <v>-303.08873436668011</v>
      </c>
      <c r="AB336">
        <f t="shared" si="113"/>
        <v>-0.40638638911022046</v>
      </c>
      <c r="AC336">
        <f t="shared" si="107"/>
        <v>1.6128498431287117</v>
      </c>
      <c r="AD336">
        <f t="shared" si="108"/>
        <v>680.57513869029765</v>
      </c>
      <c r="AE336">
        <f t="shared" si="114"/>
        <v>-4404.8522787960028</v>
      </c>
      <c r="AG336">
        <v>2.5957542812278956E-2</v>
      </c>
      <c r="AH336">
        <v>-303.08873436668011</v>
      </c>
      <c r="AI336">
        <f t="shared" si="115"/>
        <v>1264.782162143513</v>
      </c>
      <c r="AJ336">
        <f t="shared" si="116"/>
        <v>784.1908950990786</v>
      </c>
      <c r="AM336">
        <f t="shared" si="118"/>
        <v>0</v>
      </c>
      <c r="AN336" s="43">
        <f t="shared" si="119"/>
        <v>16595</v>
      </c>
      <c r="AO336" s="43"/>
      <c r="AP336" t="e">
        <f t="shared" si="117"/>
        <v>#DIV/0!</v>
      </c>
    </row>
    <row r="337" spans="1:42">
      <c r="A337">
        <v>318</v>
      </c>
      <c r="B337">
        <f t="shared" si="120"/>
        <v>318</v>
      </c>
      <c r="D337" s="43">
        <f t="shared" si="90"/>
        <v>423.30168944533506</v>
      </c>
      <c r="E337" s="43">
        <f t="shared" si="91"/>
        <v>714.45276520049447</v>
      </c>
      <c r="F337" s="69">
        <f t="shared" si="92"/>
        <v>0.67574573818521122</v>
      </c>
      <c r="G337" s="98">
        <f t="shared" si="93"/>
        <v>342.51779055686137</v>
      </c>
      <c r="H337" s="69">
        <f t="shared" si="94"/>
        <v>0.11574590765557388</v>
      </c>
      <c r="I337" s="69">
        <f t="shared" si="95"/>
        <v>-2.3072036662492477</v>
      </c>
      <c r="J337" s="99">
        <f t="shared" si="96"/>
        <v>1.5047746178408776E-2</v>
      </c>
      <c r="K337" s="69">
        <f t="shared" si="97"/>
        <v>1.0430599316610692E-5</v>
      </c>
      <c r="L337" s="99">
        <f t="shared" si="121"/>
        <v>1.5058176777725387E-2</v>
      </c>
      <c r="M337" s="69">
        <f t="shared" si="122"/>
        <v>7.6865818062907536</v>
      </c>
      <c r="N337" s="69">
        <f t="shared" si="123"/>
        <v>2.615086604522987</v>
      </c>
      <c r="O337" s="69">
        <f t="shared" si="124"/>
        <v>22.59333964795302</v>
      </c>
      <c r="P337" s="69">
        <f t="shared" si="102"/>
        <v>1.5309702111439167</v>
      </c>
      <c r="Q337" s="69">
        <f t="shared" si="125"/>
        <v>0.47186862209380731</v>
      </c>
      <c r="R337" s="43">
        <f t="shared" si="104"/>
        <v>487.12345892820781</v>
      </c>
      <c r="S337" s="43">
        <f t="shared" si="105"/>
        <v>2455.5778466512338</v>
      </c>
      <c r="T337" s="43">
        <f>R337+Thrust!C$33*0.8</f>
        <v>2298.8834589282078</v>
      </c>
      <c r="V337">
        <f t="shared" si="109"/>
        <v>1754394.3827050498</v>
      </c>
      <c r="W337">
        <f t="shared" si="110"/>
        <v>1642443.6441049355</v>
      </c>
      <c r="Y337">
        <f t="shared" si="111"/>
        <v>-5576.8828059498273</v>
      </c>
      <c r="Z337">
        <f t="shared" si="112"/>
        <v>-7.4751883377686656</v>
      </c>
      <c r="AA337">
        <f t="shared" si="106"/>
        <v>-355.86989753678739</v>
      </c>
      <c r="AB337">
        <f t="shared" si="113"/>
        <v>-0.47565723002108651</v>
      </c>
      <c r="AC337">
        <f t="shared" si="107"/>
        <v>1.5783312854901623</v>
      </c>
      <c r="AD337">
        <f t="shared" si="108"/>
        <v>668.11029965241312</v>
      </c>
      <c r="AE337">
        <f t="shared" si="114"/>
        <v>-4470.5727591409659</v>
      </c>
      <c r="AG337">
        <v>2.5957542812278956E-2</v>
      </c>
      <c r="AH337">
        <v>-355.86989753678739</v>
      </c>
      <c r="AI337">
        <f t="shared" si="115"/>
        <v>1233.6558928735578</v>
      </c>
      <c r="AJ337">
        <f t="shared" si="116"/>
        <v>781.62037603559065</v>
      </c>
      <c r="AM337">
        <f t="shared" si="118"/>
        <v>0</v>
      </c>
      <c r="AN337" s="43">
        <f t="shared" si="119"/>
        <v>16595</v>
      </c>
      <c r="AO337" s="43"/>
      <c r="AP337" t="e">
        <f t="shared" si="117"/>
        <v>#DIV/0!</v>
      </c>
    </row>
    <row r="338" spans="1:42">
      <c r="A338">
        <v>319</v>
      </c>
      <c r="B338">
        <f t="shared" si="120"/>
        <v>319</v>
      </c>
      <c r="D338" s="43">
        <f t="shared" si="90"/>
        <v>424.63282683352793</v>
      </c>
      <c r="E338" s="43">
        <f t="shared" si="91"/>
        <v>716.69947200930096</v>
      </c>
      <c r="F338" s="69">
        <f t="shared" si="92"/>
        <v>0.67787072478327781</v>
      </c>
      <c r="G338" s="98">
        <f t="shared" si="93"/>
        <v>344.67537760429531</v>
      </c>
      <c r="H338" s="69">
        <f t="shared" si="94"/>
        <v>0.11502136541270484</v>
      </c>
      <c r="I338" s="69">
        <f t="shared" si="95"/>
        <v>-2.3133047599599563</v>
      </c>
      <c r="J338" s="99">
        <f t="shared" si="96"/>
        <v>1.5047746178408776E-2</v>
      </c>
      <c r="K338" s="69">
        <f t="shared" si="97"/>
        <v>9.4927640078173228E-6</v>
      </c>
      <c r="L338" s="99">
        <f t="shared" si="121"/>
        <v>1.5057238942416593E-2</v>
      </c>
      <c r="M338" s="69">
        <f t="shared" si="122"/>
        <v>7.6389413658494174</v>
      </c>
      <c r="N338" s="69">
        <f t="shared" si="123"/>
        <v>2.5907316808121514</v>
      </c>
      <c r="O338" s="69">
        <f t="shared" si="124"/>
        <v>22.52391693940011</v>
      </c>
      <c r="P338" s="69">
        <f t="shared" si="102"/>
        <v>1.5357845828770735</v>
      </c>
      <c r="Q338" s="69">
        <f t="shared" si="125"/>
        <v>0.46600778252736363</v>
      </c>
      <c r="R338" s="43">
        <f t="shared" si="104"/>
        <v>479.5650805203839</v>
      </c>
      <c r="S338" s="43">
        <f t="shared" si="105"/>
        <v>2470.8921165938523</v>
      </c>
      <c r="T338" s="43">
        <f>R338+Thrust!C$33*0.8</f>
        <v>2291.3250805203838</v>
      </c>
      <c r="V338">
        <f t="shared" si="109"/>
        <v>1770887.075354758</v>
      </c>
      <c r="W338">
        <f t="shared" si="110"/>
        <v>1642191.4754106281</v>
      </c>
      <c r="Y338">
        <f t="shared" si="111"/>
        <v>-5629.309908412476</v>
      </c>
      <c r="Z338">
        <f t="shared" si="112"/>
        <v>-7.5220763748102497</v>
      </c>
      <c r="AA338">
        <f t="shared" si="106"/>
        <v>-409.09859584888949</v>
      </c>
      <c r="AB338">
        <f t="shared" si="113"/>
        <v>-0.54509078187304771</v>
      </c>
      <c r="AC338">
        <f t="shared" si="107"/>
        <v>1.5442108359987115</v>
      </c>
      <c r="AD338">
        <f t="shared" si="108"/>
        <v>655.72261251709813</v>
      </c>
      <c r="AE338">
        <f t="shared" si="114"/>
        <v>-4536.7407746279232</v>
      </c>
      <c r="AG338">
        <v>2.5957542812278956E-2</v>
      </c>
      <c r="AH338">
        <v>-409.09859584888949</v>
      </c>
      <c r="AI338">
        <f t="shared" si="115"/>
        <v>1203.0182661659669</v>
      </c>
      <c r="AJ338">
        <f t="shared" si="116"/>
        <v>779.05052737693052</v>
      </c>
      <c r="AM338">
        <f t="shared" si="118"/>
        <v>0</v>
      </c>
      <c r="AN338" s="43">
        <f t="shared" si="119"/>
        <v>16595</v>
      </c>
      <c r="AO338" s="43"/>
      <c r="AP338" t="e">
        <f t="shared" si="117"/>
        <v>#DIV/0!</v>
      </c>
    </row>
    <row r="339" spans="1:42">
      <c r="A339">
        <v>320</v>
      </c>
      <c r="B339">
        <f t="shared" si="120"/>
        <v>320</v>
      </c>
      <c r="D339" s="43">
        <f t="shared" si="90"/>
        <v>425.9639642217208</v>
      </c>
      <c r="E339" s="43">
        <f t="shared" si="91"/>
        <v>718.94617881810757</v>
      </c>
      <c r="F339" s="69">
        <f t="shared" si="92"/>
        <v>0.67999571138134451</v>
      </c>
      <c r="G339" s="98">
        <f t="shared" si="93"/>
        <v>346.8397388653791</v>
      </c>
      <c r="H339" s="69">
        <f t="shared" si="94"/>
        <v>0.11430360513439704</v>
      </c>
      <c r="I339" s="69">
        <f t="shared" si="95"/>
        <v>-2.3193487453353843</v>
      </c>
      <c r="J339" s="99">
        <f t="shared" si="96"/>
        <v>1.5047746178408776E-2</v>
      </c>
      <c r="K339" s="69">
        <f t="shared" si="97"/>
        <v>8.6072593146521427E-6</v>
      </c>
      <c r="L339" s="99">
        <f t="shared" si="121"/>
        <v>1.5056353437723428E-2</v>
      </c>
      <c r="M339" s="69">
        <f t="shared" si="122"/>
        <v>7.591719044533809</v>
      </c>
      <c r="N339" s="69">
        <f t="shared" si="123"/>
        <v>2.5666703365011325</v>
      </c>
      <c r="O339" s="69">
        <f t="shared" si="124"/>
        <v>22.454850251514525</v>
      </c>
      <c r="P339" s="69">
        <f t="shared" si="102"/>
        <v>1.5405989546102306</v>
      </c>
      <c r="Q339" s="69">
        <f t="shared" si="125"/>
        <v>0.46010279868923343</v>
      </c>
      <c r="R339" s="43">
        <f t="shared" si="104"/>
        <v>472.00865540603832</v>
      </c>
      <c r="S339" s="43">
        <f t="shared" si="105"/>
        <v>2486.2616608013677</v>
      </c>
      <c r="T339" s="43">
        <f>R339+Thrust!C$33*0.8</f>
        <v>2283.7686554060383</v>
      </c>
      <c r="V339">
        <f t="shared" si="109"/>
        <v>1787488.3205751053</v>
      </c>
      <c r="W339">
        <f t="shared" si="110"/>
        <v>1641906.7481087388</v>
      </c>
      <c r="Y339">
        <f t="shared" si="111"/>
        <v>-5682.0820786493405</v>
      </c>
      <c r="Z339">
        <f t="shared" si="112"/>
        <v>-7.5691387410003186</v>
      </c>
      <c r="AA339">
        <f t="shared" si="106"/>
        <v>-462.77585949573444</v>
      </c>
      <c r="AB339">
        <f t="shared" si="113"/>
        <v>-0.61468700140763777</v>
      </c>
      <c r="AC339">
        <f t="shared" si="107"/>
        <v>1.5104833988262834</v>
      </c>
      <c r="AD339">
        <f t="shared" si="108"/>
        <v>643.41149645514213</v>
      </c>
      <c r="AE339">
        <f t="shared" si="114"/>
        <v>-4603.3573554496252</v>
      </c>
      <c r="AG339">
        <v>2.5957542812278956E-2</v>
      </c>
      <c r="AH339">
        <v>-462.77585949573444</v>
      </c>
      <c r="AI339">
        <f t="shared" si="115"/>
        <v>1172.862177855219</v>
      </c>
      <c r="AJ339">
        <f t="shared" si="116"/>
        <v>776.48134283805302</v>
      </c>
      <c r="AM339">
        <f t="shared" si="118"/>
        <v>0</v>
      </c>
      <c r="AN339" s="43">
        <f t="shared" si="119"/>
        <v>16595</v>
      </c>
      <c r="AO339" s="43"/>
      <c r="AP339" t="e">
        <f t="shared" si="117"/>
        <v>#DIV/0!</v>
      </c>
    </row>
    <row r="340" spans="1:42">
      <c r="A340">
        <v>321</v>
      </c>
      <c r="B340">
        <f t="shared" si="120"/>
        <v>321</v>
      </c>
      <c r="D340" s="43">
        <f t="shared" ref="D340:D369" si="126">A340/SQRT(D$75)</f>
        <v>427.29510160991367</v>
      </c>
      <c r="E340" s="43">
        <f t="shared" ref="E340:E403" si="127">D340*1.68780986</f>
        <v>721.19288562691418</v>
      </c>
      <c r="F340" s="69">
        <f t="shared" ref="F340:F403" si="128">E340/SQRT(1716.46*1.4*$D$77)</f>
        <v>0.68212069797941122</v>
      </c>
      <c r="G340" s="98">
        <f t="shared" ref="G340:G369" si="129">0.5*$D$76*E340^2</f>
        <v>349.01087434011259</v>
      </c>
      <c r="H340" s="69">
        <f t="shared" ref="H340:H369" si="130">2*$D$66/($D$76*E340^2*$D$69)</f>
        <v>0.11359254244196247</v>
      </c>
      <c r="I340" s="69">
        <f t="shared" ref="I340:I369" si="131">DEGREES((H340-$J$66)/$J$67)</f>
        <v>-2.32533633289626</v>
      </c>
      <c r="J340" s="99">
        <f t="shared" ref="J340:J369" si="132">$J$69</f>
        <v>1.5047746178408776E-2</v>
      </c>
      <c r="K340" s="69">
        <f t="shared" ref="K340:K369" si="133">$J$71*(H340-$J$68)^2</f>
        <v>7.7727599944419647E-6</v>
      </c>
      <c r="L340" s="99">
        <f t="shared" si="121"/>
        <v>1.5055518938403218E-2</v>
      </c>
      <c r="M340" s="69">
        <f t="shared" si="122"/>
        <v>7.5449104681615209</v>
      </c>
      <c r="N340" s="69">
        <f t="shared" si="123"/>
        <v>2.5428983536049663</v>
      </c>
      <c r="O340" s="69">
        <f t="shared" si="124"/>
        <v>22.386138200086531</v>
      </c>
      <c r="P340" s="69">
        <f t="shared" ref="P340:P369" si="134">60*E340/($J$79*$J$75)</f>
        <v>1.5454133263433874</v>
      </c>
      <c r="Q340" s="69">
        <f t="shared" si="125"/>
        <v>0.45415367057941713</v>
      </c>
      <c r="R340" s="43">
        <f t="shared" ref="R340:R369" si="135">Q340*550*$J$78/E340</f>
        <v>464.45416533009228</v>
      </c>
      <c r="S340" s="43">
        <f t="shared" ref="S340:S369" si="136">$D$69*G340*L340</f>
        <v>2501.6864122708798</v>
      </c>
      <c r="T340" s="43">
        <f>R340+Thrust!C$33*0.8</f>
        <v>2276.2141653300923</v>
      </c>
      <c r="V340">
        <f t="shared" si="109"/>
        <v>1804198.4425992779</v>
      </c>
      <c r="W340">
        <f t="shared" si="110"/>
        <v>1641589.4621992672</v>
      </c>
      <c r="Y340">
        <f t="shared" si="111"/>
        <v>-5735.2003473354534</v>
      </c>
      <c r="Z340">
        <f t="shared" si="112"/>
        <v>-7.6163753198092383</v>
      </c>
      <c r="AA340">
        <f t="shared" ref="AA340:AA369" si="137">60*(((T340*E340)-(S340*E340))/$D$66)</f>
        <v>-516.90271915235189</v>
      </c>
      <c r="AB340">
        <f t="shared" si="113"/>
        <v>-0.68444584932714958</v>
      </c>
      <c r="AC340">
        <f t="shared" ref="AC340:AC369" si="138">((325.9*Q340)/($J$74*D340))*M340*LN($D$66/$D$68)</f>
        <v>1.4771439474624168</v>
      </c>
      <c r="AD340">
        <f t="shared" ref="AD340:AD369" si="139">((325.9*Q340)/($J$74))*M340*LN($D$66/$D$68)</f>
        <v>631.17637312342254</v>
      </c>
      <c r="AE340">
        <f t="shared" si="114"/>
        <v>-4670.4235322810982</v>
      </c>
      <c r="AG340">
        <v>2.5957542812278956E-2</v>
      </c>
      <c r="AH340">
        <v>-516.90271915235189</v>
      </c>
      <c r="AI340">
        <f t="shared" si="115"/>
        <v>1143.1806323314913</v>
      </c>
      <c r="AJ340">
        <f t="shared" si="116"/>
        <v>773.91281621223141</v>
      </c>
      <c r="AM340">
        <f t="shared" si="118"/>
        <v>0</v>
      </c>
      <c r="AN340" s="43">
        <f t="shared" si="119"/>
        <v>16595</v>
      </c>
      <c r="AO340" s="43"/>
      <c r="AP340" t="e">
        <f t="shared" si="117"/>
        <v>#DIV/0!</v>
      </c>
    </row>
    <row r="341" spans="1:42">
      <c r="A341">
        <v>322</v>
      </c>
      <c r="B341">
        <f t="shared" si="120"/>
        <v>322</v>
      </c>
      <c r="D341" s="43">
        <f t="shared" si="126"/>
        <v>428.62623899810654</v>
      </c>
      <c r="E341" s="43">
        <f t="shared" si="127"/>
        <v>723.43959243572078</v>
      </c>
      <c r="F341" s="69">
        <f t="shared" si="128"/>
        <v>0.68424568457747792</v>
      </c>
      <c r="G341" s="98">
        <f t="shared" si="129"/>
        <v>351.18878402849583</v>
      </c>
      <c r="H341" s="69">
        <f t="shared" si="130"/>
        <v>0.11288809426490348</v>
      </c>
      <c r="I341" s="69">
        <f t="shared" si="131"/>
        <v>-2.3312682221475423</v>
      </c>
      <c r="J341" s="99">
        <f t="shared" si="132"/>
        <v>1.5047746178408776E-2</v>
      </c>
      <c r="K341" s="69">
        <f t="shared" si="133"/>
        <v>6.9879738350004141E-6</v>
      </c>
      <c r="L341" s="99">
        <f t="shared" si="121"/>
        <v>1.5054734152243777E-2</v>
      </c>
      <c r="M341" s="69">
        <f t="shared" si="122"/>
        <v>7.4985113070281946</v>
      </c>
      <c r="N341" s="69">
        <f t="shared" si="123"/>
        <v>2.5194115814801261</v>
      </c>
      <c r="O341" s="69">
        <f t="shared" si="124"/>
        <v>22.317779371561258</v>
      </c>
      <c r="P341" s="69">
        <f t="shared" si="134"/>
        <v>1.5502276980765444</v>
      </c>
      <c r="Q341" s="69">
        <f t="shared" si="125"/>
        <v>0.44816039819791342</v>
      </c>
      <c r="R341" s="43">
        <f t="shared" si="135"/>
        <v>456.90159226423634</v>
      </c>
      <c r="S341" s="43">
        <f t="shared" si="136"/>
        <v>2517.1663050382899</v>
      </c>
      <c r="T341" s="43">
        <f>R341+Thrust!C$33*0.8</f>
        <v>2268.6615922642363</v>
      </c>
      <c r="V341">
        <f t="shared" ref="V341:V369" si="140">S341*E341</f>
        <v>1821017.7658098296</v>
      </c>
      <c r="W341">
        <f t="shared" ref="W341:W369" si="141">T341*E341</f>
        <v>1641239.6176822125</v>
      </c>
      <c r="Y341">
        <f t="shared" ref="Y341:Y369" si="142">-(E341/M341)*60</f>
        <v>-5788.6657456206503</v>
      </c>
      <c r="Z341">
        <f t="shared" ref="Z341:Z369" si="143">ASIN((Y341/60)/E341)*180/PI()</f>
        <v>-7.6637859987538404</v>
      </c>
      <c r="AA341">
        <f t="shared" si="137"/>
        <v>-571.48020596858407</v>
      </c>
      <c r="AB341">
        <f t="shared" ref="AB341:AB369" si="144">ASIN((AA341/60)/E341)*180/PI()</f>
        <v>-0.75436729025362204</v>
      </c>
      <c r="AC341">
        <f t="shared" si="138"/>
        <v>1.4441875238759945</v>
      </c>
      <c r="AD341">
        <f t="shared" si="139"/>
        <v>619.01666676695572</v>
      </c>
      <c r="AE341">
        <f t="shared" ref="AE341:AE369" si="145">60*(((R341*E341)-(S341*E341))/$D$66)</f>
        <v>-4737.940336272186</v>
      </c>
      <c r="AG341">
        <v>2.5957542812278956E-2</v>
      </c>
      <c r="AH341">
        <v>-571.48020596858407</v>
      </c>
      <c r="AI341">
        <f t="shared" ref="AI341:AI369" si="146">($J$74*T341)*AC341</f>
        <v>1113.9667409311839</v>
      </c>
      <c r="AJ341">
        <f t="shared" ref="AJ341:AJ369" si="147">$J$74*T341</f>
        <v>771.3449413698404</v>
      </c>
      <c r="AM341">
        <f t="shared" si="118"/>
        <v>0</v>
      </c>
      <c r="AN341" s="43">
        <f t="shared" si="119"/>
        <v>16595</v>
      </c>
      <c r="AO341" s="43"/>
      <c r="AP341" t="e">
        <f t="shared" ref="AP341:AP369" si="148">((325.9*Q526)/($J$74))*M526*LN(AN341/AO341)</f>
        <v>#DIV/0!</v>
      </c>
    </row>
    <row r="342" spans="1:42">
      <c r="A342">
        <v>323</v>
      </c>
      <c r="B342">
        <f t="shared" si="120"/>
        <v>323</v>
      </c>
      <c r="D342" s="43">
        <f t="shared" si="126"/>
        <v>429.95737638629942</v>
      </c>
      <c r="E342" s="43">
        <f t="shared" si="127"/>
        <v>725.68629924452728</v>
      </c>
      <c r="F342" s="69">
        <f t="shared" si="128"/>
        <v>0.68637067117554462</v>
      </c>
      <c r="G342" s="98">
        <f t="shared" si="129"/>
        <v>353.37346793052865</v>
      </c>
      <c r="H342" s="69">
        <f t="shared" si="130"/>
        <v>0.1121901788166498</v>
      </c>
      <c r="I342" s="69">
        <f t="shared" si="131"/>
        <v>-2.3371451017827249</v>
      </c>
      <c r="J342" s="99">
        <f t="shared" si="132"/>
        <v>1.5047746178408776E-2</v>
      </c>
      <c r="K342" s="69">
        <f t="shared" si="133"/>
        <v>6.2516407731279316E-6</v>
      </c>
      <c r="L342" s="99">
        <f t="shared" si="121"/>
        <v>1.5053997819181904E-2</v>
      </c>
      <c r="M342" s="69">
        <f t="shared" si="122"/>
        <v>7.4525172757562332</v>
      </c>
      <c r="N342" s="69">
        <f t="shared" si="123"/>
        <v>2.4962059357313988</v>
      </c>
      <c r="O342" s="69">
        <f t="shared" si="124"/>
        <v>22.24977232464261</v>
      </c>
      <c r="P342" s="69">
        <f t="shared" si="134"/>
        <v>1.5550420698097012</v>
      </c>
      <c r="Q342" s="69">
        <f t="shared" si="125"/>
        <v>0.44212298154472318</v>
      </c>
      <c r="R342" s="43">
        <f t="shared" si="135"/>
        <v>449.35091840342437</v>
      </c>
      <c r="S342" s="43">
        <f t="shared" si="136"/>
        <v>2532.7012741590306</v>
      </c>
      <c r="T342" s="43">
        <f>R342+Thrust!C$33*0.8</f>
        <v>2261.1109184034244</v>
      </c>
      <c r="V342">
        <f t="shared" si="140"/>
        <v>1837946.6147363659</v>
      </c>
      <c r="W342">
        <f t="shared" si="141"/>
        <v>1640857.2145575753</v>
      </c>
      <c r="Y342">
        <f t="shared" si="142"/>
        <v>-5842.4793051222223</v>
      </c>
      <c r="Z342">
        <f t="shared" si="143"/>
        <v>-7.7113706693458237</v>
      </c>
      <c r="AA342">
        <f t="shared" si="137"/>
        <v>-626.5093515617184</v>
      </c>
      <c r="AB342">
        <f t="shared" si="144"/>
        <v>-0.82445129268896045</v>
      </c>
      <c r="AC342">
        <f t="shared" si="138"/>
        <v>1.41160923767858</v>
      </c>
      <c r="AD342">
        <f t="shared" si="139"/>
        <v>606.93180431494659</v>
      </c>
      <c r="AE342">
        <f t="shared" si="145"/>
        <v>-4805.9087990401749</v>
      </c>
      <c r="AG342">
        <v>2.5957542812278956E-2</v>
      </c>
      <c r="AH342">
        <v>-626.5093515617184</v>
      </c>
      <c r="AI342">
        <f t="shared" si="146"/>
        <v>1085.2137203436184</v>
      </c>
      <c r="AJ342">
        <f t="shared" si="147"/>
        <v>768.77771225716435</v>
      </c>
      <c r="AM342">
        <f t="shared" ref="AM342:AM369" si="149">AL342*190</f>
        <v>0</v>
      </c>
      <c r="AN342" s="43">
        <f t="shared" ref="AN342:AN369" si="150">$D$66-2280</f>
        <v>16595</v>
      </c>
      <c r="AO342" s="43"/>
      <c r="AP342" t="e">
        <f t="shared" si="148"/>
        <v>#DIV/0!</v>
      </c>
    </row>
    <row r="343" spans="1:42">
      <c r="A343">
        <v>324</v>
      </c>
      <c r="B343">
        <f t="shared" si="120"/>
        <v>324</v>
      </c>
      <c r="D343" s="43">
        <f t="shared" si="126"/>
        <v>431.28851377449229</v>
      </c>
      <c r="E343" s="43">
        <f t="shared" si="127"/>
        <v>727.93300605333388</v>
      </c>
      <c r="F343" s="69">
        <f t="shared" si="128"/>
        <v>0.68849565777361132</v>
      </c>
      <c r="G343" s="98">
        <f t="shared" si="129"/>
        <v>355.56492604621127</v>
      </c>
      <c r="H343" s="69">
        <f t="shared" si="130"/>
        <v>0.11149871557081863</v>
      </c>
      <c r="I343" s="69">
        <f t="shared" si="131"/>
        <v>-2.3429676498837457</v>
      </c>
      <c r="J343" s="99">
        <f t="shared" si="132"/>
        <v>1.5047746178408776E-2</v>
      </c>
      <c r="K343" s="69">
        <f t="shared" si="133"/>
        <v>5.5625320387247943E-6</v>
      </c>
      <c r="L343" s="99">
        <f t="shared" si="121"/>
        <v>1.5053308710447501E-2</v>
      </c>
      <c r="M343" s="69">
        <f t="shared" si="122"/>
        <v>7.406924133126612</v>
      </c>
      <c r="N343" s="69">
        <f t="shared" si="123"/>
        <v>2.4732773971333852</v>
      </c>
      <c r="O343" s="69">
        <f t="shared" si="124"/>
        <v>22.182115591838173</v>
      </c>
      <c r="P343" s="69">
        <f t="shared" si="134"/>
        <v>1.5598564415428584</v>
      </c>
      <c r="Q343" s="69">
        <f t="shared" si="125"/>
        <v>0.43604142061984597</v>
      </c>
      <c r="R343" s="43">
        <f t="shared" si="135"/>
        <v>441.80212616242375</v>
      </c>
      <c r="S343" s="43">
        <f t="shared" si="136"/>
        <v>2548.2912556892197</v>
      </c>
      <c r="T343" s="43">
        <f>R343+Thrust!C$33*0.8</f>
        <v>2253.5621261624237</v>
      </c>
      <c r="V343">
        <f t="shared" si="140"/>
        <v>1854985.3140532786</v>
      </c>
      <c r="W343">
        <f t="shared" si="141"/>
        <v>1640442.2528253556</v>
      </c>
      <c r="Y343">
        <f t="shared" si="142"/>
        <v>-5896.6420579177066</v>
      </c>
      <c r="Z343">
        <f t="shared" si="143"/>
        <v>-7.759129227041436</v>
      </c>
      <c r="AA343">
        <f t="shared" si="137"/>
        <v>-681.9911880092917</v>
      </c>
      <c r="AB343">
        <f t="shared" si="144"/>
        <v>-0.89469782897625894</v>
      </c>
      <c r="AC343">
        <f t="shared" si="138"/>
        <v>1.379404265289861</v>
      </c>
      <c r="AD343">
        <f t="shared" si="139"/>
        <v>594.92121547105967</v>
      </c>
      <c r="AE343">
        <f t="shared" si="145"/>
        <v>-4874.3299526626051</v>
      </c>
      <c r="AG343">
        <v>2.5957542812278956E-2</v>
      </c>
      <c r="AH343">
        <v>-681.9911880092917</v>
      </c>
      <c r="AI343">
        <f t="shared" si="146"/>
        <v>1056.914891034206</v>
      </c>
      <c r="AJ343">
        <f t="shared" si="147"/>
        <v>766.21112289522409</v>
      </c>
      <c r="AM343">
        <f t="shared" si="149"/>
        <v>0</v>
      </c>
      <c r="AN343" s="43">
        <f t="shared" si="150"/>
        <v>16595</v>
      </c>
      <c r="AO343" s="43"/>
      <c r="AP343" t="e">
        <f t="shared" si="148"/>
        <v>#DIV/0!</v>
      </c>
    </row>
    <row r="344" spans="1:42">
      <c r="A344">
        <v>325</v>
      </c>
      <c r="B344">
        <f t="shared" si="120"/>
        <v>325</v>
      </c>
      <c r="D344" s="43">
        <f t="shared" si="126"/>
        <v>432.61965116268516</v>
      </c>
      <c r="E344" s="43">
        <f t="shared" si="127"/>
        <v>730.17971286214049</v>
      </c>
      <c r="F344" s="69">
        <f t="shared" si="128"/>
        <v>0.69062064437167803</v>
      </c>
      <c r="G344" s="98">
        <f t="shared" si="129"/>
        <v>357.76315837554358</v>
      </c>
      <c r="H344" s="69">
        <f t="shared" si="130"/>
        <v>0.11081362523798587</v>
      </c>
      <c r="I344" s="69">
        <f t="shared" si="131"/>
        <v>-2.3487365341165853</v>
      </c>
      <c r="J344" s="99">
        <f t="shared" si="132"/>
        <v>1.5047746178408776E-2</v>
      </c>
      <c r="K344" s="69">
        <f t="shared" si="133"/>
        <v>4.9194493237071837E-6</v>
      </c>
      <c r="L344" s="99">
        <f t="shared" si="121"/>
        <v>1.5052665627732484E-2</v>
      </c>
      <c r="M344" s="69">
        <f t="shared" si="122"/>
        <v>7.3617276818948847</v>
      </c>
      <c r="N344" s="69">
        <f t="shared" si="123"/>
        <v>2.4506220105666272</v>
      </c>
      <c r="O344" s="69">
        <f t="shared" si="124"/>
        <v>22.114807680947319</v>
      </c>
      <c r="P344" s="69">
        <f t="shared" si="134"/>
        <v>1.5646708132760154</v>
      </c>
      <c r="Q344" s="69">
        <f t="shared" si="125"/>
        <v>0.42991571542328177</v>
      </c>
      <c r="R344" s="43">
        <f t="shared" si="135"/>
        <v>434.25519817243634</v>
      </c>
      <c r="S344" s="43">
        <f t="shared" si="136"/>
        <v>2563.9361866672084</v>
      </c>
      <c r="T344" s="43">
        <f>R344+Thrust!C$33*0.8</f>
        <v>2246.0151981724362</v>
      </c>
      <c r="V344">
        <f t="shared" si="140"/>
        <v>1872134.1885775137</v>
      </c>
      <c r="W344">
        <f t="shared" si="141"/>
        <v>1639994.732485553</v>
      </c>
      <c r="Y344">
        <f t="shared" si="142"/>
        <v>-5951.1550365377925</v>
      </c>
      <c r="Z344">
        <f t="shared" si="143"/>
        <v>-7.8070615711924436</v>
      </c>
      <c r="AA344">
        <f t="shared" si="137"/>
        <v>-737.92674784199414</v>
      </c>
      <c r="AB344">
        <f t="shared" si="144"/>
        <v>-0.96510687526221062</v>
      </c>
      <c r="AC344">
        <f t="shared" si="138"/>
        <v>1.3475678491057519</v>
      </c>
      <c r="AD344">
        <f t="shared" si="139"/>
        <v>582.98433279818039</v>
      </c>
      <c r="AE344">
        <f t="shared" si="145"/>
        <v>-4943.2048296701641</v>
      </c>
      <c r="AG344">
        <v>2.5957542812278956E-2</v>
      </c>
      <c r="AH344">
        <v>-737.92674784199414</v>
      </c>
      <c r="AI344">
        <f t="shared" si="146"/>
        <v>1029.0636756844201</v>
      </c>
      <c r="AJ344">
        <f t="shared" si="147"/>
        <v>763.64516737862834</v>
      </c>
      <c r="AM344">
        <f t="shared" si="149"/>
        <v>0</v>
      </c>
      <c r="AN344" s="43">
        <f t="shared" si="150"/>
        <v>16595</v>
      </c>
      <c r="AO344" s="43"/>
      <c r="AP344" t="e">
        <f t="shared" si="148"/>
        <v>#DIV/0!</v>
      </c>
    </row>
    <row r="345" spans="1:42">
      <c r="A345">
        <v>326</v>
      </c>
      <c r="B345">
        <f t="shared" si="120"/>
        <v>326</v>
      </c>
      <c r="D345" s="43">
        <f t="shared" si="126"/>
        <v>433.95078855087803</v>
      </c>
      <c r="E345" s="43">
        <f t="shared" si="127"/>
        <v>732.4264196709471</v>
      </c>
      <c r="F345" s="69">
        <f t="shared" si="128"/>
        <v>0.69274563096974473</v>
      </c>
      <c r="G345" s="98">
        <f t="shared" si="129"/>
        <v>359.9681649185257</v>
      </c>
      <c r="H345" s="69">
        <f t="shared" si="130"/>
        <v>0.11013482974295472</v>
      </c>
      <c r="I345" s="69">
        <f t="shared" si="131"/>
        <v>-2.3544524119226775</v>
      </c>
      <c r="J345" s="99">
        <f t="shared" si="132"/>
        <v>1.5047746178408776E-2</v>
      </c>
      <c r="K345" s="69">
        <f t="shared" si="133"/>
        <v>4.3212239749415866E-6</v>
      </c>
      <c r="L345" s="99">
        <f t="shared" si="121"/>
        <v>1.5052067402383717E-2</v>
      </c>
      <c r="M345" s="69">
        <f t="shared" si="122"/>
        <v>7.3169237685922957</v>
      </c>
      <c r="N345" s="69">
        <f t="shared" si="123"/>
        <v>2.4282358839683926</v>
      </c>
      <c r="O345" s="69">
        <f t="shared" si="124"/>
        <v>22.047847076494222</v>
      </c>
      <c r="P345" s="69">
        <f t="shared" si="134"/>
        <v>1.5694851850091724</v>
      </c>
      <c r="Q345" s="69">
        <f t="shared" si="125"/>
        <v>0.4237458659550315</v>
      </c>
      <c r="R345" s="43">
        <f t="shared" si="135"/>
        <v>426.71011727777886</v>
      </c>
      <c r="S345" s="43">
        <f t="shared" si="136"/>
        <v>2579.6360050955354</v>
      </c>
      <c r="T345" s="43">
        <f>R345+Thrust!C$33*0.8</f>
        <v>2238.4701172777786</v>
      </c>
      <c r="V345">
        <f t="shared" si="140"/>
        <v>1889393.5632663881</v>
      </c>
      <c r="W345">
        <f t="shared" si="141"/>
        <v>1639514.6535381684</v>
      </c>
      <c r="Y345">
        <f t="shared" si="142"/>
        <v>-6006.0192739593795</v>
      </c>
      <c r="Z345">
        <f t="shared" si="143"/>
        <v>-7.8551676049983454</v>
      </c>
      <c r="AA345">
        <f t="shared" si="137"/>
        <v>-794.31706403672501</v>
      </c>
      <c r="AB345">
        <f t="shared" si="144"/>
        <v>-1.0356784114606483</v>
      </c>
      <c r="AC345">
        <f t="shared" si="138"/>
        <v>1.3160952966696089</v>
      </c>
      <c r="AD345">
        <f t="shared" si="139"/>
        <v>571.12059179787855</v>
      </c>
      <c r="AE345">
        <f t="shared" si="145"/>
        <v>-5012.5344630397494</v>
      </c>
      <c r="AG345">
        <v>2.5957542812278956E-2</v>
      </c>
      <c r="AH345">
        <v>-794.31706403672501</v>
      </c>
      <c r="AI345">
        <f t="shared" si="146"/>
        <v>1001.6535976488159</v>
      </c>
      <c r="AJ345">
        <f t="shared" si="147"/>
        <v>761.07983987444481</v>
      </c>
      <c r="AM345">
        <f t="shared" si="149"/>
        <v>0</v>
      </c>
      <c r="AN345" s="43">
        <f t="shared" si="150"/>
        <v>16595</v>
      </c>
      <c r="AO345" s="43"/>
      <c r="AP345" t="e">
        <f t="shared" si="148"/>
        <v>#DIV/0!</v>
      </c>
    </row>
    <row r="346" spans="1:42">
      <c r="A346">
        <v>327</v>
      </c>
      <c r="B346">
        <f t="shared" si="120"/>
        <v>327</v>
      </c>
      <c r="D346" s="43">
        <f t="shared" si="126"/>
        <v>435.28192593907096</v>
      </c>
      <c r="E346" s="43">
        <f t="shared" si="127"/>
        <v>734.67312647975371</v>
      </c>
      <c r="F346" s="69">
        <f t="shared" si="128"/>
        <v>0.69487061756781143</v>
      </c>
      <c r="G346" s="98">
        <f t="shared" si="129"/>
        <v>362.17994567515751</v>
      </c>
      <c r="H346" s="69">
        <f t="shared" si="130"/>
        <v>0.10946225220251057</v>
      </c>
      <c r="I346" s="69">
        <f t="shared" si="131"/>
        <v>-2.360115930706232</v>
      </c>
      <c r="J346" s="99">
        <f t="shared" si="132"/>
        <v>1.5047746178408776E-2</v>
      </c>
      <c r="K346" s="69">
        <f t="shared" si="133"/>
        <v>3.7667162104425036E-6</v>
      </c>
      <c r="L346" s="99">
        <f t="shared" si="121"/>
        <v>1.5051512894619219E-2</v>
      </c>
      <c r="M346" s="69">
        <f t="shared" si="122"/>
        <v>7.2725082833129919</v>
      </c>
      <c r="N346" s="69">
        <f t="shared" si="123"/>
        <v>2.4061151872980973</v>
      </c>
      <c r="O346" s="69">
        <f t="shared" si="124"/>
        <v>21.981232241107794</v>
      </c>
      <c r="P346" s="69">
        <f t="shared" si="134"/>
        <v>1.5742995567423292</v>
      </c>
      <c r="Q346" s="69">
        <f t="shared" si="125"/>
        <v>0.41753187221509425</v>
      </c>
      <c r="R346" s="43">
        <f t="shared" si="135"/>
        <v>419.16686653262161</v>
      </c>
      <c r="S346" s="43">
        <f t="shared" si="136"/>
        <v>2595.3906499232603</v>
      </c>
      <c r="T346" s="43">
        <f>R346+Thrust!C$33*0.8</f>
        <v>2230.9268665326217</v>
      </c>
      <c r="V346">
        <f t="shared" si="140"/>
        <v>1906763.7632154415</v>
      </c>
      <c r="W346">
        <f t="shared" si="141"/>
        <v>1639002.0159832013</v>
      </c>
      <c r="Y346">
        <f t="shared" si="142"/>
        <v>-6061.2358035987545</v>
      </c>
      <c r="Z346">
        <f t="shared" si="143"/>
        <v>-7.9034472354598062</v>
      </c>
      <c r="AA346">
        <f t="shared" si="137"/>
        <v>-851.16317000977006</v>
      </c>
      <c r="AB346">
        <f t="shared" si="144"/>
        <v>-1.1064124212171578</v>
      </c>
      <c r="AC346">
        <f t="shared" si="138"/>
        <v>1.2849819798469981</v>
      </c>
      <c r="AD346">
        <f t="shared" si="139"/>
        <v>559.32943098480189</v>
      </c>
      <c r="AE346">
        <f t="shared" si="145"/>
        <v>-5082.3198861876517</v>
      </c>
      <c r="AG346">
        <v>2.5957542812278956E-2</v>
      </c>
      <c r="AH346">
        <v>-851.16317000977006</v>
      </c>
      <c r="AI346">
        <f t="shared" si="146"/>
        <v>974.6782794293224</v>
      </c>
      <c r="AJ346">
        <f t="shared" si="147"/>
        <v>758.51513462109142</v>
      </c>
      <c r="AM346">
        <f t="shared" si="149"/>
        <v>0</v>
      </c>
      <c r="AN346" s="43">
        <f t="shared" si="150"/>
        <v>16595</v>
      </c>
      <c r="AO346" s="43"/>
      <c r="AP346" t="e">
        <f t="shared" si="148"/>
        <v>#DIV/0!</v>
      </c>
    </row>
    <row r="347" spans="1:42">
      <c r="A347">
        <v>328</v>
      </c>
      <c r="B347">
        <f t="shared" si="120"/>
        <v>328</v>
      </c>
      <c r="D347" s="43">
        <f t="shared" si="126"/>
        <v>436.61306332726383</v>
      </c>
      <c r="E347" s="43">
        <f t="shared" si="127"/>
        <v>736.91983328856031</v>
      </c>
      <c r="F347" s="69">
        <f t="shared" si="128"/>
        <v>0.69699560416587814</v>
      </c>
      <c r="G347" s="98">
        <f t="shared" si="129"/>
        <v>364.39850064543896</v>
      </c>
      <c r="H347" s="69">
        <f t="shared" si="130"/>
        <v>0.10879581690364974</v>
      </c>
      <c r="I347" s="69">
        <f t="shared" si="131"/>
        <v>-2.3657277280175575</v>
      </c>
      <c r="J347" s="99">
        <f t="shared" si="132"/>
        <v>1.5047746178408776E-2</v>
      </c>
      <c r="K347" s="69">
        <f t="shared" si="133"/>
        <v>3.254814358102164E-6</v>
      </c>
      <c r="L347" s="99">
        <f t="shared" si="121"/>
        <v>1.5051000992766879E-2</v>
      </c>
      <c r="M347" s="69">
        <f t="shared" si="122"/>
        <v>7.2284771594882091</v>
      </c>
      <c r="N347" s="69">
        <f t="shared" si="123"/>
        <v>2.3842561515173717</v>
      </c>
      <c r="O347" s="69">
        <f t="shared" si="124"/>
        <v>21.91496161685043</v>
      </c>
      <c r="P347" s="69">
        <f t="shared" si="134"/>
        <v>1.5791139284754863</v>
      </c>
      <c r="Q347" s="69">
        <f t="shared" si="125"/>
        <v>0.41127373420347002</v>
      </c>
      <c r="R347" s="43">
        <f t="shared" si="135"/>
        <v>411.62542919779253</v>
      </c>
      <c r="S347" s="43">
        <f t="shared" si="136"/>
        <v>2611.2000610286755</v>
      </c>
      <c r="T347" s="43">
        <f>R347+Thrust!C$33*0.8</f>
        <v>2223.3854291977923</v>
      </c>
      <c r="V347">
        <f t="shared" si="140"/>
        <v>1924245.1136563299</v>
      </c>
      <c r="W347">
        <f t="shared" si="141"/>
        <v>1638456.8198206513</v>
      </c>
      <c r="Y347">
        <f t="shared" si="142"/>
        <v>-6116.8056593048914</v>
      </c>
      <c r="Z347">
        <f t="shared" si="143"/>
        <v>-7.9519003733333005</v>
      </c>
      <c r="AA347">
        <f t="shared" si="137"/>
        <v>-908.46609961010415</v>
      </c>
      <c r="AB347">
        <f t="shared" si="144"/>
        <v>-1.1773088918747436</v>
      </c>
      <c r="AC347">
        <f t="shared" si="138"/>
        <v>1.254223334004462</v>
      </c>
      <c r="AD347">
        <f t="shared" si="139"/>
        <v>547.61029195622211</v>
      </c>
      <c r="AE347">
        <f t="shared" si="145"/>
        <v>-5152.562132962842</v>
      </c>
      <c r="AG347">
        <v>2.5957542812278956E-2</v>
      </c>
      <c r="AH347">
        <v>-908.46609961010415</v>
      </c>
      <c r="AI347">
        <f t="shared" si="146"/>
        <v>948.13144116703495</v>
      </c>
      <c r="AJ347">
        <f t="shared" si="147"/>
        <v>755.95104592724942</v>
      </c>
      <c r="AM347">
        <f t="shared" si="149"/>
        <v>0</v>
      </c>
      <c r="AN347" s="43">
        <f t="shared" si="150"/>
        <v>16595</v>
      </c>
      <c r="AO347" s="43"/>
      <c r="AP347" t="e">
        <f t="shared" si="148"/>
        <v>#DIV/0!</v>
      </c>
    </row>
    <row r="348" spans="1:42">
      <c r="A348">
        <v>329</v>
      </c>
      <c r="B348">
        <f t="shared" si="120"/>
        <v>329</v>
      </c>
      <c r="D348" s="43">
        <f t="shared" si="126"/>
        <v>437.9442007154567</v>
      </c>
      <c r="E348" s="43">
        <f t="shared" si="127"/>
        <v>739.16654009736692</v>
      </c>
      <c r="F348" s="69">
        <f t="shared" si="128"/>
        <v>0.69912059076394495</v>
      </c>
      <c r="G348" s="98">
        <f t="shared" si="129"/>
        <v>366.62382982937021</v>
      </c>
      <c r="H348" s="69">
        <f t="shared" si="130"/>
        <v>0.10813544928227062</v>
      </c>
      <c r="I348" s="69">
        <f t="shared" si="131"/>
        <v>-2.3712884317324963</v>
      </c>
      <c r="J348" s="99">
        <f t="shared" si="132"/>
        <v>1.5047746178408776E-2</v>
      </c>
      <c r="K348" s="69">
        <f t="shared" si="133"/>
        <v>2.784434116246939E-6</v>
      </c>
      <c r="L348" s="99">
        <f t="shared" si="121"/>
        <v>1.5050530612525023E-2</v>
      </c>
      <c r="M348" s="69">
        <f t="shared" si="122"/>
        <v>7.1848263736482822</v>
      </c>
      <c r="N348" s="69">
        <f t="shared" si="123"/>
        <v>2.3626550675847011</v>
      </c>
      <c r="O348" s="69">
        <f t="shared" si="124"/>
        <v>21.849033626497096</v>
      </c>
      <c r="P348" s="69">
        <f t="shared" si="134"/>
        <v>1.5839283002086433</v>
      </c>
      <c r="Q348" s="69">
        <f t="shared" si="125"/>
        <v>0.40497145192015926</v>
      </c>
      <c r="R348" s="43">
        <f t="shared" si="135"/>
        <v>404.08578873763531</v>
      </c>
      <c r="S348" s="43">
        <f t="shared" si="136"/>
        <v>2627.0641792023889</v>
      </c>
      <c r="T348" s="43">
        <f>R348+Thrust!C$33*0.8</f>
        <v>2215.8457887376353</v>
      </c>
      <c r="V348">
        <f t="shared" si="140"/>
        <v>1941837.9399547589</v>
      </c>
      <c r="W348">
        <f t="shared" si="141"/>
        <v>1637879.0650505188</v>
      </c>
      <c r="Y348">
        <f t="shared" si="142"/>
        <v>-6172.7298753528758</v>
      </c>
      <c r="Z348">
        <f t="shared" si="143"/>
        <v>-8.0005269330868867</v>
      </c>
      <c r="AA348">
        <f t="shared" si="137"/>
        <v>-966.22688711281603</v>
      </c>
      <c r="AB348">
        <f t="shared" si="144"/>
        <v>-1.2483678144405286</v>
      </c>
      <c r="AC348">
        <f t="shared" si="138"/>
        <v>1.2238148571926313</v>
      </c>
      <c r="AD348">
        <f t="shared" si="139"/>
        <v>535.96261945692777</v>
      </c>
      <c r="AE348">
        <f t="shared" si="145"/>
        <v>-5223.2622376404088</v>
      </c>
      <c r="AG348">
        <v>2.5957542812278956E-2</v>
      </c>
      <c r="AH348">
        <v>-966.22688711281603</v>
      </c>
      <c r="AI348">
        <f t="shared" si="146"/>
        <v>922.00689915164651</v>
      </c>
      <c r="AJ348">
        <f t="shared" si="147"/>
        <v>753.38756817079604</v>
      </c>
      <c r="AM348">
        <f t="shared" si="149"/>
        <v>0</v>
      </c>
      <c r="AN348" s="43">
        <f t="shared" si="150"/>
        <v>16595</v>
      </c>
      <c r="AO348" s="43"/>
      <c r="AP348" t="e">
        <f t="shared" si="148"/>
        <v>#DIV/0!</v>
      </c>
    </row>
    <row r="349" spans="1:42">
      <c r="A349">
        <v>330</v>
      </c>
      <c r="B349">
        <f t="shared" si="120"/>
        <v>330</v>
      </c>
      <c r="D349" s="43">
        <f t="shared" si="126"/>
        <v>439.27533810364957</v>
      </c>
      <c r="E349" s="43">
        <f t="shared" si="127"/>
        <v>741.41324690617341</v>
      </c>
      <c r="F349" s="69">
        <f t="shared" si="128"/>
        <v>0.70124557736201154</v>
      </c>
      <c r="G349" s="98">
        <f t="shared" si="129"/>
        <v>368.85593322695098</v>
      </c>
      <c r="H349" s="69">
        <f t="shared" si="130"/>
        <v>0.10748107590231641</v>
      </c>
      <c r="I349" s="69">
        <f t="shared" si="131"/>
        <v>-2.3767986602280557</v>
      </c>
      <c r="J349" s="99">
        <f t="shared" si="132"/>
        <v>1.5047746178408776E-2</v>
      </c>
      <c r="K349" s="69">
        <f t="shared" si="133"/>
        <v>2.3545178353389886E-6</v>
      </c>
      <c r="L349" s="99">
        <f t="shared" si="121"/>
        <v>1.5050100696244115E-2</v>
      </c>
      <c r="M349" s="69">
        <f t="shared" si="122"/>
        <v>7.1415519451733145</v>
      </c>
      <c r="N349" s="69">
        <f t="shared" si="123"/>
        <v>2.3413082854646574</v>
      </c>
      <c r="O349" s="69">
        <f t="shared" si="124"/>
        <v>21.783446674766669</v>
      </c>
      <c r="P349" s="69">
        <f t="shared" si="134"/>
        <v>1.5887426719418001</v>
      </c>
      <c r="Q349" s="69">
        <f t="shared" si="125"/>
        <v>0.39862502536516198</v>
      </c>
      <c r="R349" s="43">
        <f t="shared" si="135"/>
        <v>396.54792881692595</v>
      </c>
      <c r="S349" s="43">
        <f t="shared" si="136"/>
        <v>2642.9829461307563</v>
      </c>
      <c r="T349" s="43">
        <f>R349+Thrust!C$33*0.8</f>
        <v>2208.3079288169261</v>
      </c>
      <c r="V349">
        <f t="shared" si="140"/>
        <v>1959542.567608448</v>
      </c>
      <c r="W349">
        <f t="shared" si="141"/>
        <v>1637268.7516728041</v>
      </c>
      <c r="Y349">
        <f t="shared" si="142"/>
        <v>-6229.0094864374505</v>
      </c>
      <c r="Z349">
        <f t="shared" si="143"/>
        <v>-8.0493268328571528</v>
      </c>
      <c r="AA349">
        <f t="shared" si="137"/>
        <v>-1024.4465672126428</v>
      </c>
      <c r="AB349">
        <f t="shared" si="144"/>
        <v>-1.319589183553449</v>
      </c>
      <c r="AC349">
        <f t="shared" si="138"/>
        <v>1.1937521093340679</v>
      </c>
      <c r="AD349">
        <f t="shared" si="139"/>
        <v>524.38586143966745</v>
      </c>
      <c r="AE349">
        <f t="shared" si="145"/>
        <v>-5294.421234915093</v>
      </c>
      <c r="AG349">
        <v>2.5957542812278956E-2</v>
      </c>
      <c r="AH349">
        <v>-1024.4465672126428</v>
      </c>
      <c r="AI349">
        <f t="shared" si="146"/>
        <v>896.29856434867975</v>
      </c>
      <c r="AJ349">
        <f t="shared" si="147"/>
        <v>750.82469579775488</v>
      </c>
      <c r="AM349">
        <f t="shared" si="149"/>
        <v>0</v>
      </c>
      <c r="AN349" s="43">
        <f t="shared" si="150"/>
        <v>16595</v>
      </c>
      <c r="AO349" s="43"/>
      <c r="AP349" t="e">
        <f t="shared" si="148"/>
        <v>#DIV/0!</v>
      </c>
    </row>
    <row r="350" spans="1:42">
      <c r="A350">
        <v>331</v>
      </c>
      <c r="B350">
        <f t="shared" si="120"/>
        <v>331</v>
      </c>
      <c r="D350" s="43">
        <f t="shared" si="126"/>
        <v>440.60647549184245</v>
      </c>
      <c r="E350" s="43">
        <f t="shared" si="127"/>
        <v>743.65995371498002</v>
      </c>
      <c r="F350" s="69">
        <f t="shared" si="128"/>
        <v>0.70337056396007824</v>
      </c>
      <c r="G350" s="98">
        <f t="shared" si="129"/>
        <v>371.09481083818167</v>
      </c>
      <c r="H350" s="69">
        <f t="shared" si="130"/>
        <v>0.10683262443535797</v>
      </c>
      <c r="I350" s="69">
        <f t="shared" si="131"/>
        <v>-2.3822590225543347</v>
      </c>
      <c r="J350" s="99">
        <f t="shared" si="132"/>
        <v>1.5047746178408776E-2</v>
      </c>
      <c r="K350" s="69">
        <f t="shared" si="133"/>
        <v>1.9640338201642888E-6</v>
      </c>
      <c r="L350" s="99">
        <f t="shared" si="121"/>
        <v>1.504971021222894E-2</v>
      </c>
      <c r="M350" s="69">
        <f t="shared" si="122"/>
        <v>7.0986499360332536</v>
      </c>
      <c r="N350" s="69">
        <f t="shared" si="123"/>
        <v>2.320212213151597</v>
      </c>
      <c r="O350" s="69">
        <f t="shared" si="124"/>
        <v>21.718199149507054</v>
      </c>
      <c r="P350" s="69">
        <f t="shared" si="134"/>
        <v>1.5935570436749573</v>
      </c>
      <c r="Q350" s="69">
        <f t="shared" si="125"/>
        <v>0.39223445453847727</v>
      </c>
      <c r="R350" s="43">
        <f t="shared" si="135"/>
        <v>389.01183329784357</v>
      </c>
      <c r="S350" s="43">
        <f t="shared" si="136"/>
        <v>2658.9563043796752</v>
      </c>
      <c r="T350" s="43">
        <f>R350+Thrust!C$33*0.8</f>
        <v>2200.7718332978434</v>
      </c>
      <c r="V350">
        <f t="shared" si="140"/>
        <v>1977359.3222451436</v>
      </c>
      <c r="W350">
        <f t="shared" si="141"/>
        <v>1636625.879687506</v>
      </c>
      <c r="Y350">
        <f t="shared" si="142"/>
        <v>-6285.6455276666829</v>
      </c>
      <c r="Z350">
        <f t="shared" si="143"/>
        <v>-8.0982999944072596</v>
      </c>
      <c r="AA350">
        <f t="shared" si="137"/>
        <v>-1083.1261750176559</v>
      </c>
      <c r="AB350">
        <f t="shared" si="144"/>
        <v>-1.3909729974529752</v>
      </c>
      <c r="AC350">
        <f t="shared" si="138"/>
        <v>1.1640307114161506</v>
      </c>
      <c r="AD350">
        <f t="shared" si="139"/>
        <v>512.87946912133202</v>
      </c>
      <c r="AE350">
        <f t="shared" si="145"/>
        <v>-5366.0401598949602</v>
      </c>
      <c r="AG350">
        <v>2.5957542812278956E-2</v>
      </c>
      <c r="AH350">
        <v>-1083.1261750176559</v>
      </c>
      <c r="AI350">
        <f t="shared" si="146"/>
        <v>871.00044094462703</v>
      </c>
      <c r="AJ350">
        <f t="shared" si="147"/>
        <v>748.26242332126685</v>
      </c>
      <c r="AM350">
        <f t="shared" si="149"/>
        <v>0</v>
      </c>
      <c r="AN350" s="43">
        <f t="shared" si="150"/>
        <v>16595</v>
      </c>
      <c r="AO350" s="43"/>
      <c r="AP350" t="e">
        <f t="shared" si="148"/>
        <v>#DIV/0!</v>
      </c>
    </row>
    <row r="351" spans="1:42">
      <c r="A351">
        <v>332</v>
      </c>
      <c r="B351">
        <f t="shared" si="120"/>
        <v>332</v>
      </c>
      <c r="D351" s="43">
        <f t="shared" si="126"/>
        <v>441.93761288003532</v>
      </c>
      <c r="E351" s="43">
        <f t="shared" si="127"/>
        <v>745.90666052378663</v>
      </c>
      <c r="F351" s="69">
        <f t="shared" si="128"/>
        <v>0.70549555055814495</v>
      </c>
      <c r="G351" s="98">
        <f t="shared" si="129"/>
        <v>373.340462663062</v>
      </c>
      <c r="H351" s="69">
        <f t="shared" si="130"/>
        <v>0.1061900236406069</v>
      </c>
      <c r="I351" s="69">
        <f t="shared" si="131"/>
        <v>-2.3876701186028235</v>
      </c>
      <c r="J351" s="99">
        <f t="shared" si="132"/>
        <v>1.5047746178408776E-2</v>
      </c>
      <c r="K351" s="69">
        <f t="shared" si="133"/>
        <v>1.6119756518713094E-6</v>
      </c>
      <c r="L351" s="99">
        <f t="shared" si="121"/>
        <v>1.5049358154060648E-2</v>
      </c>
      <c r="M351" s="69">
        <f t="shared" si="122"/>
        <v>7.0561164505181564</v>
      </c>
      <c r="N351" s="69">
        <f t="shared" si="123"/>
        <v>2.2993633157078324</v>
      </c>
      <c r="O351" s="69">
        <f t="shared" si="124"/>
        <v>21.653289422835755</v>
      </c>
      <c r="P351" s="69">
        <f t="shared" si="134"/>
        <v>1.5983714154081143</v>
      </c>
      <c r="Q351" s="69">
        <f t="shared" si="125"/>
        <v>0.38579973944010648</v>
      </c>
      <c r="R351" s="43">
        <f t="shared" si="135"/>
        <v>381.47748623700147</v>
      </c>
      <c r="S351" s="43">
        <f t="shared" si="136"/>
        <v>2674.9841973787065</v>
      </c>
      <c r="T351" s="43">
        <f>R351+Thrust!C$33*0.8</f>
        <v>2193.2374862370016</v>
      </c>
      <c r="V351">
        <f t="shared" si="140"/>
        <v>1995288.5296206528</v>
      </c>
      <c r="W351">
        <f t="shared" si="141"/>
        <v>1635950.4490946264</v>
      </c>
      <c r="Y351">
        <f t="shared" si="142"/>
        <v>-6342.6390345557174</v>
      </c>
      <c r="Z351">
        <f t="shared" si="143"/>
        <v>-8.1474463430860435</v>
      </c>
      <c r="AA351">
        <f t="shared" si="137"/>
        <v>-1142.266746042998</v>
      </c>
      <c r="AB351">
        <f t="shared" si="144"/>
        <v>-1.4625192579487207</v>
      </c>
      <c r="AC351">
        <f t="shared" si="138"/>
        <v>1.1346463446893447</v>
      </c>
      <c r="AD351">
        <f t="shared" si="139"/>
        <v>501.44289703506661</v>
      </c>
      <c r="AE351">
        <f t="shared" si="145"/>
        <v>-5438.1200480951593</v>
      </c>
      <c r="AG351">
        <v>2.5957542812278956E-2</v>
      </c>
      <c r="AH351">
        <v>-1142.266746042998</v>
      </c>
      <c r="AI351">
        <f t="shared" si="146"/>
        <v>846.10662491011669</v>
      </c>
      <c r="AJ351">
        <f t="shared" si="147"/>
        <v>745.70074532058061</v>
      </c>
      <c r="AM351">
        <f t="shared" si="149"/>
        <v>0</v>
      </c>
      <c r="AN351" s="43">
        <f t="shared" si="150"/>
        <v>16595</v>
      </c>
      <c r="AO351" s="43"/>
      <c r="AP351" t="e">
        <f t="shared" si="148"/>
        <v>#DIV/0!</v>
      </c>
    </row>
    <row r="352" spans="1:42">
      <c r="A352">
        <v>333</v>
      </c>
      <c r="B352">
        <f t="shared" si="120"/>
        <v>333</v>
      </c>
      <c r="D352" s="43">
        <f t="shared" si="126"/>
        <v>443.26875026822819</v>
      </c>
      <c r="E352" s="43">
        <f t="shared" si="127"/>
        <v>748.15336733259323</v>
      </c>
      <c r="F352" s="69">
        <f t="shared" si="128"/>
        <v>0.70762053715621165</v>
      </c>
      <c r="G352" s="98">
        <f t="shared" si="129"/>
        <v>375.59288870159207</v>
      </c>
      <c r="H352" s="69">
        <f t="shared" si="130"/>
        <v>0.10555320334534765</v>
      </c>
      <c r="I352" s="69">
        <f t="shared" si="131"/>
        <v>-2.3930325392711791</v>
      </c>
      <c r="J352" s="99">
        <f t="shared" si="132"/>
        <v>1.5047746178408776E-2</v>
      </c>
      <c r="K352" s="69">
        <f t="shared" si="133"/>
        <v>1.2973615292449672E-6</v>
      </c>
      <c r="L352" s="99">
        <f t="shared" si="121"/>
        <v>1.5049043539938021E-2</v>
      </c>
      <c r="M352" s="69">
        <f t="shared" si="122"/>
        <v>7.0139476349592895</v>
      </c>
      <c r="N352" s="69">
        <f t="shared" si="123"/>
        <v>2.278758114316132</v>
      </c>
      <c r="O352" s="69">
        <f t="shared" si="124"/>
        <v>21.588715852237282</v>
      </c>
      <c r="P352" s="69">
        <f t="shared" si="134"/>
        <v>1.6031857871412711</v>
      </c>
      <c r="Q352" s="69">
        <f t="shared" si="125"/>
        <v>0.37932088007004916</v>
      </c>
      <c r="R352" s="43">
        <f t="shared" si="135"/>
        <v>373.94487188252299</v>
      </c>
      <c r="S352" s="43">
        <f t="shared" si="136"/>
        <v>2691.0665694055406</v>
      </c>
      <c r="T352" s="43">
        <f>R352+Thrust!C$33*0.8</f>
        <v>2185.7048718825231</v>
      </c>
      <c r="V352">
        <f t="shared" si="140"/>
        <v>2013330.515616925</v>
      </c>
      <c r="W352">
        <f t="shared" si="141"/>
        <v>1635242.459894164</v>
      </c>
      <c r="Y352">
        <f t="shared" si="142"/>
        <v>-6399.9910430206883</v>
      </c>
      <c r="Z352">
        <f t="shared" si="143"/>
        <v>-8.1967658077882426</v>
      </c>
      <c r="AA352">
        <f t="shared" si="137"/>
        <v>-1201.8693162048032</v>
      </c>
      <c r="AB352">
        <f t="shared" si="144"/>
        <v>-1.5342279703910817</v>
      </c>
      <c r="AC352">
        <f t="shared" si="138"/>
        <v>1.1055947498710832</v>
      </c>
      <c r="AD352">
        <f t="shared" si="139"/>
        <v>490.07560307846938</v>
      </c>
      <c r="AE352">
        <f t="shared" si="145"/>
        <v>-5510.6619354318209</v>
      </c>
      <c r="AG352">
        <v>2.5957542812278956E-2</v>
      </c>
      <c r="AH352">
        <v>-1201.8693162048032</v>
      </c>
      <c r="AI352">
        <f t="shared" si="146"/>
        <v>821.6113025811286</v>
      </c>
      <c r="AJ352">
        <f t="shared" si="147"/>
        <v>743.13965644005793</v>
      </c>
      <c r="AM352">
        <f t="shared" si="149"/>
        <v>0</v>
      </c>
      <c r="AN352" s="43">
        <f t="shared" si="150"/>
        <v>16595</v>
      </c>
      <c r="AO352" s="43"/>
      <c r="AP352" t="e">
        <f t="shared" si="148"/>
        <v>#DIV/0!</v>
      </c>
    </row>
    <row r="353" spans="1:42">
      <c r="A353">
        <v>334</v>
      </c>
      <c r="B353">
        <f t="shared" si="120"/>
        <v>334</v>
      </c>
      <c r="D353" s="43">
        <f t="shared" si="126"/>
        <v>444.59988765642106</v>
      </c>
      <c r="E353" s="43">
        <f t="shared" si="127"/>
        <v>750.40007414139973</v>
      </c>
      <c r="F353" s="69">
        <f t="shared" si="128"/>
        <v>0.70974552375427824</v>
      </c>
      <c r="G353" s="98">
        <f t="shared" si="129"/>
        <v>377.85208895377173</v>
      </c>
      <c r="H353" s="69">
        <f t="shared" si="130"/>
        <v>0.1049220944257795</v>
      </c>
      <c r="I353" s="69">
        <f t="shared" si="131"/>
        <v>-2.3983468666245469</v>
      </c>
      <c r="J353" s="99">
        <f t="shared" si="132"/>
        <v>1.5047746178408776E-2</v>
      </c>
      <c r="K353" s="69">
        <f t="shared" si="133"/>
        <v>1.019233628622243E-6</v>
      </c>
      <c r="L353" s="99">
        <f t="shared" si="121"/>
        <v>1.5048765412037399E-2</v>
      </c>
      <c r="M353" s="69">
        <f t="shared" si="122"/>
        <v>6.9721396774417839</v>
      </c>
      <c r="N353" s="69">
        <f t="shared" si="123"/>
        <v>2.25839318534653</v>
      </c>
      <c r="O353" s="69">
        <f t="shared" si="124"/>
        <v>21.524476781619025</v>
      </c>
      <c r="P353" s="69">
        <f t="shared" si="134"/>
        <v>1.6080001588744279</v>
      </c>
      <c r="Q353" s="69">
        <f t="shared" si="125"/>
        <v>0.37279787642830442</v>
      </c>
      <c r="R353" s="43">
        <f t="shared" si="135"/>
        <v>366.41397467117667</v>
      </c>
      <c r="S353" s="43">
        <f t="shared" si="136"/>
        <v>2707.2033655707846</v>
      </c>
      <c r="T353" s="43">
        <f>R353+Thrust!C$33*0.8</f>
        <v>2178.1739746711764</v>
      </c>
      <c r="V353">
        <f t="shared" si="140"/>
        <v>2031485.6062401636</v>
      </c>
      <c r="W353">
        <f t="shared" si="141"/>
        <v>1634501.9120861182</v>
      </c>
      <c r="Y353">
        <f t="shared" si="142"/>
        <v>-6457.7025893727041</v>
      </c>
      <c r="Z353">
        <f t="shared" si="143"/>
        <v>-8.2462583209157163</v>
      </c>
      <c r="AA353">
        <f t="shared" si="137"/>
        <v>-1261.9349218141838</v>
      </c>
      <c r="AB353">
        <f t="shared" si="144"/>
        <v>-1.6060991436427452</v>
      </c>
      <c r="AC353">
        <f t="shared" si="138"/>
        <v>1.0768717263555783</v>
      </c>
      <c r="AD353">
        <f t="shared" si="139"/>
        <v>478.77704855806633</v>
      </c>
      <c r="AE353">
        <f t="shared" si="145"/>
        <v>-5583.6668582160555</v>
      </c>
      <c r="AG353">
        <v>2.5957542812278956E-2</v>
      </c>
      <c r="AH353">
        <v>-1261.9349218141838</v>
      </c>
      <c r="AI353">
        <f t="shared" si="146"/>
        <v>797.50874925836001</v>
      </c>
      <c r="AJ353">
        <f t="shared" si="147"/>
        <v>740.57915138819999</v>
      </c>
      <c r="AM353">
        <f t="shared" si="149"/>
        <v>0</v>
      </c>
      <c r="AN353" s="43">
        <f t="shared" si="150"/>
        <v>16595</v>
      </c>
      <c r="AO353" s="43"/>
      <c r="AP353" t="e">
        <f t="shared" si="148"/>
        <v>#DIV/0!</v>
      </c>
    </row>
    <row r="354" spans="1:42">
      <c r="A354">
        <v>335</v>
      </c>
      <c r="B354">
        <f t="shared" si="120"/>
        <v>335</v>
      </c>
      <c r="D354" s="43">
        <f t="shared" si="126"/>
        <v>445.93102504461393</v>
      </c>
      <c r="E354" s="43">
        <f t="shared" si="127"/>
        <v>752.64678095020633</v>
      </c>
      <c r="F354" s="69">
        <f t="shared" si="128"/>
        <v>0.71187051035234505</v>
      </c>
      <c r="G354" s="98">
        <f t="shared" si="129"/>
        <v>380.1180634196013</v>
      </c>
      <c r="H354" s="69">
        <f t="shared" si="130"/>
        <v>0.10429662878825802</v>
      </c>
      <c r="I354" s="69">
        <f t="shared" si="131"/>
        <v>-2.4036136740535188</v>
      </c>
      <c r="J354" s="99">
        <f t="shared" si="132"/>
        <v>1.5047746178408776E-2</v>
      </c>
      <c r="K354" s="69">
        <f t="shared" si="133"/>
        <v>7.7665748187500244E-7</v>
      </c>
      <c r="L354" s="99">
        <f t="shared" si="121"/>
        <v>1.5048522835890652E-2</v>
      </c>
      <c r="M354" s="69">
        <f t="shared" si="122"/>
        <v>6.9306888075094708</v>
      </c>
      <c r="N354" s="69">
        <f t="shared" si="123"/>
        <v>2.2382651594373035</v>
      </c>
      <c r="O354" s="69">
        <f t="shared" si="124"/>
        <v>21.460570542326998</v>
      </c>
      <c r="P354" s="69">
        <f t="shared" si="134"/>
        <v>1.612814530607585</v>
      </c>
      <c r="Q354" s="69">
        <f t="shared" si="125"/>
        <v>0.36623072851487315</v>
      </c>
      <c r="R354" s="43">
        <f t="shared" si="135"/>
        <v>358.88477922556194</v>
      </c>
      <c r="S354" s="43">
        <f t="shared" si="136"/>
        <v>2723.3945318030655</v>
      </c>
      <c r="T354" s="43">
        <f>R354+Thrust!C$33*0.8</f>
        <v>2170.6447792255622</v>
      </c>
      <c r="V354">
        <f t="shared" si="140"/>
        <v>2049754.1276189715</v>
      </c>
      <c r="W354">
        <f t="shared" si="141"/>
        <v>1633728.8056704907</v>
      </c>
      <c r="Y354">
        <f t="shared" si="142"/>
        <v>-6515.7747103119618</v>
      </c>
      <c r="Z354">
        <f t="shared" si="143"/>
        <v>-8.2959238183396895</v>
      </c>
      <c r="AA354">
        <f t="shared" si="137"/>
        <v>-1322.4645995713297</v>
      </c>
      <c r="AB354">
        <f t="shared" si="144"/>
        <v>-1.6781327900511065</v>
      </c>
      <c r="AC354">
        <f t="shared" si="138"/>
        <v>1.048473131429779</v>
      </c>
      <c r="AD354">
        <f t="shared" si="139"/>
        <v>467.5466982302176</v>
      </c>
      <c r="AE354">
        <f t="shared" si="145"/>
        <v>-5657.1358531480591</v>
      </c>
      <c r="AG354">
        <v>2.5957542812278956E-2</v>
      </c>
      <c r="AH354">
        <v>-1322.4645995713297</v>
      </c>
      <c r="AI354">
        <f t="shared" si="146"/>
        <v>773.79332782475115</v>
      </c>
      <c r="AJ354">
        <f t="shared" si="147"/>
        <v>738.01922493669122</v>
      </c>
      <c r="AM354">
        <f t="shared" si="149"/>
        <v>0</v>
      </c>
      <c r="AN354" s="43">
        <f t="shared" si="150"/>
        <v>16595</v>
      </c>
      <c r="AO354" s="43"/>
      <c r="AP354" t="e">
        <f t="shared" si="148"/>
        <v>#DIV/0!</v>
      </c>
    </row>
    <row r="355" spans="1:42">
      <c r="A355">
        <v>336</v>
      </c>
      <c r="B355">
        <f t="shared" si="120"/>
        <v>336</v>
      </c>
      <c r="D355" s="43">
        <f t="shared" si="126"/>
        <v>447.2621624328068</v>
      </c>
      <c r="E355" s="43">
        <f t="shared" si="127"/>
        <v>754.89348775901294</v>
      </c>
      <c r="F355" s="69">
        <f t="shared" si="128"/>
        <v>0.71399549695041176</v>
      </c>
      <c r="G355" s="98">
        <f t="shared" si="129"/>
        <v>382.39081209908045</v>
      </c>
      <c r="H355" s="69">
        <f t="shared" si="130"/>
        <v>0.10367673935092703</v>
      </c>
      <c r="I355" s="69">
        <f t="shared" si="131"/>
        <v>-2.4088335264288041</v>
      </c>
      <c r="J355" s="99">
        <f t="shared" si="132"/>
        <v>1.5047746178408776E-2</v>
      </c>
      <c r="K355" s="69">
        <f t="shared" si="133"/>
        <v>5.6872137190516722E-7</v>
      </c>
      <c r="L355" s="99">
        <f t="shared" si="121"/>
        <v>1.5048314899780681E-2</v>
      </c>
      <c r="M355" s="69">
        <f t="shared" si="122"/>
        <v>6.8895912958625054</v>
      </c>
      <c r="N355" s="69">
        <f t="shared" si="123"/>
        <v>2.2183707205900549</v>
      </c>
      <c r="O355" s="69">
        <f t="shared" si="124"/>
        <v>21.396995454122745</v>
      </c>
      <c r="P355" s="69">
        <f t="shared" si="134"/>
        <v>1.617628902340742</v>
      </c>
      <c r="Q355" s="69">
        <f t="shared" si="125"/>
        <v>0.35961943632975535</v>
      </c>
      <c r="R355" s="43">
        <f t="shared" si="135"/>
        <v>351.35727035134204</v>
      </c>
      <c r="S355" s="43">
        <f t="shared" si="136"/>
        <v>2739.6400148344428</v>
      </c>
      <c r="T355" s="43">
        <f>R355+Thrust!C$33*0.8</f>
        <v>2163.1172703513421</v>
      </c>
      <c r="V355">
        <f t="shared" si="140"/>
        <v>2068136.4060025264</v>
      </c>
      <c r="W355">
        <f t="shared" si="141"/>
        <v>1632923.1406472803</v>
      </c>
      <c r="Y355">
        <f t="shared" si="142"/>
        <v>-6574.2084429219376</v>
      </c>
      <c r="Z355">
        <f t="shared" si="143"/>
        <v>-8.345762239363987</v>
      </c>
      <c r="AA355">
        <f t="shared" si="137"/>
        <v>-1383.4593865597228</v>
      </c>
      <c r="AB355">
        <f t="shared" si="144"/>
        <v>-1.7503289254215844</v>
      </c>
      <c r="AC355">
        <f t="shared" si="138"/>
        <v>1.0203948794956847</v>
      </c>
      <c r="AD355">
        <f t="shared" si="139"/>
        <v>456.38402033860331</v>
      </c>
      <c r="AE355">
        <f t="shared" si="145"/>
        <v>-5731.069957311307</v>
      </c>
      <c r="AG355">
        <v>2.5957542812278956E-2</v>
      </c>
      <c r="AH355">
        <v>-1383.4593865597228</v>
      </c>
      <c r="AI355">
        <f t="shared" si="146"/>
        <v>750.45948738116545</v>
      </c>
      <c r="AJ355">
        <f t="shared" si="147"/>
        <v>735.45987191945642</v>
      </c>
      <c r="AM355">
        <f t="shared" si="149"/>
        <v>0</v>
      </c>
      <c r="AN355" s="43">
        <f t="shared" si="150"/>
        <v>16595</v>
      </c>
      <c r="AO355" s="43"/>
      <c r="AP355" t="e">
        <f t="shared" si="148"/>
        <v>#DIV/0!</v>
      </c>
    </row>
    <row r="356" spans="1:42">
      <c r="A356">
        <v>337</v>
      </c>
      <c r="B356">
        <f t="shared" si="120"/>
        <v>337</v>
      </c>
      <c r="D356" s="43">
        <f t="shared" si="126"/>
        <v>448.59329982099973</v>
      </c>
      <c r="E356" s="43">
        <f t="shared" si="127"/>
        <v>757.14019456781955</v>
      </c>
      <c r="F356" s="69">
        <f t="shared" si="128"/>
        <v>0.71612048354847846</v>
      </c>
      <c r="G356" s="98">
        <f t="shared" si="129"/>
        <v>384.6703349922094</v>
      </c>
      <c r="H356" s="69">
        <f t="shared" si="130"/>
        <v>0.1030623600257311</v>
      </c>
      <c r="I356" s="69">
        <f t="shared" si="131"/>
        <v>-2.4140069802526964</v>
      </c>
      <c r="J356" s="99">
        <f t="shared" si="132"/>
        <v>1.5047746178408776E-2</v>
      </c>
      <c r="K356" s="69">
        <f t="shared" si="133"/>
        <v>3.9453574511547352E-7</v>
      </c>
      <c r="L356" s="99">
        <f t="shared" si="121"/>
        <v>1.5048140714153892E-2</v>
      </c>
      <c r="M356" s="69">
        <f t="shared" si="122"/>
        <v>6.8488434540483336</v>
      </c>
      <c r="N356" s="69">
        <f t="shared" si="123"/>
        <v>2.1987066052787507</v>
      </c>
      <c r="O356" s="69">
        <f t="shared" si="124"/>
        <v>21.333749826122848</v>
      </c>
      <c r="P356" s="69">
        <f t="shared" si="134"/>
        <v>1.6224432740738992</v>
      </c>
      <c r="Q356" s="69">
        <f t="shared" si="125"/>
        <v>0.35296399987295057</v>
      </c>
      <c r="R356" s="43">
        <f t="shared" si="135"/>
        <v>343.83143303452795</v>
      </c>
      <c r="S356" s="43">
        <f t="shared" si="136"/>
        <v>2755.9397621861303</v>
      </c>
      <c r="T356" s="43">
        <f>R356+Thrust!C$33*0.8</f>
        <v>2155.5914330345281</v>
      </c>
      <c r="V356">
        <f t="shared" si="140"/>
        <v>2086632.7677587972</v>
      </c>
      <c r="W356">
        <f t="shared" si="141"/>
        <v>1632084.9170164876</v>
      </c>
      <c r="Y356">
        <f t="shared" si="142"/>
        <v>-6633.0048246637261</v>
      </c>
      <c r="Z356">
        <f t="shared" si="143"/>
        <v>-8.395773526689263</v>
      </c>
      <c r="AA356">
        <f t="shared" si="137"/>
        <v>-1444.9203202404544</v>
      </c>
      <c r="AB356">
        <f t="shared" si="144"/>
        <v>-1.822687568991797</v>
      </c>
      <c r="AC356">
        <f t="shared" si="138"/>
        <v>0.99263294129923363</v>
      </c>
      <c r="AD356">
        <f t="shared" si="139"/>
        <v>445.28848664844793</v>
      </c>
      <c r="AE356">
        <f t="shared" si="145"/>
        <v>-5805.4702081668956</v>
      </c>
      <c r="AG356">
        <v>2.5957542812278956E-2</v>
      </c>
      <c r="AH356">
        <v>-1444.9203202404544</v>
      </c>
      <c r="AI356">
        <f t="shared" si="146"/>
        <v>727.50176190024797</v>
      </c>
      <c r="AJ356">
        <f t="shared" si="147"/>
        <v>732.90108723173967</v>
      </c>
      <c r="AM356">
        <f t="shared" si="149"/>
        <v>0</v>
      </c>
      <c r="AN356" s="43">
        <f t="shared" si="150"/>
        <v>16595</v>
      </c>
      <c r="AO356" s="43"/>
      <c r="AP356" t="e">
        <f t="shared" si="148"/>
        <v>#DIV/0!</v>
      </c>
    </row>
    <row r="357" spans="1:42">
      <c r="A357">
        <v>338</v>
      </c>
      <c r="B357">
        <f t="shared" si="120"/>
        <v>338</v>
      </c>
      <c r="D357" s="43">
        <f t="shared" si="126"/>
        <v>449.9244372091926</v>
      </c>
      <c r="E357" s="43">
        <f t="shared" si="127"/>
        <v>759.38690137662616</v>
      </c>
      <c r="F357" s="69">
        <f t="shared" si="128"/>
        <v>0.71824547014654516</v>
      </c>
      <c r="G357" s="98">
        <f t="shared" si="129"/>
        <v>386.956632098988</v>
      </c>
      <c r="H357" s="69">
        <f t="shared" si="130"/>
        <v>0.10245342570080053</v>
      </c>
      <c r="I357" s="69">
        <f t="shared" si="131"/>
        <v>-2.4191345838074003</v>
      </c>
      <c r="J357" s="99">
        <f t="shared" si="132"/>
        <v>1.5047746178408776E-2</v>
      </c>
      <c r="K357" s="69">
        <f t="shared" si="133"/>
        <v>2.5323264033752303E-7</v>
      </c>
      <c r="L357" s="99">
        <f t="shared" si="121"/>
        <v>1.5047999411049114E-2</v>
      </c>
      <c r="M357" s="69">
        <f t="shared" si="122"/>
        <v>6.8084416341466145</v>
      </c>
      <c r="N357" s="69">
        <f t="shared" si="123"/>
        <v>2.179269601572666</v>
      </c>
      <c r="O357" s="69">
        <f t="shared" si="124"/>
        <v>21.270831957702303</v>
      </c>
      <c r="P357" s="69">
        <f t="shared" si="134"/>
        <v>1.627257645807056</v>
      </c>
      <c r="Q357" s="69">
        <f t="shared" si="125"/>
        <v>0.34626441914445927</v>
      </c>
      <c r="R357" s="43">
        <f t="shared" si="135"/>
        <v>336.30725243881159</v>
      </c>
      <c r="S357" s="43">
        <f t="shared" si="136"/>
        <v>2772.2937221545021</v>
      </c>
      <c r="T357" s="43">
        <f>R357+Thrust!C$33*0.8</f>
        <v>2148.0672524388115</v>
      </c>
      <c r="V357">
        <f t="shared" si="140"/>
        <v>2105243.5393727808</v>
      </c>
      <c r="W357">
        <f t="shared" si="141"/>
        <v>1631214.1347781119</v>
      </c>
      <c r="Y357">
        <f t="shared" si="142"/>
        <v>-6692.1648933704291</v>
      </c>
      <c r="Z357">
        <f t="shared" si="143"/>
        <v>-8.4459576263781475</v>
      </c>
      <c r="AA357">
        <f t="shared" si="137"/>
        <v>-1506.8484384466294</v>
      </c>
      <c r="AB357">
        <f t="shared" si="144"/>
        <v>-1.8952087434065734</v>
      </c>
      <c r="AC357">
        <f t="shared" si="138"/>
        <v>0.96518334316595511</v>
      </c>
      <c r="AD357">
        <f t="shared" si="139"/>
        <v>434.25957247762932</v>
      </c>
      <c r="AE357">
        <f t="shared" si="145"/>
        <v>-5880.3376435479258</v>
      </c>
      <c r="AG357">
        <v>2.5957542812278956E-2</v>
      </c>
      <c r="AH357">
        <v>-1506.8484384466294</v>
      </c>
      <c r="AI357">
        <f t="shared" si="146"/>
        <v>704.91476889842795</v>
      </c>
      <c r="AJ357">
        <f t="shared" si="147"/>
        <v>730.34286582919594</v>
      </c>
      <c r="AM357">
        <f t="shared" si="149"/>
        <v>0</v>
      </c>
      <c r="AN357" s="43">
        <f t="shared" si="150"/>
        <v>16595</v>
      </c>
      <c r="AO357" s="43"/>
      <c r="AP357" t="e">
        <f t="shared" si="148"/>
        <v>#DIV/0!</v>
      </c>
    </row>
    <row r="358" spans="1:42">
      <c r="A358">
        <v>339</v>
      </c>
      <c r="B358">
        <f t="shared" si="120"/>
        <v>339</v>
      </c>
      <c r="D358" s="43">
        <f t="shared" si="126"/>
        <v>451.25557459738548</v>
      </c>
      <c r="E358" s="43">
        <f t="shared" si="127"/>
        <v>761.63360818543276</v>
      </c>
      <c r="F358" s="69">
        <f t="shared" si="128"/>
        <v>0.72037045674461186</v>
      </c>
      <c r="G358" s="98">
        <f t="shared" si="129"/>
        <v>389.24970341941639</v>
      </c>
      <c r="H358" s="69">
        <f t="shared" si="130"/>
        <v>0.10184987222319901</v>
      </c>
      <c r="I358" s="69">
        <f t="shared" si="131"/>
        <v>-2.4242168773003088</v>
      </c>
      <c r="J358" s="99">
        <f t="shared" si="132"/>
        <v>1.5047746178408776E-2</v>
      </c>
      <c r="K358" s="69">
        <f t="shared" si="133"/>
        <v>1.439651337152948E-7</v>
      </c>
      <c r="L358" s="99">
        <f t="shared" si="121"/>
        <v>1.5047890143542492E-2</v>
      </c>
      <c r="M358" s="69">
        <f t="shared" si="122"/>
        <v>6.7683822284485435</v>
      </c>
      <c r="N358" s="69">
        <f t="shared" si="123"/>
        <v>2.1600565482730394</v>
      </c>
      <c r="O358" s="69">
        <f t="shared" si="124"/>
        <v>21.208240139362967</v>
      </c>
      <c r="P358" s="69">
        <f t="shared" si="134"/>
        <v>1.632072017540213</v>
      </c>
      <c r="Q358" s="69">
        <f t="shared" si="125"/>
        <v>0.33952069414428099</v>
      </c>
      <c r="R358" s="43">
        <f t="shared" si="135"/>
        <v>328.78471390294396</v>
      </c>
      <c r="S358" s="43">
        <f t="shared" si="136"/>
        <v>2788.7018437973984</v>
      </c>
      <c r="T358" s="43">
        <f>R358+Thrust!C$33*0.8</f>
        <v>2140.5447139029438</v>
      </c>
      <c r="V358">
        <f t="shared" si="140"/>
        <v>2123969.0474447818</v>
      </c>
      <c r="W358">
        <f t="shared" si="141"/>
        <v>1630310.7939321541</v>
      </c>
      <c r="Y358">
        <f t="shared" si="142"/>
        <v>-6751.689687241691</v>
      </c>
      <c r="Z358">
        <f t="shared" si="143"/>
        <v>-8.496314487821353</v>
      </c>
      <c r="AA358">
        <f t="shared" si="137"/>
        <v>-1569.2447793778892</v>
      </c>
      <c r="AB358">
        <f t="shared" si="144"/>
        <v>-1.9678924746938147</v>
      </c>
      <c r="AC358">
        <f t="shared" si="138"/>
        <v>0.93804216624352643</v>
      </c>
      <c r="AD358">
        <f t="shared" si="139"/>
        <v>423.2967567247988</v>
      </c>
      <c r="AE358">
        <f t="shared" si="145"/>
        <v>-5955.6733016540411</v>
      </c>
      <c r="AG358">
        <v>2.5957542812278956E-2</v>
      </c>
      <c r="AH358">
        <v>-1569.2447793778892</v>
      </c>
      <c r="AI358">
        <f t="shared" si="146"/>
        <v>682.69320812602007</v>
      </c>
      <c r="AJ358">
        <f t="shared" si="147"/>
        <v>727.78520272700098</v>
      </c>
      <c r="AM358">
        <f t="shared" si="149"/>
        <v>0</v>
      </c>
      <c r="AN358" s="43">
        <f t="shared" si="150"/>
        <v>16595</v>
      </c>
      <c r="AO358" s="43"/>
      <c r="AP358" t="e">
        <f t="shared" si="148"/>
        <v>#DIV/0!</v>
      </c>
    </row>
    <row r="359" spans="1:42">
      <c r="A359">
        <v>340</v>
      </c>
      <c r="B359">
        <f t="shared" si="120"/>
        <v>340</v>
      </c>
      <c r="D359" s="43">
        <f t="shared" si="126"/>
        <v>452.58671198557835</v>
      </c>
      <c r="E359" s="43">
        <f t="shared" si="127"/>
        <v>763.88031499423926</v>
      </c>
      <c r="F359" s="69">
        <f t="shared" si="128"/>
        <v>0.72249544334267846</v>
      </c>
      <c r="G359" s="98">
        <f t="shared" si="129"/>
        <v>391.54954895349437</v>
      </c>
      <c r="H359" s="69">
        <f t="shared" si="130"/>
        <v>0.10125163638202644</v>
      </c>
      <c r="I359" s="69">
        <f t="shared" si="131"/>
        <v>-2.4292543930062886</v>
      </c>
      <c r="J359" s="99">
        <f t="shared" si="132"/>
        <v>1.5047746178408776E-2</v>
      </c>
      <c r="K359" s="69">
        <f t="shared" si="133"/>
        <v>6.5906799059487171E-8</v>
      </c>
      <c r="L359" s="99">
        <f t="shared" si="121"/>
        <v>1.5047812085207836E-2</v>
      </c>
      <c r="M359" s="69">
        <f t="shared" si="122"/>
        <v>6.7286616691311494</v>
      </c>
      <c r="N359" s="69">
        <f t="shared" si="123"/>
        <v>2.1410643340633797</v>
      </c>
      <c r="O359" s="69">
        <f t="shared" si="124"/>
        <v>21.145972653568368</v>
      </c>
      <c r="P359" s="69">
        <f t="shared" si="134"/>
        <v>1.6368863892733698</v>
      </c>
      <c r="Q359" s="69">
        <f t="shared" si="125"/>
        <v>0.33273282487241662</v>
      </c>
      <c r="R359" s="43">
        <f t="shared" si="135"/>
        <v>321.26380293816266</v>
      </c>
      <c r="S359" s="43">
        <f t="shared" si="136"/>
        <v>2805.1640769207033</v>
      </c>
      <c r="T359" s="43">
        <f>R359+Thrust!C$33*0.8</f>
        <v>2133.0238029381626</v>
      </c>
      <c r="V359">
        <f t="shared" si="140"/>
        <v>2142809.6186887114</v>
      </c>
      <c r="W359">
        <f t="shared" si="141"/>
        <v>1629374.8944786137</v>
      </c>
      <c r="Y359">
        <f t="shared" si="142"/>
        <v>-6811.5802448382874</v>
      </c>
      <c r="Z359">
        <f t="shared" si="143"/>
        <v>-8.5468440637046648</v>
      </c>
      <c r="AA359">
        <f t="shared" si="137"/>
        <v>-1632.1103815950123</v>
      </c>
      <c r="AB359">
        <f t="shared" si="144"/>
        <v>-2.040738792241144</v>
      </c>
      <c r="AC359">
        <f t="shared" si="138"/>
        <v>0.91120554575142187</v>
      </c>
      <c r="AD359">
        <f t="shared" si="139"/>
        <v>412.39952189466055</v>
      </c>
      <c r="AE359">
        <f t="shared" si="145"/>
        <v>-6031.4782210460207</v>
      </c>
      <c r="AG359">
        <v>2.5957542812278956E-2</v>
      </c>
      <c r="AH359">
        <v>-1632.1103815950123</v>
      </c>
      <c r="AI359">
        <f t="shared" si="146"/>
        <v>660.83186027539421</v>
      </c>
      <c r="AJ359">
        <f t="shared" si="147"/>
        <v>725.22809299897528</v>
      </c>
      <c r="AM359">
        <f t="shared" si="149"/>
        <v>0</v>
      </c>
      <c r="AN359" s="43">
        <f t="shared" si="150"/>
        <v>16595</v>
      </c>
      <c r="AO359" s="43"/>
      <c r="AP359" t="e">
        <f t="shared" si="148"/>
        <v>#DIV/0!</v>
      </c>
    </row>
    <row r="360" spans="1:42">
      <c r="A360">
        <v>341</v>
      </c>
      <c r="B360">
        <f t="shared" si="120"/>
        <v>341</v>
      </c>
      <c r="D360" s="43">
        <f t="shared" si="126"/>
        <v>453.91784937377122</v>
      </c>
      <c r="E360" s="43">
        <f t="shared" si="127"/>
        <v>766.12702180304586</v>
      </c>
      <c r="F360" s="69">
        <f t="shared" si="128"/>
        <v>0.72462042994074527</v>
      </c>
      <c r="G360" s="98">
        <f t="shared" si="129"/>
        <v>393.85616870122215</v>
      </c>
      <c r="H360" s="69">
        <f t="shared" si="130"/>
        <v>0.10065865589186759</v>
      </c>
      <c r="I360" s="69">
        <f t="shared" si="131"/>
        <v>-2.4342476554070491</v>
      </c>
      <c r="J360" s="99">
        <f t="shared" si="132"/>
        <v>1.5047746178408776E-2</v>
      </c>
      <c r="K360" s="69">
        <f t="shared" si="133"/>
        <v>1.8251183203584747E-8</v>
      </c>
      <c r="L360" s="99">
        <f t="shared" si="121"/>
        <v>1.504776442959198E-2</v>
      </c>
      <c r="M360" s="69">
        <f t="shared" si="122"/>
        <v>6.6892764279269725</v>
      </c>
      <c r="N360" s="69">
        <f t="shared" si="123"/>
        <v>2.122289896673256</v>
      </c>
      <c r="O360" s="69">
        <f t="shared" si="124"/>
        <v>21.08402777554593</v>
      </c>
      <c r="P360" s="69">
        <f t="shared" si="134"/>
        <v>1.6417007610065268</v>
      </c>
      <c r="Q360" s="69">
        <f t="shared" si="125"/>
        <v>0.32590081132886528</v>
      </c>
      <c r="R360" s="43">
        <f t="shared" si="135"/>
        <v>313.7445052256594</v>
      </c>
      <c r="S360" s="43">
        <f t="shared" si="136"/>
        <v>2821.6803720652074</v>
      </c>
      <c r="T360" s="43">
        <f>R360+Thrust!C$33*0.8</f>
        <v>2125.5045052256592</v>
      </c>
      <c r="V360">
        <f t="shared" si="140"/>
        <v>2161765.5799304275</v>
      </c>
      <c r="W360">
        <f t="shared" si="141"/>
        <v>1628406.4364174907</v>
      </c>
      <c r="Y360">
        <f t="shared" si="142"/>
        <v>-6871.8376050768557</v>
      </c>
      <c r="Z360">
        <f t="shared" si="143"/>
        <v>-8.5975463099768561</v>
      </c>
      <c r="AA360">
        <f t="shared" si="137"/>
        <v>-1695.4462840146336</v>
      </c>
      <c r="AB360">
        <f t="shared" si="144"/>
        <v>-2.1137477287733826</v>
      </c>
      <c r="AC360">
        <f t="shared" si="138"/>
        <v>0.88466967023774779</v>
      </c>
      <c r="AD360">
        <f t="shared" si="139"/>
        <v>401.56735412052188</v>
      </c>
      <c r="AE360">
        <f t="shared" si="145"/>
        <v>-6107.7534406404975</v>
      </c>
      <c r="AG360">
        <v>2.5957542812278956E-2</v>
      </c>
      <c r="AH360">
        <v>-1695.4462840146336</v>
      </c>
      <c r="AI360">
        <f t="shared" si="146"/>
        <v>639.32558570712263</v>
      </c>
      <c r="AJ360">
        <f t="shared" si="147"/>
        <v>722.67153177672412</v>
      </c>
      <c r="AM360">
        <f t="shared" si="149"/>
        <v>0</v>
      </c>
      <c r="AN360" s="43">
        <f t="shared" si="150"/>
        <v>16595</v>
      </c>
      <c r="AO360" s="43">
        <f t="shared" ref="AO360:AO369" si="151">AN360-3000</f>
        <v>13595</v>
      </c>
      <c r="AP360">
        <f t="shared" si="148"/>
        <v>0</v>
      </c>
    </row>
    <row r="361" spans="1:42">
      <c r="A361">
        <v>342</v>
      </c>
      <c r="B361">
        <f t="shared" si="120"/>
        <v>342</v>
      </c>
      <c r="D361" s="43">
        <f t="shared" si="126"/>
        <v>455.24898676196409</v>
      </c>
      <c r="E361" s="43">
        <f t="shared" si="127"/>
        <v>768.37372861185247</v>
      </c>
      <c r="F361" s="69">
        <f t="shared" si="128"/>
        <v>0.72674541653881197</v>
      </c>
      <c r="G361" s="98">
        <f t="shared" si="129"/>
        <v>396.16956266259967</v>
      </c>
      <c r="H361" s="69">
        <f t="shared" si="130"/>
        <v>0.10007086937657958</v>
      </c>
      <c r="I361" s="69">
        <f t="shared" si="131"/>
        <v>-2.4391971813276672</v>
      </c>
      <c r="J361" s="99">
        <f t="shared" si="132"/>
        <v>1.5047746178408776E-2</v>
      </c>
      <c r="K361" s="69">
        <f t="shared" si="133"/>
        <v>2.1129590833442778E-10</v>
      </c>
      <c r="L361" s="99">
        <f t="shared" si="121"/>
        <v>1.5047746389704684E-2</v>
      </c>
      <c r="M361" s="69">
        <f t="shared" si="122"/>
        <v>6.650223015789642</v>
      </c>
      <c r="N361" s="69">
        <f t="shared" si="123"/>
        <v>2.103730222055459</v>
      </c>
      <c r="O361" s="69">
        <f t="shared" si="124"/>
        <v>21.022403774057871</v>
      </c>
      <c r="P361" s="69">
        <f t="shared" si="134"/>
        <v>1.6465151327396839</v>
      </c>
      <c r="Q361" s="69">
        <f t="shared" si="125"/>
        <v>0.31902465351362652</v>
      </c>
      <c r="R361" s="43">
        <f t="shared" si="135"/>
        <v>306.22680661409811</v>
      </c>
      <c r="S361" s="43">
        <f t="shared" si="136"/>
        <v>2838.2506804937275</v>
      </c>
      <c r="T361" s="43">
        <f>R361+Thrust!C$33*0.8</f>
        <v>2117.986806614098</v>
      </c>
      <c r="V361">
        <f t="shared" si="140"/>
        <v>2180837.2581060929</v>
      </c>
      <c r="W361">
        <f t="shared" si="141"/>
        <v>1627405.419748785</v>
      </c>
      <c r="Y361">
        <f t="shared" si="142"/>
        <v>-6932.4628072246669</v>
      </c>
      <c r="Z361">
        <f t="shared" si="143"/>
        <v>-8.648421185818421</v>
      </c>
      <c r="AA361">
        <f t="shared" si="137"/>
        <v>-1759.2535259040253</v>
      </c>
      <c r="AB361">
        <f t="shared" si="144"/>
        <v>-2.1869193203307704</v>
      </c>
      <c r="AC361">
        <f t="shared" si="138"/>
        <v>0.85843078084343316</v>
      </c>
      <c r="AD361">
        <f t="shared" si="139"/>
        <v>390.79974318425462</v>
      </c>
      <c r="AE361">
        <f t="shared" si="145"/>
        <v>-6184.4999997047453</v>
      </c>
      <c r="AG361">
        <v>2.5957542812278956E-2</v>
      </c>
      <c r="AH361">
        <v>-1759.2535259040253</v>
      </c>
      <c r="AI361">
        <f t="shared" si="146"/>
        <v>618.16932319406214</v>
      </c>
      <c r="AJ361">
        <f t="shared" si="147"/>
        <v>720.11551424879337</v>
      </c>
      <c r="AM361">
        <f t="shared" si="149"/>
        <v>0</v>
      </c>
      <c r="AN361" s="43">
        <f t="shared" si="150"/>
        <v>16595</v>
      </c>
      <c r="AO361" s="43">
        <f t="shared" si="151"/>
        <v>13595</v>
      </c>
      <c r="AP361">
        <f t="shared" si="148"/>
        <v>0</v>
      </c>
    </row>
    <row r="362" spans="1:42">
      <c r="A362">
        <v>343</v>
      </c>
      <c r="B362">
        <f t="shared" si="120"/>
        <v>343</v>
      </c>
      <c r="D362" s="43">
        <f t="shared" si="126"/>
        <v>456.58012415015696</v>
      </c>
      <c r="E362" s="43">
        <f t="shared" si="127"/>
        <v>770.62043542065908</v>
      </c>
      <c r="F362" s="69">
        <f t="shared" si="128"/>
        <v>0.72887040313687868</v>
      </c>
      <c r="G362" s="98">
        <f t="shared" si="129"/>
        <v>398.48973083762684</v>
      </c>
      <c r="H362" s="69">
        <f t="shared" si="130"/>
        <v>9.9488216353409348E-2</v>
      </c>
      <c r="I362" s="69">
        <f t="shared" si="131"/>
        <v>-2.4441034800703227</v>
      </c>
      <c r="J362" s="99">
        <f t="shared" si="132"/>
        <v>1.5047746178408776E-2</v>
      </c>
      <c r="K362" s="69">
        <f t="shared" si="133"/>
        <v>1.101911387584817E-8</v>
      </c>
      <c r="L362" s="99">
        <f t="shared" si="121"/>
        <v>1.5047757197522653E-2</v>
      </c>
      <c r="M362" s="69">
        <f t="shared" si="122"/>
        <v>6.6114979825557212</v>
      </c>
      <c r="N362" s="69">
        <f t="shared" si="123"/>
        <v>2.0853823435763736</v>
      </c>
      <c r="O362" s="69">
        <f t="shared" si="124"/>
        <v>20.961098912141765</v>
      </c>
      <c r="P362" s="69">
        <f t="shared" si="134"/>
        <v>1.6513295044728409</v>
      </c>
      <c r="Q362" s="69">
        <f t="shared" si="125"/>
        <v>0.31210435142670168</v>
      </c>
      <c r="R362" s="43">
        <f t="shared" si="135"/>
        <v>298.7106931171744</v>
      </c>
      <c r="S362" s="43">
        <f t="shared" si="136"/>
        <v>2854.8749541784987</v>
      </c>
      <c r="T362" s="43">
        <f>R362+Thrust!C$33*0.8</f>
        <v>2110.4706931171745</v>
      </c>
      <c r="V362">
        <f t="shared" si="140"/>
        <v>2200024.9802605687</v>
      </c>
      <c r="W362">
        <f t="shared" si="141"/>
        <v>1626371.8444724972</v>
      </c>
      <c r="Y362">
        <f t="shared" si="142"/>
        <v>-6993.456890894523</v>
      </c>
      <c r="Z362">
        <f t="shared" si="143"/>
        <v>-8.6994686536112233</v>
      </c>
      <c r="AA362">
        <f t="shared" si="137"/>
        <v>-1823.5331468759887</v>
      </c>
      <c r="AB362">
        <f t="shared" si="144"/>
        <v>-2.2602536062479679</v>
      </c>
      <c r="AC362">
        <f t="shared" si="138"/>
        <v>0.83248517057385085</v>
      </c>
      <c r="AD362">
        <f t="shared" si="139"/>
        <v>380.09618253377346</v>
      </c>
      <c r="AE362">
        <f t="shared" si="145"/>
        <v>-6261.718937851565</v>
      </c>
      <c r="AG362">
        <v>2.5957542812278956E-2</v>
      </c>
      <c r="AH362">
        <v>-1823.5331468759887</v>
      </c>
      <c r="AI362">
        <f t="shared" si="146"/>
        <v>597.35808868325989</v>
      </c>
      <c r="AJ362">
        <f t="shared" si="147"/>
        <v>717.5600356598394</v>
      </c>
      <c r="AM362">
        <f t="shared" si="149"/>
        <v>0</v>
      </c>
      <c r="AN362" s="43">
        <f t="shared" si="150"/>
        <v>16595</v>
      </c>
      <c r="AO362" s="43">
        <f t="shared" si="151"/>
        <v>13595</v>
      </c>
      <c r="AP362">
        <f t="shared" si="148"/>
        <v>0</v>
      </c>
    </row>
    <row r="363" spans="1:42">
      <c r="A363">
        <v>344</v>
      </c>
      <c r="B363">
        <f t="shared" si="120"/>
        <v>344</v>
      </c>
      <c r="D363" s="43">
        <f t="shared" si="126"/>
        <v>457.91126153834983</v>
      </c>
      <c r="E363" s="43">
        <f t="shared" si="127"/>
        <v>772.86714222946557</v>
      </c>
      <c r="F363" s="69">
        <f t="shared" si="128"/>
        <v>0.73099538973494527</v>
      </c>
      <c r="G363" s="98">
        <f t="shared" si="129"/>
        <v>400.81667322630364</v>
      </c>
      <c r="H363" s="69">
        <f t="shared" si="130"/>
        <v>9.8910637217433914E-2</v>
      </c>
      <c r="I363" s="69">
        <f t="shared" si="131"/>
        <v>-2.4489670535453243</v>
      </c>
      <c r="J363" s="99">
        <f t="shared" si="132"/>
        <v>1.5047746178408776E-2</v>
      </c>
      <c r="K363" s="69">
        <f t="shared" si="133"/>
        <v>4.9925098449159903E-8</v>
      </c>
      <c r="L363" s="99">
        <f t="shared" si="121"/>
        <v>1.5047796103507226E-2</v>
      </c>
      <c r="M363" s="69">
        <f t="shared" si="122"/>
        <v>6.5730979166032544</v>
      </c>
      <c r="N363" s="69">
        <f t="shared" si="123"/>
        <v>2.0672433412194446</v>
      </c>
      <c r="O363" s="69">
        <f t="shared" si="124"/>
        <v>20.90011144782186</v>
      </c>
      <c r="P363" s="69">
        <f t="shared" si="134"/>
        <v>1.6561438762059977</v>
      </c>
      <c r="Q363" s="69">
        <f t="shared" si="125"/>
        <v>0.30513990506808986</v>
      </c>
      <c r="R363" s="43">
        <f t="shared" si="135"/>
        <v>291.19615091121341</v>
      </c>
      <c r="S363" s="43">
        <f t="shared" si="136"/>
        <v>2871.5531457888178</v>
      </c>
      <c r="T363" s="43">
        <f>R363+Thrust!C$33*0.8</f>
        <v>2102.9561509112136</v>
      </c>
      <c r="V363">
        <f t="shared" si="140"/>
        <v>2219329.0735458354</v>
      </c>
      <c r="W363">
        <f t="shared" si="141"/>
        <v>1625305.7105886263</v>
      </c>
      <c r="Y363">
        <f t="shared" si="142"/>
        <v>-7054.8208960397424</v>
      </c>
      <c r="Z363">
        <f t="shared" si="143"/>
        <v>-8.7506886789089311</v>
      </c>
      <c r="AA363">
        <f t="shared" si="137"/>
        <v>-1888.2861868838434</v>
      </c>
      <c r="AB363">
        <f t="shared" si="144"/>
        <v>-2.3337506291338266</v>
      </c>
      <c r="AC363">
        <f t="shared" si="138"/>
        <v>0.80682918357796141</v>
      </c>
      <c r="AD363">
        <f t="shared" si="139"/>
        <v>369.45616929814116</v>
      </c>
      <c r="AE363">
        <f t="shared" si="145"/>
        <v>-6339.4112950342751</v>
      </c>
      <c r="AG363">
        <v>2.5957542812278956E-2</v>
      </c>
      <c r="AH363">
        <v>-1888.2861868838434</v>
      </c>
      <c r="AI363">
        <f t="shared" si="146"/>
        <v>576.88697407558186</v>
      </c>
      <c r="AJ363">
        <f t="shared" si="147"/>
        <v>715.00509130981266</v>
      </c>
      <c r="AM363">
        <f t="shared" si="149"/>
        <v>0</v>
      </c>
      <c r="AN363" s="43">
        <f t="shared" si="150"/>
        <v>16595</v>
      </c>
      <c r="AO363" s="43">
        <f t="shared" si="151"/>
        <v>13595</v>
      </c>
      <c r="AP363">
        <f t="shared" si="148"/>
        <v>0</v>
      </c>
    </row>
    <row r="364" spans="1:42">
      <c r="A364">
        <v>345</v>
      </c>
      <c r="B364">
        <f t="shared" si="120"/>
        <v>345</v>
      </c>
      <c r="D364" s="43">
        <f t="shared" si="126"/>
        <v>459.24239892654271</v>
      </c>
      <c r="E364" s="43">
        <f t="shared" si="127"/>
        <v>775.11384903827218</v>
      </c>
      <c r="F364" s="69">
        <f t="shared" si="128"/>
        <v>0.73312037633301197</v>
      </c>
      <c r="G364" s="98">
        <f t="shared" si="129"/>
        <v>403.15038982863035</v>
      </c>
      <c r="H364" s="69">
        <f t="shared" si="130"/>
        <v>9.833807322631595E-2</v>
      </c>
      <c r="I364" s="69">
        <f t="shared" si="131"/>
        <v>-2.4537883963994767</v>
      </c>
      <c r="J364" s="99">
        <f t="shared" si="132"/>
        <v>1.5047746178408776E-2</v>
      </c>
      <c r="K364" s="69">
        <f t="shared" si="133"/>
        <v>1.1619772658676487E-7</v>
      </c>
      <c r="L364" s="99">
        <f t="shared" si="121"/>
        <v>1.5047862376135363E-2</v>
      </c>
      <c r="M364" s="69">
        <f t="shared" si="122"/>
        <v>6.5350194445074017</v>
      </c>
      <c r="N364" s="69">
        <f t="shared" si="123"/>
        <v>2.0493103408015809</v>
      </c>
      <c r="O364" s="69">
        <f t="shared" si="124"/>
        <v>20.839439634792139</v>
      </c>
      <c r="P364" s="69">
        <f t="shared" si="134"/>
        <v>1.6609582479391547</v>
      </c>
      <c r="Q364" s="69">
        <f t="shared" si="125"/>
        <v>0.29813131443779151</v>
      </c>
      <c r="R364" s="43">
        <f t="shared" si="135"/>
        <v>283.68316633281563</v>
      </c>
      <c r="S364" s="43">
        <f t="shared" si="136"/>
        <v>2888.2852086789412</v>
      </c>
      <c r="T364" s="43">
        <f>R364+Thrust!C$33*0.8</f>
        <v>2095.4431663328155</v>
      </c>
      <c r="V364">
        <f t="shared" si="140"/>
        <v>2238749.8652194431</v>
      </c>
      <c r="W364">
        <f t="shared" si="141"/>
        <v>1624207.018097173</v>
      </c>
      <c r="Y364">
        <f t="shared" si="142"/>
        <v>-7116.5558629492243</v>
      </c>
      <c r="Z364">
        <f t="shared" si="143"/>
        <v>-8.8020812304083016</v>
      </c>
      <c r="AA364">
        <f t="shared" si="137"/>
        <v>-1953.5136862164879</v>
      </c>
      <c r="AB364">
        <f t="shared" si="144"/>
        <v>-2.4074104348518612</v>
      </c>
      <c r="AC364">
        <f t="shared" si="138"/>
        <v>0.7814592144350998</v>
      </c>
      <c r="AD364">
        <f t="shared" si="139"/>
        <v>358.87920430042675</v>
      </c>
      <c r="AE364">
        <f t="shared" si="145"/>
        <v>-6417.5781115417749</v>
      </c>
      <c r="AG364">
        <v>2.5957542812278956E-2</v>
      </c>
      <c r="AH364">
        <v>-1953.5136862164879</v>
      </c>
      <c r="AI364">
        <f t="shared" si="146"/>
        <v>556.75114602298572</v>
      </c>
      <c r="AJ364">
        <f t="shared" si="147"/>
        <v>712.45067655315734</v>
      </c>
      <c r="AM364">
        <f t="shared" si="149"/>
        <v>0</v>
      </c>
      <c r="AN364" s="43">
        <f t="shared" si="150"/>
        <v>16595</v>
      </c>
      <c r="AO364" s="43">
        <f t="shared" si="151"/>
        <v>13595</v>
      </c>
      <c r="AP364">
        <f t="shared" si="148"/>
        <v>0</v>
      </c>
    </row>
    <row r="365" spans="1:42">
      <c r="A365">
        <v>346</v>
      </c>
      <c r="B365">
        <f t="shared" si="120"/>
        <v>346</v>
      </c>
      <c r="D365" s="43">
        <f t="shared" si="126"/>
        <v>460.57353631473558</v>
      </c>
      <c r="E365" s="43">
        <f t="shared" si="127"/>
        <v>777.36055584707879</v>
      </c>
      <c r="F365" s="69">
        <f t="shared" si="128"/>
        <v>0.73524536293107878</v>
      </c>
      <c r="G365" s="98">
        <f t="shared" si="129"/>
        <v>405.49088064460665</v>
      </c>
      <c r="H365" s="69">
        <f t="shared" si="130"/>
        <v>9.777046648536751E-2</v>
      </c>
      <c r="I365" s="69">
        <f t="shared" si="131"/>
        <v>-2.4585679961418507</v>
      </c>
      <c r="J365" s="99">
        <f t="shared" si="132"/>
        <v>1.5047746178408776E-2</v>
      </c>
      <c r="K365" s="69">
        <f t="shared" si="133"/>
        <v>2.0912303471500193E-7</v>
      </c>
      <c r="L365" s="99">
        <f t="shared" si="121"/>
        <v>1.5047955301443492E-2</v>
      </c>
      <c r="M365" s="69">
        <f t="shared" si="122"/>
        <v>6.4972592306935395</v>
      </c>
      <c r="N365" s="69">
        <f t="shared" si="123"/>
        <v>2.0315805132023423</v>
      </c>
      <c r="O365" s="69">
        <f t="shared" si="124"/>
        <v>20.779081723072188</v>
      </c>
      <c r="P365" s="69">
        <f t="shared" si="134"/>
        <v>1.6657726196723117</v>
      </c>
      <c r="Q365" s="69">
        <f t="shared" si="125"/>
        <v>0.29107857953580618</v>
      </c>
      <c r="R365" s="43">
        <f t="shared" si="135"/>
        <v>276.17172587653954</v>
      </c>
      <c r="S365" s="43">
        <f t="shared" si="136"/>
        <v>2905.071096876216</v>
      </c>
      <c r="T365" s="43">
        <f>R365+Thrust!C$33*0.8</f>
        <v>2087.9317258765395</v>
      </c>
      <c r="V365">
        <f t="shared" si="140"/>
        <v>2258287.6826429782</v>
      </c>
      <c r="W365">
        <f t="shared" si="141"/>
        <v>1623075.7669981373</v>
      </c>
      <c r="Y365">
        <f t="shared" si="142"/>
        <v>-7178.6628322425795</v>
      </c>
      <c r="Z365">
        <f t="shared" si="143"/>
        <v>-8.8536462799212288</v>
      </c>
      <c r="AA365">
        <f t="shared" si="137"/>
        <v>-2019.2166854935335</v>
      </c>
      <c r="AB365">
        <f t="shared" si="144"/>
        <v>-2.4812330725014431</v>
      </c>
      <c r="AC365">
        <f t="shared" si="138"/>
        <v>0.75637170744943827</v>
      </c>
      <c r="AD365">
        <f t="shared" si="139"/>
        <v>348.36479206840238</v>
      </c>
      <c r="AE365">
        <f t="shared" si="145"/>
        <v>-6496.2204279936777</v>
      </c>
      <c r="AG365">
        <v>2.5957542812278956E-2</v>
      </c>
      <c r="AH365">
        <v>-2019.2166854935335</v>
      </c>
      <c r="AI365">
        <f t="shared" si="146"/>
        <v>536.94584474329088</v>
      </c>
      <c r="AJ365">
        <f t="shared" si="147"/>
        <v>709.89678679802353</v>
      </c>
      <c r="AM365">
        <f t="shared" si="149"/>
        <v>0</v>
      </c>
      <c r="AN365" s="43">
        <f t="shared" si="150"/>
        <v>16595</v>
      </c>
      <c r="AO365" s="43">
        <f t="shared" si="151"/>
        <v>13595</v>
      </c>
      <c r="AP365">
        <f t="shared" si="148"/>
        <v>0</v>
      </c>
    </row>
    <row r="366" spans="1:42">
      <c r="A366">
        <v>347</v>
      </c>
      <c r="B366">
        <f t="shared" si="120"/>
        <v>347</v>
      </c>
      <c r="D366" s="43">
        <f t="shared" si="126"/>
        <v>461.90467370292851</v>
      </c>
      <c r="E366" s="43">
        <f t="shared" si="127"/>
        <v>779.60726265588539</v>
      </c>
      <c r="F366" s="69">
        <f t="shared" si="128"/>
        <v>0.73737034952914549</v>
      </c>
      <c r="G366" s="98">
        <f t="shared" si="129"/>
        <v>407.83814567423269</v>
      </c>
      <c r="H366" s="69">
        <f t="shared" si="130"/>
        <v>9.720775993291414E-2</v>
      </c>
      <c r="I366" s="69">
        <f t="shared" si="131"/>
        <v>-2.4633063332670315</v>
      </c>
      <c r="J366" s="99">
        <f t="shared" si="132"/>
        <v>1.5047746178408776E-2</v>
      </c>
      <c r="K366" s="69">
        <f t="shared" si="133"/>
        <v>3.2800417507416486E-7</v>
      </c>
      <c r="L366" s="99">
        <f t="shared" si="121"/>
        <v>1.5048074182583851E-2</v>
      </c>
      <c r="M366" s="69">
        <f t="shared" si="122"/>
        <v>6.4598139770881264</v>
      </c>
      <c r="N366" s="69">
        <f t="shared" si="123"/>
        <v>2.0140510736057822</v>
      </c>
      <c r="O366" s="69">
        <f t="shared" si="124"/>
        <v>20.719035959636713</v>
      </c>
      <c r="P366" s="69">
        <f t="shared" si="134"/>
        <v>1.6705869914054687</v>
      </c>
      <c r="Q366" s="69">
        <f t="shared" si="125"/>
        <v>0.28398170036213388</v>
      </c>
      <c r="R366" s="43">
        <f t="shared" si="135"/>
        <v>268.66181619262608</v>
      </c>
      <c r="S366" s="43">
        <f t="shared" si="136"/>
        <v>2921.9107650694664</v>
      </c>
      <c r="T366" s="43">
        <f>R366+Thrust!C$33*0.8</f>
        <v>2080.421816192626</v>
      </c>
      <c r="V366">
        <f t="shared" si="140"/>
        <v>2277942.8532805704</v>
      </c>
      <c r="W366">
        <f t="shared" si="141"/>
        <v>1621911.9572915188</v>
      </c>
      <c r="Y366">
        <f t="shared" si="142"/>
        <v>-7241.1428448653896</v>
      </c>
      <c r="Z366">
        <f t="shared" si="143"/>
        <v>-8.9053838023476377</v>
      </c>
      <c r="AA366">
        <f t="shared" si="137"/>
        <v>-2085.396225660561</v>
      </c>
      <c r="AB366">
        <f t="shared" si="144"/>
        <v>-2.555218594399733</v>
      </c>
      <c r="AC366">
        <f t="shared" si="138"/>
        <v>0.73156315595221089</v>
      </c>
      <c r="AD366">
        <f t="shared" si="139"/>
        <v>337.91244084319055</v>
      </c>
      <c r="AE366">
        <f t="shared" si="145"/>
        <v>-6575.3392853355608</v>
      </c>
      <c r="AG366">
        <v>2.5957542812278956E-2</v>
      </c>
      <c r="AH366">
        <v>-2085.396225660561</v>
      </c>
      <c r="AI366">
        <f t="shared" si="146"/>
        <v>517.46638285234076</v>
      </c>
      <c r="AJ366">
        <f t="shared" si="147"/>
        <v>707.34341750549288</v>
      </c>
      <c r="AM366">
        <f t="shared" si="149"/>
        <v>0</v>
      </c>
      <c r="AN366" s="43">
        <f t="shared" si="150"/>
        <v>16595</v>
      </c>
      <c r="AO366" s="43">
        <f t="shared" si="151"/>
        <v>13595</v>
      </c>
      <c r="AP366">
        <f t="shared" si="148"/>
        <v>0</v>
      </c>
    </row>
    <row r="367" spans="1:42">
      <c r="A367">
        <v>348</v>
      </c>
      <c r="B367">
        <f t="shared" si="120"/>
        <v>348</v>
      </c>
      <c r="D367" s="43">
        <f t="shared" si="126"/>
        <v>463.23581109112138</v>
      </c>
      <c r="E367" s="43">
        <f t="shared" si="127"/>
        <v>781.853969464692</v>
      </c>
      <c r="F367" s="69">
        <f t="shared" si="128"/>
        <v>0.73949533612721219</v>
      </c>
      <c r="G367" s="98">
        <f t="shared" si="129"/>
        <v>410.19218491750854</v>
      </c>
      <c r="H367" s="69">
        <f t="shared" si="130"/>
        <v>9.664989732595336E-2</v>
      </c>
      <c r="I367" s="69">
        <f t="shared" si="131"/>
        <v>-2.4680038813758762</v>
      </c>
      <c r="J367" s="99">
        <f t="shared" si="132"/>
        <v>1.5047746178408776E-2</v>
      </c>
      <c r="K367" s="69">
        <f t="shared" si="133"/>
        <v>4.7216098418646889E-7</v>
      </c>
      <c r="L367" s="99">
        <f t="shared" si="121"/>
        <v>1.5048218339392962E-2</v>
      </c>
      <c r="M367" s="69">
        <f t="shared" si="122"/>
        <v>6.422680422767721</v>
      </c>
      <c r="N367" s="69">
        <f t="shared" si="123"/>
        <v>1.9967192807547589</v>
      </c>
      <c r="O367" s="69">
        <f t="shared" si="124"/>
        <v>20.659300589019676</v>
      </c>
      <c r="P367" s="69">
        <f t="shared" si="134"/>
        <v>1.6754013631386258</v>
      </c>
      <c r="Q367" s="69">
        <f t="shared" si="125"/>
        <v>0.2768406769167755</v>
      </c>
      <c r="R367" s="43">
        <f t="shared" si="135"/>
        <v>261.15342408476266</v>
      </c>
      <c r="S367" s="43">
        <f t="shared" si="136"/>
        <v>2938.8041685976041</v>
      </c>
      <c r="T367" s="43">
        <f>R367+Thrust!C$33*0.8</f>
        <v>2072.9134240847625</v>
      </c>
      <c r="V367">
        <f t="shared" si="140"/>
        <v>2297715.7046974208</v>
      </c>
      <c r="W367">
        <f t="shared" si="141"/>
        <v>1620715.588977318</v>
      </c>
      <c r="Y367">
        <f t="shared" si="142"/>
        <v>-7303.9969420845155</v>
      </c>
      <c r="Z367">
        <f t="shared" si="143"/>
        <v>-8.9572937756490845</v>
      </c>
      <c r="AA367">
        <f t="shared" si="137"/>
        <v>-2152.0533479844325</v>
      </c>
      <c r="AB367">
        <f t="shared" si="144"/>
        <v>-2.6293670560642792</v>
      </c>
      <c r="AC367">
        <f t="shared" si="138"/>
        <v>0.70703010161174451</v>
      </c>
      <c r="AD367">
        <f t="shared" si="139"/>
        <v>327.52166258595452</v>
      </c>
      <c r="AE367">
        <f t="shared" si="145"/>
        <v>-6654.9357248342876</v>
      </c>
      <c r="AG367">
        <v>2.5957542812278956E-2</v>
      </c>
      <c r="AH367">
        <v>-2152.0533479844325</v>
      </c>
      <c r="AI367">
        <f t="shared" si="146"/>
        <v>498.30814421341967</v>
      </c>
      <c r="AJ367">
        <f t="shared" si="147"/>
        <v>704.7905641888193</v>
      </c>
      <c r="AM367">
        <f t="shared" si="149"/>
        <v>0</v>
      </c>
      <c r="AN367" s="43">
        <f t="shared" si="150"/>
        <v>16595</v>
      </c>
      <c r="AO367" s="43">
        <f t="shared" si="151"/>
        <v>13595</v>
      </c>
      <c r="AP367">
        <f t="shared" si="148"/>
        <v>0</v>
      </c>
    </row>
    <row r="368" spans="1:42">
      <c r="A368">
        <v>349</v>
      </c>
      <c r="B368">
        <f t="shared" si="120"/>
        <v>349</v>
      </c>
      <c r="D368" s="43">
        <f t="shared" si="126"/>
        <v>464.56694847931425</v>
      </c>
      <c r="E368" s="43">
        <f t="shared" si="127"/>
        <v>784.10067627349861</v>
      </c>
      <c r="F368" s="69">
        <f t="shared" si="128"/>
        <v>0.74162032272527889</v>
      </c>
      <c r="G368" s="98">
        <f t="shared" si="129"/>
        <v>412.55299837443403</v>
      </c>
      <c r="H368" s="69">
        <f t="shared" si="130"/>
        <v>9.60968232261004E-2</v>
      </c>
      <c r="I368" s="69">
        <f t="shared" si="131"/>
        <v>-2.4726611072938667</v>
      </c>
      <c r="J368" s="99">
        <f t="shared" si="132"/>
        <v>1.5047746178408776E-2</v>
      </c>
      <c r="K368" s="69">
        <f t="shared" si="133"/>
        <v>6.4092956308608222E-7</v>
      </c>
      <c r="L368" s="99">
        <f t="shared" si="121"/>
        <v>1.5048387107971862E-2</v>
      </c>
      <c r="M368" s="69">
        <f t="shared" si="122"/>
        <v>6.3858553436064414</v>
      </c>
      <c r="N368" s="69">
        <f t="shared" si="123"/>
        <v>1.9795824362176149</v>
      </c>
      <c r="O368" s="69">
        <f t="shared" si="124"/>
        <v>20.599873853893953</v>
      </c>
      <c r="P368" s="69">
        <f t="shared" si="134"/>
        <v>1.6802157348717828</v>
      </c>
      <c r="Q368" s="69">
        <f t="shared" si="125"/>
        <v>0.26965550919972969</v>
      </c>
      <c r="R368" s="43">
        <f t="shared" si="135"/>
        <v>253.64653650788159</v>
      </c>
      <c r="S368" s="43">
        <f t="shared" si="136"/>
        <v>2955.751263438463</v>
      </c>
      <c r="T368" s="43">
        <f>R368+Thrust!C$33*0.8</f>
        <v>2065.4065365078814</v>
      </c>
      <c r="V368">
        <f t="shared" si="140"/>
        <v>2317606.5645583468</v>
      </c>
      <c r="W368">
        <f t="shared" si="141"/>
        <v>1619486.6620555343</v>
      </c>
      <c r="Y368">
        <f t="shared" si="142"/>
        <v>-7367.2261654834865</v>
      </c>
      <c r="Z368">
        <f t="shared" si="143"/>
        <v>-9.0093761808231356</v>
      </c>
      <c r="AA368">
        <f t="shared" si="137"/>
        <v>-2219.1890940486755</v>
      </c>
      <c r="AB368">
        <f t="shared" si="144"/>
        <v>-2.7036785161962889</v>
      </c>
      <c r="AC368">
        <f t="shared" si="138"/>
        <v>0.68276913375132953</v>
      </c>
      <c r="AD368">
        <f t="shared" si="139"/>
        <v>317.1919729827199</v>
      </c>
      <c r="AE368">
        <f t="shared" si="145"/>
        <v>-6735.0107880733858</v>
      </c>
      <c r="AG368">
        <v>2.5957542812278956E-2</v>
      </c>
      <c r="AH368">
        <v>-2219.1890940486755</v>
      </c>
      <c r="AI368">
        <f t="shared" si="146"/>
        <v>479.46658280377886</v>
      </c>
      <c r="AJ368">
        <f t="shared" si="147"/>
        <v>702.23822241267976</v>
      </c>
      <c r="AM368">
        <f t="shared" si="149"/>
        <v>0</v>
      </c>
      <c r="AN368" s="43">
        <f t="shared" si="150"/>
        <v>16595</v>
      </c>
      <c r="AO368" s="43">
        <f t="shared" si="151"/>
        <v>13595</v>
      </c>
      <c r="AP368">
        <f t="shared" si="148"/>
        <v>0</v>
      </c>
    </row>
    <row r="369" spans="1:42">
      <c r="A369">
        <v>350</v>
      </c>
      <c r="B369">
        <f t="shared" si="120"/>
        <v>350</v>
      </c>
      <c r="D369" s="43">
        <f t="shared" si="126"/>
        <v>465.89808586750712</v>
      </c>
      <c r="E369" s="43">
        <f t="shared" si="127"/>
        <v>786.34738308230521</v>
      </c>
      <c r="F369" s="69">
        <f t="shared" si="128"/>
        <v>0.74374530932334559</v>
      </c>
      <c r="G369" s="98">
        <f t="shared" si="129"/>
        <v>414.92058604500926</v>
      </c>
      <c r="H369" s="69">
        <f t="shared" si="130"/>
        <v>9.5548482985814309E-2</v>
      </c>
      <c r="I369" s="69">
        <f t="shared" si="131"/>
        <v>-2.477278471187089</v>
      </c>
      <c r="J369" s="99">
        <f t="shared" si="132"/>
        <v>1.5047746178408776E-2</v>
      </c>
      <c r="K369" s="69">
        <f t="shared" si="133"/>
        <v>8.336618689631238E-7</v>
      </c>
      <c r="L369" s="99">
        <f t="shared" si="121"/>
        <v>1.5048579840277739E-2</v>
      </c>
      <c r="M369" s="69">
        <f t="shared" si="122"/>
        <v>6.3493355519221444</v>
      </c>
      <c r="N369" s="69">
        <f t="shared" si="123"/>
        <v>1.9626378836669971</v>
      </c>
      <c r="O369" s="69">
        <f t="shared" si="124"/>
        <v>20.540753995627348</v>
      </c>
      <c r="P369" s="69">
        <f t="shared" si="134"/>
        <v>1.6850301066049396</v>
      </c>
      <c r="Q369" s="69">
        <f t="shared" si="125"/>
        <v>0.26242619721099825</v>
      </c>
      <c r="R369" s="43">
        <f t="shared" si="135"/>
        <v>246.14114056600485</v>
      </c>
      <c r="S369" s="43">
        <f t="shared" si="136"/>
        <v>2972.7520061978676</v>
      </c>
      <c r="T369" s="43">
        <f>R369+Thrust!C$33*0.8</f>
        <v>2057.9011405660049</v>
      </c>
      <c r="V369">
        <f t="shared" si="140"/>
        <v>2337615.7606263659</v>
      </c>
      <c r="W369">
        <f t="shared" si="141"/>
        <v>1618225.1765261691</v>
      </c>
      <c r="Y369">
        <f t="shared" si="142"/>
        <v>-7430.8315569579845</v>
      </c>
      <c r="Z369">
        <f t="shared" si="143"/>
        <v>-9.0616310018784763</v>
      </c>
      <c r="AA369">
        <f t="shared" si="137"/>
        <v>-2286.8045057489699</v>
      </c>
      <c r="AB369">
        <f t="shared" si="144"/>
        <v>-2.7781530366645888</v>
      </c>
      <c r="AC369">
        <f t="shared" si="138"/>
        <v>0.65877688867499329</v>
      </c>
      <c r="AD369">
        <f t="shared" si="139"/>
        <v>306.9228914474312</v>
      </c>
      <c r="AE369">
        <f t="shared" si="145"/>
        <v>-6815.5655169485381</v>
      </c>
      <c r="AG369">
        <v>2.5957542812278956E-2</v>
      </c>
      <c r="AH369">
        <v>-2286.8045057489699</v>
      </c>
      <c r="AI369">
        <f t="shared" si="146"/>
        <v>460.93722159814956</v>
      </c>
      <c r="AJ369">
        <f t="shared" si="147"/>
        <v>699.68638779244168</v>
      </c>
      <c r="AM369">
        <f t="shared" si="149"/>
        <v>0</v>
      </c>
      <c r="AN369" s="43">
        <f t="shared" si="150"/>
        <v>16595</v>
      </c>
      <c r="AO369" s="43">
        <f t="shared" si="151"/>
        <v>13595</v>
      </c>
      <c r="AP369">
        <f t="shared" si="148"/>
        <v>0</v>
      </c>
    </row>
  </sheetData>
  <mergeCells count="5">
    <mergeCell ref="A1:L1"/>
    <mergeCell ref="A67:B67"/>
    <mergeCell ref="A69:B69"/>
    <mergeCell ref="A70:B70"/>
    <mergeCell ref="A71:B7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FB151-0726-406E-919F-BAEA6A2CD9F5}">
  <sheetPr codeName="Sheet6"/>
  <dimension ref="A1:K283"/>
  <sheetViews>
    <sheetView topLeftCell="A12" zoomScale="80" zoomScaleNormal="80" workbookViewId="0">
      <selection activeCell="C25" sqref="C25"/>
    </sheetView>
  </sheetViews>
  <sheetFormatPr defaultColWidth="8.42578125" defaultRowHeight="15"/>
  <cols>
    <col min="1" max="1" width="26.28515625" customWidth="1"/>
    <col min="2" max="2" width="18.42578125" customWidth="1"/>
    <col min="3" max="3" width="23.42578125" bestFit="1" customWidth="1"/>
    <col min="4" max="4" width="10.42578125" customWidth="1"/>
    <col min="5" max="5" width="26.42578125" customWidth="1"/>
  </cols>
  <sheetData>
    <row r="1" spans="1:11">
      <c r="A1" s="309" t="s">
        <v>1906</v>
      </c>
      <c r="B1" s="309"/>
      <c r="C1" s="309"/>
      <c r="D1" s="309"/>
      <c r="E1" s="309"/>
      <c r="F1" s="309"/>
      <c r="G1" s="309"/>
      <c r="H1" s="309"/>
      <c r="I1" s="309"/>
      <c r="J1" s="309"/>
      <c r="K1" s="309"/>
    </row>
    <row r="2" spans="1:11">
      <c r="A2" s="7"/>
    </row>
    <row r="3" spans="1:11">
      <c r="A3" s="7" t="s">
        <v>1907</v>
      </c>
    </row>
    <row r="4" spans="1:11">
      <c r="A4" s="18" t="s">
        <v>860</v>
      </c>
      <c r="B4" s="8" t="s">
        <v>861</v>
      </c>
      <c r="C4" s="8" t="s">
        <v>191</v>
      </c>
      <c r="D4" s="8" t="s">
        <v>192</v>
      </c>
      <c r="E4" s="18" t="s">
        <v>193</v>
      </c>
    </row>
    <row r="5" spans="1:11">
      <c r="A5" t="s">
        <v>1908</v>
      </c>
      <c r="B5" s="9" t="s">
        <v>1909</v>
      </c>
      <c r="C5" s="201">
        <f>General!C7</f>
        <v>18875</v>
      </c>
      <c r="D5" t="s">
        <v>1162</v>
      </c>
      <c r="E5" t="s">
        <v>1902</v>
      </c>
      <c r="G5" t="s">
        <v>1910</v>
      </c>
    </row>
    <row r="6" spans="1:11">
      <c r="A6" t="s">
        <v>1893</v>
      </c>
      <c r="B6" s="9" t="s">
        <v>1911</v>
      </c>
      <c r="C6" s="201">
        <v>0.6</v>
      </c>
    </row>
    <row r="7" spans="1:11">
      <c r="A7" t="s">
        <v>1912</v>
      </c>
      <c r="B7" s="9" t="s">
        <v>1146</v>
      </c>
      <c r="C7" s="201">
        <v>0.03</v>
      </c>
    </row>
    <row r="8" spans="1:11">
      <c r="A8" t="s">
        <v>1913</v>
      </c>
      <c r="B8" s="9" t="s">
        <v>1914</v>
      </c>
      <c r="C8" s="201">
        <f>Lift!C151</f>
        <v>0.99373385348611587</v>
      </c>
    </row>
    <row r="9" spans="1:11">
      <c r="A9" t="s">
        <v>1575</v>
      </c>
      <c r="B9" s="9" t="s">
        <v>1268</v>
      </c>
      <c r="C9" s="267">
        <f>General!C23</f>
        <v>476.1</v>
      </c>
      <c r="D9" t="s">
        <v>196</v>
      </c>
      <c r="E9" t="s">
        <v>1902</v>
      </c>
    </row>
    <row r="10" spans="1:11">
      <c r="A10" t="s">
        <v>150</v>
      </c>
      <c r="B10" s="9" t="s">
        <v>1038</v>
      </c>
      <c r="C10" s="201"/>
      <c r="E10" t="s">
        <v>1902</v>
      </c>
    </row>
    <row r="11" spans="1:11">
      <c r="A11" t="s">
        <v>1915</v>
      </c>
      <c r="B11" s="9" t="s">
        <v>1916</v>
      </c>
      <c r="C11" s="201">
        <f>Lift!C57</f>
        <v>1.476</v>
      </c>
      <c r="E11" t="s">
        <v>1902</v>
      </c>
    </row>
    <row r="12" spans="1:11">
      <c r="A12" t="s">
        <v>154</v>
      </c>
      <c r="B12" s="9" t="s">
        <v>910</v>
      </c>
      <c r="C12" s="201">
        <f>1/(PI()*General!C24*C16)</f>
        <v>4.2070130810614975E-2</v>
      </c>
      <c r="E12" t="s">
        <v>1902</v>
      </c>
    </row>
    <row r="13" spans="1:11">
      <c r="A13" t="s">
        <v>1917</v>
      </c>
      <c r="B13" s="9" t="s">
        <v>550</v>
      </c>
      <c r="C13" s="201">
        <v>2.3779999999999999E-3</v>
      </c>
    </row>
    <row r="14" spans="1:11">
      <c r="A14" s="221" t="s">
        <v>1057</v>
      </c>
      <c r="B14" s="9" t="s">
        <v>249</v>
      </c>
      <c r="C14" s="201"/>
      <c r="D14" t="s">
        <v>183</v>
      </c>
    </row>
    <row r="15" spans="1:11">
      <c r="A15" s="221" t="s">
        <v>1847</v>
      </c>
      <c r="B15" s="9" t="s">
        <v>574</v>
      </c>
      <c r="C15" s="201">
        <f>Thrust!C45</f>
        <v>5610.7845174158419</v>
      </c>
      <c r="D15" t="s">
        <v>324</v>
      </c>
      <c r="E15" t="s">
        <v>1918</v>
      </c>
    </row>
    <row r="16" spans="1:11">
      <c r="A16" t="s">
        <v>1919</v>
      </c>
      <c r="B16" s="9" t="s">
        <v>153</v>
      </c>
      <c r="C16" s="99">
        <f>1.78*(1-0.045*General!C24^0.68)-0.64</f>
        <v>0.75661729604956662</v>
      </c>
      <c r="D16" s="11"/>
    </row>
    <row r="17" spans="1:9">
      <c r="A17" s="7" t="s">
        <v>1920</v>
      </c>
      <c r="B17" s="10"/>
      <c r="C17" s="99"/>
      <c r="D17" t="s">
        <v>327</v>
      </c>
      <c r="E17" t="s">
        <v>1921</v>
      </c>
    </row>
    <row r="18" spans="1:9">
      <c r="A18" t="s">
        <v>1922</v>
      </c>
      <c r="B18" s="9" t="s">
        <v>323</v>
      </c>
      <c r="C18" s="99">
        <f>0.5*C13*(C27)^2*C9*C8</f>
        <v>15383.667254030657</v>
      </c>
      <c r="D18" s="11"/>
    </row>
    <row r="19" spans="1:9">
      <c r="A19" t="s">
        <v>1923</v>
      </c>
      <c r="B19" s="9" t="s">
        <v>1924</v>
      </c>
      <c r="C19" s="99">
        <f>Lift!C151</f>
        <v>0.99373385348611587</v>
      </c>
      <c r="D19" s="11"/>
    </row>
    <row r="20" spans="1:9">
      <c r="A20" t="s">
        <v>1925</v>
      </c>
      <c r="B20" s="10" t="s">
        <v>575</v>
      </c>
      <c r="C20" s="99">
        <f>0.5*C13*(C27)^2*C9*C21</f>
        <v>876.08670226642766</v>
      </c>
    </row>
    <row r="21" spans="1:9">
      <c r="A21" t="s">
        <v>1926</v>
      </c>
      <c r="B21" s="10" t="s">
        <v>1927</v>
      </c>
      <c r="C21" s="99">
        <f>Drag!C103+Drag!C92</f>
        <v>5.6592293648515861E-2</v>
      </c>
    </row>
    <row r="22" spans="1:9">
      <c r="A22" s="221" t="s">
        <v>1928</v>
      </c>
      <c r="B22" s="10" t="s">
        <v>1929</v>
      </c>
      <c r="C22" s="99">
        <f>C18/C20</f>
        <v>17.559526031194473</v>
      </c>
    </row>
    <row r="23" spans="1:9">
      <c r="A23" t="s">
        <v>1930</v>
      </c>
      <c r="B23" s="10" t="s">
        <v>1931</v>
      </c>
      <c r="C23" s="99">
        <f>(32.2/C5)*(C15-C20-(C7*(C5-C18)))</f>
        <v>7.898524090871776</v>
      </c>
      <c r="D23" t="s">
        <v>203</v>
      </c>
    </row>
    <row r="24" spans="1:9">
      <c r="B24" s="10"/>
      <c r="C24" s="99"/>
    </row>
    <row r="25" spans="1:9">
      <c r="B25" s="10"/>
      <c r="C25" s="99"/>
    </row>
    <row r="26" spans="1:9">
      <c r="B26" s="10"/>
      <c r="C26" s="99"/>
    </row>
    <row r="27" spans="1:9">
      <c r="A27" t="s">
        <v>1932</v>
      </c>
      <c r="B27" s="9" t="s">
        <v>1933</v>
      </c>
      <c r="C27" s="99">
        <f>1.556*SQRT(C5/(C13*C9*C11))</f>
        <v>165.36929623971309</v>
      </c>
      <c r="D27" t="s">
        <v>183</v>
      </c>
    </row>
    <row r="28" spans="1:9">
      <c r="B28" s="9" t="s">
        <v>1934</v>
      </c>
      <c r="C28" s="99">
        <f>C27/1.688</f>
        <v>97.967592559071747</v>
      </c>
      <c r="I28" t="s">
        <v>1935</v>
      </c>
    </row>
    <row r="29" spans="1:9">
      <c r="C29" s="99"/>
    </row>
    <row r="30" spans="1:9">
      <c r="A30" t="s">
        <v>1936</v>
      </c>
      <c r="B30" s="9" t="s">
        <v>1937</v>
      </c>
      <c r="C30" s="99">
        <f>Lift!C60*1.688</f>
        <v>154.27323077935054</v>
      </c>
      <c r="D30" t="s">
        <v>183</v>
      </c>
    </row>
    <row r="31" spans="1:9">
      <c r="B31" s="9"/>
      <c r="C31" s="99"/>
      <c r="D31" t="s">
        <v>213</v>
      </c>
    </row>
    <row r="32" spans="1:9">
      <c r="A32" t="s">
        <v>1938</v>
      </c>
      <c r="B32" s="9" t="s">
        <v>1939</v>
      </c>
      <c r="C32" s="99">
        <f>((C27^2*C5)/(2*32.2*(C15-C20-C7*(C5-C18))))</f>
        <v>1731.146466364683</v>
      </c>
    </row>
    <row r="33" spans="1:7">
      <c r="A33" t="s">
        <v>1940</v>
      </c>
      <c r="B33" s="9" t="s">
        <v>1941</v>
      </c>
      <c r="C33" s="99">
        <f>SQRT(((2*(C32+C36))/C23))</f>
        <v>21.913929119578697</v>
      </c>
      <c r="D33" t="s">
        <v>183</v>
      </c>
      <c r="G33" t="s">
        <v>1942</v>
      </c>
    </row>
    <row r="34" spans="1:7">
      <c r="A34" s="7" t="s">
        <v>1943</v>
      </c>
      <c r="B34" s="9"/>
      <c r="C34" s="99">
        <v>1656</v>
      </c>
    </row>
    <row r="35" spans="1:7">
      <c r="B35" s="9"/>
      <c r="C35" s="99"/>
      <c r="D35" t="s">
        <v>66</v>
      </c>
    </row>
    <row r="36" spans="1:7">
      <c r="A36" t="s">
        <v>1944</v>
      </c>
      <c r="B36" s="9" t="s">
        <v>1945</v>
      </c>
      <c r="C36" s="99">
        <f>C27</f>
        <v>165.36929623971309</v>
      </c>
      <c r="D36" t="s">
        <v>1946</v>
      </c>
    </row>
    <row r="37" spans="1:7">
      <c r="C37" s="99"/>
    </row>
    <row r="38" spans="1:7">
      <c r="A38" t="s">
        <v>1947</v>
      </c>
      <c r="C38" s="99">
        <f>(5900/C5)-(1/(C18/C20))</f>
        <v>0.25563363611991541</v>
      </c>
      <c r="D38" t="s">
        <v>183</v>
      </c>
    </row>
    <row r="39" spans="1:7">
      <c r="B39" s="9" t="s">
        <v>1948</v>
      </c>
      <c r="C39" s="99">
        <f>ASIN(C38)*(180/3.14159)</f>
        <v>14.811146812284653</v>
      </c>
      <c r="D39" t="s">
        <v>66</v>
      </c>
    </row>
    <row r="40" spans="1:7">
      <c r="A40" t="s">
        <v>1949</v>
      </c>
      <c r="B40" s="9" t="s">
        <v>1950</v>
      </c>
      <c r="C40" s="99">
        <f>C41*SIN(C38)</f>
        <v>1297.5003106190816</v>
      </c>
    </row>
    <row r="41" spans="1:7">
      <c r="B41" s="9" t="s">
        <v>587</v>
      </c>
      <c r="C41" s="99">
        <f>0.2156*C30^2</f>
        <v>5131.3295308872912</v>
      </c>
    </row>
    <row r="42" spans="1:7">
      <c r="A42" t="s">
        <v>1951</v>
      </c>
      <c r="B42" s="9" t="s">
        <v>1952</v>
      </c>
      <c r="C42" s="99">
        <f>C41*(1-COS(C39*(PI()/180)))</f>
        <v>170.49522934744121</v>
      </c>
    </row>
    <row r="43" spans="1:7">
      <c r="C43" s="99"/>
    </row>
    <row r="44" spans="1:7">
      <c r="A44" t="s">
        <v>1953</v>
      </c>
      <c r="B44" s="9" t="s">
        <v>1954</v>
      </c>
      <c r="C44" s="99">
        <f>C32+C36</f>
        <v>1896.5157626043961</v>
      </c>
    </row>
    <row r="45" spans="1:7">
      <c r="B45" s="9"/>
      <c r="C45" s="99"/>
    </row>
    <row r="46" spans="1:7">
      <c r="A46" t="s">
        <v>1955</v>
      </c>
      <c r="B46" s="9" t="s">
        <v>1956</v>
      </c>
      <c r="C46" s="99">
        <f>C32+C36+C40</f>
        <v>3194.0160732234776</v>
      </c>
    </row>
    <row r="47" spans="1:7">
      <c r="C47" s="99"/>
      <c r="D47" t="s">
        <v>66</v>
      </c>
    </row>
    <row r="48" spans="1:7" ht="32.1">
      <c r="A48" s="1" t="s">
        <v>1957</v>
      </c>
      <c r="B48" s="9"/>
      <c r="C48" s="99">
        <f>((C6*(550*Thrust!C25))/(C27/SQRT(2)))</f>
        <v>3782.875090567823</v>
      </c>
      <c r="E48">
        <f>0.2156*(1.1*Lift!C60)^2</f>
        <v>2179.0660349798495</v>
      </c>
      <c r="F48" t="s">
        <v>1937</v>
      </c>
    </row>
    <row r="49" spans="1:5">
      <c r="B49" s="9"/>
      <c r="D49" t="s">
        <v>66</v>
      </c>
    </row>
    <row r="50" spans="1:5" ht="32.1">
      <c r="A50" s="1" t="s">
        <v>1957</v>
      </c>
      <c r="B50" s="9"/>
    </row>
    <row r="51" spans="1:5">
      <c r="B51" s="9"/>
      <c r="D51" t="s">
        <v>324</v>
      </c>
    </row>
    <row r="52" spans="1:5">
      <c r="B52" s="9"/>
      <c r="E52" t="s">
        <v>1958</v>
      </c>
    </row>
    <row r="54" spans="1:5">
      <c r="B54" s="9"/>
    </row>
    <row r="55" spans="1:5">
      <c r="B55" s="9"/>
    </row>
    <row r="56" spans="1:5">
      <c r="B56" s="9"/>
    </row>
    <row r="283" spans="2:2">
      <c r="B283" t="s">
        <v>1959</v>
      </c>
    </row>
  </sheetData>
  <mergeCells count="1">
    <mergeCell ref="A1:K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54513-F03E-47CF-B3E3-16E2673D1BBB}">
  <dimension ref="A1:K121"/>
  <sheetViews>
    <sheetView topLeftCell="A27" workbookViewId="0">
      <selection activeCell="C30" sqref="C30"/>
    </sheetView>
  </sheetViews>
  <sheetFormatPr defaultColWidth="8.42578125" defaultRowHeight="15"/>
  <cols>
    <col min="1" max="1" width="15.42578125" bestFit="1" customWidth="1"/>
  </cols>
  <sheetData>
    <row r="1" spans="1:11">
      <c r="A1" s="309" t="s">
        <v>1960</v>
      </c>
      <c r="B1" s="309"/>
      <c r="C1" s="309"/>
      <c r="D1" s="309"/>
      <c r="E1" s="309"/>
      <c r="F1" s="309"/>
      <c r="G1" s="309"/>
      <c r="H1" s="309"/>
      <c r="I1" s="309"/>
      <c r="J1" s="309"/>
      <c r="K1" s="309"/>
    </row>
    <row r="2" spans="1:11">
      <c r="A2" s="7"/>
    </row>
    <row r="3" spans="1:11">
      <c r="A3" s="7" t="s">
        <v>1907</v>
      </c>
    </row>
    <row r="4" spans="1:11">
      <c r="A4" s="18" t="s">
        <v>860</v>
      </c>
      <c r="B4" s="8" t="s">
        <v>861</v>
      </c>
      <c r="C4" s="8" t="s">
        <v>191</v>
      </c>
      <c r="D4" s="8" t="s">
        <v>192</v>
      </c>
      <c r="E4" s="18" t="s">
        <v>193</v>
      </c>
    </row>
    <row r="5" spans="1:11">
      <c r="B5" s="9"/>
      <c r="C5" s="6"/>
    </row>
    <row r="6" spans="1:11">
      <c r="A6" t="s">
        <v>1947</v>
      </c>
      <c r="B6" s="9" t="s">
        <v>1961</v>
      </c>
      <c r="C6">
        <f>'Performance T_O'!C39</f>
        <v>14.811146812284653</v>
      </c>
    </row>
    <row r="7" spans="1:11">
      <c r="A7" t="s">
        <v>1442</v>
      </c>
      <c r="B7" s="9" t="s">
        <v>199</v>
      </c>
      <c r="C7" s="5">
        <f>General!C7</f>
        <v>18875</v>
      </c>
    </row>
    <row r="8" spans="1:11">
      <c r="A8" t="s">
        <v>1962</v>
      </c>
      <c r="B8" s="9" t="s">
        <v>574</v>
      </c>
      <c r="C8" s="5">
        <f>Thrust!C36</f>
        <v>4288.5095238095237</v>
      </c>
    </row>
    <row r="9" spans="1:11">
      <c r="A9" t="s">
        <v>1058</v>
      </c>
      <c r="B9" s="9" t="s">
        <v>575</v>
      </c>
      <c r="C9" s="5">
        <f>Drag!C99</f>
        <v>1932.0839843821918</v>
      </c>
    </row>
    <row r="10" spans="1:11">
      <c r="A10" t="s">
        <v>1963</v>
      </c>
      <c r="B10" t="s">
        <v>1964</v>
      </c>
      <c r="C10">
        <v>250</v>
      </c>
    </row>
    <row r="11" spans="1:11">
      <c r="A11" t="s">
        <v>1965</v>
      </c>
    </row>
    <row r="12" spans="1:11">
      <c r="A12" t="s">
        <v>1966</v>
      </c>
    </row>
    <row r="13" spans="1:11">
      <c r="A13" t="s">
        <v>1967</v>
      </c>
    </row>
    <row r="14" spans="1:11">
      <c r="A14" t="s">
        <v>1968</v>
      </c>
    </row>
    <row r="15" spans="1:11">
      <c r="A15" t="s">
        <v>1969</v>
      </c>
    </row>
    <row r="16" spans="1:11">
      <c r="A16" t="s">
        <v>1970</v>
      </c>
    </row>
    <row r="24" spans="1:4">
      <c r="A24" s="7" t="s">
        <v>1845</v>
      </c>
      <c r="B24" s="9"/>
      <c r="C24" s="6"/>
    </row>
    <row r="25" spans="1:4">
      <c r="A25" t="s">
        <v>1971</v>
      </c>
      <c r="B25" s="9"/>
      <c r="C25" s="6"/>
    </row>
    <row r="26" spans="1:4">
      <c r="B26" s="9"/>
      <c r="C26" s="6"/>
    </row>
    <row r="30" spans="1:4">
      <c r="A30" t="s">
        <v>1972</v>
      </c>
      <c r="B30" s="9" t="s">
        <v>1973</v>
      </c>
      <c r="C30">
        <f>60*(((C8*C10)-(C9*C10))/C7)</f>
        <v>1872.6560578230451</v>
      </c>
      <c r="D30" t="s">
        <v>1974</v>
      </c>
    </row>
    <row r="31" spans="1:4">
      <c r="A31" t="s">
        <v>326</v>
      </c>
      <c r="B31" t="s">
        <v>1964</v>
      </c>
    </row>
    <row r="32" spans="1:4">
      <c r="A32">
        <v>12400</v>
      </c>
      <c r="B32">
        <v>72</v>
      </c>
      <c r="C32">
        <f t="shared" ref="C32:C62" si="0">60*((($C$8*B32)-($C$9*B32))/$C$7)</f>
        <v>539.32494465303705</v>
      </c>
    </row>
    <row r="33" spans="1:3">
      <c r="A33">
        <v>12500</v>
      </c>
      <c r="B33">
        <v>74</v>
      </c>
      <c r="C33">
        <f t="shared" si="0"/>
        <v>554.30619311562145</v>
      </c>
    </row>
    <row r="34" spans="1:3">
      <c r="A34">
        <v>12600</v>
      </c>
      <c r="B34">
        <v>76</v>
      </c>
      <c r="C34">
        <f t="shared" si="0"/>
        <v>569.28744157820574</v>
      </c>
    </row>
    <row r="35" spans="1:3">
      <c r="A35">
        <v>12700</v>
      </c>
      <c r="B35">
        <v>78</v>
      </c>
      <c r="C35">
        <f t="shared" si="0"/>
        <v>584.26869004078992</v>
      </c>
    </row>
    <row r="36" spans="1:3">
      <c r="A36">
        <v>12800</v>
      </c>
      <c r="B36">
        <v>80</v>
      </c>
      <c r="C36">
        <f t="shared" si="0"/>
        <v>599.24993850337444</v>
      </c>
    </row>
    <row r="37" spans="1:3">
      <c r="A37">
        <v>12900</v>
      </c>
      <c r="B37">
        <v>82</v>
      </c>
      <c r="C37">
        <f t="shared" si="0"/>
        <v>614.23118696595895</v>
      </c>
    </row>
    <row r="38" spans="1:3">
      <c r="A38">
        <v>13000</v>
      </c>
      <c r="B38">
        <v>84</v>
      </c>
      <c r="C38">
        <f t="shared" si="0"/>
        <v>629.21243542854324</v>
      </c>
    </row>
    <row r="39" spans="1:3">
      <c r="A39">
        <v>13100</v>
      </c>
      <c r="B39">
        <v>86</v>
      </c>
      <c r="C39">
        <f t="shared" si="0"/>
        <v>644.19368389112742</v>
      </c>
    </row>
    <row r="40" spans="1:3">
      <c r="A40">
        <v>13200</v>
      </c>
      <c r="B40">
        <v>88</v>
      </c>
      <c r="C40">
        <f t="shared" si="0"/>
        <v>659.17493235371182</v>
      </c>
    </row>
    <row r="41" spans="1:3">
      <c r="A41">
        <v>13300</v>
      </c>
      <c r="B41">
        <v>90</v>
      </c>
      <c r="C41">
        <f t="shared" si="0"/>
        <v>674.15618081629634</v>
      </c>
    </row>
    <row r="42" spans="1:3">
      <c r="A42">
        <v>13400</v>
      </c>
      <c r="B42">
        <v>92</v>
      </c>
      <c r="C42">
        <f t="shared" si="0"/>
        <v>689.13742927888063</v>
      </c>
    </row>
    <row r="43" spans="1:3">
      <c r="A43">
        <v>13500</v>
      </c>
      <c r="B43">
        <v>94</v>
      </c>
      <c r="C43">
        <f t="shared" si="0"/>
        <v>704.11867774146492</v>
      </c>
    </row>
    <row r="44" spans="1:3">
      <c r="A44">
        <v>13600</v>
      </c>
      <c r="B44">
        <v>96</v>
      </c>
      <c r="C44">
        <f t="shared" si="0"/>
        <v>719.09992620404944</v>
      </c>
    </row>
    <row r="45" spans="1:3">
      <c r="A45">
        <v>13700</v>
      </c>
      <c r="B45">
        <v>98</v>
      </c>
      <c r="C45">
        <f t="shared" si="0"/>
        <v>734.08117466663373</v>
      </c>
    </row>
    <row r="46" spans="1:3">
      <c r="A46">
        <v>13800</v>
      </c>
      <c r="B46">
        <v>100</v>
      </c>
      <c r="C46">
        <f t="shared" si="0"/>
        <v>749.06242312921802</v>
      </c>
    </row>
    <row r="47" spans="1:3">
      <c r="A47">
        <v>13900</v>
      </c>
      <c r="B47">
        <v>102</v>
      </c>
      <c r="C47">
        <f t="shared" si="0"/>
        <v>764.04367159180231</v>
      </c>
    </row>
    <row r="48" spans="1:3">
      <c r="A48">
        <v>14000</v>
      </c>
      <c r="B48">
        <v>104</v>
      </c>
      <c r="C48">
        <f t="shared" si="0"/>
        <v>779.02492005438683</v>
      </c>
    </row>
    <row r="49" spans="1:3">
      <c r="A49">
        <v>14100</v>
      </c>
      <c r="B49">
        <v>106</v>
      </c>
      <c r="C49">
        <f t="shared" si="0"/>
        <v>794.00616851697123</v>
      </c>
    </row>
    <row r="50" spans="1:3">
      <c r="A50">
        <v>14200</v>
      </c>
      <c r="B50">
        <v>108</v>
      </c>
      <c r="C50">
        <f t="shared" si="0"/>
        <v>808.98741697955552</v>
      </c>
    </row>
    <row r="51" spans="1:3">
      <c r="A51">
        <v>14300</v>
      </c>
      <c r="B51">
        <v>110</v>
      </c>
      <c r="C51">
        <f t="shared" si="0"/>
        <v>823.9686654421397</v>
      </c>
    </row>
    <row r="52" spans="1:3">
      <c r="A52">
        <v>14400</v>
      </c>
      <c r="B52">
        <v>112</v>
      </c>
      <c r="C52">
        <f t="shared" si="0"/>
        <v>838.94991390472421</v>
      </c>
    </row>
    <row r="53" spans="1:3">
      <c r="A53">
        <v>14500</v>
      </c>
      <c r="B53">
        <v>114</v>
      </c>
      <c r="C53">
        <f t="shared" si="0"/>
        <v>853.93116236730873</v>
      </c>
    </row>
    <row r="54" spans="1:3">
      <c r="A54">
        <v>14600</v>
      </c>
      <c r="B54">
        <v>116</v>
      </c>
      <c r="C54">
        <f t="shared" si="0"/>
        <v>868.91241082989291</v>
      </c>
    </row>
    <row r="55" spans="1:3">
      <c r="A55">
        <v>14700</v>
      </c>
      <c r="B55">
        <v>118</v>
      </c>
      <c r="C55">
        <f t="shared" si="0"/>
        <v>883.8936592924772</v>
      </c>
    </row>
    <row r="56" spans="1:3">
      <c r="A56">
        <v>14800</v>
      </c>
      <c r="B56">
        <v>120</v>
      </c>
      <c r="C56">
        <f t="shared" si="0"/>
        <v>898.87490775506171</v>
      </c>
    </row>
    <row r="57" spans="1:3">
      <c r="A57">
        <v>14900</v>
      </c>
      <c r="B57">
        <v>122</v>
      </c>
      <c r="C57">
        <f t="shared" si="0"/>
        <v>913.856156217646</v>
      </c>
    </row>
    <row r="58" spans="1:3">
      <c r="A58">
        <v>15000</v>
      </c>
      <c r="B58">
        <v>124</v>
      </c>
      <c r="C58">
        <f t="shared" si="0"/>
        <v>928.83740468023018</v>
      </c>
    </row>
    <row r="59" spans="1:3">
      <c r="A59">
        <v>15100</v>
      </c>
      <c r="B59">
        <v>126</v>
      </c>
      <c r="C59">
        <f t="shared" si="0"/>
        <v>943.8186531428147</v>
      </c>
    </row>
    <row r="60" spans="1:3">
      <c r="A60">
        <v>15200</v>
      </c>
      <c r="B60">
        <v>128</v>
      </c>
      <c r="C60">
        <f t="shared" si="0"/>
        <v>958.7999016053991</v>
      </c>
    </row>
    <row r="61" spans="1:3">
      <c r="A61">
        <v>15300</v>
      </c>
      <c r="B61">
        <v>130</v>
      </c>
      <c r="C61">
        <f t="shared" si="0"/>
        <v>973.78115006798362</v>
      </c>
    </row>
    <row r="62" spans="1:3">
      <c r="A62">
        <v>15400</v>
      </c>
      <c r="B62">
        <v>132</v>
      </c>
      <c r="C62">
        <f t="shared" si="0"/>
        <v>988.76239853056813</v>
      </c>
    </row>
    <row r="63" spans="1:3">
      <c r="B63">
        <v>134</v>
      </c>
      <c r="C63">
        <f t="shared" ref="C63" si="1">60*((($C$8*B63)-($C$9*B63))/$C$7)</f>
        <v>1003.7436469931522</v>
      </c>
    </row>
    <row r="64" spans="1:3">
      <c r="B64">
        <v>136</v>
      </c>
      <c r="C64">
        <f t="shared" ref="C64:C95" si="2">60*((($C$8*B64)-($C$9*B64))/$C$7)</f>
        <v>1018.7248954557367</v>
      </c>
    </row>
    <row r="65" spans="2:3">
      <c r="B65">
        <v>138</v>
      </c>
      <c r="C65">
        <f t="shared" si="2"/>
        <v>1033.706143918321</v>
      </c>
    </row>
    <row r="66" spans="2:3">
      <c r="B66">
        <v>140</v>
      </c>
      <c r="C66">
        <f t="shared" si="2"/>
        <v>1048.6873923809051</v>
      </c>
    </row>
    <row r="67" spans="2:3">
      <c r="B67">
        <v>142</v>
      </c>
      <c r="C67">
        <f t="shared" si="2"/>
        <v>1063.6686408434896</v>
      </c>
    </row>
    <row r="68" spans="2:3">
      <c r="B68">
        <v>144</v>
      </c>
      <c r="C68">
        <f t="shared" si="2"/>
        <v>1078.6498893060741</v>
      </c>
    </row>
    <row r="69" spans="2:3">
      <c r="B69">
        <v>146</v>
      </c>
      <c r="C69">
        <f t="shared" si="2"/>
        <v>1093.6311377686586</v>
      </c>
    </row>
    <row r="70" spans="2:3">
      <c r="B70">
        <v>148</v>
      </c>
      <c r="C70">
        <f t="shared" si="2"/>
        <v>1108.6123862312429</v>
      </c>
    </row>
    <row r="71" spans="2:3">
      <c r="B71">
        <v>150</v>
      </c>
      <c r="C71">
        <f t="shared" si="2"/>
        <v>1123.593634693827</v>
      </c>
    </row>
    <row r="72" spans="2:3">
      <c r="B72">
        <v>152</v>
      </c>
      <c r="C72">
        <f t="shared" si="2"/>
        <v>1138.5748831564115</v>
      </c>
    </row>
    <row r="73" spans="2:3">
      <c r="B73">
        <v>154</v>
      </c>
      <c r="C73">
        <f t="shared" si="2"/>
        <v>1153.556131618996</v>
      </c>
    </row>
    <row r="74" spans="2:3">
      <c r="B74">
        <v>156</v>
      </c>
      <c r="C74">
        <f t="shared" si="2"/>
        <v>1168.5373800815798</v>
      </c>
    </row>
    <row r="75" spans="2:3">
      <c r="B75">
        <v>158</v>
      </c>
      <c r="C75">
        <f t="shared" si="2"/>
        <v>1183.5186285441644</v>
      </c>
    </row>
    <row r="76" spans="2:3">
      <c r="B76">
        <v>160</v>
      </c>
      <c r="C76">
        <f t="shared" si="2"/>
        <v>1198.4998770067489</v>
      </c>
    </row>
    <row r="77" spans="2:3">
      <c r="B77">
        <v>162</v>
      </c>
      <c r="C77">
        <f t="shared" si="2"/>
        <v>1213.4811254693334</v>
      </c>
    </row>
    <row r="78" spans="2:3">
      <c r="B78">
        <v>164</v>
      </c>
      <c r="C78">
        <f t="shared" si="2"/>
        <v>1228.4623739319179</v>
      </c>
    </row>
    <row r="79" spans="2:3">
      <c r="B79">
        <v>166</v>
      </c>
      <c r="C79">
        <f t="shared" si="2"/>
        <v>1243.443622394502</v>
      </c>
    </row>
    <row r="80" spans="2:3">
      <c r="B80">
        <v>168</v>
      </c>
      <c r="C80">
        <f t="shared" si="2"/>
        <v>1258.4248708570865</v>
      </c>
    </row>
    <row r="81" spans="2:3">
      <c r="B81">
        <v>170</v>
      </c>
      <c r="C81">
        <f t="shared" si="2"/>
        <v>1273.4061193196708</v>
      </c>
    </row>
    <row r="82" spans="2:3">
      <c r="B82">
        <v>172</v>
      </c>
      <c r="C82">
        <f t="shared" si="2"/>
        <v>1288.3873677822548</v>
      </c>
    </row>
    <row r="83" spans="2:3">
      <c r="B83">
        <v>174</v>
      </c>
      <c r="C83">
        <f t="shared" si="2"/>
        <v>1303.3686162448391</v>
      </c>
    </row>
    <row r="84" spans="2:3">
      <c r="B84">
        <v>176</v>
      </c>
      <c r="C84">
        <f t="shared" si="2"/>
        <v>1318.3498647074236</v>
      </c>
    </row>
    <row r="85" spans="2:3">
      <c r="B85">
        <v>178</v>
      </c>
      <c r="C85">
        <f t="shared" si="2"/>
        <v>1333.3311131700082</v>
      </c>
    </row>
    <row r="86" spans="2:3">
      <c r="B86">
        <v>180</v>
      </c>
      <c r="C86">
        <f t="shared" si="2"/>
        <v>1348.3123616325927</v>
      </c>
    </row>
    <row r="87" spans="2:3">
      <c r="B87">
        <v>182</v>
      </c>
      <c r="C87">
        <f t="shared" si="2"/>
        <v>1363.2936100951767</v>
      </c>
    </row>
    <row r="88" spans="2:3">
      <c r="B88">
        <v>184</v>
      </c>
      <c r="C88">
        <f t="shared" si="2"/>
        <v>1378.2748585577613</v>
      </c>
    </row>
    <row r="89" spans="2:3">
      <c r="B89">
        <v>186</v>
      </c>
      <c r="C89">
        <f t="shared" si="2"/>
        <v>1393.2561070203458</v>
      </c>
    </row>
    <row r="90" spans="2:3">
      <c r="B90">
        <v>188</v>
      </c>
      <c r="C90">
        <f t="shared" si="2"/>
        <v>1408.2373554829298</v>
      </c>
    </row>
    <row r="91" spans="2:3">
      <c r="B91">
        <v>190</v>
      </c>
      <c r="C91">
        <f t="shared" si="2"/>
        <v>1423.2186039455144</v>
      </c>
    </row>
    <row r="92" spans="2:3">
      <c r="B92">
        <v>192</v>
      </c>
      <c r="C92">
        <f t="shared" si="2"/>
        <v>1438.1998524080989</v>
      </c>
    </row>
    <row r="93" spans="2:3">
      <c r="B93">
        <v>194</v>
      </c>
      <c r="C93">
        <f t="shared" si="2"/>
        <v>1453.1811008706832</v>
      </c>
    </row>
    <row r="94" spans="2:3">
      <c r="B94">
        <v>196</v>
      </c>
      <c r="C94">
        <f t="shared" si="2"/>
        <v>1468.1623493332675</v>
      </c>
    </row>
    <row r="95" spans="2:3">
      <c r="B95">
        <v>198</v>
      </c>
      <c r="C95">
        <f t="shared" si="2"/>
        <v>1483.1435977958515</v>
      </c>
    </row>
    <row r="96" spans="2:3">
      <c r="B96">
        <v>200</v>
      </c>
      <c r="C96">
        <f t="shared" ref="C96:C121" si="3">60*((($C$8*B96)-($C$9*B96))/$C$7)</f>
        <v>1498.124846258436</v>
      </c>
    </row>
    <row r="97" spans="2:3">
      <c r="B97">
        <v>202</v>
      </c>
      <c r="C97">
        <f t="shared" si="3"/>
        <v>1513.1060947210206</v>
      </c>
    </row>
    <row r="98" spans="2:3">
      <c r="B98">
        <v>204</v>
      </c>
      <c r="C98">
        <f t="shared" si="3"/>
        <v>1528.0873431836046</v>
      </c>
    </row>
    <row r="99" spans="2:3">
      <c r="B99">
        <v>206</v>
      </c>
      <c r="C99">
        <f t="shared" si="3"/>
        <v>1543.0685916461891</v>
      </c>
    </row>
    <row r="100" spans="2:3">
      <c r="B100">
        <v>208</v>
      </c>
      <c r="C100">
        <f t="shared" si="3"/>
        <v>1558.0498401087737</v>
      </c>
    </row>
    <row r="101" spans="2:3">
      <c r="B101">
        <v>210</v>
      </c>
      <c r="C101">
        <f t="shared" si="3"/>
        <v>1573.0310885713582</v>
      </c>
    </row>
    <row r="102" spans="2:3">
      <c r="B102">
        <v>212</v>
      </c>
      <c r="C102">
        <f t="shared" si="3"/>
        <v>1588.0123370339425</v>
      </c>
    </row>
    <row r="103" spans="2:3">
      <c r="B103">
        <v>214</v>
      </c>
      <c r="C103">
        <f t="shared" si="3"/>
        <v>1602.9935854965265</v>
      </c>
    </row>
    <row r="104" spans="2:3">
      <c r="B104">
        <v>216</v>
      </c>
      <c r="C104">
        <f t="shared" si="3"/>
        <v>1617.974833959111</v>
      </c>
    </row>
    <row r="105" spans="2:3">
      <c r="B105">
        <v>218</v>
      </c>
      <c r="C105">
        <f t="shared" si="3"/>
        <v>1632.9560824216953</v>
      </c>
    </row>
    <row r="106" spans="2:3">
      <c r="B106">
        <v>220</v>
      </c>
      <c r="C106">
        <f t="shared" si="3"/>
        <v>1647.9373308842794</v>
      </c>
    </row>
    <row r="107" spans="2:3">
      <c r="B107">
        <v>222</v>
      </c>
      <c r="C107">
        <f t="shared" si="3"/>
        <v>1662.9185793468639</v>
      </c>
    </row>
    <row r="108" spans="2:3">
      <c r="B108">
        <v>224</v>
      </c>
      <c r="C108">
        <f t="shared" si="3"/>
        <v>1677.8998278094484</v>
      </c>
    </row>
    <row r="109" spans="2:3">
      <c r="B109">
        <v>226</v>
      </c>
      <c r="C109">
        <f t="shared" si="3"/>
        <v>1692.8810762720327</v>
      </c>
    </row>
    <row r="110" spans="2:3">
      <c r="B110">
        <v>228</v>
      </c>
      <c r="C110">
        <f t="shared" si="3"/>
        <v>1707.8623247346175</v>
      </c>
    </row>
    <row r="111" spans="2:3">
      <c r="B111">
        <v>230</v>
      </c>
      <c r="C111">
        <f t="shared" si="3"/>
        <v>1722.8435731972013</v>
      </c>
    </row>
    <row r="112" spans="2:3">
      <c r="B112">
        <v>232</v>
      </c>
      <c r="C112">
        <f t="shared" si="3"/>
        <v>1737.8248216597858</v>
      </c>
    </row>
    <row r="113" spans="2:3">
      <c r="B113">
        <v>234</v>
      </c>
      <c r="C113">
        <f t="shared" si="3"/>
        <v>1752.8060701223703</v>
      </c>
    </row>
    <row r="114" spans="2:3">
      <c r="B114">
        <v>236</v>
      </c>
      <c r="C114">
        <f t="shared" si="3"/>
        <v>1767.7873185849544</v>
      </c>
    </row>
    <row r="115" spans="2:3">
      <c r="B115">
        <v>238</v>
      </c>
      <c r="C115">
        <f t="shared" si="3"/>
        <v>1782.7685670475389</v>
      </c>
    </row>
    <row r="116" spans="2:3">
      <c r="B116">
        <v>240</v>
      </c>
      <c r="C116">
        <f t="shared" si="3"/>
        <v>1797.7498155101234</v>
      </c>
    </row>
    <row r="117" spans="2:3">
      <c r="B117">
        <v>242</v>
      </c>
      <c r="C117">
        <f t="shared" si="3"/>
        <v>1812.7310639727077</v>
      </c>
    </row>
    <row r="118" spans="2:3">
      <c r="B118">
        <v>244</v>
      </c>
      <c r="C118">
        <f t="shared" si="3"/>
        <v>1827.712312435292</v>
      </c>
    </row>
    <row r="119" spans="2:3">
      <c r="B119">
        <v>246</v>
      </c>
      <c r="C119">
        <f t="shared" si="3"/>
        <v>1842.6935608978768</v>
      </c>
    </row>
    <row r="120" spans="2:3">
      <c r="B120">
        <v>248</v>
      </c>
      <c r="C120">
        <f t="shared" si="3"/>
        <v>1857.6748093604604</v>
      </c>
    </row>
    <row r="121" spans="2:3">
      <c r="B121">
        <v>250</v>
      </c>
      <c r="C121">
        <f t="shared" si="3"/>
        <v>1872.6560578230451</v>
      </c>
    </row>
  </sheetData>
  <mergeCells count="1">
    <mergeCell ref="A1:K1"/>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363BF-98EA-450B-880C-B259BEB70FE0}">
  <dimension ref="A1:P87"/>
  <sheetViews>
    <sheetView topLeftCell="A15" zoomScaleNormal="60" workbookViewId="0">
      <selection activeCell="C84" sqref="C84"/>
    </sheetView>
  </sheetViews>
  <sheetFormatPr defaultColWidth="8.42578125" defaultRowHeight="15"/>
  <cols>
    <col min="1" max="1" width="28.42578125" bestFit="1" customWidth="1"/>
    <col min="3" max="3" width="16.42578125" bestFit="1" customWidth="1"/>
    <col min="4" max="4" width="11.42578125" bestFit="1" customWidth="1"/>
    <col min="5" max="5" width="12.42578125" bestFit="1" customWidth="1"/>
    <col min="9" max="9" width="17.42578125" bestFit="1" customWidth="1"/>
    <col min="10" max="10" width="15.42578125" bestFit="1" customWidth="1"/>
    <col min="11" max="11" width="16.42578125" bestFit="1" customWidth="1"/>
    <col min="12" max="12" width="14.42578125" bestFit="1" customWidth="1"/>
  </cols>
  <sheetData>
    <row r="1" spans="1:10">
      <c r="A1" s="309" t="s">
        <v>1975</v>
      </c>
      <c r="B1" s="309"/>
      <c r="C1" s="309"/>
      <c r="D1" s="309"/>
      <c r="E1" s="309"/>
      <c r="F1" s="309"/>
      <c r="G1" s="309"/>
      <c r="H1" s="309"/>
      <c r="I1" s="309"/>
      <c r="J1" s="309"/>
    </row>
    <row r="2" spans="1:10">
      <c r="A2" s="7"/>
    </row>
    <row r="3" spans="1:10">
      <c r="A3" s="7" t="s">
        <v>1907</v>
      </c>
    </row>
    <row r="4" spans="1:10">
      <c r="A4" s="18" t="s">
        <v>860</v>
      </c>
      <c r="B4" s="8" t="s">
        <v>861</v>
      </c>
      <c r="C4" s="8" t="s">
        <v>191</v>
      </c>
      <c r="D4" s="8" t="s">
        <v>192</v>
      </c>
      <c r="E4" s="18" t="s">
        <v>193</v>
      </c>
    </row>
    <row r="5" spans="1:10">
      <c r="A5" t="s">
        <v>43</v>
      </c>
      <c r="B5" s="9" t="s">
        <v>307</v>
      </c>
      <c r="C5" s="63">
        <f>General!C23</f>
        <v>476.1</v>
      </c>
    </row>
    <row r="6" spans="1:10">
      <c r="A6" t="s">
        <v>1947</v>
      </c>
      <c r="B6" s="9" t="s">
        <v>1961</v>
      </c>
    </row>
    <row r="7" spans="1:10">
      <c r="A7" t="s">
        <v>326</v>
      </c>
      <c r="B7" s="9" t="s">
        <v>199</v>
      </c>
      <c r="C7" s="5">
        <f>General!C7</f>
        <v>18875</v>
      </c>
      <c r="F7">
        <f>1/2*C9*C5*C8*531^2*531</f>
        <v>1022362.297036163</v>
      </c>
    </row>
    <row r="8" spans="1:10">
      <c r="A8" t="s">
        <v>1976</v>
      </c>
      <c r="B8" s="9" t="s">
        <v>1033</v>
      </c>
      <c r="C8" s="5">
        <f>(Drag!C99)/(0.5*C9*(Drag!C8)^2*C5)</f>
        <v>1.9169858525534107E-2</v>
      </c>
    </row>
    <row r="9" spans="1:10">
      <c r="A9" t="s">
        <v>1977</v>
      </c>
      <c r="B9" s="9" t="s">
        <v>1978</v>
      </c>
      <c r="C9" s="5">
        <f>Drag!C12</f>
        <v>1.4963533775013247E-3</v>
      </c>
    </row>
    <row r="10" spans="1:10">
      <c r="A10" t="s">
        <v>1979</v>
      </c>
      <c r="B10" s="9" t="s">
        <v>1031</v>
      </c>
      <c r="C10" s="180">
        <f>Lift!C154</f>
        <v>0.18727502665219611</v>
      </c>
    </row>
    <row r="11" spans="1:10">
      <c r="A11" t="s">
        <v>1980</v>
      </c>
      <c r="B11" s="9"/>
      <c r="C11" s="5">
        <v>4.7300000000000002E-2</v>
      </c>
    </row>
    <row r="12" spans="1:10">
      <c r="A12" t="s">
        <v>1981</v>
      </c>
      <c r="C12" s="180">
        <f>Drag!C92</f>
        <v>1.5047746178408776E-2</v>
      </c>
    </row>
    <row r="13" spans="1:10">
      <c r="A13" t="s">
        <v>352</v>
      </c>
      <c r="B13" s="9" t="s">
        <v>594</v>
      </c>
      <c r="C13" s="5">
        <v>0.34</v>
      </c>
      <c r="D13" t="s">
        <v>1982</v>
      </c>
      <c r="E13" t="s">
        <v>1983</v>
      </c>
    </row>
    <row r="14" spans="1:10">
      <c r="A14" t="s">
        <v>1984</v>
      </c>
      <c r="B14" s="9" t="s">
        <v>1822</v>
      </c>
      <c r="C14" s="5">
        <v>0.3</v>
      </c>
      <c r="D14" t="s">
        <v>1982</v>
      </c>
      <c r="E14" t="s">
        <v>1983</v>
      </c>
    </row>
    <row r="15" spans="1:10">
      <c r="A15" t="s">
        <v>1985</v>
      </c>
      <c r="B15" s="9" t="s">
        <v>1986</v>
      </c>
      <c r="C15" s="6">
        <f>C7-General!C12</f>
        <v>15575</v>
      </c>
    </row>
    <row r="16" spans="1:10">
      <c r="A16" t="s">
        <v>1987</v>
      </c>
      <c r="B16" s="9" t="s">
        <v>1824</v>
      </c>
      <c r="C16" s="5">
        <v>4</v>
      </c>
    </row>
    <row r="17" spans="1:3">
      <c r="A17" t="s">
        <v>1988</v>
      </c>
      <c r="C17">
        <f>12400-2280</f>
        <v>10120</v>
      </c>
    </row>
    <row r="22" spans="1:3">
      <c r="A22" s="7" t="s">
        <v>1845</v>
      </c>
      <c r="B22" s="9"/>
      <c r="C22" s="6"/>
    </row>
    <row r="23" spans="1:3">
      <c r="A23" t="s">
        <v>1971</v>
      </c>
      <c r="B23" s="9"/>
      <c r="C23" s="6"/>
    </row>
    <row r="24" spans="1:3">
      <c r="A24" t="s">
        <v>1989</v>
      </c>
      <c r="B24" s="9" t="s">
        <v>578</v>
      </c>
      <c r="C24" s="69">
        <f>SQRT((2*C7^3*C8^2)/(C9*C5*C10^3))</f>
        <v>1027728.4283783917</v>
      </c>
    </row>
    <row r="25" spans="1:3">
      <c r="C25" s="69">
        <f>C24/531.9*0.8</f>
        <v>1545.7468371925424</v>
      </c>
    </row>
    <row r="26" spans="1:3">
      <c r="C26" s="69">
        <f>C24/550</f>
        <v>1868.5971425061666</v>
      </c>
    </row>
    <row r="28" spans="1:3">
      <c r="A28" t="s">
        <v>1990</v>
      </c>
      <c r="B28" t="s">
        <v>1991</v>
      </c>
    </row>
    <row r="31" spans="1:3">
      <c r="A31" t="s">
        <v>1992</v>
      </c>
      <c r="B31" t="s">
        <v>1993</v>
      </c>
    </row>
    <row r="34" spans="1:16">
      <c r="A34" t="s">
        <v>1215</v>
      </c>
      <c r="B34" t="s">
        <v>1994</v>
      </c>
      <c r="C34" s="69">
        <f>2*C7*SQRT(C11*C12)</f>
        <v>1007.1247175448717</v>
      </c>
      <c r="D34" t="s">
        <v>324</v>
      </c>
    </row>
    <row r="37" spans="1:16">
      <c r="A37" t="s">
        <v>1995</v>
      </c>
      <c r="B37" t="s">
        <v>1996</v>
      </c>
      <c r="C37">
        <f>SQRT((2*C7)/(C9*C5*C10))</f>
        <v>531.92740930825562</v>
      </c>
    </row>
    <row r="38" spans="1:16">
      <c r="A38" t="s">
        <v>1997</v>
      </c>
      <c r="B38" t="s">
        <v>587</v>
      </c>
      <c r="C38" s="69">
        <f>0.5925*((2*SQRT(2))/(C13*(SQRT(C9*C5))))*((SQRT(C10))/C8)*(SQRT(C7)-SQRT(C15))</f>
        <v>1659.2562616804109</v>
      </c>
      <c r="D38" t="s">
        <v>1998</v>
      </c>
      <c r="E38" t="s">
        <v>1999</v>
      </c>
    </row>
    <row r="39" spans="1:16">
      <c r="A39" t="s">
        <v>2000</v>
      </c>
      <c r="B39" t="s">
        <v>2001</v>
      </c>
      <c r="C39" s="69">
        <f>0.5925*((2*SQRT(2))/(C14*(SQRT(C9*C5))))*((SQRT(C10))/C8)*(SQRT(C7)-SQRT(C15))</f>
        <v>1880.4904299044658</v>
      </c>
      <c r="G39" t="s">
        <v>2002</v>
      </c>
    </row>
    <row r="40" spans="1:16">
      <c r="C40" t="s">
        <v>2003</v>
      </c>
      <c r="D40" t="s">
        <v>2004</v>
      </c>
    </row>
    <row r="41" spans="1:16">
      <c r="N41" t="s">
        <v>2005</v>
      </c>
    </row>
    <row r="42" spans="1:16">
      <c r="N42">
        <v>13120</v>
      </c>
    </row>
    <row r="44" spans="1:16">
      <c r="N44" t="s">
        <v>2006</v>
      </c>
      <c r="O44" t="s">
        <v>326</v>
      </c>
      <c r="P44" t="s">
        <v>2007</v>
      </c>
    </row>
    <row r="45" spans="1:16">
      <c r="N45">
        <v>190</v>
      </c>
      <c r="O45">
        <f t="shared" ref="O45:O56" si="0">$N$42+N45</f>
        <v>13310</v>
      </c>
      <c r="P45">
        <f t="shared" ref="P45:P56" si="1">0.5925*((2*SQRT(2))/($C$13*(SQRT($C$9*$C$5))))*((SQRT($C$10))/$C$8)*(SQRT(O45)-SQRT($C$17))</f>
        <v>1947.2073480067027</v>
      </c>
    </row>
    <row r="46" spans="1:16">
      <c r="N46">
        <v>380</v>
      </c>
      <c r="O46">
        <f t="shared" si="0"/>
        <v>13500</v>
      </c>
      <c r="P46">
        <f t="shared" si="1"/>
        <v>2055.3761961267633</v>
      </c>
    </row>
    <row r="47" spans="1:16">
      <c r="N47">
        <v>570</v>
      </c>
      <c r="O47">
        <f t="shared" si="0"/>
        <v>13690</v>
      </c>
      <c r="P47">
        <f t="shared" si="1"/>
        <v>2162.7864968455278</v>
      </c>
    </row>
    <row r="48" spans="1:16">
      <c r="N48">
        <v>760</v>
      </c>
      <c r="O48">
        <f t="shared" si="0"/>
        <v>13880</v>
      </c>
      <c r="P48">
        <f t="shared" si="1"/>
        <v>2269.4539880389107</v>
      </c>
    </row>
    <row r="49" spans="7:16">
      <c r="N49">
        <v>950</v>
      </c>
      <c r="O49">
        <f t="shared" si="0"/>
        <v>14070</v>
      </c>
      <c r="P49">
        <f t="shared" si="1"/>
        <v>2375.393870795142</v>
      </c>
    </row>
    <row r="50" spans="7:16">
      <c r="N50">
        <v>1140</v>
      </c>
      <c r="O50">
        <f t="shared" si="0"/>
        <v>14260</v>
      </c>
      <c r="P50">
        <f t="shared" si="1"/>
        <v>2480.6208347026059</v>
      </c>
    </row>
    <row r="51" spans="7:16">
      <c r="G51" t="s">
        <v>346</v>
      </c>
      <c r="H51" t="s">
        <v>2008</v>
      </c>
      <c r="I51" t="s">
        <v>2009</v>
      </c>
      <c r="J51" t="s">
        <v>2010</v>
      </c>
      <c r="K51" t="s">
        <v>2011</v>
      </c>
      <c r="L51" t="s">
        <v>2012</v>
      </c>
      <c r="M51" t="s">
        <v>2013</v>
      </c>
      <c r="N51">
        <v>1330</v>
      </c>
      <c r="O51">
        <f t="shared" si="0"/>
        <v>14450</v>
      </c>
      <c r="P51">
        <f t="shared" si="1"/>
        <v>2585.1490816263204</v>
      </c>
    </row>
    <row r="52" spans="7:16">
      <c r="G52">
        <v>0</v>
      </c>
      <c r="H52">
        <f>C7-General!C12</f>
        <v>15575</v>
      </c>
      <c r="I52">
        <f t="shared" ref="I52:I87" si="2">0.5925*((2*SQRT(2))/($C$13*(SQRT($C$9*$C$5))))*((SQRT($C$10))/$C$8)*(SQRT(H52)-SQRT($C$15))</f>
        <v>0</v>
      </c>
      <c r="J52">
        <f t="shared" ref="J52:J82" si="3">0.5925*((2*SQRT(2))/($C$14*(SQRT($C$9*$C$5))))*((SQRT($C$10))/$C$8)*(SQRT(H52)-SQRT($C$15))</f>
        <v>0</v>
      </c>
      <c r="K52">
        <v>0</v>
      </c>
      <c r="L52">
        <v>0</v>
      </c>
      <c r="M52">
        <v>0</v>
      </c>
      <c r="N52">
        <v>1520</v>
      </c>
      <c r="O52">
        <f t="shared" si="0"/>
        <v>14640</v>
      </c>
      <c r="P52">
        <f t="shared" si="1"/>
        <v>2688.9923480820116</v>
      </c>
    </row>
    <row r="53" spans="7:16">
      <c r="G53">
        <v>100</v>
      </c>
      <c r="H53">
        <f>H52+100</f>
        <v>15675</v>
      </c>
      <c r="I53">
        <f t="shared" si="2"/>
        <v>52.731464066888257</v>
      </c>
      <c r="J53">
        <f t="shared" si="3"/>
        <v>59.76232594247336</v>
      </c>
      <c r="K53" s="43">
        <f t="shared" ref="K53:K83" si="4">$K$82*$G53/$G$82</f>
        <v>36.833333333333336</v>
      </c>
      <c r="L53">
        <f>L52+19</f>
        <v>19</v>
      </c>
      <c r="M53" s="43">
        <f t="shared" ref="M53:M85" si="5">$M$82*$G53/$G$82</f>
        <v>34.766666666666666</v>
      </c>
      <c r="N53">
        <v>1710</v>
      </c>
      <c r="O53">
        <f t="shared" si="0"/>
        <v>14830</v>
      </c>
      <c r="P53">
        <f t="shared" si="1"/>
        <v>2792.1639263075717</v>
      </c>
    </row>
    <row r="54" spans="7:16">
      <c r="G54">
        <v>200</v>
      </c>
      <c r="H54">
        <f t="shared" ref="H54:H87" si="6">H53+100</f>
        <v>15775</v>
      </c>
      <c r="I54">
        <f t="shared" si="2"/>
        <v>105.29499225533097</v>
      </c>
      <c r="J54">
        <f t="shared" si="3"/>
        <v>119.33432455604176</v>
      </c>
      <c r="K54" s="43">
        <f t="shared" si="4"/>
        <v>73.666666666666671</v>
      </c>
      <c r="L54">
        <f t="shared" ref="L54:L85" si="7">L53+19</f>
        <v>38</v>
      </c>
      <c r="M54" s="43">
        <f t="shared" si="5"/>
        <v>69.533333333333331</v>
      </c>
      <c r="N54">
        <v>1900</v>
      </c>
      <c r="O54">
        <f t="shared" si="0"/>
        <v>15020</v>
      </c>
      <c r="P54">
        <f t="shared" si="1"/>
        <v>2894.6766841234248</v>
      </c>
    </row>
    <row r="55" spans="7:16">
      <c r="G55">
        <v>300</v>
      </c>
      <c r="H55">
        <f t="shared" si="6"/>
        <v>15875</v>
      </c>
      <c r="I55">
        <f t="shared" si="2"/>
        <v>157.69217891334296</v>
      </c>
      <c r="J55">
        <f t="shared" si="3"/>
        <v>178.71780276845536</v>
      </c>
      <c r="K55" s="43">
        <f t="shared" si="4"/>
        <v>110.5</v>
      </c>
      <c r="L55">
        <f t="shared" si="7"/>
        <v>57</v>
      </c>
      <c r="M55" s="43">
        <f t="shared" si="5"/>
        <v>104.3</v>
      </c>
      <c r="N55">
        <v>2090</v>
      </c>
      <c r="O55">
        <f t="shared" si="0"/>
        <v>15210</v>
      </c>
      <c r="P55">
        <f t="shared" si="1"/>
        <v>2996.5430836657797</v>
      </c>
    </row>
    <row r="56" spans="7:16">
      <c r="G56">
        <v>400</v>
      </c>
      <c r="H56">
        <f t="shared" si="6"/>
        <v>15975</v>
      </c>
      <c r="I56">
        <f t="shared" si="2"/>
        <v>209.92459332013414</v>
      </c>
      <c r="J56">
        <f t="shared" si="3"/>
        <v>237.91453909615203</v>
      </c>
      <c r="K56" s="43">
        <f t="shared" si="4"/>
        <v>147.33333333333334</v>
      </c>
      <c r="L56">
        <f t="shared" si="7"/>
        <v>76</v>
      </c>
      <c r="M56" s="43">
        <f t="shared" si="5"/>
        <v>139.06666666666666</v>
      </c>
      <c r="N56">
        <v>2280</v>
      </c>
      <c r="O56">
        <f t="shared" si="0"/>
        <v>15400</v>
      </c>
      <c r="P56">
        <f t="shared" si="1"/>
        <v>3097.7751990700112</v>
      </c>
    </row>
    <row r="57" spans="7:16">
      <c r="G57">
        <v>500</v>
      </c>
      <c r="H57">
        <f t="shared" si="6"/>
        <v>16075</v>
      </c>
      <c r="I57">
        <f t="shared" si="2"/>
        <v>261.99378023450663</v>
      </c>
      <c r="J57">
        <f t="shared" si="3"/>
        <v>296.9262842657742</v>
      </c>
      <c r="K57" s="43">
        <f t="shared" si="4"/>
        <v>184.16666666666666</v>
      </c>
      <c r="L57">
        <f t="shared" si="7"/>
        <v>95</v>
      </c>
      <c r="M57" s="43">
        <f t="shared" si="5"/>
        <v>173.83333333333334</v>
      </c>
    </row>
    <row r="58" spans="7:16">
      <c r="G58">
        <v>600</v>
      </c>
      <c r="H58">
        <f t="shared" si="6"/>
        <v>16175</v>
      </c>
      <c r="I58">
        <f t="shared" si="2"/>
        <v>313.90126042791644</v>
      </c>
      <c r="J58">
        <f t="shared" si="3"/>
        <v>355.75476181830533</v>
      </c>
      <c r="K58" s="43">
        <f t="shared" si="4"/>
        <v>221</v>
      </c>
      <c r="L58">
        <f t="shared" si="7"/>
        <v>114</v>
      </c>
      <c r="M58" s="43">
        <f t="shared" si="5"/>
        <v>208.6</v>
      </c>
    </row>
    <row r="59" spans="7:16">
      <c r="G59">
        <v>700</v>
      </c>
      <c r="H59">
        <f t="shared" si="6"/>
        <v>16275</v>
      </c>
      <c r="I59">
        <f t="shared" si="2"/>
        <v>365.64853120272778</v>
      </c>
      <c r="J59">
        <f t="shared" si="3"/>
        <v>414.40166869642479</v>
      </c>
      <c r="K59" s="43">
        <f t="shared" si="4"/>
        <v>257.83333333333331</v>
      </c>
      <c r="L59">
        <f t="shared" si="7"/>
        <v>133</v>
      </c>
      <c r="M59" s="43">
        <f t="shared" si="5"/>
        <v>243.36666666666667</v>
      </c>
    </row>
    <row r="60" spans="7:16">
      <c r="G60">
        <v>800</v>
      </c>
      <c r="H60">
        <f t="shared" si="6"/>
        <v>16375</v>
      </c>
      <c r="I60">
        <f t="shared" si="2"/>
        <v>417.23706689616739</v>
      </c>
      <c r="J60">
        <f t="shared" si="3"/>
        <v>472.86867581565639</v>
      </c>
      <c r="K60" s="43">
        <f t="shared" si="4"/>
        <v>294.66666666666669</v>
      </c>
      <c r="L60">
        <f t="shared" si="7"/>
        <v>152</v>
      </c>
      <c r="M60" s="43">
        <f t="shared" si="5"/>
        <v>278.13333333333333</v>
      </c>
    </row>
    <row r="61" spans="7:16">
      <c r="G61">
        <v>900</v>
      </c>
      <c r="H61">
        <f t="shared" si="6"/>
        <v>16475</v>
      </c>
      <c r="I61">
        <f t="shared" si="2"/>
        <v>468.66831937043719</v>
      </c>
      <c r="J61">
        <f t="shared" si="3"/>
        <v>531.15742861982881</v>
      </c>
      <c r="K61" s="43">
        <f t="shared" si="4"/>
        <v>331.5</v>
      </c>
      <c r="L61">
        <f t="shared" si="7"/>
        <v>171</v>
      </c>
      <c r="M61" s="43">
        <f t="shared" si="5"/>
        <v>312.89999999999998</v>
      </c>
    </row>
    <row r="62" spans="7:16">
      <c r="G62">
        <v>1000</v>
      </c>
      <c r="H62">
        <f t="shared" si="6"/>
        <v>16575</v>
      </c>
      <c r="I62">
        <f t="shared" si="2"/>
        <v>519.9437184894723</v>
      </c>
      <c r="J62">
        <f t="shared" si="3"/>
        <v>589.26954762140201</v>
      </c>
      <c r="K62" s="43">
        <f t="shared" si="4"/>
        <v>368.33333333333331</v>
      </c>
      <c r="L62">
        <f t="shared" si="7"/>
        <v>190</v>
      </c>
      <c r="M62" s="43">
        <f t="shared" si="5"/>
        <v>347.66666666666669</v>
      </c>
    </row>
    <row r="63" spans="7:16">
      <c r="G63">
        <v>1100</v>
      </c>
      <c r="H63">
        <f t="shared" si="6"/>
        <v>16675</v>
      </c>
      <c r="I63">
        <f t="shared" si="2"/>
        <v>571.06467258276791</v>
      </c>
      <c r="J63">
        <f t="shared" si="3"/>
        <v>647.20662892713699</v>
      </c>
      <c r="K63" s="43">
        <f t="shared" si="4"/>
        <v>405.16666666666669</v>
      </c>
      <c r="L63">
        <f t="shared" si="7"/>
        <v>209</v>
      </c>
      <c r="M63" s="43">
        <f t="shared" si="5"/>
        <v>382.43333333333334</v>
      </c>
    </row>
    <row r="64" spans="7:16">
      <c r="G64">
        <v>1200</v>
      </c>
      <c r="H64">
        <f t="shared" si="6"/>
        <v>16775</v>
      </c>
      <c r="I64">
        <f t="shared" si="2"/>
        <v>622.03256889670456</v>
      </c>
      <c r="J64">
        <f t="shared" si="3"/>
        <v>704.97024474959846</v>
      </c>
      <c r="K64" s="43">
        <f t="shared" si="4"/>
        <v>442</v>
      </c>
      <c r="L64">
        <f t="shared" si="7"/>
        <v>228</v>
      </c>
      <c r="M64" s="43">
        <f t="shared" si="5"/>
        <v>417.2</v>
      </c>
      <c r="O64">
        <v>0</v>
      </c>
      <c r="P64">
        <v>0</v>
      </c>
    </row>
    <row r="65" spans="3:16">
      <c r="G65">
        <v>1300</v>
      </c>
      <c r="H65">
        <f t="shared" si="6"/>
        <v>16875</v>
      </c>
      <c r="I65">
        <f t="shared" si="2"/>
        <v>672.84877403380665</v>
      </c>
      <c r="J65">
        <f t="shared" si="3"/>
        <v>762.56194390498081</v>
      </c>
      <c r="K65" s="43">
        <f t="shared" si="4"/>
        <v>478.83333333333331</v>
      </c>
      <c r="L65">
        <f t="shared" si="7"/>
        <v>247</v>
      </c>
      <c r="M65" s="43">
        <f t="shared" si="5"/>
        <v>451.96666666666664</v>
      </c>
      <c r="O65">
        <v>0</v>
      </c>
      <c r="P65">
        <v>1043</v>
      </c>
    </row>
    <row r="66" spans="3:16">
      <c r="G66">
        <v>1400</v>
      </c>
      <c r="H66">
        <f t="shared" si="6"/>
        <v>16975</v>
      </c>
      <c r="I66">
        <f t="shared" si="2"/>
        <v>723.51463438025542</v>
      </c>
      <c r="J66">
        <f t="shared" si="3"/>
        <v>819.98325229762281</v>
      </c>
      <c r="K66" s="43">
        <f t="shared" si="4"/>
        <v>515.66666666666663</v>
      </c>
      <c r="L66">
        <f t="shared" si="7"/>
        <v>266</v>
      </c>
      <c r="M66" s="43">
        <f t="shared" si="5"/>
        <v>486.73333333333335</v>
      </c>
    </row>
    <row r="67" spans="3:16">
      <c r="G67">
        <v>1500</v>
      </c>
      <c r="H67">
        <f t="shared" si="6"/>
        <v>17075</v>
      </c>
      <c r="I67">
        <f t="shared" si="2"/>
        <v>774.03147652214602</v>
      </c>
      <c r="J67">
        <f t="shared" si="3"/>
        <v>877.23567339176554</v>
      </c>
      <c r="K67" s="43">
        <f t="shared" si="4"/>
        <v>552.5</v>
      </c>
      <c r="L67">
        <f t="shared" si="7"/>
        <v>285</v>
      </c>
      <c r="M67" s="43">
        <f t="shared" si="5"/>
        <v>521.5</v>
      </c>
    </row>
    <row r="68" spans="3:16">
      <c r="G68">
        <v>1600</v>
      </c>
      <c r="H68">
        <f t="shared" si="6"/>
        <v>17175</v>
      </c>
      <c r="I68">
        <f t="shared" si="2"/>
        <v>824.40060765074065</v>
      </c>
      <c r="J68">
        <f t="shared" si="3"/>
        <v>934.32068867083933</v>
      </c>
      <c r="K68" s="43">
        <f t="shared" si="4"/>
        <v>589.33333333333337</v>
      </c>
      <c r="L68">
        <f t="shared" si="7"/>
        <v>304</v>
      </c>
      <c r="M68" s="43">
        <f t="shared" si="5"/>
        <v>556.26666666666665</v>
      </c>
    </row>
    <row r="69" spans="3:16">
      <c r="G69">
        <v>1700</v>
      </c>
      <c r="H69">
        <f t="shared" si="6"/>
        <v>17275</v>
      </c>
      <c r="I69">
        <f t="shared" si="2"/>
        <v>874.62331595715125</v>
      </c>
      <c r="J69">
        <f t="shared" si="3"/>
        <v>991.23975808477144</v>
      </c>
      <c r="K69" s="43">
        <f t="shared" si="4"/>
        <v>626.16666666666663</v>
      </c>
      <c r="L69">
        <f t="shared" si="7"/>
        <v>323</v>
      </c>
      <c r="M69" s="43">
        <f t="shared" si="5"/>
        <v>591.0333333333333</v>
      </c>
    </row>
    <row r="70" spans="3:16">
      <c r="G70">
        <v>1800</v>
      </c>
      <c r="H70">
        <f t="shared" si="6"/>
        <v>17375</v>
      </c>
      <c r="I70">
        <f t="shared" si="2"/>
        <v>924.70087101673096</v>
      </c>
      <c r="J70">
        <f t="shared" si="3"/>
        <v>1047.9943204856284</v>
      </c>
      <c r="K70" s="43">
        <f t="shared" si="4"/>
        <v>663</v>
      </c>
      <c r="L70">
        <f t="shared" si="7"/>
        <v>342</v>
      </c>
      <c r="M70" s="43">
        <f t="shared" si="5"/>
        <v>625.79999999999995</v>
      </c>
    </row>
    <row r="71" spans="3:16">
      <c r="G71">
        <v>1900</v>
      </c>
      <c r="H71">
        <f t="shared" si="6"/>
        <v>17475</v>
      </c>
      <c r="I71">
        <f t="shared" si="2"/>
        <v>974.63452416354278</v>
      </c>
      <c r="J71">
        <f t="shared" si="3"/>
        <v>1104.5857940520152</v>
      </c>
      <c r="K71" s="43">
        <f t="shared" si="4"/>
        <v>699.83333333333337</v>
      </c>
      <c r="L71">
        <f t="shared" si="7"/>
        <v>361</v>
      </c>
      <c r="M71" s="43">
        <f t="shared" si="5"/>
        <v>660.56666666666672</v>
      </c>
    </row>
    <row r="72" spans="3:16">
      <c r="G72">
        <v>2000</v>
      </c>
      <c r="H72">
        <f t="shared" si="6"/>
        <v>17575</v>
      </c>
      <c r="I72">
        <f t="shared" si="2"/>
        <v>1024.4255088552004</v>
      </c>
      <c r="J72">
        <f t="shared" si="3"/>
        <v>1161.0155767025603</v>
      </c>
      <c r="K72" s="43">
        <f t="shared" si="4"/>
        <v>736.66666666666663</v>
      </c>
      <c r="L72">
        <f t="shared" si="7"/>
        <v>380</v>
      </c>
      <c r="M72" s="43">
        <f t="shared" si="5"/>
        <v>695.33333333333337</v>
      </c>
    </row>
    <row r="73" spans="3:16">
      <c r="G73">
        <v>2100</v>
      </c>
      <c r="H73">
        <f t="shared" si="6"/>
        <v>17675</v>
      </c>
      <c r="I73">
        <f t="shared" si="2"/>
        <v>1074.0750410283551</v>
      </c>
      <c r="J73">
        <f t="shared" si="3"/>
        <v>1217.2850464988026</v>
      </c>
      <c r="K73" s="43">
        <f t="shared" si="4"/>
        <v>773.5</v>
      </c>
      <c r="L73">
        <f t="shared" si="7"/>
        <v>399</v>
      </c>
      <c r="M73" s="43">
        <f t="shared" si="5"/>
        <v>730.1</v>
      </c>
    </row>
    <row r="74" spans="3:16">
      <c r="G74">
        <v>2200</v>
      </c>
      <c r="H74">
        <f t="shared" si="6"/>
        <v>17775</v>
      </c>
      <c r="I74">
        <f t="shared" si="2"/>
        <v>1123.5843194451702</v>
      </c>
      <c r="J74">
        <f t="shared" si="3"/>
        <v>1273.3955620378597</v>
      </c>
      <c r="K74" s="43">
        <f t="shared" si="4"/>
        <v>810.33333333333337</v>
      </c>
      <c r="L74">
        <f t="shared" si="7"/>
        <v>418</v>
      </c>
      <c r="M74" s="43">
        <f t="shared" si="5"/>
        <v>764.86666666666667</v>
      </c>
    </row>
    <row r="75" spans="3:16">
      <c r="G75">
        <v>2300</v>
      </c>
      <c r="H75">
        <f t="shared" si="6"/>
        <v>17875</v>
      </c>
      <c r="I75">
        <f t="shared" si="2"/>
        <v>1172.9545260310299</v>
      </c>
      <c r="J75">
        <f t="shared" si="3"/>
        <v>1329.3484628351673</v>
      </c>
      <c r="K75" s="43">
        <f t="shared" si="4"/>
        <v>847.16666666666663</v>
      </c>
      <c r="L75">
        <f t="shared" si="7"/>
        <v>437</v>
      </c>
      <c r="M75" s="43">
        <f t="shared" si="5"/>
        <v>799.63333333333333</v>
      </c>
    </row>
    <row r="76" spans="3:16">
      <c r="G76">
        <v>2400</v>
      </c>
      <c r="H76">
        <f t="shared" si="6"/>
        <v>17975</v>
      </c>
      <c r="I76">
        <f t="shared" si="2"/>
        <v>1222.1868262037549</v>
      </c>
      <c r="J76">
        <f t="shared" si="3"/>
        <v>1385.145069697589</v>
      </c>
      <c r="K76" s="43">
        <f t="shared" si="4"/>
        <v>884</v>
      </c>
      <c r="L76">
        <f t="shared" si="7"/>
        <v>456</v>
      </c>
      <c r="M76" s="43">
        <f t="shared" si="5"/>
        <v>834.4</v>
      </c>
    </row>
    <row r="77" spans="3:16">
      <c r="G77">
        <v>2500</v>
      </c>
      <c r="H77">
        <f t="shared" si="6"/>
        <v>18075</v>
      </c>
      <c r="I77">
        <f t="shared" si="2"/>
        <v>1271.2823691945864</v>
      </c>
      <c r="J77">
        <f t="shared" si="3"/>
        <v>1440.7866850871981</v>
      </c>
      <c r="K77" s="43">
        <f t="shared" si="4"/>
        <v>920.83333333333337</v>
      </c>
      <c r="L77">
        <f t="shared" si="7"/>
        <v>475</v>
      </c>
      <c r="M77" s="43">
        <f t="shared" si="5"/>
        <v>869.16666666666663</v>
      </c>
    </row>
    <row r="78" spans="3:16">
      <c r="G78">
        <v>2600</v>
      </c>
      <c r="H78">
        <f t="shared" si="6"/>
        <v>18175</v>
      </c>
      <c r="I78">
        <f t="shared" si="2"/>
        <v>1320.2422883611891</v>
      </c>
      <c r="J78">
        <f t="shared" si="3"/>
        <v>1496.2745934760144</v>
      </c>
      <c r="K78" s="43">
        <f t="shared" si="4"/>
        <v>957.66666666666663</v>
      </c>
      <c r="L78">
        <f t="shared" si="7"/>
        <v>494</v>
      </c>
      <c r="M78" s="43">
        <f t="shared" si="5"/>
        <v>903.93333333333328</v>
      </c>
    </row>
    <row r="79" spans="3:16">
      <c r="G79">
        <v>2700</v>
      </c>
      <c r="H79">
        <f t="shared" si="6"/>
        <v>18275</v>
      </c>
      <c r="I79">
        <f t="shared" si="2"/>
        <v>1369.0677014929252</v>
      </c>
      <c r="J79">
        <f t="shared" si="3"/>
        <v>1551.6100616919819</v>
      </c>
      <c r="K79" s="43">
        <f t="shared" si="4"/>
        <v>994.5</v>
      </c>
      <c r="L79">
        <f t="shared" si="7"/>
        <v>513</v>
      </c>
      <c r="M79" s="43">
        <f t="shared" si="5"/>
        <v>938.7</v>
      </c>
    </row>
    <row r="80" spans="3:16">
      <c r="C80">
        <v>3300</v>
      </c>
      <c r="D80">
        <v>0</v>
      </c>
      <c r="G80">
        <v>2800</v>
      </c>
      <c r="H80">
        <f t="shared" si="6"/>
        <v>18375</v>
      </c>
      <c r="I80">
        <f t="shared" si="2"/>
        <v>1417.759711108607</v>
      </c>
      <c r="J80">
        <f t="shared" si="3"/>
        <v>1606.7943392564214</v>
      </c>
      <c r="K80" s="43">
        <f t="shared" si="4"/>
        <v>1031.3333333333333</v>
      </c>
      <c r="L80">
        <f t="shared" si="7"/>
        <v>532</v>
      </c>
      <c r="M80" s="43">
        <f t="shared" si="5"/>
        <v>973.4666666666667</v>
      </c>
    </row>
    <row r="81" spans="3:13">
      <c r="C81">
        <v>3300</v>
      </c>
      <c r="D81">
        <v>500</v>
      </c>
      <c r="G81">
        <v>2900</v>
      </c>
      <c r="H81">
        <f t="shared" si="6"/>
        <v>18475</v>
      </c>
      <c r="I81">
        <f t="shared" si="2"/>
        <v>1466.3194047469763</v>
      </c>
      <c r="J81">
        <f t="shared" si="3"/>
        <v>1661.8286587132397</v>
      </c>
      <c r="K81" s="43">
        <f t="shared" si="4"/>
        <v>1068.1666666666667</v>
      </c>
      <c r="L81">
        <f t="shared" si="7"/>
        <v>551</v>
      </c>
      <c r="M81" s="43">
        <f t="shared" si="5"/>
        <v>1008.2333333333333</v>
      </c>
    </row>
    <row r="82" spans="3:13">
      <c r="C82">
        <v>3300</v>
      </c>
      <c r="D82">
        <v>100</v>
      </c>
      <c r="G82">
        <v>3000</v>
      </c>
      <c r="H82">
        <f t="shared" si="6"/>
        <v>18575</v>
      </c>
      <c r="I82">
        <f t="shared" si="2"/>
        <v>1514.7478552501204</v>
      </c>
      <c r="J82">
        <f t="shared" si="3"/>
        <v>1716.7142359501365</v>
      </c>
      <c r="K82" s="43">
        <v>1105</v>
      </c>
      <c r="L82">
        <f t="shared" si="7"/>
        <v>570</v>
      </c>
      <c r="M82">
        <v>1043</v>
      </c>
    </row>
    <row r="83" spans="3:13">
      <c r="C83">
        <v>3300</v>
      </c>
      <c r="D83">
        <v>1500</v>
      </c>
      <c r="G83">
        <v>3100</v>
      </c>
      <c r="H83">
        <f t="shared" si="6"/>
        <v>18675</v>
      </c>
      <c r="I83">
        <f t="shared" si="2"/>
        <v>1563.0461210400183</v>
      </c>
      <c r="K83" s="43">
        <f t="shared" si="4"/>
        <v>1141.8333333333333</v>
      </c>
      <c r="L83">
        <f t="shared" si="7"/>
        <v>589</v>
      </c>
      <c r="M83" s="43">
        <f t="shared" si="5"/>
        <v>1077.7666666666667</v>
      </c>
    </row>
    <row r="84" spans="3:13">
      <c r="C84">
        <v>3300</v>
      </c>
      <c r="D84">
        <v>2000</v>
      </c>
      <c r="G84">
        <v>3200</v>
      </c>
      <c r="H84">
        <f t="shared" si="6"/>
        <v>18775</v>
      </c>
      <c r="I84">
        <f t="shared" si="2"/>
        <v>1611.2152463884449</v>
      </c>
      <c r="K84">
        <v>1179</v>
      </c>
      <c r="L84">
        <f t="shared" si="7"/>
        <v>608</v>
      </c>
      <c r="M84">
        <v>1112</v>
      </c>
    </row>
    <row r="85" spans="3:13">
      <c r="G85">
        <v>3300</v>
      </c>
      <c r="H85">
        <f t="shared" si="6"/>
        <v>18875</v>
      </c>
      <c r="I85">
        <f t="shared" si="2"/>
        <v>1659.2562616804109</v>
      </c>
      <c r="K85" s="43">
        <v>1215</v>
      </c>
      <c r="L85">
        <f t="shared" si="7"/>
        <v>627</v>
      </c>
      <c r="M85" s="43">
        <f t="shared" si="5"/>
        <v>1147.3</v>
      </c>
    </row>
    <row r="86" spans="3:13">
      <c r="G86">
        <v>3400</v>
      </c>
      <c r="H86">
        <f t="shared" si="6"/>
        <v>18975</v>
      </c>
      <c r="I86">
        <f t="shared" si="2"/>
        <v>1707.1701836713257</v>
      </c>
    </row>
    <row r="87" spans="3:13">
      <c r="G87">
        <v>3500</v>
      </c>
      <c r="H87">
        <f t="shared" si="6"/>
        <v>19075</v>
      </c>
      <c r="I87">
        <f t="shared" si="2"/>
        <v>1754.9580157380781</v>
      </c>
    </row>
  </sheetData>
  <mergeCells count="1">
    <mergeCell ref="A1:J1"/>
  </mergeCells>
  <phoneticPr fontId="4"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A1F12-CF74-D543-8023-FDC89B804EAA}">
  <dimension ref="A1:G23"/>
  <sheetViews>
    <sheetView tabSelected="1" zoomScale="99" workbookViewId="0">
      <selection activeCell="E31" sqref="E31"/>
    </sheetView>
  </sheetViews>
  <sheetFormatPr defaultColWidth="8.42578125" defaultRowHeight="15"/>
  <cols>
    <col min="1" max="1" width="22.42578125" bestFit="1" customWidth="1"/>
    <col min="3" max="3" width="10.42578125" customWidth="1"/>
  </cols>
  <sheetData>
    <row r="1" spans="1:7">
      <c r="A1" s="7" t="s">
        <v>1907</v>
      </c>
    </row>
    <row r="2" spans="1:7">
      <c r="A2" s="18" t="s">
        <v>860</v>
      </c>
      <c r="B2" s="8" t="s">
        <v>861</v>
      </c>
      <c r="C2" s="8" t="s">
        <v>191</v>
      </c>
      <c r="D2" s="8" t="s">
        <v>192</v>
      </c>
      <c r="E2" s="18" t="s">
        <v>193</v>
      </c>
    </row>
    <row r="3" spans="1:7">
      <c r="A3" t="s">
        <v>43</v>
      </c>
      <c r="B3" s="9" t="s">
        <v>307</v>
      </c>
      <c r="C3" s="63">
        <f>General!C23</f>
        <v>476.1</v>
      </c>
      <c r="E3" t="s">
        <v>2014</v>
      </c>
    </row>
    <row r="4" spans="1:7">
      <c r="A4" t="s">
        <v>2015</v>
      </c>
      <c r="B4" s="9" t="s">
        <v>2016</v>
      </c>
      <c r="C4" s="5">
        <v>300</v>
      </c>
    </row>
    <row r="5" spans="1:7">
      <c r="A5" t="s">
        <v>326</v>
      </c>
      <c r="B5" s="9" t="s">
        <v>199</v>
      </c>
      <c r="C5" s="5">
        <f>General!C7</f>
        <v>18875</v>
      </c>
      <c r="E5" t="s">
        <v>2017</v>
      </c>
    </row>
    <row r="6" spans="1:7">
      <c r="A6" t="s">
        <v>2018</v>
      </c>
      <c r="B6" s="9" t="s">
        <v>2019</v>
      </c>
      <c r="C6" s="5">
        <v>0.05</v>
      </c>
    </row>
    <row r="7" spans="1:7">
      <c r="A7" t="s">
        <v>1977</v>
      </c>
      <c r="B7" s="9" t="s">
        <v>1978</v>
      </c>
      <c r="C7" s="5">
        <v>2.3400000000000001E-3</v>
      </c>
    </row>
    <row r="8" spans="1:7">
      <c r="A8" t="s">
        <v>2020</v>
      </c>
      <c r="B8" s="9" t="s">
        <v>2021</v>
      </c>
      <c r="C8" s="5">
        <v>1.6</v>
      </c>
    </row>
    <row r="9" spans="1:7">
      <c r="A9" t="s">
        <v>2022</v>
      </c>
      <c r="B9" s="9"/>
      <c r="C9" s="5">
        <v>0.85</v>
      </c>
    </row>
    <row r="10" spans="1:7">
      <c r="A10" t="s">
        <v>2023</v>
      </c>
      <c r="B10" s="9" t="s">
        <v>2024</v>
      </c>
      <c r="C10" s="63">
        <f>Lift!C60*1.68781</f>
        <v>154.25586590147847</v>
      </c>
      <c r="D10" t="s">
        <v>183</v>
      </c>
      <c r="G10" t="s">
        <v>2025</v>
      </c>
    </row>
    <row r="11" spans="1:7">
      <c r="A11" s="7" t="s">
        <v>1845</v>
      </c>
      <c r="B11" s="9"/>
    </row>
    <row r="12" spans="1:7">
      <c r="A12" t="s">
        <v>2026</v>
      </c>
      <c r="B12" s="9" t="s">
        <v>2027</v>
      </c>
      <c r="C12">
        <f>1.1*C10</f>
        <v>169.68145249162635</v>
      </c>
    </row>
    <row r="13" spans="1:7">
      <c r="A13" t="s">
        <v>2028</v>
      </c>
      <c r="B13" s="9" t="s">
        <v>323</v>
      </c>
      <c r="C13">
        <f>0.5*C7*(C12/SQRT(2))^2*C3*C8</f>
        <v>12830.476231585546</v>
      </c>
    </row>
    <row r="14" spans="1:7">
      <c r="A14" t="s">
        <v>2029</v>
      </c>
      <c r="B14" s="9" t="s">
        <v>575</v>
      </c>
      <c r="C14">
        <f>0.5*C7*(C12/SQRT(2))^2*C3*C6</f>
        <v>400.95238223704831</v>
      </c>
    </row>
    <row r="15" spans="1:7">
      <c r="A15" t="s">
        <v>2030</v>
      </c>
      <c r="B15" s="9" t="s">
        <v>2031</v>
      </c>
      <c r="C15" s="117">
        <f>SQRT((2/C7)*(C5/C3))*(SQRT('Performance T_O'!C12/Drag!C92))</f>
        <v>307.78869284234662</v>
      </c>
      <c r="D15">
        <v>182.48</v>
      </c>
      <c r="E15" t="s">
        <v>173</v>
      </c>
    </row>
    <row r="17" spans="1:6">
      <c r="A17" t="s">
        <v>2032</v>
      </c>
      <c r="B17" s="9" t="s">
        <v>2033</v>
      </c>
      <c r="C17">
        <f>-((C12^2*C5)/(2*32.174)*(((SQRT(2)*C9*550*C4)/C12)-C14-0.3*(C5-C13)))</f>
        <v>8828770754.0049419</v>
      </c>
      <c r="F17">
        <f>2*32.174*((SQRT(2)*C9*550*C4)/C12)-C14-0.3*(C5-C13)</f>
        <v>73003.130400593247</v>
      </c>
    </row>
    <row r="19" spans="1:6">
      <c r="C19">
        <v>2291.7399999999998</v>
      </c>
      <c r="D19" t="s">
        <v>2034</v>
      </c>
    </row>
    <row r="21" spans="1:6">
      <c r="A21" t="s">
        <v>2035</v>
      </c>
      <c r="B21" t="s">
        <v>2036</v>
      </c>
      <c r="C21">
        <f>C10*1.1</f>
        <v>169.68145249162635</v>
      </c>
      <c r="D21" t="s">
        <v>183</v>
      </c>
      <c r="E21" t="s">
        <v>2037</v>
      </c>
    </row>
    <row r="22" spans="1:6">
      <c r="A22" t="s">
        <v>2038</v>
      </c>
      <c r="B22" t="s">
        <v>2039</v>
      </c>
      <c r="C22">
        <f>C10*1.3</f>
        <v>200.53262567192203</v>
      </c>
      <c r="D22" t="s">
        <v>183</v>
      </c>
      <c r="E22" t="s">
        <v>2040</v>
      </c>
    </row>
    <row r="23" spans="1:6">
      <c r="A23" t="s">
        <v>2041</v>
      </c>
      <c r="B23" t="s">
        <v>2042</v>
      </c>
      <c r="C23">
        <f>C10*1.3</f>
        <v>200.53262567192203</v>
      </c>
      <c r="D23" t="s">
        <v>183</v>
      </c>
      <c r="E23" t="s">
        <v>2043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B11B9-4824-425C-9205-EF20CC8229C3}">
  <sheetPr codeName="Sheet10"/>
  <dimension ref="A1:N385"/>
  <sheetViews>
    <sheetView topLeftCell="E14" zoomScaleNormal="80" workbookViewId="0">
      <selection activeCell="J44" sqref="J44"/>
    </sheetView>
  </sheetViews>
  <sheetFormatPr defaultColWidth="8.42578125" defaultRowHeight="15"/>
  <cols>
    <col min="1" max="1" width="18.42578125" bestFit="1" customWidth="1"/>
    <col min="3" max="3" width="12.42578125" bestFit="1" customWidth="1"/>
    <col min="5" max="5" width="32" bestFit="1" customWidth="1"/>
    <col min="6" max="6" width="17.42578125" bestFit="1" customWidth="1"/>
    <col min="8" max="8" width="12.42578125" bestFit="1" customWidth="1"/>
    <col min="10" max="10" width="37.42578125" bestFit="1" customWidth="1"/>
    <col min="11" max="11" width="8.42578125" customWidth="1"/>
  </cols>
  <sheetData>
    <row r="1" spans="1:13">
      <c r="A1" s="395" t="s">
        <v>1960</v>
      </c>
      <c r="B1" s="395"/>
      <c r="C1" s="395"/>
      <c r="D1" s="395"/>
      <c r="E1" s="12"/>
      <c r="F1" s="12"/>
      <c r="G1" s="12"/>
      <c r="H1" s="12"/>
      <c r="I1" s="12"/>
      <c r="J1" s="12"/>
      <c r="K1" s="12"/>
      <c r="L1" s="12"/>
      <c r="M1" s="12"/>
    </row>
    <row r="2" spans="1:13">
      <c r="A2" s="7"/>
    </row>
    <row r="3" spans="1:13">
      <c r="A3" s="7" t="s">
        <v>1907</v>
      </c>
      <c r="J3" s="7" t="s">
        <v>2044</v>
      </c>
    </row>
    <row r="4" spans="1:13">
      <c r="A4" s="18" t="s">
        <v>860</v>
      </c>
      <c r="B4" s="8" t="s">
        <v>861</v>
      </c>
      <c r="C4" s="8" t="s">
        <v>191</v>
      </c>
      <c r="D4" s="8" t="s">
        <v>192</v>
      </c>
      <c r="E4" s="18" t="s">
        <v>193</v>
      </c>
    </row>
    <row r="5" spans="1:13">
      <c r="B5" s="9"/>
      <c r="C5" s="5"/>
      <c r="J5" s="9" t="s">
        <v>2045</v>
      </c>
      <c r="K5" t="s">
        <v>2046</v>
      </c>
    </row>
    <row r="6" spans="1:13">
      <c r="A6" t="s">
        <v>2047</v>
      </c>
      <c r="B6" s="9" t="s">
        <v>2048</v>
      </c>
      <c r="C6" s="5">
        <v>500</v>
      </c>
      <c r="D6" t="s">
        <v>2049</v>
      </c>
      <c r="J6" s="9" t="s">
        <v>2050</v>
      </c>
      <c r="K6">
        <v>50</v>
      </c>
    </row>
    <row r="7" spans="1:13">
      <c r="A7" t="s">
        <v>2051</v>
      </c>
      <c r="B7" s="9" t="s">
        <v>2052</v>
      </c>
      <c r="C7" s="5">
        <v>370</v>
      </c>
      <c r="D7" t="s">
        <v>2053</v>
      </c>
      <c r="J7" s="9" t="s">
        <v>2054</v>
      </c>
      <c r="K7">
        <v>13.5</v>
      </c>
      <c r="L7">
        <f>K7*2</f>
        <v>27</v>
      </c>
    </row>
    <row r="8" spans="1:13">
      <c r="A8" t="s">
        <v>2055</v>
      </c>
      <c r="B8" t="s">
        <v>2056</v>
      </c>
      <c r="C8" s="5">
        <v>0.81</v>
      </c>
      <c r="E8" t="s">
        <v>2057</v>
      </c>
      <c r="J8" s="9" t="s">
        <v>2058</v>
      </c>
      <c r="K8">
        <v>19.5</v>
      </c>
    </row>
    <row r="9" spans="1:13">
      <c r="A9" t="s">
        <v>2059</v>
      </c>
      <c r="B9" t="s">
        <v>2060</v>
      </c>
      <c r="C9" s="6">
        <f>((C12/C16)*C13)/C18</f>
        <v>132859.92239156098</v>
      </c>
      <c r="D9" t="s">
        <v>2061</v>
      </c>
      <c r="E9">
        <f>C9*0.001</f>
        <v>132.85992239156099</v>
      </c>
      <c r="F9" t="s">
        <v>2062</v>
      </c>
      <c r="J9" s="9"/>
    </row>
    <row r="10" spans="1:13">
      <c r="A10" t="s">
        <v>2063</v>
      </c>
      <c r="B10" s="9"/>
      <c r="C10" s="5"/>
      <c r="E10">
        <v>1000</v>
      </c>
      <c r="J10" s="9"/>
    </row>
    <row r="11" spans="1:13">
      <c r="A11" t="s">
        <v>1058</v>
      </c>
      <c r="B11" s="9"/>
      <c r="C11" s="5"/>
      <c r="J11" s="9" t="s">
        <v>2064</v>
      </c>
      <c r="K11">
        <f>K6+L7+K8</f>
        <v>96.5</v>
      </c>
    </row>
    <row r="12" spans="1:13">
      <c r="A12" t="s">
        <v>2065</v>
      </c>
      <c r="C12" s="5">
        <f>General!C7*0.454</f>
        <v>8569.25</v>
      </c>
      <c r="J12" s="9"/>
    </row>
    <row r="13" spans="1:13">
      <c r="A13" t="s">
        <v>2066</v>
      </c>
      <c r="C13" s="5">
        <f>D13/1.943</f>
        <v>154.40041173443129</v>
      </c>
      <c r="D13">
        <v>300</v>
      </c>
      <c r="J13" s="9" t="s">
        <v>2067</v>
      </c>
      <c r="K13">
        <f>(K11/1000)*422</f>
        <v>40.722999999999999</v>
      </c>
      <c r="L13" t="s">
        <v>327</v>
      </c>
    </row>
    <row r="14" spans="1:13">
      <c r="A14" t="s">
        <v>2068</v>
      </c>
      <c r="C14">
        <f>Lift!C42*0.454</f>
        <v>10276.854327557754</v>
      </c>
      <c r="J14" s="9" t="s">
        <v>2069</v>
      </c>
    </row>
    <row r="15" spans="1:13">
      <c r="A15" t="s">
        <v>2070</v>
      </c>
      <c r="C15" s="89">
        <f>Drag!C99*0.454</f>
        <v>877.16612890951512</v>
      </c>
      <c r="J15" s="9" t="s">
        <v>2071</v>
      </c>
    </row>
    <row r="16" spans="1:13">
      <c r="A16" t="s">
        <v>2072</v>
      </c>
      <c r="C16" s="89">
        <f>C14/C15</f>
        <v>11.715972594990467</v>
      </c>
      <c r="J16" s="9" t="s">
        <v>2073</v>
      </c>
      <c r="K16">
        <v>0.30059999999999998</v>
      </c>
      <c r="L16" t="s">
        <v>2074</v>
      </c>
    </row>
    <row r="17" spans="1:14">
      <c r="A17" t="s">
        <v>2075</v>
      </c>
      <c r="C17" s="5">
        <v>0.75</v>
      </c>
      <c r="D17" t="s">
        <v>2076</v>
      </c>
      <c r="J17" s="9" t="s">
        <v>2077</v>
      </c>
      <c r="K17">
        <v>3000</v>
      </c>
    </row>
    <row r="18" spans="1:14">
      <c r="A18" t="s">
        <v>2078</v>
      </c>
      <c r="C18" s="5">
        <v>0.85</v>
      </c>
      <c r="J18" s="9" t="s">
        <v>2079</v>
      </c>
      <c r="K18">
        <v>399</v>
      </c>
      <c r="L18" t="s">
        <v>2080</v>
      </c>
    </row>
    <row r="19" spans="1:14">
      <c r="A19" t="s">
        <v>2081</v>
      </c>
      <c r="C19">
        <v>0.96</v>
      </c>
      <c r="J19" s="9" t="s">
        <v>2082</v>
      </c>
      <c r="K19">
        <v>532</v>
      </c>
      <c r="L19" t="s">
        <v>2080</v>
      </c>
    </row>
    <row r="20" spans="1:14">
      <c r="J20" s="9" t="s">
        <v>2083</v>
      </c>
      <c r="K20">
        <f>K17*K18</f>
        <v>1197000</v>
      </c>
      <c r="L20" t="s">
        <v>199</v>
      </c>
      <c r="M20">
        <f>K20/(10^6)</f>
        <v>1.1970000000000001</v>
      </c>
      <c r="N20" t="s">
        <v>2084</v>
      </c>
    </row>
    <row r="21" spans="1:14">
      <c r="J21" s="9" t="s">
        <v>2085</v>
      </c>
      <c r="K21">
        <f>K17*K19</f>
        <v>1596000</v>
      </c>
      <c r="L21" t="s">
        <v>199</v>
      </c>
      <c r="M21">
        <f>K21/(10^6)</f>
        <v>1.5960000000000001</v>
      </c>
      <c r="N21" t="s">
        <v>2084</v>
      </c>
    </row>
    <row r="22" spans="1:14">
      <c r="A22" s="7" t="s">
        <v>1845</v>
      </c>
      <c r="J22" s="9" t="s">
        <v>2086</v>
      </c>
      <c r="K22" s="31">
        <v>2.5000000000000001E-2</v>
      </c>
      <c r="L22" t="s">
        <v>249</v>
      </c>
      <c r="M22" t="s">
        <v>2087</v>
      </c>
    </row>
    <row r="23" spans="1:14">
      <c r="A23" t="s">
        <v>2088</v>
      </c>
      <c r="B23" t="s">
        <v>586</v>
      </c>
      <c r="C23">
        <f>(C6*C7*C8)/(1000*E10)</f>
        <v>0.14985000000000001</v>
      </c>
      <c r="K23">
        <f>K22/50</f>
        <v>5.0000000000000001E-4</v>
      </c>
      <c r="L23" t="s">
        <v>249</v>
      </c>
      <c r="M23" t="s">
        <v>2089</v>
      </c>
    </row>
    <row r="24" spans="1:14">
      <c r="B24" t="s">
        <v>2090</v>
      </c>
      <c r="C24">
        <f>(C6*C7*C8)/(1000*E10)</f>
        <v>0.14985000000000001</v>
      </c>
      <c r="J24" s="9" t="s">
        <v>2091</v>
      </c>
      <c r="K24">
        <v>0.99975000000000003</v>
      </c>
    </row>
    <row r="25" spans="1:14">
      <c r="A25" t="s">
        <v>2092</v>
      </c>
      <c r="B25" t="s">
        <v>586</v>
      </c>
      <c r="C25">
        <f>3.6*(C14/C15)*((C7*C8*C18)/(C17*C13))*(C6/C12)</f>
        <v>5.4138222200684307</v>
      </c>
    </row>
    <row r="27" spans="1:14">
      <c r="A27" t="s">
        <v>2093</v>
      </c>
      <c r="B27" t="s">
        <v>587</v>
      </c>
      <c r="C27">
        <f>3.6*(C14/C15)*((C7*C8*C18)/(C17))*(C6/C12)</f>
        <v>835.89637983557861</v>
      </c>
      <c r="D27" t="s">
        <v>2094</v>
      </c>
    </row>
    <row r="28" spans="1:14">
      <c r="C28">
        <f>C27/1.61</f>
        <v>519.19029803452088</v>
      </c>
      <c r="D28" t="s">
        <v>1998</v>
      </c>
    </row>
    <row r="29" spans="1:14">
      <c r="A29" t="s">
        <v>2095</v>
      </c>
      <c r="C29">
        <f>582.656*C23</f>
        <v>87.311001599999997</v>
      </c>
      <c r="D29" t="s">
        <v>2094</v>
      </c>
    </row>
    <row r="30" spans="1:14">
      <c r="C30">
        <f>C29/1.60934</f>
        <v>54.252676003827652</v>
      </c>
      <c r="D30" t="s">
        <v>2096</v>
      </c>
    </row>
    <row r="31" spans="1:14">
      <c r="A31" t="s">
        <v>2097</v>
      </c>
      <c r="C31">
        <v>18.77</v>
      </c>
    </row>
    <row r="34" spans="1:6">
      <c r="B34" t="s">
        <v>2098</v>
      </c>
      <c r="C34" t="s">
        <v>2099</v>
      </c>
      <c r="D34" t="s">
        <v>2100</v>
      </c>
    </row>
    <row r="35" spans="1:6">
      <c r="A35">
        <f>B35/1000</f>
        <v>0</v>
      </c>
      <c r="B35">
        <f>(($C$12/$C$16)*C35)/$C$18</f>
        <v>0</v>
      </c>
      <c r="C35">
        <f>D35/1.944</f>
        <v>0</v>
      </c>
      <c r="D35">
        <v>0</v>
      </c>
      <c r="E35">
        <f>(3.6*($C$14/$C$15)*(($C$7*$C$8*$C$18)/(9.81))*($C$6/$C$12))*0.621</f>
        <v>39.685906106872658</v>
      </c>
      <c r="F35" t="s">
        <v>1998</v>
      </c>
    </row>
    <row r="36" spans="1:6">
      <c r="A36">
        <f t="shared" ref="A36:A99" si="0">B36/1000</f>
        <v>0.44263859603361277</v>
      </c>
      <c r="B36">
        <f t="shared" ref="B36:B99" si="1">(($C$12/$C$16)*C36)/$C$18</f>
        <v>442.63859603361277</v>
      </c>
      <c r="C36">
        <f t="shared" ref="C36:C99" si="2">D36/1.944</f>
        <v>0.51440329218106995</v>
      </c>
      <c r="D36">
        <v>1</v>
      </c>
      <c r="E36">
        <v>1275.3499999999999</v>
      </c>
      <c r="F36" t="s">
        <v>1998</v>
      </c>
    </row>
    <row r="37" spans="1:6">
      <c r="A37">
        <f t="shared" si="0"/>
        <v>0.88527719206722555</v>
      </c>
      <c r="B37">
        <f t="shared" si="1"/>
        <v>885.27719206722554</v>
      </c>
      <c r="C37">
        <f t="shared" si="2"/>
        <v>1.0288065843621399</v>
      </c>
      <c r="D37">
        <v>2</v>
      </c>
      <c r="E37">
        <v>1235.5</v>
      </c>
      <c r="F37" t="s">
        <v>1998</v>
      </c>
    </row>
    <row r="38" spans="1:6">
      <c r="A38">
        <f t="shared" si="0"/>
        <v>1.3279157881008383</v>
      </c>
      <c r="B38">
        <f t="shared" si="1"/>
        <v>1327.9157881008384</v>
      </c>
      <c r="C38">
        <f t="shared" si="2"/>
        <v>1.5432098765432098</v>
      </c>
      <c r="D38">
        <v>3</v>
      </c>
      <c r="E38">
        <v>1198</v>
      </c>
      <c r="F38" t="s">
        <v>1998</v>
      </c>
    </row>
    <row r="39" spans="1:6">
      <c r="A39">
        <f t="shared" si="0"/>
        <v>1.7705543841344511</v>
      </c>
      <c r="B39">
        <f t="shared" si="1"/>
        <v>1770.5543841344511</v>
      </c>
      <c r="C39">
        <f t="shared" si="2"/>
        <v>2.0576131687242798</v>
      </c>
      <c r="D39">
        <v>4</v>
      </c>
      <c r="E39">
        <v>1162.8</v>
      </c>
      <c r="F39" t="s">
        <v>1998</v>
      </c>
    </row>
    <row r="40" spans="1:6">
      <c r="A40">
        <f t="shared" si="0"/>
        <v>2.2131929801680643</v>
      </c>
      <c r="B40">
        <f t="shared" si="1"/>
        <v>2213.1929801680644</v>
      </c>
      <c r="C40">
        <f t="shared" si="2"/>
        <v>2.57201646090535</v>
      </c>
      <c r="D40">
        <v>5</v>
      </c>
      <c r="E40">
        <v>1129.5899999999999</v>
      </c>
      <c r="F40" t="s">
        <v>1998</v>
      </c>
    </row>
    <row r="41" spans="1:6">
      <c r="A41">
        <f t="shared" si="0"/>
        <v>2.6558315762016766</v>
      </c>
      <c r="B41">
        <f t="shared" si="1"/>
        <v>2655.8315762016769</v>
      </c>
      <c r="C41">
        <f t="shared" si="2"/>
        <v>3.0864197530864197</v>
      </c>
      <c r="D41">
        <v>6</v>
      </c>
      <c r="E41">
        <v>1098.22</v>
      </c>
      <c r="F41" t="s">
        <v>1998</v>
      </c>
    </row>
    <row r="42" spans="1:6">
      <c r="A42">
        <f t="shared" si="0"/>
        <v>3.0984701722352899</v>
      </c>
      <c r="B42">
        <f t="shared" si="1"/>
        <v>3098.4701722352897</v>
      </c>
      <c r="C42">
        <f t="shared" si="2"/>
        <v>3.6008230452674899</v>
      </c>
      <c r="D42">
        <v>7</v>
      </c>
      <c r="E42">
        <v>1068.54</v>
      </c>
      <c r="F42" t="s">
        <v>1998</v>
      </c>
    </row>
    <row r="43" spans="1:6">
      <c r="A43">
        <f t="shared" si="0"/>
        <v>3.5411087682689022</v>
      </c>
      <c r="B43">
        <f t="shared" si="1"/>
        <v>3541.1087682689022</v>
      </c>
      <c r="C43">
        <f t="shared" si="2"/>
        <v>4.1152263374485596</v>
      </c>
      <c r="D43">
        <v>8</v>
      </c>
      <c r="E43">
        <v>1040.4179999999999</v>
      </c>
      <c r="F43" t="s">
        <v>1998</v>
      </c>
    </row>
    <row r="44" spans="1:6">
      <c r="A44">
        <f t="shared" si="0"/>
        <v>3.9837473643025154</v>
      </c>
      <c r="B44">
        <f t="shared" si="1"/>
        <v>3983.7473643025155</v>
      </c>
      <c r="C44">
        <f t="shared" si="2"/>
        <v>4.6296296296296298</v>
      </c>
      <c r="D44">
        <v>9</v>
      </c>
      <c r="E44">
        <v>1013.74</v>
      </c>
      <c r="F44" t="s">
        <v>1998</v>
      </c>
    </row>
    <row r="45" spans="1:6">
      <c r="A45">
        <f t="shared" si="0"/>
        <v>4.4263859603361286</v>
      </c>
      <c r="B45">
        <f t="shared" si="1"/>
        <v>4426.3859603361288</v>
      </c>
      <c r="C45">
        <f t="shared" si="2"/>
        <v>5.1440329218106999</v>
      </c>
      <c r="D45">
        <v>10</v>
      </c>
      <c r="E45">
        <v>988.39</v>
      </c>
      <c r="F45" t="s">
        <v>1998</v>
      </c>
    </row>
    <row r="46" spans="1:6">
      <c r="A46">
        <f t="shared" si="0"/>
        <v>4.8690245563697419</v>
      </c>
      <c r="B46">
        <f t="shared" si="1"/>
        <v>4869.0245563697417</v>
      </c>
      <c r="C46">
        <f t="shared" si="2"/>
        <v>5.6584362139917701</v>
      </c>
      <c r="D46">
        <v>11</v>
      </c>
      <c r="E46">
        <v>964.29</v>
      </c>
      <c r="F46" t="s">
        <v>1998</v>
      </c>
    </row>
    <row r="47" spans="1:6">
      <c r="A47">
        <f t="shared" si="0"/>
        <v>5.3116631524033533</v>
      </c>
      <c r="B47">
        <f t="shared" si="1"/>
        <v>5311.6631524033537</v>
      </c>
      <c r="C47">
        <f t="shared" si="2"/>
        <v>6.1728395061728394</v>
      </c>
      <c r="D47">
        <v>12</v>
      </c>
      <c r="E47">
        <v>941.33</v>
      </c>
      <c r="F47" t="s">
        <v>1998</v>
      </c>
    </row>
    <row r="48" spans="1:6">
      <c r="A48">
        <f t="shared" si="0"/>
        <v>5.7543017484369665</v>
      </c>
      <c r="B48">
        <f t="shared" si="1"/>
        <v>5754.3017484369666</v>
      </c>
      <c r="C48">
        <f t="shared" si="2"/>
        <v>6.6872427983539096</v>
      </c>
      <c r="D48">
        <v>13</v>
      </c>
      <c r="E48">
        <v>919.44</v>
      </c>
      <c r="F48" t="s">
        <v>1998</v>
      </c>
    </row>
    <row r="49" spans="1:6">
      <c r="A49">
        <f t="shared" si="0"/>
        <v>6.1969403444705797</v>
      </c>
      <c r="B49">
        <f t="shared" si="1"/>
        <v>6196.9403444705795</v>
      </c>
      <c r="C49">
        <f t="shared" si="2"/>
        <v>7.2016460905349797</v>
      </c>
      <c r="D49">
        <v>14</v>
      </c>
      <c r="E49">
        <v>898.54</v>
      </c>
      <c r="F49" t="s">
        <v>1998</v>
      </c>
    </row>
    <row r="50" spans="1:6">
      <c r="A50">
        <f t="shared" si="0"/>
        <v>6.6395789405041921</v>
      </c>
      <c r="B50">
        <f t="shared" si="1"/>
        <v>6639.5789405041924</v>
      </c>
      <c r="C50">
        <f t="shared" si="2"/>
        <v>7.7160493827160499</v>
      </c>
      <c r="D50">
        <v>15</v>
      </c>
      <c r="E50">
        <v>878.57</v>
      </c>
      <c r="F50" t="s">
        <v>1998</v>
      </c>
    </row>
    <row r="51" spans="1:6">
      <c r="A51">
        <f t="shared" si="0"/>
        <v>7.0822175365378044</v>
      </c>
      <c r="B51">
        <f t="shared" si="1"/>
        <v>7082.2175365378043</v>
      </c>
      <c r="C51">
        <f t="shared" si="2"/>
        <v>8.2304526748971192</v>
      </c>
      <c r="D51">
        <v>16</v>
      </c>
      <c r="E51">
        <v>859.47</v>
      </c>
      <c r="F51" t="s">
        <v>1998</v>
      </c>
    </row>
    <row r="52" spans="1:6">
      <c r="A52">
        <f t="shared" si="0"/>
        <v>7.5248561325714185</v>
      </c>
      <c r="B52">
        <f t="shared" si="1"/>
        <v>7524.8561325714181</v>
      </c>
      <c r="C52">
        <f t="shared" si="2"/>
        <v>8.7448559670781894</v>
      </c>
      <c r="D52">
        <v>17</v>
      </c>
      <c r="E52">
        <v>841.19</v>
      </c>
      <c r="F52" t="s">
        <v>1998</v>
      </c>
    </row>
    <row r="53" spans="1:6">
      <c r="A53">
        <f t="shared" si="0"/>
        <v>7.9674947286050308</v>
      </c>
      <c r="B53">
        <f t="shared" si="1"/>
        <v>7967.494728605031</v>
      </c>
      <c r="C53">
        <f t="shared" si="2"/>
        <v>9.2592592592592595</v>
      </c>
      <c r="D53">
        <v>18</v>
      </c>
      <c r="E53">
        <v>823.66</v>
      </c>
      <c r="F53" t="s">
        <v>1998</v>
      </c>
    </row>
    <row r="54" spans="1:6">
      <c r="A54">
        <f t="shared" si="0"/>
        <v>8.4101333246386432</v>
      </c>
      <c r="B54">
        <f t="shared" si="1"/>
        <v>8410.1333246386439</v>
      </c>
      <c r="C54">
        <f t="shared" si="2"/>
        <v>9.7736625514403297</v>
      </c>
      <c r="D54">
        <v>19</v>
      </c>
      <c r="E54">
        <v>806.85</v>
      </c>
      <c r="F54" t="s">
        <v>1998</v>
      </c>
    </row>
    <row r="55" spans="1:6">
      <c r="A55">
        <f t="shared" si="0"/>
        <v>8.8527719206722573</v>
      </c>
      <c r="B55">
        <f t="shared" si="1"/>
        <v>8852.7719206722577</v>
      </c>
      <c r="C55">
        <f t="shared" si="2"/>
        <v>10.2880658436214</v>
      </c>
      <c r="D55">
        <v>20</v>
      </c>
      <c r="E55">
        <v>790.72</v>
      </c>
      <c r="F55" t="s">
        <v>1998</v>
      </c>
    </row>
    <row r="56" spans="1:6">
      <c r="A56">
        <f t="shared" si="0"/>
        <v>9.2954105167058696</v>
      </c>
      <c r="B56">
        <f t="shared" si="1"/>
        <v>9295.4105167058697</v>
      </c>
      <c r="C56">
        <f t="shared" si="2"/>
        <v>10.80246913580247</v>
      </c>
      <c r="D56">
        <v>21</v>
      </c>
      <c r="E56">
        <v>775.2</v>
      </c>
      <c r="F56" t="s">
        <v>1998</v>
      </c>
    </row>
    <row r="57" spans="1:6">
      <c r="A57">
        <f t="shared" si="0"/>
        <v>9.7380491127394837</v>
      </c>
      <c r="B57">
        <f t="shared" si="1"/>
        <v>9738.0491127394835</v>
      </c>
      <c r="C57">
        <f t="shared" si="2"/>
        <v>11.31687242798354</v>
      </c>
      <c r="D57">
        <v>22</v>
      </c>
      <c r="E57">
        <v>760.3</v>
      </c>
      <c r="F57" t="s">
        <v>1998</v>
      </c>
    </row>
    <row r="58" spans="1:6">
      <c r="A58">
        <f t="shared" si="0"/>
        <v>10.180687708773096</v>
      </c>
      <c r="B58">
        <f t="shared" si="1"/>
        <v>10180.687708773095</v>
      </c>
      <c r="C58">
        <f t="shared" si="2"/>
        <v>11.831275720164609</v>
      </c>
      <c r="D58">
        <v>23</v>
      </c>
      <c r="E58">
        <v>745.96</v>
      </c>
      <c r="F58" t="s">
        <v>1998</v>
      </c>
    </row>
    <row r="59" spans="1:6">
      <c r="A59">
        <f t="shared" si="0"/>
        <v>10.623326304806707</v>
      </c>
      <c r="B59">
        <f t="shared" si="1"/>
        <v>10623.326304806707</v>
      </c>
      <c r="C59">
        <f t="shared" si="2"/>
        <v>12.345679012345679</v>
      </c>
      <c r="D59">
        <v>24</v>
      </c>
      <c r="E59">
        <v>732.14</v>
      </c>
      <c r="F59" t="s">
        <v>1998</v>
      </c>
    </row>
    <row r="60" spans="1:6">
      <c r="A60">
        <f t="shared" si="0"/>
        <v>11.065964900840321</v>
      </c>
      <c r="B60">
        <f t="shared" si="1"/>
        <v>11065.964900840321</v>
      </c>
      <c r="C60">
        <f t="shared" si="2"/>
        <v>12.860082304526749</v>
      </c>
      <c r="D60">
        <v>25</v>
      </c>
      <c r="E60">
        <v>718.8</v>
      </c>
      <c r="F60" t="s">
        <v>1998</v>
      </c>
    </row>
    <row r="61" spans="1:6">
      <c r="A61">
        <f t="shared" si="0"/>
        <v>11.508603496873933</v>
      </c>
      <c r="B61">
        <f t="shared" si="1"/>
        <v>11508.603496873933</v>
      </c>
      <c r="C61">
        <f t="shared" si="2"/>
        <v>13.374485596707819</v>
      </c>
      <c r="D61">
        <v>26</v>
      </c>
      <c r="E61">
        <v>705.99</v>
      </c>
      <c r="F61" t="s">
        <v>1998</v>
      </c>
    </row>
    <row r="62" spans="1:6">
      <c r="A62">
        <f t="shared" si="0"/>
        <v>11.951242092907547</v>
      </c>
      <c r="B62">
        <f t="shared" si="1"/>
        <v>11951.242092907547</v>
      </c>
      <c r="C62">
        <f t="shared" si="2"/>
        <v>13.888888888888889</v>
      </c>
      <c r="D62">
        <v>27</v>
      </c>
      <c r="E62">
        <v>693.6</v>
      </c>
      <c r="F62" t="s">
        <v>1998</v>
      </c>
    </row>
    <row r="63" spans="1:6">
      <c r="A63">
        <f t="shared" si="0"/>
        <v>12.393880688941159</v>
      </c>
      <c r="B63">
        <f t="shared" si="1"/>
        <v>12393.880688941159</v>
      </c>
      <c r="C63">
        <f t="shared" si="2"/>
        <v>14.403292181069959</v>
      </c>
      <c r="D63">
        <v>28</v>
      </c>
      <c r="E63">
        <v>681.65</v>
      </c>
      <c r="F63" t="s">
        <v>1998</v>
      </c>
    </row>
    <row r="64" spans="1:6">
      <c r="A64">
        <f t="shared" si="0"/>
        <v>12.836519284974774</v>
      </c>
      <c r="B64">
        <f t="shared" si="1"/>
        <v>12836.519284974773</v>
      </c>
      <c r="C64">
        <f t="shared" si="2"/>
        <v>14.91769547325103</v>
      </c>
      <c r="D64">
        <v>29</v>
      </c>
      <c r="E64">
        <v>670.1</v>
      </c>
      <c r="F64" t="s">
        <v>1998</v>
      </c>
    </row>
    <row r="65" spans="1:5">
      <c r="A65">
        <f t="shared" si="0"/>
        <v>13.279157881008384</v>
      </c>
      <c r="B65">
        <f t="shared" si="1"/>
        <v>13279.157881008385</v>
      </c>
      <c r="C65">
        <f t="shared" si="2"/>
        <v>15.4320987654321</v>
      </c>
      <c r="D65">
        <v>30</v>
      </c>
      <c r="E65">
        <v>658.93</v>
      </c>
    </row>
    <row r="66" spans="1:5">
      <c r="A66">
        <f t="shared" si="0"/>
        <v>13.721796477041998</v>
      </c>
      <c r="B66">
        <f t="shared" si="1"/>
        <v>13721.796477041999</v>
      </c>
      <c r="C66">
        <f t="shared" si="2"/>
        <v>15.94650205761317</v>
      </c>
      <c r="D66">
        <v>31</v>
      </c>
    </row>
    <row r="67" spans="1:5">
      <c r="A67">
        <f t="shared" si="0"/>
        <v>14.164435073075609</v>
      </c>
      <c r="B67">
        <f t="shared" si="1"/>
        <v>14164.435073075609</v>
      </c>
      <c r="C67">
        <f t="shared" si="2"/>
        <v>16.460905349794238</v>
      </c>
      <c r="D67">
        <v>32</v>
      </c>
    </row>
    <row r="68" spans="1:5">
      <c r="A68">
        <f t="shared" si="0"/>
        <v>14.607073669109226</v>
      </c>
      <c r="B68">
        <f t="shared" si="1"/>
        <v>14607.073669109226</v>
      </c>
      <c r="C68">
        <f t="shared" si="2"/>
        <v>16.97530864197531</v>
      </c>
      <c r="D68">
        <v>33</v>
      </c>
    </row>
    <row r="69" spans="1:5">
      <c r="A69">
        <f t="shared" si="0"/>
        <v>15.049712265142837</v>
      </c>
      <c r="B69">
        <f t="shared" si="1"/>
        <v>15049.712265142836</v>
      </c>
      <c r="C69">
        <f t="shared" si="2"/>
        <v>17.489711934156379</v>
      </c>
      <c r="D69">
        <v>34</v>
      </c>
    </row>
    <row r="70" spans="1:5">
      <c r="A70">
        <f t="shared" si="0"/>
        <v>15.492350861176449</v>
      </c>
      <c r="B70">
        <f t="shared" si="1"/>
        <v>15492.35086117645</v>
      </c>
      <c r="C70">
        <f t="shared" si="2"/>
        <v>18.004115226337451</v>
      </c>
      <c r="D70">
        <v>35</v>
      </c>
    </row>
    <row r="71" spans="1:5">
      <c r="A71">
        <f t="shared" si="0"/>
        <v>15.934989457210062</v>
      </c>
      <c r="B71">
        <f t="shared" si="1"/>
        <v>15934.989457210062</v>
      </c>
      <c r="C71">
        <f t="shared" si="2"/>
        <v>18.518518518518519</v>
      </c>
      <c r="D71">
        <v>36</v>
      </c>
    </row>
    <row r="72" spans="1:5">
      <c r="A72">
        <f t="shared" si="0"/>
        <v>16.377628053243676</v>
      </c>
      <c r="B72">
        <f t="shared" si="1"/>
        <v>16377.628053243674</v>
      </c>
      <c r="C72">
        <f t="shared" si="2"/>
        <v>19.032921810699587</v>
      </c>
      <c r="D72">
        <v>37</v>
      </c>
    </row>
    <row r="73" spans="1:5">
      <c r="A73">
        <f t="shared" si="0"/>
        <v>16.820266649277286</v>
      </c>
      <c r="B73">
        <f t="shared" si="1"/>
        <v>16820.266649277288</v>
      </c>
      <c r="C73">
        <f t="shared" si="2"/>
        <v>19.547325102880659</v>
      </c>
      <c r="D73">
        <v>38</v>
      </c>
    </row>
    <row r="74" spans="1:5">
      <c r="A74">
        <f t="shared" si="0"/>
        <v>17.2629052453109</v>
      </c>
      <c r="B74">
        <f t="shared" si="1"/>
        <v>17262.9052453109</v>
      </c>
      <c r="C74">
        <f t="shared" si="2"/>
        <v>20.061728395061728</v>
      </c>
      <c r="D74">
        <v>39</v>
      </c>
    </row>
    <row r="75" spans="1:5">
      <c r="A75">
        <f t="shared" si="0"/>
        <v>17.705543841344515</v>
      </c>
      <c r="B75">
        <f t="shared" si="1"/>
        <v>17705.543841344515</v>
      </c>
      <c r="C75">
        <f t="shared" si="2"/>
        <v>20.5761316872428</v>
      </c>
      <c r="D75">
        <v>40</v>
      </c>
    </row>
    <row r="76" spans="1:5">
      <c r="A76">
        <f t="shared" si="0"/>
        <v>18.148182437378129</v>
      </c>
      <c r="B76">
        <f t="shared" si="1"/>
        <v>18148.182437378127</v>
      </c>
      <c r="C76">
        <f t="shared" si="2"/>
        <v>21.090534979423868</v>
      </c>
      <c r="D76">
        <v>41</v>
      </c>
    </row>
    <row r="77" spans="1:5">
      <c r="A77">
        <f t="shared" si="0"/>
        <v>18.590821033411739</v>
      </c>
      <c r="B77">
        <f t="shared" si="1"/>
        <v>18590.821033411739</v>
      </c>
      <c r="C77">
        <f t="shared" si="2"/>
        <v>21.60493827160494</v>
      </c>
      <c r="D77">
        <v>42</v>
      </c>
    </row>
    <row r="78" spans="1:5">
      <c r="A78">
        <f t="shared" si="0"/>
        <v>19.03345962944535</v>
      </c>
      <c r="B78">
        <f t="shared" si="1"/>
        <v>19033.459629445351</v>
      </c>
      <c r="C78">
        <f t="shared" si="2"/>
        <v>22.119341563786008</v>
      </c>
      <c r="D78">
        <v>43</v>
      </c>
    </row>
    <row r="79" spans="1:5">
      <c r="A79">
        <f t="shared" si="0"/>
        <v>19.476098225478967</v>
      </c>
      <c r="B79">
        <f t="shared" si="1"/>
        <v>19476.098225478967</v>
      </c>
      <c r="C79">
        <f t="shared" si="2"/>
        <v>22.63374485596708</v>
      </c>
      <c r="D79">
        <v>44</v>
      </c>
    </row>
    <row r="80" spans="1:5">
      <c r="A80">
        <f t="shared" si="0"/>
        <v>19.918736821512574</v>
      </c>
      <c r="B80">
        <f t="shared" si="1"/>
        <v>19918.736821512575</v>
      </c>
      <c r="C80">
        <f t="shared" si="2"/>
        <v>23.148148148148149</v>
      </c>
      <c r="D80">
        <v>45</v>
      </c>
    </row>
    <row r="81" spans="1:4">
      <c r="A81">
        <f t="shared" si="0"/>
        <v>20.361375417546192</v>
      </c>
      <c r="B81">
        <f t="shared" si="1"/>
        <v>20361.375417546191</v>
      </c>
      <c r="C81">
        <f t="shared" si="2"/>
        <v>23.662551440329217</v>
      </c>
      <c r="D81">
        <v>46</v>
      </c>
    </row>
    <row r="82" spans="1:4">
      <c r="A82">
        <f t="shared" si="0"/>
        <v>20.804014013579803</v>
      </c>
      <c r="B82">
        <f t="shared" si="1"/>
        <v>20804.014013579803</v>
      </c>
      <c r="C82">
        <f t="shared" si="2"/>
        <v>24.176954732510289</v>
      </c>
      <c r="D82">
        <v>47</v>
      </c>
    </row>
    <row r="83" spans="1:4">
      <c r="A83">
        <f t="shared" si="0"/>
        <v>21.246652609613413</v>
      </c>
      <c r="B83">
        <f t="shared" si="1"/>
        <v>21246.652609613415</v>
      </c>
      <c r="C83">
        <f t="shared" si="2"/>
        <v>24.691358024691358</v>
      </c>
      <c r="D83">
        <v>48</v>
      </c>
    </row>
    <row r="84" spans="1:4">
      <c r="A84">
        <f t="shared" si="0"/>
        <v>21.689291205647027</v>
      </c>
      <c r="B84">
        <f t="shared" si="1"/>
        <v>21689.291205647027</v>
      </c>
      <c r="C84">
        <f t="shared" si="2"/>
        <v>25.205761316872429</v>
      </c>
      <c r="D84">
        <v>49</v>
      </c>
    </row>
    <row r="85" spans="1:4">
      <c r="A85">
        <f t="shared" si="0"/>
        <v>22.131929801680641</v>
      </c>
      <c r="B85">
        <f t="shared" si="1"/>
        <v>22131.929801680642</v>
      </c>
      <c r="C85">
        <f t="shared" si="2"/>
        <v>25.720164609053498</v>
      </c>
      <c r="D85">
        <v>50</v>
      </c>
    </row>
    <row r="86" spans="1:4">
      <c r="A86">
        <f t="shared" si="0"/>
        <v>22.574568397714259</v>
      </c>
      <c r="B86">
        <f t="shared" si="1"/>
        <v>22574.568397714258</v>
      </c>
      <c r="C86">
        <f t="shared" si="2"/>
        <v>26.23456790123457</v>
      </c>
      <c r="D86">
        <v>51</v>
      </c>
    </row>
    <row r="87" spans="1:4">
      <c r="A87">
        <f t="shared" si="0"/>
        <v>23.017206993747866</v>
      </c>
      <c r="B87">
        <f t="shared" si="1"/>
        <v>23017.206993747866</v>
      </c>
      <c r="C87">
        <f t="shared" si="2"/>
        <v>26.748971193415638</v>
      </c>
      <c r="D87">
        <v>52</v>
      </c>
    </row>
    <row r="88" spans="1:4">
      <c r="A88">
        <f t="shared" si="0"/>
        <v>23.459845589781484</v>
      </c>
      <c r="B88">
        <f t="shared" si="1"/>
        <v>23459.845589781482</v>
      </c>
      <c r="C88">
        <f t="shared" si="2"/>
        <v>27.26337448559671</v>
      </c>
      <c r="D88">
        <v>53</v>
      </c>
    </row>
    <row r="89" spans="1:4">
      <c r="A89">
        <f t="shared" si="0"/>
        <v>23.902484185815094</v>
      </c>
      <c r="B89">
        <f t="shared" si="1"/>
        <v>23902.484185815094</v>
      </c>
      <c r="C89">
        <f t="shared" si="2"/>
        <v>27.777777777777779</v>
      </c>
      <c r="D89">
        <v>54</v>
      </c>
    </row>
    <row r="90" spans="1:4">
      <c r="A90">
        <f t="shared" si="0"/>
        <v>24.345122781848705</v>
      </c>
      <c r="B90">
        <f t="shared" si="1"/>
        <v>24345.122781848706</v>
      </c>
      <c r="C90">
        <f t="shared" si="2"/>
        <v>28.292181069958847</v>
      </c>
      <c r="D90">
        <v>55</v>
      </c>
    </row>
    <row r="91" spans="1:4">
      <c r="A91">
        <f t="shared" si="0"/>
        <v>24.787761377882319</v>
      </c>
      <c r="B91">
        <f t="shared" si="1"/>
        <v>24787.761377882318</v>
      </c>
      <c r="C91">
        <f t="shared" si="2"/>
        <v>28.806584362139919</v>
      </c>
      <c r="D91">
        <v>56</v>
      </c>
    </row>
    <row r="92" spans="1:4">
      <c r="A92">
        <f t="shared" si="0"/>
        <v>25.230399973915933</v>
      </c>
      <c r="B92">
        <f t="shared" si="1"/>
        <v>25230.399973915934</v>
      </c>
      <c r="C92">
        <f t="shared" si="2"/>
        <v>29.320987654320987</v>
      </c>
      <c r="D92">
        <v>57</v>
      </c>
    </row>
    <row r="93" spans="1:4">
      <c r="A93">
        <f t="shared" si="0"/>
        <v>25.673038569949547</v>
      </c>
      <c r="B93">
        <f t="shared" si="1"/>
        <v>25673.038569949545</v>
      </c>
      <c r="C93">
        <f t="shared" si="2"/>
        <v>29.835390946502059</v>
      </c>
      <c r="D93">
        <v>58</v>
      </c>
    </row>
    <row r="94" spans="1:4">
      <c r="A94">
        <f t="shared" si="0"/>
        <v>26.115677165983158</v>
      </c>
      <c r="B94">
        <f t="shared" si="1"/>
        <v>26115.677165983157</v>
      </c>
      <c r="C94">
        <f t="shared" si="2"/>
        <v>30.349794238683128</v>
      </c>
      <c r="D94">
        <v>59</v>
      </c>
    </row>
    <row r="95" spans="1:4">
      <c r="A95">
        <f t="shared" si="0"/>
        <v>26.558315762016768</v>
      </c>
      <c r="B95">
        <f t="shared" si="1"/>
        <v>26558.315762016769</v>
      </c>
      <c r="C95">
        <f t="shared" si="2"/>
        <v>30.8641975308642</v>
      </c>
      <c r="D95">
        <v>60</v>
      </c>
    </row>
    <row r="96" spans="1:4">
      <c r="A96">
        <f t="shared" si="0"/>
        <v>27.000954358050382</v>
      </c>
      <c r="B96">
        <f t="shared" si="1"/>
        <v>27000.954358050381</v>
      </c>
      <c r="C96">
        <f t="shared" si="2"/>
        <v>31.378600823045268</v>
      </c>
      <c r="D96">
        <v>61</v>
      </c>
    </row>
    <row r="97" spans="1:4">
      <c r="A97">
        <f t="shared" si="0"/>
        <v>27.443592954083996</v>
      </c>
      <c r="B97">
        <f t="shared" si="1"/>
        <v>27443.592954083997</v>
      </c>
      <c r="C97">
        <f t="shared" si="2"/>
        <v>31.89300411522634</v>
      </c>
      <c r="D97">
        <v>62</v>
      </c>
    </row>
    <row r="98" spans="1:4">
      <c r="A98">
        <f t="shared" si="0"/>
        <v>27.886231550117607</v>
      </c>
      <c r="B98">
        <f t="shared" si="1"/>
        <v>27886.231550117605</v>
      </c>
      <c r="C98">
        <f t="shared" si="2"/>
        <v>32.407407407407405</v>
      </c>
      <c r="D98">
        <v>63</v>
      </c>
    </row>
    <row r="99" spans="1:4">
      <c r="A99">
        <f t="shared" si="0"/>
        <v>28.328870146151218</v>
      </c>
      <c r="B99">
        <f t="shared" si="1"/>
        <v>28328.870146151217</v>
      </c>
      <c r="C99">
        <f t="shared" si="2"/>
        <v>32.921810699588477</v>
      </c>
      <c r="D99">
        <v>64</v>
      </c>
    </row>
    <row r="100" spans="1:4">
      <c r="A100">
        <f t="shared" ref="A100:A163" si="3">B100/1000</f>
        <v>28.771508742184832</v>
      </c>
      <c r="B100">
        <f t="shared" ref="B100:B163" si="4">(($C$12/$C$16)*C100)/$C$18</f>
        <v>28771.508742184833</v>
      </c>
      <c r="C100">
        <f t="shared" ref="C100:C163" si="5">D100/1.944</f>
        <v>33.436213991769549</v>
      </c>
      <c r="D100">
        <v>65</v>
      </c>
    </row>
    <row r="101" spans="1:4">
      <c r="A101">
        <f t="shared" si="3"/>
        <v>29.214147338218453</v>
      </c>
      <c r="B101">
        <f t="shared" si="4"/>
        <v>29214.147338218452</v>
      </c>
      <c r="C101">
        <f t="shared" si="5"/>
        <v>33.950617283950621</v>
      </c>
      <c r="D101">
        <v>66</v>
      </c>
    </row>
    <row r="102" spans="1:4">
      <c r="A102">
        <f t="shared" si="3"/>
        <v>29.656785934252056</v>
      </c>
      <c r="B102">
        <f t="shared" si="4"/>
        <v>29656.785934252057</v>
      </c>
      <c r="C102">
        <f t="shared" si="5"/>
        <v>34.465020576131685</v>
      </c>
      <c r="D102">
        <v>67</v>
      </c>
    </row>
    <row r="103" spans="1:4">
      <c r="A103">
        <f t="shared" si="3"/>
        <v>30.099424530285674</v>
      </c>
      <c r="B103">
        <f t="shared" si="4"/>
        <v>30099.424530285673</v>
      </c>
      <c r="C103">
        <f t="shared" si="5"/>
        <v>34.979423868312757</v>
      </c>
      <c r="D103">
        <v>68</v>
      </c>
    </row>
    <row r="104" spans="1:4">
      <c r="A104">
        <f t="shared" si="3"/>
        <v>30.542063126319285</v>
      </c>
      <c r="B104">
        <f t="shared" si="4"/>
        <v>30542.063126319284</v>
      </c>
      <c r="C104">
        <f t="shared" si="5"/>
        <v>35.493827160493829</v>
      </c>
      <c r="D104">
        <v>69</v>
      </c>
    </row>
    <row r="105" spans="1:4">
      <c r="A105">
        <f t="shared" si="3"/>
        <v>30.984701722352899</v>
      </c>
      <c r="B105">
        <f t="shared" si="4"/>
        <v>30984.7017223529</v>
      </c>
      <c r="C105">
        <f t="shared" si="5"/>
        <v>36.008230452674901</v>
      </c>
      <c r="D105">
        <v>70</v>
      </c>
    </row>
    <row r="106" spans="1:4">
      <c r="A106">
        <f t="shared" si="3"/>
        <v>31.427340318386509</v>
      </c>
      <c r="B106">
        <f t="shared" si="4"/>
        <v>31427.340318386508</v>
      </c>
      <c r="C106">
        <f t="shared" si="5"/>
        <v>36.522633744855966</v>
      </c>
      <c r="D106">
        <v>71</v>
      </c>
    </row>
    <row r="107" spans="1:4">
      <c r="A107">
        <f t="shared" si="3"/>
        <v>31.869978914420123</v>
      </c>
      <c r="B107">
        <f t="shared" si="4"/>
        <v>31869.978914420124</v>
      </c>
      <c r="C107">
        <f t="shared" si="5"/>
        <v>37.037037037037038</v>
      </c>
      <c r="D107">
        <v>72</v>
      </c>
    </row>
    <row r="108" spans="1:4">
      <c r="A108">
        <f t="shared" si="3"/>
        <v>32.312617510453734</v>
      </c>
      <c r="B108">
        <f t="shared" si="4"/>
        <v>32312.617510453736</v>
      </c>
      <c r="C108">
        <f t="shared" si="5"/>
        <v>37.55144032921811</v>
      </c>
      <c r="D108">
        <v>73</v>
      </c>
    </row>
    <row r="109" spans="1:4">
      <c r="A109">
        <f t="shared" si="3"/>
        <v>32.755256106487352</v>
      </c>
      <c r="B109">
        <f t="shared" si="4"/>
        <v>32755.256106487348</v>
      </c>
      <c r="C109">
        <f t="shared" si="5"/>
        <v>38.065843621399175</v>
      </c>
      <c r="D109">
        <v>74</v>
      </c>
    </row>
    <row r="110" spans="1:4">
      <c r="A110">
        <f t="shared" si="3"/>
        <v>33.197894702520962</v>
      </c>
      <c r="B110">
        <f t="shared" si="4"/>
        <v>33197.894702520964</v>
      </c>
      <c r="C110">
        <f t="shared" si="5"/>
        <v>38.580246913580247</v>
      </c>
      <c r="D110">
        <v>75</v>
      </c>
    </row>
    <row r="111" spans="1:4">
      <c r="A111">
        <f t="shared" si="3"/>
        <v>33.640533298554573</v>
      </c>
      <c r="B111">
        <f t="shared" si="4"/>
        <v>33640.533298554576</v>
      </c>
      <c r="C111">
        <f t="shared" si="5"/>
        <v>39.094650205761319</v>
      </c>
      <c r="D111">
        <v>76</v>
      </c>
    </row>
    <row r="112" spans="1:4">
      <c r="A112">
        <f t="shared" si="3"/>
        <v>34.08317189458819</v>
      </c>
      <c r="B112">
        <f t="shared" si="4"/>
        <v>34083.171894588188</v>
      </c>
      <c r="C112">
        <f t="shared" si="5"/>
        <v>39.609053497942391</v>
      </c>
      <c r="D112">
        <v>77</v>
      </c>
    </row>
    <row r="113" spans="1:4">
      <c r="A113">
        <f t="shared" si="3"/>
        <v>34.525810490621801</v>
      </c>
      <c r="B113">
        <f t="shared" si="4"/>
        <v>34525.8104906218</v>
      </c>
      <c r="C113">
        <f t="shared" si="5"/>
        <v>40.123456790123456</v>
      </c>
      <c r="D113">
        <v>78</v>
      </c>
    </row>
    <row r="114" spans="1:4">
      <c r="A114">
        <f t="shared" si="3"/>
        <v>34.968449086655411</v>
      </c>
      <c r="B114">
        <f t="shared" si="4"/>
        <v>34968.449086655412</v>
      </c>
      <c r="C114">
        <f t="shared" si="5"/>
        <v>40.637860082304528</v>
      </c>
      <c r="D114">
        <v>79</v>
      </c>
    </row>
    <row r="115" spans="1:4">
      <c r="A115">
        <f t="shared" si="3"/>
        <v>35.411087682689029</v>
      </c>
      <c r="B115">
        <f t="shared" si="4"/>
        <v>35411.087682689031</v>
      </c>
      <c r="C115">
        <f t="shared" si="5"/>
        <v>41.152263374485599</v>
      </c>
      <c r="D115">
        <v>80</v>
      </c>
    </row>
    <row r="116" spans="1:4">
      <c r="A116">
        <f t="shared" si="3"/>
        <v>35.853726278722633</v>
      </c>
      <c r="B116">
        <f t="shared" si="4"/>
        <v>35853.726278722635</v>
      </c>
      <c r="C116">
        <f t="shared" si="5"/>
        <v>41.666666666666664</v>
      </c>
      <c r="D116">
        <v>81</v>
      </c>
    </row>
    <row r="117" spans="1:4">
      <c r="A117">
        <f t="shared" si="3"/>
        <v>36.296364874756257</v>
      </c>
      <c r="B117">
        <f t="shared" si="4"/>
        <v>36296.364874756255</v>
      </c>
      <c r="C117">
        <f t="shared" si="5"/>
        <v>42.181069958847736</v>
      </c>
      <c r="D117">
        <v>82</v>
      </c>
    </row>
    <row r="118" spans="1:4">
      <c r="A118">
        <f t="shared" si="3"/>
        <v>36.739003470789868</v>
      </c>
      <c r="B118">
        <f t="shared" si="4"/>
        <v>36739.003470789867</v>
      </c>
      <c r="C118">
        <f t="shared" si="5"/>
        <v>42.695473251028808</v>
      </c>
      <c r="D118">
        <v>83</v>
      </c>
    </row>
    <row r="119" spans="1:4">
      <c r="A119">
        <f t="shared" si="3"/>
        <v>37.181642066823478</v>
      </c>
      <c r="B119">
        <f t="shared" si="4"/>
        <v>37181.642066823479</v>
      </c>
      <c r="C119">
        <f t="shared" si="5"/>
        <v>43.20987654320988</v>
      </c>
      <c r="D119">
        <v>84</v>
      </c>
    </row>
    <row r="120" spans="1:4">
      <c r="A120">
        <f t="shared" si="3"/>
        <v>37.624280662857089</v>
      </c>
      <c r="B120">
        <f t="shared" si="4"/>
        <v>37624.280662857091</v>
      </c>
      <c r="C120">
        <f t="shared" si="5"/>
        <v>43.724279835390945</v>
      </c>
      <c r="D120">
        <v>85</v>
      </c>
    </row>
    <row r="121" spans="1:4">
      <c r="A121">
        <f t="shared" si="3"/>
        <v>38.066919258890699</v>
      </c>
      <c r="B121">
        <f t="shared" si="4"/>
        <v>38066.919258890703</v>
      </c>
      <c r="C121">
        <f t="shared" si="5"/>
        <v>44.238683127572017</v>
      </c>
      <c r="D121">
        <v>86</v>
      </c>
    </row>
    <row r="122" spans="1:4">
      <c r="A122">
        <f t="shared" si="3"/>
        <v>38.509557854924317</v>
      </c>
      <c r="B122">
        <f t="shared" si="4"/>
        <v>38509.557854924315</v>
      </c>
      <c r="C122">
        <f t="shared" si="5"/>
        <v>44.753086419753089</v>
      </c>
      <c r="D122">
        <v>87</v>
      </c>
    </row>
    <row r="123" spans="1:4">
      <c r="A123">
        <f t="shared" si="3"/>
        <v>38.952196450957935</v>
      </c>
      <c r="B123">
        <f t="shared" si="4"/>
        <v>38952.196450957934</v>
      </c>
      <c r="C123">
        <f t="shared" si="5"/>
        <v>45.267489711934161</v>
      </c>
      <c r="D123">
        <v>88</v>
      </c>
    </row>
    <row r="124" spans="1:4">
      <c r="A124">
        <f t="shared" si="3"/>
        <v>39.394835046991538</v>
      </c>
      <c r="B124">
        <f t="shared" si="4"/>
        <v>39394.835046991539</v>
      </c>
      <c r="C124">
        <f t="shared" si="5"/>
        <v>45.781893004115226</v>
      </c>
      <c r="D124">
        <v>89</v>
      </c>
    </row>
    <row r="125" spans="1:4">
      <c r="A125">
        <f t="shared" si="3"/>
        <v>39.837473643025149</v>
      </c>
      <c r="B125">
        <f t="shared" si="4"/>
        <v>39837.473643025151</v>
      </c>
      <c r="C125">
        <f t="shared" si="5"/>
        <v>46.296296296296298</v>
      </c>
      <c r="D125">
        <v>90</v>
      </c>
    </row>
    <row r="126" spans="1:4">
      <c r="A126">
        <f t="shared" si="3"/>
        <v>40.280112239058759</v>
      </c>
      <c r="B126">
        <f t="shared" si="4"/>
        <v>40280.112239058762</v>
      </c>
      <c r="C126">
        <f t="shared" si="5"/>
        <v>46.81069958847737</v>
      </c>
      <c r="D126">
        <v>91</v>
      </c>
    </row>
    <row r="127" spans="1:4">
      <c r="A127">
        <f t="shared" si="3"/>
        <v>40.722750835092384</v>
      </c>
      <c r="B127">
        <f t="shared" si="4"/>
        <v>40722.750835092382</v>
      </c>
      <c r="C127">
        <f t="shared" si="5"/>
        <v>47.325102880658434</v>
      </c>
      <c r="D127">
        <v>92</v>
      </c>
    </row>
    <row r="128" spans="1:4">
      <c r="A128">
        <f t="shared" si="3"/>
        <v>41.165389431125995</v>
      </c>
      <c r="B128">
        <f t="shared" si="4"/>
        <v>41165.389431125994</v>
      </c>
      <c r="C128">
        <f t="shared" si="5"/>
        <v>47.839506172839506</v>
      </c>
      <c r="D128">
        <v>93</v>
      </c>
    </row>
    <row r="129" spans="1:4">
      <c r="A129">
        <f t="shared" si="3"/>
        <v>41.608028027159605</v>
      </c>
      <c r="B129">
        <f t="shared" si="4"/>
        <v>41608.028027159606</v>
      </c>
      <c r="C129">
        <f t="shared" si="5"/>
        <v>48.353909465020578</v>
      </c>
      <c r="D129">
        <v>94</v>
      </c>
    </row>
    <row r="130" spans="1:4">
      <c r="A130">
        <f t="shared" si="3"/>
        <v>42.050666623193223</v>
      </c>
      <c r="B130">
        <f t="shared" si="4"/>
        <v>42050.666623193225</v>
      </c>
      <c r="C130">
        <f t="shared" si="5"/>
        <v>48.86831275720165</v>
      </c>
      <c r="D130">
        <v>95</v>
      </c>
    </row>
    <row r="131" spans="1:4">
      <c r="A131">
        <f t="shared" si="3"/>
        <v>42.493305219226826</v>
      </c>
      <c r="B131">
        <f t="shared" si="4"/>
        <v>42493.30521922683</v>
      </c>
      <c r="C131">
        <f t="shared" si="5"/>
        <v>49.382716049382715</v>
      </c>
      <c r="D131">
        <v>96</v>
      </c>
    </row>
    <row r="132" spans="1:4">
      <c r="A132">
        <f t="shared" si="3"/>
        <v>42.935943815260444</v>
      </c>
      <c r="B132">
        <f t="shared" si="4"/>
        <v>42935.943815260442</v>
      </c>
      <c r="C132">
        <f t="shared" si="5"/>
        <v>49.897119341563787</v>
      </c>
      <c r="D132">
        <v>97</v>
      </c>
    </row>
    <row r="133" spans="1:4">
      <c r="A133">
        <f t="shared" si="3"/>
        <v>43.378582411294055</v>
      </c>
      <c r="B133">
        <f t="shared" si="4"/>
        <v>43378.582411294054</v>
      </c>
      <c r="C133">
        <f t="shared" si="5"/>
        <v>50.411522633744859</v>
      </c>
      <c r="D133">
        <v>98</v>
      </c>
    </row>
    <row r="134" spans="1:4">
      <c r="A134">
        <f t="shared" si="3"/>
        <v>43.821221007327672</v>
      </c>
      <c r="B134">
        <f t="shared" si="4"/>
        <v>43821.221007327673</v>
      </c>
      <c r="C134">
        <f t="shared" si="5"/>
        <v>50.925925925925924</v>
      </c>
      <c r="D134">
        <v>99</v>
      </c>
    </row>
    <row r="135" spans="1:4">
      <c r="A135">
        <f t="shared" si="3"/>
        <v>44.263859603361283</v>
      </c>
      <c r="B135">
        <f t="shared" si="4"/>
        <v>44263.859603361285</v>
      </c>
      <c r="C135">
        <f t="shared" si="5"/>
        <v>51.440329218106996</v>
      </c>
      <c r="D135">
        <v>100</v>
      </c>
    </row>
    <row r="136" spans="1:4">
      <c r="A136">
        <f t="shared" si="3"/>
        <v>44.706498199394893</v>
      </c>
      <c r="B136">
        <f t="shared" si="4"/>
        <v>44706.498199394897</v>
      </c>
      <c r="C136">
        <f t="shared" si="5"/>
        <v>51.954732510288068</v>
      </c>
      <c r="D136">
        <v>101</v>
      </c>
    </row>
    <row r="137" spans="1:4">
      <c r="A137">
        <f t="shared" si="3"/>
        <v>45.149136795428518</v>
      </c>
      <c r="B137">
        <f t="shared" si="4"/>
        <v>45149.136795428516</v>
      </c>
      <c r="C137">
        <f t="shared" si="5"/>
        <v>52.46913580246914</v>
      </c>
      <c r="D137">
        <v>102</v>
      </c>
    </row>
    <row r="138" spans="1:4">
      <c r="A138">
        <f t="shared" si="3"/>
        <v>45.591775391462122</v>
      </c>
      <c r="B138">
        <f t="shared" si="4"/>
        <v>45591.775391462121</v>
      </c>
      <c r="C138">
        <f t="shared" si="5"/>
        <v>52.983539094650205</v>
      </c>
      <c r="D138">
        <v>103</v>
      </c>
    </row>
    <row r="139" spans="1:4">
      <c r="A139">
        <f t="shared" si="3"/>
        <v>46.034413987495732</v>
      </c>
      <c r="B139">
        <f t="shared" si="4"/>
        <v>46034.413987495733</v>
      </c>
      <c r="C139">
        <f t="shared" si="5"/>
        <v>53.497942386831276</v>
      </c>
      <c r="D139">
        <v>104</v>
      </c>
    </row>
    <row r="140" spans="1:4">
      <c r="A140">
        <f t="shared" si="3"/>
        <v>46.477052583529343</v>
      </c>
      <c r="B140">
        <f t="shared" si="4"/>
        <v>46477.052583529345</v>
      </c>
      <c r="C140">
        <f t="shared" si="5"/>
        <v>54.012345679012348</v>
      </c>
      <c r="D140">
        <v>105</v>
      </c>
    </row>
    <row r="141" spans="1:4">
      <c r="A141">
        <f t="shared" si="3"/>
        <v>46.919691179562967</v>
      </c>
      <c r="B141">
        <f t="shared" si="4"/>
        <v>46919.691179562964</v>
      </c>
      <c r="C141">
        <f t="shared" si="5"/>
        <v>54.52674897119342</v>
      </c>
      <c r="D141">
        <v>106</v>
      </c>
    </row>
    <row r="142" spans="1:4">
      <c r="A142">
        <f t="shared" si="3"/>
        <v>47.362329775596578</v>
      </c>
      <c r="B142">
        <f t="shared" si="4"/>
        <v>47362.329775596576</v>
      </c>
      <c r="C142">
        <f t="shared" si="5"/>
        <v>55.041152263374485</v>
      </c>
      <c r="D142">
        <v>107</v>
      </c>
    </row>
    <row r="143" spans="1:4">
      <c r="A143">
        <f t="shared" si="3"/>
        <v>47.804968371630189</v>
      </c>
      <c r="B143">
        <f t="shared" si="4"/>
        <v>47804.968371630188</v>
      </c>
      <c r="C143">
        <f t="shared" si="5"/>
        <v>55.555555555555557</v>
      </c>
      <c r="D143">
        <v>108</v>
      </c>
    </row>
    <row r="144" spans="1:4">
      <c r="A144">
        <f t="shared" si="3"/>
        <v>48.247606967663799</v>
      </c>
      <c r="B144">
        <f t="shared" si="4"/>
        <v>48247.6069676638</v>
      </c>
      <c r="C144">
        <f t="shared" si="5"/>
        <v>56.069958847736629</v>
      </c>
      <c r="D144">
        <v>109</v>
      </c>
    </row>
    <row r="145" spans="1:4">
      <c r="A145">
        <f t="shared" si="3"/>
        <v>48.69024556369741</v>
      </c>
      <c r="B145">
        <f t="shared" si="4"/>
        <v>48690.245563697412</v>
      </c>
      <c r="C145">
        <f t="shared" si="5"/>
        <v>56.584362139917694</v>
      </c>
      <c r="D145">
        <v>110</v>
      </c>
    </row>
    <row r="146" spans="1:4">
      <c r="A146">
        <f t="shared" si="3"/>
        <v>49.132884159731027</v>
      </c>
      <c r="B146">
        <f t="shared" si="4"/>
        <v>49132.884159731024</v>
      </c>
      <c r="C146">
        <f t="shared" si="5"/>
        <v>57.098765432098766</v>
      </c>
      <c r="D146">
        <v>111</v>
      </c>
    </row>
    <row r="147" spans="1:4">
      <c r="A147">
        <f t="shared" si="3"/>
        <v>49.575522755764638</v>
      </c>
      <c r="B147">
        <f t="shared" si="4"/>
        <v>49575.522755764636</v>
      </c>
      <c r="C147">
        <f t="shared" si="5"/>
        <v>57.613168724279838</v>
      </c>
      <c r="D147">
        <v>112</v>
      </c>
    </row>
    <row r="148" spans="1:4">
      <c r="A148">
        <f t="shared" si="3"/>
        <v>50.018161351798248</v>
      </c>
      <c r="B148">
        <f t="shared" si="4"/>
        <v>50018.161351798248</v>
      </c>
      <c r="C148">
        <f t="shared" si="5"/>
        <v>58.12757201646091</v>
      </c>
      <c r="D148">
        <v>113</v>
      </c>
    </row>
    <row r="149" spans="1:4">
      <c r="A149">
        <f t="shared" si="3"/>
        <v>50.460799947831866</v>
      </c>
      <c r="B149">
        <f t="shared" si="4"/>
        <v>50460.799947831867</v>
      </c>
      <c r="C149">
        <f t="shared" si="5"/>
        <v>58.641975308641975</v>
      </c>
      <c r="D149">
        <v>114</v>
      </c>
    </row>
    <row r="150" spans="1:4">
      <c r="A150">
        <f t="shared" si="3"/>
        <v>50.903438543865477</v>
      </c>
      <c r="B150">
        <f t="shared" si="4"/>
        <v>50903.438543865479</v>
      </c>
      <c r="C150">
        <f t="shared" si="5"/>
        <v>59.156378600823047</v>
      </c>
      <c r="D150">
        <v>115</v>
      </c>
    </row>
    <row r="151" spans="1:4">
      <c r="A151">
        <f t="shared" si="3"/>
        <v>51.346077139899094</v>
      </c>
      <c r="B151">
        <f t="shared" si="4"/>
        <v>51346.077139899091</v>
      </c>
      <c r="C151">
        <f t="shared" si="5"/>
        <v>59.670781893004119</v>
      </c>
      <c r="D151">
        <v>116</v>
      </c>
    </row>
    <row r="152" spans="1:4">
      <c r="A152">
        <f t="shared" si="3"/>
        <v>51.788715735932698</v>
      </c>
      <c r="B152">
        <f t="shared" si="4"/>
        <v>51788.715735932696</v>
      </c>
      <c r="C152">
        <f t="shared" si="5"/>
        <v>60.185185185185183</v>
      </c>
      <c r="D152">
        <v>117</v>
      </c>
    </row>
    <row r="153" spans="1:4">
      <c r="A153">
        <f t="shared" si="3"/>
        <v>52.231354331966315</v>
      </c>
      <c r="B153">
        <f t="shared" si="4"/>
        <v>52231.354331966315</v>
      </c>
      <c r="C153">
        <f t="shared" si="5"/>
        <v>60.699588477366255</v>
      </c>
      <c r="D153">
        <v>118</v>
      </c>
    </row>
    <row r="154" spans="1:4">
      <c r="A154">
        <f t="shared" si="3"/>
        <v>52.673992927999926</v>
      </c>
      <c r="B154">
        <f t="shared" si="4"/>
        <v>52673.992927999927</v>
      </c>
      <c r="C154">
        <f t="shared" si="5"/>
        <v>61.213991769547327</v>
      </c>
      <c r="D154">
        <v>119</v>
      </c>
    </row>
    <row r="155" spans="1:4">
      <c r="A155">
        <f t="shared" si="3"/>
        <v>53.116631524033536</v>
      </c>
      <c r="B155">
        <f t="shared" si="4"/>
        <v>53116.631524033539</v>
      </c>
      <c r="C155">
        <f t="shared" si="5"/>
        <v>61.728395061728399</v>
      </c>
      <c r="D155">
        <v>120</v>
      </c>
    </row>
    <row r="156" spans="1:4">
      <c r="A156">
        <f t="shared" si="3"/>
        <v>53.559270120067147</v>
      </c>
      <c r="B156">
        <f t="shared" si="4"/>
        <v>53559.270120067144</v>
      </c>
      <c r="C156">
        <f t="shared" si="5"/>
        <v>62.242798353909464</v>
      </c>
      <c r="D156">
        <v>121</v>
      </c>
    </row>
    <row r="157" spans="1:4">
      <c r="A157">
        <f t="shared" si="3"/>
        <v>54.001908716100765</v>
      </c>
      <c r="B157">
        <f t="shared" si="4"/>
        <v>54001.908716100763</v>
      </c>
      <c r="C157">
        <f t="shared" si="5"/>
        <v>62.757201646090536</v>
      </c>
      <c r="D157">
        <v>122</v>
      </c>
    </row>
    <row r="158" spans="1:4">
      <c r="A158">
        <f t="shared" si="3"/>
        <v>54.444547312134382</v>
      </c>
      <c r="B158">
        <f t="shared" si="4"/>
        <v>54444.547312134382</v>
      </c>
      <c r="C158">
        <f t="shared" si="5"/>
        <v>63.271604938271608</v>
      </c>
      <c r="D158">
        <v>123</v>
      </c>
    </row>
    <row r="159" spans="1:4">
      <c r="A159">
        <f t="shared" si="3"/>
        <v>54.887185908167993</v>
      </c>
      <c r="B159">
        <f t="shared" si="4"/>
        <v>54887.185908167994</v>
      </c>
      <c r="C159">
        <f t="shared" si="5"/>
        <v>63.78600823045268</v>
      </c>
      <c r="D159">
        <v>124</v>
      </c>
    </row>
    <row r="160" spans="1:4">
      <c r="A160">
        <f t="shared" si="3"/>
        <v>55.329824504201611</v>
      </c>
      <c r="B160">
        <f t="shared" si="4"/>
        <v>55329.824504201613</v>
      </c>
      <c r="C160">
        <f t="shared" si="5"/>
        <v>64.300411522633752</v>
      </c>
      <c r="D160">
        <v>125</v>
      </c>
    </row>
    <row r="161" spans="1:4">
      <c r="A161">
        <f t="shared" si="3"/>
        <v>55.772463100235214</v>
      </c>
      <c r="B161">
        <f t="shared" si="4"/>
        <v>55772.463100235211</v>
      </c>
      <c r="C161">
        <f t="shared" si="5"/>
        <v>64.81481481481481</v>
      </c>
      <c r="D161">
        <v>126</v>
      </c>
    </row>
    <row r="162" spans="1:4">
      <c r="A162">
        <f t="shared" si="3"/>
        <v>56.215101696268825</v>
      </c>
      <c r="B162">
        <f t="shared" si="4"/>
        <v>56215.101696268823</v>
      </c>
      <c r="C162">
        <f t="shared" si="5"/>
        <v>65.329218106995881</v>
      </c>
      <c r="D162">
        <v>127</v>
      </c>
    </row>
    <row r="163" spans="1:4">
      <c r="A163">
        <f t="shared" si="3"/>
        <v>56.657740292302435</v>
      </c>
      <c r="B163">
        <f t="shared" si="4"/>
        <v>56657.740292302435</v>
      </c>
      <c r="C163">
        <f t="shared" si="5"/>
        <v>65.843621399176953</v>
      </c>
      <c r="D163">
        <v>128</v>
      </c>
    </row>
    <row r="164" spans="1:4">
      <c r="A164">
        <f t="shared" ref="A164:A227" si="6">B164/1000</f>
        <v>57.100378888336053</v>
      </c>
      <c r="B164">
        <f t="shared" ref="B164:B227" si="7">(($C$12/$C$16)*C164)/$C$18</f>
        <v>57100.378888336054</v>
      </c>
      <c r="C164">
        <f t="shared" ref="C164:C227" si="8">D164/1.944</f>
        <v>66.358024691358025</v>
      </c>
      <c r="D164">
        <v>129</v>
      </c>
    </row>
    <row r="165" spans="1:4">
      <c r="A165">
        <f t="shared" si="6"/>
        <v>57.543017484369663</v>
      </c>
      <c r="B165">
        <f t="shared" si="7"/>
        <v>57543.017484369666</v>
      </c>
      <c r="C165">
        <f t="shared" si="8"/>
        <v>66.872427983539097</v>
      </c>
      <c r="D165">
        <v>130</v>
      </c>
    </row>
    <row r="166" spans="1:4">
      <c r="A166">
        <f t="shared" si="6"/>
        <v>57.985656080403281</v>
      </c>
      <c r="B166">
        <f t="shared" si="7"/>
        <v>57985.656080403278</v>
      </c>
      <c r="C166">
        <f t="shared" si="8"/>
        <v>67.386831275720169</v>
      </c>
      <c r="D166">
        <v>131</v>
      </c>
    </row>
    <row r="167" spans="1:4">
      <c r="A167">
        <f t="shared" si="6"/>
        <v>58.428294676436906</v>
      </c>
      <c r="B167">
        <f t="shared" si="7"/>
        <v>58428.294676436904</v>
      </c>
      <c r="C167">
        <f t="shared" si="8"/>
        <v>67.901234567901241</v>
      </c>
      <c r="D167">
        <v>132</v>
      </c>
    </row>
    <row r="168" spans="1:4">
      <c r="A168">
        <f t="shared" si="6"/>
        <v>58.870933272470516</v>
      </c>
      <c r="B168">
        <f t="shared" si="7"/>
        <v>58870.933272470516</v>
      </c>
      <c r="C168">
        <f t="shared" si="8"/>
        <v>68.415637860082313</v>
      </c>
      <c r="D168">
        <v>133</v>
      </c>
    </row>
    <row r="169" spans="1:4">
      <c r="A169">
        <f t="shared" si="6"/>
        <v>59.313571868504113</v>
      </c>
      <c r="B169">
        <f t="shared" si="7"/>
        <v>59313.571868504114</v>
      </c>
      <c r="C169">
        <f t="shared" si="8"/>
        <v>68.930041152263371</v>
      </c>
      <c r="D169">
        <v>134</v>
      </c>
    </row>
    <row r="170" spans="1:4">
      <c r="A170">
        <f t="shared" si="6"/>
        <v>59.756210464537723</v>
      </c>
      <c r="B170">
        <f t="shared" si="7"/>
        <v>59756.210464537726</v>
      </c>
      <c r="C170">
        <f t="shared" si="8"/>
        <v>69.444444444444443</v>
      </c>
      <c r="D170">
        <v>135</v>
      </c>
    </row>
    <row r="171" spans="1:4">
      <c r="A171">
        <f t="shared" si="6"/>
        <v>60.198849060571348</v>
      </c>
      <c r="B171">
        <f t="shared" si="7"/>
        <v>60198.849060571345</v>
      </c>
      <c r="C171">
        <f t="shared" si="8"/>
        <v>69.958847736625515</v>
      </c>
      <c r="D171">
        <v>136</v>
      </c>
    </row>
    <row r="172" spans="1:4">
      <c r="A172">
        <f t="shared" si="6"/>
        <v>60.641487656604959</v>
      </c>
      <c r="B172">
        <f t="shared" si="7"/>
        <v>60641.487656604957</v>
      </c>
      <c r="C172">
        <f t="shared" si="8"/>
        <v>70.473251028806587</v>
      </c>
      <c r="D172">
        <v>137</v>
      </c>
    </row>
    <row r="173" spans="1:4">
      <c r="A173">
        <f t="shared" si="6"/>
        <v>61.084126252638569</v>
      </c>
      <c r="B173">
        <f t="shared" si="7"/>
        <v>61084.126252638569</v>
      </c>
      <c r="C173">
        <f t="shared" si="8"/>
        <v>70.987654320987659</v>
      </c>
      <c r="D173">
        <v>138</v>
      </c>
    </row>
    <row r="174" spans="1:4">
      <c r="A174">
        <f t="shared" si="6"/>
        <v>61.52676484867218</v>
      </c>
      <c r="B174">
        <f t="shared" si="7"/>
        <v>61526.764848672181</v>
      </c>
      <c r="C174">
        <f t="shared" si="8"/>
        <v>71.502057613168731</v>
      </c>
      <c r="D174">
        <v>139</v>
      </c>
    </row>
    <row r="175" spans="1:4">
      <c r="A175">
        <f t="shared" si="6"/>
        <v>61.969403444705797</v>
      </c>
      <c r="B175">
        <f t="shared" si="7"/>
        <v>61969.4034447058</v>
      </c>
      <c r="C175">
        <f t="shared" si="8"/>
        <v>72.016460905349803</v>
      </c>
      <c r="D175">
        <v>140</v>
      </c>
    </row>
    <row r="176" spans="1:4">
      <c r="A176">
        <f t="shared" si="6"/>
        <v>62.412042040739408</v>
      </c>
      <c r="B176">
        <f t="shared" si="7"/>
        <v>62412.042040739405</v>
      </c>
      <c r="C176">
        <f t="shared" si="8"/>
        <v>72.53086419753086</v>
      </c>
      <c r="D176">
        <v>141</v>
      </c>
    </row>
    <row r="177" spans="1:4">
      <c r="A177">
        <f t="shared" si="6"/>
        <v>62.854680636773018</v>
      </c>
      <c r="B177">
        <f t="shared" si="7"/>
        <v>62854.680636773017</v>
      </c>
      <c r="C177">
        <f t="shared" si="8"/>
        <v>73.045267489711932</v>
      </c>
      <c r="D177">
        <v>142</v>
      </c>
    </row>
    <row r="178" spans="1:4">
      <c r="A178">
        <f t="shared" si="6"/>
        <v>63.297319232806629</v>
      </c>
      <c r="B178">
        <f t="shared" si="7"/>
        <v>63297.319232806629</v>
      </c>
      <c r="C178">
        <f t="shared" si="8"/>
        <v>73.559670781893004</v>
      </c>
      <c r="D178">
        <v>143</v>
      </c>
    </row>
    <row r="179" spans="1:4">
      <c r="A179">
        <f t="shared" si="6"/>
        <v>63.739957828840247</v>
      </c>
      <c r="B179">
        <f t="shared" si="7"/>
        <v>63739.957828840248</v>
      </c>
      <c r="C179">
        <f t="shared" si="8"/>
        <v>74.074074074074076</v>
      </c>
      <c r="D179">
        <v>144</v>
      </c>
    </row>
    <row r="180" spans="1:4">
      <c r="A180">
        <f t="shared" si="6"/>
        <v>64.182596424873864</v>
      </c>
      <c r="B180">
        <f t="shared" si="7"/>
        <v>64182.59642487386</v>
      </c>
      <c r="C180">
        <f t="shared" si="8"/>
        <v>74.588477366255148</v>
      </c>
      <c r="D180">
        <v>145</v>
      </c>
    </row>
    <row r="181" spans="1:4">
      <c r="A181">
        <f t="shared" si="6"/>
        <v>64.625235020907468</v>
      </c>
      <c r="B181">
        <f t="shared" si="7"/>
        <v>64625.235020907472</v>
      </c>
      <c r="C181">
        <f t="shared" si="8"/>
        <v>75.10288065843622</v>
      </c>
      <c r="D181">
        <v>146</v>
      </c>
    </row>
    <row r="182" spans="1:4">
      <c r="A182">
        <f t="shared" si="6"/>
        <v>65.067873616941085</v>
      </c>
      <c r="B182">
        <f t="shared" si="7"/>
        <v>65067.873616941091</v>
      </c>
      <c r="C182">
        <f t="shared" si="8"/>
        <v>75.617283950617292</v>
      </c>
      <c r="D182">
        <v>147</v>
      </c>
    </row>
    <row r="183" spans="1:4">
      <c r="A183">
        <f t="shared" si="6"/>
        <v>65.510512212974703</v>
      </c>
      <c r="B183">
        <f t="shared" si="7"/>
        <v>65510.512212974696</v>
      </c>
      <c r="C183">
        <f t="shared" si="8"/>
        <v>76.13168724279835</v>
      </c>
      <c r="D183">
        <v>148</v>
      </c>
    </row>
    <row r="184" spans="1:4">
      <c r="A184">
        <f t="shared" si="6"/>
        <v>65.953150809008307</v>
      </c>
      <c r="B184">
        <f t="shared" si="7"/>
        <v>65953.150809008308</v>
      </c>
      <c r="C184">
        <f t="shared" si="8"/>
        <v>76.646090534979422</v>
      </c>
      <c r="D184">
        <v>149</v>
      </c>
    </row>
    <row r="185" spans="1:4">
      <c r="A185">
        <f t="shared" si="6"/>
        <v>66.395789405041924</v>
      </c>
      <c r="B185">
        <f t="shared" si="7"/>
        <v>66395.789405041927</v>
      </c>
      <c r="C185">
        <f t="shared" si="8"/>
        <v>77.160493827160494</v>
      </c>
      <c r="D185">
        <v>150</v>
      </c>
    </row>
    <row r="186" spans="1:4">
      <c r="A186">
        <f t="shared" si="6"/>
        <v>66.838428001075528</v>
      </c>
      <c r="B186">
        <f t="shared" si="7"/>
        <v>66838.428001075532</v>
      </c>
      <c r="C186">
        <f t="shared" si="8"/>
        <v>77.674897119341566</v>
      </c>
      <c r="D186">
        <v>151</v>
      </c>
    </row>
    <row r="187" spans="1:4">
      <c r="A187">
        <f t="shared" si="6"/>
        <v>67.281066597109145</v>
      </c>
      <c r="B187">
        <f t="shared" si="7"/>
        <v>67281.066597109151</v>
      </c>
      <c r="C187">
        <f t="shared" si="8"/>
        <v>78.189300411522638</v>
      </c>
      <c r="D187">
        <v>152</v>
      </c>
    </row>
    <row r="188" spans="1:4">
      <c r="A188">
        <f t="shared" si="6"/>
        <v>67.723705193142777</v>
      </c>
      <c r="B188">
        <f t="shared" si="7"/>
        <v>67723.70519314277</v>
      </c>
      <c r="C188">
        <f t="shared" si="8"/>
        <v>78.703703703703709</v>
      </c>
      <c r="D188">
        <v>153</v>
      </c>
    </row>
    <row r="189" spans="1:4">
      <c r="A189">
        <f t="shared" si="6"/>
        <v>68.166343789176381</v>
      </c>
      <c r="B189">
        <f t="shared" si="7"/>
        <v>68166.343789176375</v>
      </c>
      <c r="C189">
        <f t="shared" si="8"/>
        <v>79.218106995884781</v>
      </c>
      <c r="D189">
        <v>154</v>
      </c>
    </row>
    <row r="190" spans="1:4">
      <c r="A190">
        <f t="shared" si="6"/>
        <v>68.608982385209984</v>
      </c>
      <c r="B190">
        <f t="shared" si="7"/>
        <v>68608.98238520998</v>
      </c>
      <c r="C190">
        <f t="shared" si="8"/>
        <v>79.732510288065839</v>
      </c>
      <c r="D190">
        <v>155</v>
      </c>
    </row>
    <row r="191" spans="1:4">
      <c r="A191">
        <f t="shared" si="6"/>
        <v>69.051620981243602</v>
      </c>
      <c r="B191">
        <f t="shared" si="7"/>
        <v>69051.620981243599</v>
      </c>
      <c r="C191">
        <f t="shared" si="8"/>
        <v>80.246913580246911</v>
      </c>
      <c r="D191">
        <v>156</v>
      </c>
    </row>
    <row r="192" spans="1:4">
      <c r="A192">
        <f t="shared" si="6"/>
        <v>69.494259577277219</v>
      </c>
      <c r="B192">
        <f t="shared" si="7"/>
        <v>69494.259577277218</v>
      </c>
      <c r="C192">
        <f t="shared" si="8"/>
        <v>80.761316872427983</v>
      </c>
      <c r="D192">
        <v>157</v>
      </c>
    </row>
    <row r="193" spans="1:4">
      <c r="A193">
        <f t="shared" si="6"/>
        <v>69.936898173310823</v>
      </c>
      <c r="B193">
        <f t="shared" si="7"/>
        <v>69936.898173310823</v>
      </c>
      <c r="C193">
        <f t="shared" si="8"/>
        <v>81.275720164609055</v>
      </c>
      <c r="D193">
        <v>158</v>
      </c>
    </row>
    <row r="194" spans="1:4">
      <c r="A194">
        <f t="shared" si="6"/>
        <v>70.37953676934444</v>
      </c>
      <c r="B194">
        <f t="shared" si="7"/>
        <v>70379.536769344442</v>
      </c>
      <c r="C194">
        <f t="shared" si="8"/>
        <v>81.790123456790127</v>
      </c>
      <c r="D194">
        <v>159</v>
      </c>
    </row>
    <row r="195" spans="1:4">
      <c r="A195">
        <f t="shared" si="6"/>
        <v>70.822175365378058</v>
      </c>
      <c r="B195">
        <f t="shared" si="7"/>
        <v>70822.175365378062</v>
      </c>
      <c r="C195">
        <f t="shared" si="8"/>
        <v>82.304526748971199</v>
      </c>
      <c r="D195">
        <v>160</v>
      </c>
    </row>
    <row r="196" spans="1:4">
      <c r="A196">
        <f t="shared" si="6"/>
        <v>71.264813961411662</v>
      </c>
      <c r="B196">
        <f t="shared" si="7"/>
        <v>71264.813961411666</v>
      </c>
      <c r="C196">
        <f t="shared" si="8"/>
        <v>82.818930041152271</v>
      </c>
      <c r="D196">
        <v>161</v>
      </c>
    </row>
    <row r="197" spans="1:4">
      <c r="A197">
        <f t="shared" si="6"/>
        <v>71.707452557445265</v>
      </c>
      <c r="B197">
        <f t="shared" si="7"/>
        <v>71707.452557445271</v>
      </c>
      <c r="C197">
        <f t="shared" si="8"/>
        <v>83.333333333333329</v>
      </c>
      <c r="D197">
        <v>162</v>
      </c>
    </row>
    <row r="198" spans="1:4">
      <c r="A198">
        <f t="shared" si="6"/>
        <v>72.150091153478897</v>
      </c>
      <c r="B198">
        <f t="shared" si="7"/>
        <v>72150.09115347889</v>
      </c>
      <c r="C198">
        <f t="shared" si="8"/>
        <v>83.847736625514401</v>
      </c>
      <c r="D198">
        <v>163</v>
      </c>
    </row>
    <row r="199" spans="1:4">
      <c r="A199">
        <f t="shared" si="6"/>
        <v>72.592729749512515</v>
      </c>
      <c r="B199">
        <f t="shared" si="7"/>
        <v>72592.729749512509</v>
      </c>
      <c r="C199">
        <f t="shared" si="8"/>
        <v>84.362139917695472</v>
      </c>
      <c r="D199">
        <v>164</v>
      </c>
    </row>
    <row r="200" spans="1:4">
      <c r="A200">
        <f t="shared" si="6"/>
        <v>73.035368345546118</v>
      </c>
      <c r="B200">
        <f t="shared" si="7"/>
        <v>73035.368345546114</v>
      </c>
      <c r="C200">
        <f t="shared" si="8"/>
        <v>84.876543209876544</v>
      </c>
      <c r="D200">
        <v>165</v>
      </c>
    </row>
    <row r="201" spans="1:4">
      <c r="A201">
        <f t="shared" si="6"/>
        <v>73.478006941579736</v>
      </c>
      <c r="B201">
        <f t="shared" si="7"/>
        <v>73478.006941579733</v>
      </c>
      <c r="C201">
        <f t="shared" si="8"/>
        <v>85.390946502057616</v>
      </c>
      <c r="D201">
        <v>166</v>
      </c>
    </row>
    <row r="202" spans="1:4">
      <c r="A202">
        <f t="shared" si="6"/>
        <v>73.920645537613339</v>
      </c>
      <c r="B202">
        <f t="shared" si="7"/>
        <v>73920.645537613338</v>
      </c>
      <c r="C202">
        <f t="shared" si="8"/>
        <v>85.905349794238688</v>
      </c>
      <c r="D202">
        <v>167</v>
      </c>
    </row>
    <row r="203" spans="1:4">
      <c r="A203">
        <f t="shared" si="6"/>
        <v>74.363284133646957</v>
      </c>
      <c r="B203">
        <f t="shared" si="7"/>
        <v>74363.284133646957</v>
      </c>
      <c r="C203">
        <f t="shared" si="8"/>
        <v>86.41975308641976</v>
      </c>
      <c r="D203">
        <v>168</v>
      </c>
    </row>
    <row r="204" spans="1:4">
      <c r="A204">
        <f t="shared" si="6"/>
        <v>74.805922729680574</v>
      </c>
      <c r="B204">
        <f t="shared" si="7"/>
        <v>74805.922729680577</v>
      </c>
      <c r="C204">
        <f t="shared" si="8"/>
        <v>86.934156378600832</v>
      </c>
      <c r="D204">
        <v>169</v>
      </c>
    </row>
    <row r="205" spans="1:4">
      <c r="A205">
        <f t="shared" si="6"/>
        <v>75.248561325714178</v>
      </c>
      <c r="B205">
        <f t="shared" si="7"/>
        <v>75248.561325714181</v>
      </c>
      <c r="C205">
        <f t="shared" si="8"/>
        <v>87.44855967078189</v>
      </c>
      <c r="D205">
        <v>170</v>
      </c>
    </row>
    <row r="206" spans="1:4">
      <c r="A206">
        <f t="shared" si="6"/>
        <v>75.691199921747781</v>
      </c>
      <c r="B206">
        <f t="shared" si="7"/>
        <v>75691.199921747786</v>
      </c>
      <c r="C206">
        <f t="shared" si="8"/>
        <v>87.962962962962962</v>
      </c>
      <c r="D206">
        <v>171</v>
      </c>
    </row>
    <row r="207" spans="1:4">
      <c r="A207">
        <f t="shared" si="6"/>
        <v>76.133838517781399</v>
      </c>
      <c r="B207">
        <f t="shared" si="7"/>
        <v>76133.838517781405</v>
      </c>
      <c r="C207">
        <f t="shared" si="8"/>
        <v>88.477366255144034</v>
      </c>
      <c r="D207">
        <v>172</v>
      </c>
    </row>
    <row r="208" spans="1:4">
      <c r="A208">
        <f t="shared" si="6"/>
        <v>76.576477113815031</v>
      </c>
      <c r="B208">
        <f t="shared" si="7"/>
        <v>76576.477113815024</v>
      </c>
      <c r="C208">
        <f t="shared" si="8"/>
        <v>88.991769547325106</v>
      </c>
      <c r="D208">
        <v>173</v>
      </c>
    </row>
    <row r="209" spans="1:4">
      <c r="A209">
        <f t="shared" si="6"/>
        <v>77.019115709848634</v>
      </c>
      <c r="B209">
        <f t="shared" si="7"/>
        <v>77019.115709848629</v>
      </c>
      <c r="C209">
        <f t="shared" si="8"/>
        <v>89.506172839506178</v>
      </c>
      <c r="D209">
        <v>174</v>
      </c>
    </row>
    <row r="210" spans="1:4">
      <c r="A210">
        <f t="shared" si="6"/>
        <v>77.461754305882238</v>
      </c>
      <c r="B210">
        <f t="shared" si="7"/>
        <v>77461.754305882234</v>
      </c>
      <c r="C210">
        <f t="shared" si="8"/>
        <v>90.02057613168725</v>
      </c>
      <c r="D210">
        <v>175</v>
      </c>
    </row>
    <row r="211" spans="1:4">
      <c r="A211">
        <f t="shared" si="6"/>
        <v>77.90439290191587</v>
      </c>
      <c r="B211">
        <f t="shared" si="7"/>
        <v>77904.392901915868</v>
      </c>
      <c r="C211">
        <f t="shared" si="8"/>
        <v>90.534979423868322</v>
      </c>
      <c r="D211">
        <v>176</v>
      </c>
    </row>
    <row r="212" spans="1:4">
      <c r="A212">
        <f t="shared" si="6"/>
        <v>78.347031497949473</v>
      </c>
      <c r="B212">
        <f t="shared" si="7"/>
        <v>78347.031497949472</v>
      </c>
      <c r="C212">
        <f t="shared" si="8"/>
        <v>91.049382716049379</v>
      </c>
      <c r="D212">
        <v>177</v>
      </c>
    </row>
    <row r="213" spans="1:4">
      <c r="A213">
        <f t="shared" si="6"/>
        <v>78.789670093983077</v>
      </c>
      <c r="B213">
        <f t="shared" si="7"/>
        <v>78789.670093983077</v>
      </c>
      <c r="C213">
        <f t="shared" si="8"/>
        <v>91.563786008230451</v>
      </c>
      <c r="D213">
        <v>178</v>
      </c>
    </row>
    <row r="214" spans="1:4">
      <c r="A214">
        <f t="shared" si="6"/>
        <v>79.232308690016694</v>
      </c>
      <c r="B214">
        <f t="shared" si="7"/>
        <v>79232.308690016696</v>
      </c>
      <c r="C214">
        <f t="shared" si="8"/>
        <v>92.078189300411523</v>
      </c>
      <c r="D214">
        <v>179</v>
      </c>
    </row>
    <row r="215" spans="1:4">
      <c r="A215">
        <f t="shared" si="6"/>
        <v>79.674947286050298</v>
      </c>
      <c r="B215">
        <f t="shared" si="7"/>
        <v>79674.947286050301</v>
      </c>
      <c r="C215">
        <f t="shared" si="8"/>
        <v>92.592592592592595</v>
      </c>
      <c r="D215">
        <v>180</v>
      </c>
    </row>
    <row r="216" spans="1:4">
      <c r="A216">
        <f t="shared" si="6"/>
        <v>80.117585882083915</v>
      </c>
      <c r="B216">
        <f t="shared" si="7"/>
        <v>80117.58588208392</v>
      </c>
      <c r="C216">
        <f t="shared" si="8"/>
        <v>93.106995884773667</v>
      </c>
      <c r="D216">
        <v>181</v>
      </c>
    </row>
    <row r="217" spans="1:4">
      <c r="A217">
        <f t="shared" si="6"/>
        <v>80.560224478117519</v>
      </c>
      <c r="B217">
        <f t="shared" si="7"/>
        <v>80560.224478117525</v>
      </c>
      <c r="C217">
        <f t="shared" si="8"/>
        <v>93.621399176954739</v>
      </c>
      <c r="D217">
        <v>182</v>
      </c>
    </row>
    <row r="218" spans="1:4">
      <c r="A218">
        <f t="shared" si="6"/>
        <v>81.002863074151165</v>
      </c>
      <c r="B218">
        <f t="shared" si="7"/>
        <v>81002.863074151159</v>
      </c>
      <c r="C218">
        <f t="shared" si="8"/>
        <v>94.135802469135811</v>
      </c>
      <c r="D218">
        <v>183</v>
      </c>
    </row>
    <row r="219" spans="1:4">
      <c r="A219">
        <f t="shared" si="6"/>
        <v>81.445501670184768</v>
      </c>
      <c r="B219">
        <f t="shared" si="7"/>
        <v>81445.501670184763</v>
      </c>
      <c r="C219">
        <f t="shared" si="8"/>
        <v>94.650205761316869</v>
      </c>
      <c r="D219">
        <v>184</v>
      </c>
    </row>
    <row r="220" spans="1:4">
      <c r="A220">
        <f t="shared" si="6"/>
        <v>81.888140266218372</v>
      </c>
      <c r="B220">
        <f t="shared" si="7"/>
        <v>81888.140266218368</v>
      </c>
      <c r="C220">
        <f t="shared" si="8"/>
        <v>95.164609053497941</v>
      </c>
      <c r="D220">
        <v>185</v>
      </c>
    </row>
    <row r="221" spans="1:4">
      <c r="A221">
        <f t="shared" si="6"/>
        <v>82.330778862251989</v>
      </c>
      <c r="B221">
        <f t="shared" si="7"/>
        <v>82330.778862251987</v>
      </c>
      <c r="C221">
        <f t="shared" si="8"/>
        <v>95.679012345679013</v>
      </c>
      <c r="D221">
        <v>186</v>
      </c>
    </row>
    <row r="222" spans="1:4">
      <c r="A222">
        <f t="shared" si="6"/>
        <v>82.773417458285593</v>
      </c>
      <c r="B222">
        <f t="shared" si="7"/>
        <v>82773.417458285592</v>
      </c>
      <c r="C222">
        <f t="shared" si="8"/>
        <v>96.193415637860085</v>
      </c>
      <c r="D222">
        <v>187</v>
      </c>
    </row>
    <row r="223" spans="1:4">
      <c r="A223">
        <f t="shared" si="6"/>
        <v>83.21605605431921</v>
      </c>
      <c r="B223">
        <f t="shared" si="7"/>
        <v>83216.056054319211</v>
      </c>
      <c r="C223">
        <f t="shared" si="8"/>
        <v>96.707818930041157</v>
      </c>
      <c r="D223">
        <v>188</v>
      </c>
    </row>
    <row r="224" spans="1:4">
      <c r="A224">
        <f t="shared" si="6"/>
        <v>83.658694650352814</v>
      </c>
      <c r="B224">
        <f t="shared" si="7"/>
        <v>83658.694650352816</v>
      </c>
      <c r="C224">
        <f t="shared" si="8"/>
        <v>97.222222222222229</v>
      </c>
      <c r="D224">
        <v>189</v>
      </c>
    </row>
    <row r="225" spans="1:4">
      <c r="A225">
        <f t="shared" si="6"/>
        <v>84.101333246386446</v>
      </c>
      <c r="B225">
        <f t="shared" si="7"/>
        <v>84101.33324638645</v>
      </c>
      <c r="C225">
        <f t="shared" si="8"/>
        <v>97.7366255144033</v>
      </c>
      <c r="D225">
        <v>190</v>
      </c>
    </row>
    <row r="226" spans="1:4">
      <c r="A226">
        <f t="shared" si="6"/>
        <v>84.543971842420049</v>
      </c>
      <c r="B226">
        <f t="shared" si="7"/>
        <v>84543.971842420055</v>
      </c>
      <c r="C226">
        <f t="shared" si="8"/>
        <v>98.251028806584358</v>
      </c>
      <c r="D226">
        <v>191</v>
      </c>
    </row>
    <row r="227" spans="1:4">
      <c r="A227">
        <f t="shared" si="6"/>
        <v>84.986610438453653</v>
      </c>
      <c r="B227">
        <f t="shared" si="7"/>
        <v>84986.610438453659</v>
      </c>
      <c r="C227">
        <f t="shared" si="8"/>
        <v>98.76543209876543</v>
      </c>
      <c r="D227">
        <v>192</v>
      </c>
    </row>
    <row r="228" spans="1:4">
      <c r="A228">
        <f t="shared" ref="A228:A291" si="9">B228/1000</f>
        <v>85.429249034487285</v>
      </c>
      <c r="B228">
        <f t="shared" ref="B228:B291" si="10">(($C$12/$C$16)*C228)/$C$18</f>
        <v>85429.249034487279</v>
      </c>
      <c r="C228">
        <f t="shared" ref="C228:C291" si="11">D228/1.944</f>
        <v>99.279835390946502</v>
      </c>
      <c r="D228">
        <v>193</v>
      </c>
    </row>
    <row r="229" spans="1:4">
      <c r="A229">
        <f t="shared" si="9"/>
        <v>85.871887630520888</v>
      </c>
      <c r="B229">
        <f t="shared" si="10"/>
        <v>85871.887630520883</v>
      </c>
      <c r="C229">
        <f t="shared" si="11"/>
        <v>99.794238683127574</v>
      </c>
      <c r="D229">
        <v>194</v>
      </c>
    </row>
    <row r="230" spans="1:4">
      <c r="A230">
        <f t="shared" si="9"/>
        <v>86.314526226554506</v>
      </c>
      <c r="B230">
        <f t="shared" si="10"/>
        <v>86314.526226554503</v>
      </c>
      <c r="C230">
        <f t="shared" si="11"/>
        <v>100.30864197530865</v>
      </c>
      <c r="D230">
        <v>195</v>
      </c>
    </row>
    <row r="231" spans="1:4">
      <c r="A231">
        <f t="shared" si="9"/>
        <v>86.757164822588109</v>
      </c>
      <c r="B231">
        <f t="shared" si="10"/>
        <v>86757.164822588107</v>
      </c>
      <c r="C231">
        <f t="shared" si="11"/>
        <v>100.82304526748972</v>
      </c>
      <c r="D231">
        <v>196</v>
      </c>
    </row>
    <row r="232" spans="1:4">
      <c r="A232">
        <f t="shared" si="9"/>
        <v>87.199803418621741</v>
      </c>
      <c r="B232">
        <f t="shared" si="10"/>
        <v>87199.803418621741</v>
      </c>
      <c r="C232">
        <f t="shared" si="11"/>
        <v>101.33744855967079</v>
      </c>
      <c r="D232">
        <v>197</v>
      </c>
    </row>
    <row r="233" spans="1:4">
      <c r="A233">
        <f t="shared" si="9"/>
        <v>87.642442014655344</v>
      </c>
      <c r="B233">
        <f t="shared" si="10"/>
        <v>87642.442014655346</v>
      </c>
      <c r="C233">
        <f t="shared" si="11"/>
        <v>101.85185185185185</v>
      </c>
      <c r="D233">
        <v>198</v>
      </c>
    </row>
    <row r="234" spans="1:4">
      <c r="A234">
        <f t="shared" si="9"/>
        <v>88.085080610688948</v>
      </c>
      <c r="B234">
        <f t="shared" si="10"/>
        <v>88085.08061068895</v>
      </c>
      <c r="C234">
        <f t="shared" si="11"/>
        <v>102.36625514403292</v>
      </c>
      <c r="D234">
        <v>199</v>
      </c>
    </row>
    <row r="235" spans="1:4">
      <c r="A235">
        <f t="shared" si="9"/>
        <v>88.527719206722566</v>
      </c>
      <c r="B235">
        <f t="shared" si="10"/>
        <v>88527.71920672257</v>
      </c>
      <c r="C235">
        <f t="shared" si="11"/>
        <v>102.88065843621399</v>
      </c>
      <c r="D235">
        <v>200</v>
      </c>
    </row>
    <row r="236" spans="1:4">
      <c r="A236">
        <f t="shared" si="9"/>
        <v>88.970357802756169</v>
      </c>
      <c r="B236">
        <f t="shared" si="10"/>
        <v>88970.357802756174</v>
      </c>
      <c r="C236">
        <f t="shared" si="11"/>
        <v>103.39506172839506</v>
      </c>
      <c r="D236">
        <v>201</v>
      </c>
    </row>
    <row r="237" spans="1:4">
      <c r="A237">
        <f t="shared" si="9"/>
        <v>89.412996398789787</v>
      </c>
      <c r="B237">
        <f t="shared" si="10"/>
        <v>89412.996398789794</v>
      </c>
      <c r="C237">
        <f t="shared" si="11"/>
        <v>103.90946502057614</v>
      </c>
      <c r="D237">
        <v>202</v>
      </c>
    </row>
    <row r="238" spans="1:4">
      <c r="A238">
        <f t="shared" si="9"/>
        <v>89.855634994823404</v>
      </c>
      <c r="B238">
        <f t="shared" si="10"/>
        <v>89855.634994823398</v>
      </c>
      <c r="C238">
        <f t="shared" si="11"/>
        <v>104.42386831275721</v>
      </c>
      <c r="D238">
        <v>203</v>
      </c>
    </row>
    <row r="239" spans="1:4">
      <c r="A239">
        <f t="shared" si="9"/>
        <v>90.298273590857036</v>
      </c>
      <c r="B239">
        <f t="shared" si="10"/>
        <v>90298.273590857032</v>
      </c>
      <c r="C239">
        <f t="shared" si="11"/>
        <v>104.93827160493828</v>
      </c>
      <c r="D239">
        <v>204</v>
      </c>
    </row>
    <row r="240" spans="1:4">
      <c r="A240">
        <f t="shared" si="9"/>
        <v>90.74091218689064</v>
      </c>
      <c r="B240">
        <f t="shared" si="10"/>
        <v>90740.912186890637</v>
      </c>
      <c r="C240">
        <f t="shared" si="11"/>
        <v>105.45267489711935</v>
      </c>
      <c r="D240">
        <v>205</v>
      </c>
    </row>
    <row r="241" spans="1:4">
      <c r="A241">
        <f t="shared" si="9"/>
        <v>91.183550782924243</v>
      </c>
      <c r="B241">
        <f t="shared" si="10"/>
        <v>91183.550782924242</v>
      </c>
      <c r="C241">
        <f t="shared" si="11"/>
        <v>105.96707818930041</v>
      </c>
      <c r="D241">
        <v>206</v>
      </c>
    </row>
    <row r="242" spans="1:4">
      <c r="A242">
        <f t="shared" si="9"/>
        <v>91.626189378957861</v>
      </c>
      <c r="B242">
        <f t="shared" si="10"/>
        <v>91626.189378957861</v>
      </c>
      <c r="C242">
        <f t="shared" si="11"/>
        <v>106.48148148148148</v>
      </c>
      <c r="D242">
        <v>207</v>
      </c>
    </row>
    <row r="243" spans="1:4">
      <c r="A243">
        <f t="shared" si="9"/>
        <v>92.068827974991464</v>
      </c>
      <c r="B243">
        <f t="shared" si="10"/>
        <v>92068.827974991465</v>
      </c>
      <c r="C243">
        <f t="shared" si="11"/>
        <v>106.99588477366255</v>
      </c>
      <c r="D243">
        <v>208</v>
      </c>
    </row>
    <row r="244" spans="1:4">
      <c r="A244">
        <f t="shared" si="9"/>
        <v>92.511466571025082</v>
      </c>
      <c r="B244">
        <f t="shared" si="10"/>
        <v>92511.466571025085</v>
      </c>
      <c r="C244">
        <f t="shared" si="11"/>
        <v>107.51028806584362</v>
      </c>
      <c r="D244">
        <v>209</v>
      </c>
    </row>
    <row r="245" spans="1:4">
      <c r="A245">
        <f t="shared" si="9"/>
        <v>92.954105167058685</v>
      </c>
      <c r="B245">
        <f t="shared" si="10"/>
        <v>92954.105167058689</v>
      </c>
      <c r="C245">
        <f t="shared" si="11"/>
        <v>108.0246913580247</v>
      </c>
      <c r="D245">
        <v>210</v>
      </c>
    </row>
    <row r="246" spans="1:4">
      <c r="A246">
        <f t="shared" si="9"/>
        <v>93.396743763092303</v>
      </c>
      <c r="B246">
        <f t="shared" si="10"/>
        <v>93396.743763092309</v>
      </c>
      <c r="C246">
        <f t="shared" si="11"/>
        <v>108.53909465020577</v>
      </c>
      <c r="D246">
        <v>211</v>
      </c>
    </row>
    <row r="247" spans="1:4">
      <c r="A247">
        <f t="shared" si="9"/>
        <v>93.839382359125935</v>
      </c>
      <c r="B247">
        <f t="shared" si="10"/>
        <v>93839.382359125928</v>
      </c>
      <c r="C247">
        <f t="shared" si="11"/>
        <v>109.05349794238684</v>
      </c>
      <c r="D247">
        <v>212</v>
      </c>
    </row>
    <row r="248" spans="1:4">
      <c r="A248">
        <f t="shared" si="9"/>
        <v>94.282020955159538</v>
      </c>
      <c r="B248">
        <f t="shared" si="10"/>
        <v>94282.020955159533</v>
      </c>
      <c r="C248">
        <f t="shared" si="11"/>
        <v>109.5679012345679</v>
      </c>
      <c r="D248">
        <v>213</v>
      </c>
    </row>
    <row r="249" spans="1:4">
      <c r="A249">
        <f t="shared" si="9"/>
        <v>94.724659551193156</v>
      </c>
      <c r="B249">
        <f t="shared" si="10"/>
        <v>94724.659551193152</v>
      </c>
      <c r="C249">
        <f t="shared" si="11"/>
        <v>110.08230452674897</v>
      </c>
      <c r="D249">
        <v>214</v>
      </c>
    </row>
    <row r="250" spans="1:4">
      <c r="A250">
        <f t="shared" si="9"/>
        <v>95.167298147226759</v>
      </c>
      <c r="B250">
        <f t="shared" si="10"/>
        <v>95167.298147226757</v>
      </c>
      <c r="C250">
        <f t="shared" si="11"/>
        <v>110.59670781893004</v>
      </c>
      <c r="D250">
        <v>215</v>
      </c>
    </row>
    <row r="251" spans="1:4">
      <c r="A251">
        <f t="shared" si="9"/>
        <v>95.609936743260377</v>
      </c>
      <c r="B251">
        <f t="shared" si="10"/>
        <v>95609.936743260376</v>
      </c>
      <c r="C251">
        <f t="shared" si="11"/>
        <v>111.11111111111111</v>
      </c>
      <c r="D251">
        <v>216</v>
      </c>
    </row>
    <row r="252" spans="1:4">
      <c r="A252">
        <f t="shared" si="9"/>
        <v>96.052575339293981</v>
      </c>
      <c r="B252">
        <f t="shared" si="10"/>
        <v>96052.575339293981</v>
      </c>
      <c r="C252">
        <f t="shared" si="11"/>
        <v>111.62551440329219</v>
      </c>
      <c r="D252">
        <v>217</v>
      </c>
    </row>
    <row r="253" spans="1:4">
      <c r="A253">
        <f t="shared" si="9"/>
        <v>96.495213935327598</v>
      </c>
      <c r="B253">
        <f t="shared" si="10"/>
        <v>96495.2139353276</v>
      </c>
      <c r="C253">
        <f t="shared" si="11"/>
        <v>112.13991769547326</v>
      </c>
      <c r="D253">
        <v>218</v>
      </c>
    </row>
    <row r="254" spans="1:4">
      <c r="A254">
        <f t="shared" si="9"/>
        <v>96.937852531361202</v>
      </c>
      <c r="B254">
        <f t="shared" si="10"/>
        <v>96937.852531361204</v>
      </c>
      <c r="C254">
        <f t="shared" si="11"/>
        <v>112.65432098765433</v>
      </c>
      <c r="D254">
        <v>219</v>
      </c>
    </row>
    <row r="255" spans="1:4">
      <c r="A255">
        <f t="shared" si="9"/>
        <v>97.380491127394819</v>
      </c>
      <c r="B255">
        <f t="shared" si="10"/>
        <v>97380.491127394824</v>
      </c>
      <c r="C255">
        <f t="shared" si="11"/>
        <v>113.16872427983539</v>
      </c>
      <c r="D255">
        <v>220</v>
      </c>
    </row>
    <row r="256" spans="1:4">
      <c r="A256">
        <f t="shared" si="9"/>
        <v>97.823129723428437</v>
      </c>
      <c r="B256">
        <f t="shared" si="10"/>
        <v>97823.129723428443</v>
      </c>
      <c r="C256">
        <f t="shared" si="11"/>
        <v>113.68312757201646</v>
      </c>
      <c r="D256">
        <v>221</v>
      </c>
    </row>
    <row r="257" spans="1:4">
      <c r="A257">
        <f t="shared" si="9"/>
        <v>98.265768319462055</v>
      </c>
      <c r="B257">
        <f t="shared" si="10"/>
        <v>98265.768319462048</v>
      </c>
      <c r="C257">
        <f t="shared" si="11"/>
        <v>114.19753086419753</v>
      </c>
      <c r="D257">
        <v>222</v>
      </c>
    </row>
    <row r="258" spans="1:4">
      <c r="A258">
        <f t="shared" si="9"/>
        <v>98.708406915495672</v>
      </c>
      <c r="B258">
        <f t="shared" si="10"/>
        <v>98708.406915495667</v>
      </c>
      <c r="C258">
        <f t="shared" si="11"/>
        <v>114.7119341563786</v>
      </c>
      <c r="D258">
        <v>223</v>
      </c>
    </row>
    <row r="259" spans="1:4">
      <c r="A259">
        <f t="shared" si="9"/>
        <v>99.151045511529276</v>
      </c>
      <c r="B259">
        <f t="shared" si="10"/>
        <v>99151.045511529272</v>
      </c>
      <c r="C259">
        <f t="shared" si="11"/>
        <v>115.22633744855968</v>
      </c>
      <c r="D259">
        <v>224</v>
      </c>
    </row>
    <row r="260" spans="1:4">
      <c r="A260">
        <f t="shared" si="9"/>
        <v>99.593684107562893</v>
      </c>
      <c r="B260">
        <f t="shared" si="10"/>
        <v>99593.684107562891</v>
      </c>
      <c r="C260">
        <f t="shared" si="11"/>
        <v>115.74074074074075</v>
      </c>
      <c r="D260">
        <v>225</v>
      </c>
    </row>
    <row r="261" spans="1:4">
      <c r="A261">
        <f t="shared" si="9"/>
        <v>100.0363227035965</v>
      </c>
      <c r="B261">
        <f t="shared" si="10"/>
        <v>100036.3227035965</v>
      </c>
      <c r="C261">
        <f t="shared" si="11"/>
        <v>116.25514403292182</v>
      </c>
      <c r="D261">
        <v>226</v>
      </c>
    </row>
    <row r="262" spans="1:4">
      <c r="A262">
        <f t="shared" si="9"/>
        <v>100.4789612996301</v>
      </c>
      <c r="B262">
        <f t="shared" si="10"/>
        <v>100478.9612996301</v>
      </c>
      <c r="C262">
        <f t="shared" si="11"/>
        <v>116.76954732510288</v>
      </c>
      <c r="D262">
        <v>227</v>
      </c>
    </row>
    <row r="263" spans="1:4">
      <c r="A263">
        <f t="shared" si="9"/>
        <v>100.92159989566373</v>
      </c>
      <c r="B263">
        <f t="shared" si="10"/>
        <v>100921.59989566373</v>
      </c>
      <c r="C263">
        <f t="shared" si="11"/>
        <v>117.28395061728395</v>
      </c>
      <c r="D263">
        <v>228</v>
      </c>
    </row>
    <row r="264" spans="1:4">
      <c r="A264">
        <f t="shared" si="9"/>
        <v>101.36423849169734</v>
      </c>
      <c r="B264">
        <f t="shared" si="10"/>
        <v>101364.23849169734</v>
      </c>
      <c r="C264">
        <f t="shared" si="11"/>
        <v>117.79835390946502</v>
      </c>
      <c r="D264">
        <v>229</v>
      </c>
    </row>
    <row r="265" spans="1:4">
      <c r="A265">
        <f t="shared" si="9"/>
        <v>101.80687708773095</v>
      </c>
      <c r="B265">
        <f t="shared" si="10"/>
        <v>101806.87708773096</v>
      </c>
      <c r="C265">
        <f t="shared" si="11"/>
        <v>118.31275720164609</v>
      </c>
      <c r="D265">
        <v>230</v>
      </c>
    </row>
    <row r="266" spans="1:4">
      <c r="A266">
        <f t="shared" si="9"/>
        <v>102.24951568376456</v>
      </c>
      <c r="B266">
        <f t="shared" si="10"/>
        <v>102249.51568376456</v>
      </c>
      <c r="C266">
        <f t="shared" si="11"/>
        <v>118.82716049382717</v>
      </c>
      <c r="D266">
        <v>231</v>
      </c>
    </row>
    <row r="267" spans="1:4">
      <c r="A267">
        <f t="shared" si="9"/>
        <v>102.69215427979819</v>
      </c>
      <c r="B267">
        <f t="shared" si="10"/>
        <v>102692.15427979818</v>
      </c>
      <c r="C267">
        <f t="shared" si="11"/>
        <v>119.34156378600824</v>
      </c>
      <c r="D267">
        <v>232</v>
      </c>
    </row>
    <row r="268" spans="1:4">
      <c r="A268">
        <f t="shared" si="9"/>
        <v>103.13479287583179</v>
      </c>
      <c r="B268">
        <f t="shared" si="10"/>
        <v>103134.79287583179</v>
      </c>
      <c r="C268">
        <f t="shared" si="11"/>
        <v>119.85596707818931</v>
      </c>
      <c r="D268">
        <v>233</v>
      </c>
    </row>
    <row r="269" spans="1:4">
      <c r="A269">
        <f t="shared" si="9"/>
        <v>103.5774314718654</v>
      </c>
      <c r="B269">
        <f t="shared" si="10"/>
        <v>103577.43147186539</v>
      </c>
      <c r="C269">
        <f t="shared" si="11"/>
        <v>120.37037037037037</v>
      </c>
      <c r="D269">
        <v>234</v>
      </c>
    </row>
    <row r="270" spans="1:4">
      <c r="A270">
        <f t="shared" si="9"/>
        <v>104.020070067899</v>
      </c>
      <c r="B270">
        <f t="shared" si="10"/>
        <v>104020.070067899</v>
      </c>
      <c r="C270">
        <f t="shared" si="11"/>
        <v>120.88477366255144</v>
      </c>
      <c r="D270">
        <v>235</v>
      </c>
    </row>
    <row r="271" spans="1:4">
      <c r="A271">
        <f t="shared" si="9"/>
        <v>104.46270866393263</v>
      </c>
      <c r="B271">
        <f t="shared" si="10"/>
        <v>104462.70866393263</v>
      </c>
      <c r="C271">
        <f t="shared" si="11"/>
        <v>121.39917695473251</v>
      </c>
      <c r="D271">
        <v>236</v>
      </c>
    </row>
    <row r="272" spans="1:4">
      <c r="A272">
        <f t="shared" si="9"/>
        <v>104.90534725996625</v>
      </c>
      <c r="B272">
        <f t="shared" si="10"/>
        <v>104905.34725996625</v>
      </c>
      <c r="C272">
        <f t="shared" si="11"/>
        <v>121.91358024691358</v>
      </c>
      <c r="D272">
        <v>237</v>
      </c>
    </row>
    <row r="273" spans="1:4">
      <c r="A273">
        <f t="shared" si="9"/>
        <v>105.34798585599985</v>
      </c>
      <c r="B273">
        <f t="shared" si="10"/>
        <v>105347.98585599985</v>
      </c>
      <c r="C273">
        <f t="shared" si="11"/>
        <v>122.42798353909465</v>
      </c>
      <c r="D273">
        <v>238</v>
      </c>
    </row>
    <row r="274" spans="1:4">
      <c r="A274">
        <f t="shared" si="9"/>
        <v>105.79062445203347</v>
      </c>
      <c r="B274">
        <f t="shared" si="10"/>
        <v>105790.62445203347</v>
      </c>
      <c r="C274">
        <f t="shared" si="11"/>
        <v>122.94238683127573</v>
      </c>
      <c r="D274">
        <v>239</v>
      </c>
    </row>
    <row r="275" spans="1:4">
      <c r="A275">
        <f t="shared" si="9"/>
        <v>106.23326304806707</v>
      </c>
      <c r="B275">
        <f t="shared" si="10"/>
        <v>106233.26304806708</v>
      </c>
      <c r="C275">
        <f t="shared" si="11"/>
        <v>123.4567901234568</v>
      </c>
      <c r="D275">
        <v>240</v>
      </c>
    </row>
    <row r="276" spans="1:4">
      <c r="A276">
        <f t="shared" si="9"/>
        <v>106.6759016441007</v>
      </c>
      <c r="B276">
        <f t="shared" si="10"/>
        <v>106675.90164410071</v>
      </c>
      <c r="C276">
        <f t="shared" si="11"/>
        <v>123.97119341563787</v>
      </c>
      <c r="D276">
        <v>241</v>
      </c>
    </row>
    <row r="277" spans="1:4">
      <c r="A277">
        <f t="shared" si="9"/>
        <v>107.11854024013429</v>
      </c>
      <c r="B277">
        <f t="shared" si="10"/>
        <v>107118.54024013429</v>
      </c>
      <c r="C277">
        <f t="shared" si="11"/>
        <v>124.48559670781893</v>
      </c>
      <c r="D277">
        <v>242</v>
      </c>
    </row>
    <row r="278" spans="1:4">
      <c r="A278">
        <f t="shared" si="9"/>
        <v>107.56117883616793</v>
      </c>
      <c r="B278">
        <f t="shared" si="10"/>
        <v>107561.17883616792</v>
      </c>
      <c r="C278">
        <f t="shared" si="11"/>
        <v>125</v>
      </c>
      <c r="D278">
        <v>243</v>
      </c>
    </row>
    <row r="279" spans="1:4">
      <c r="A279">
        <f t="shared" si="9"/>
        <v>108.00381743220153</v>
      </c>
      <c r="B279">
        <f t="shared" si="10"/>
        <v>108003.81743220153</v>
      </c>
      <c r="C279">
        <f t="shared" si="11"/>
        <v>125.51440329218107</v>
      </c>
      <c r="D279">
        <v>244</v>
      </c>
    </row>
    <row r="280" spans="1:4">
      <c r="A280">
        <f t="shared" si="9"/>
        <v>108.44645602823515</v>
      </c>
      <c r="B280">
        <f t="shared" si="10"/>
        <v>108446.45602823514</v>
      </c>
      <c r="C280">
        <f t="shared" si="11"/>
        <v>126.02880658436214</v>
      </c>
      <c r="D280">
        <v>245</v>
      </c>
    </row>
    <row r="281" spans="1:4">
      <c r="A281">
        <f t="shared" si="9"/>
        <v>108.88909462426876</v>
      </c>
      <c r="B281">
        <f t="shared" si="10"/>
        <v>108889.09462426876</v>
      </c>
      <c r="C281">
        <f t="shared" si="11"/>
        <v>126.54320987654322</v>
      </c>
      <c r="D281">
        <v>246</v>
      </c>
    </row>
    <row r="282" spans="1:4">
      <c r="A282">
        <f t="shared" si="9"/>
        <v>109.33173322030237</v>
      </c>
      <c r="B282">
        <f t="shared" si="10"/>
        <v>109331.73322030237</v>
      </c>
      <c r="C282">
        <f t="shared" si="11"/>
        <v>127.05761316872429</v>
      </c>
      <c r="D282">
        <v>247</v>
      </c>
    </row>
    <row r="283" spans="1:4">
      <c r="A283">
        <f t="shared" si="9"/>
        <v>109.77437181633599</v>
      </c>
      <c r="B283">
        <f t="shared" si="10"/>
        <v>109774.37181633599</v>
      </c>
      <c r="C283">
        <f t="shared" si="11"/>
        <v>127.57201646090536</v>
      </c>
      <c r="D283">
        <v>248</v>
      </c>
    </row>
    <row r="284" spans="1:4">
      <c r="A284">
        <f t="shared" si="9"/>
        <v>110.2170104123696</v>
      </c>
      <c r="B284">
        <f t="shared" si="10"/>
        <v>110217.01041236961</v>
      </c>
      <c r="C284">
        <f t="shared" si="11"/>
        <v>128.08641975308643</v>
      </c>
      <c r="D284">
        <v>249</v>
      </c>
    </row>
    <row r="285" spans="1:4">
      <c r="A285">
        <f t="shared" si="9"/>
        <v>110.65964900840322</v>
      </c>
      <c r="B285">
        <f t="shared" si="10"/>
        <v>110659.64900840323</v>
      </c>
      <c r="C285">
        <f t="shared" si="11"/>
        <v>128.6008230452675</v>
      </c>
      <c r="D285">
        <v>250</v>
      </c>
    </row>
    <row r="286" spans="1:4">
      <c r="A286">
        <f t="shared" si="9"/>
        <v>111.10228760443682</v>
      </c>
      <c r="B286">
        <f t="shared" si="10"/>
        <v>111102.28760443683</v>
      </c>
      <c r="C286">
        <f t="shared" si="11"/>
        <v>129.11522633744858</v>
      </c>
      <c r="D286">
        <v>251</v>
      </c>
    </row>
    <row r="287" spans="1:4">
      <c r="A287">
        <f t="shared" si="9"/>
        <v>111.54492620047043</v>
      </c>
      <c r="B287">
        <f t="shared" si="10"/>
        <v>111544.92620047042</v>
      </c>
      <c r="C287">
        <f t="shared" si="11"/>
        <v>129.62962962962962</v>
      </c>
      <c r="D287">
        <v>252</v>
      </c>
    </row>
    <row r="288" spans="1:4">
      <c r="A288">
        <f t="shared" si="9"/>
        <v>111.98756479650405</v>
      </c>
      <c r="B288">
        <f t="shared" si="10"/>
        <v>111987.56479650404</v>
      </c>
      <c r="C288">
        <f t="shared" si="11"/>
        <v>130.14403292181069</v>
      </c>
      <c r="D288">
        <v>253</v>
      </c>
    </row>
    <row r="289" spans="1:4">
      <c r="A289">
        <f t="shared" si="9"/>
        <v>112.43020339253765</v>
      </c>
      <c r="B289">
        <f t="shared" si="10"/>
        <v>112430.20339253765</v>
      </c>
      <c r="C289">
        <f t="shared" si="11"/>
        <v>130.65843621399176</v>
      </c>
      <c r="D289">
        <v>254</v>
      </c>
    </row>
    <row r="290" spans="1:4">
      <c r="A290">
        <f t="shared" si="9"/>
        <v>112.87284198857127</v>
      </c>
      <c r="B290">
        <f t="shared" si="10"/>
        <v>112872.84198857126</v>
      </c>
      <c r="C290">
        <f t="shared" si="11"/>
        <v>131.17283950617283</v>
      </c>
      <c r="D290">
        <v>255</v>
      </c>
    </row>
    <row r="291" spans="1:4">
      <c r="A291">
        <f t="shared" si="9"/>
        <v>113.31548058460487</v>
      </c>
      <c r="B291">
        <f t="shared" si="10"/>
        <v>113315.48058460487</v>
      </c>
      <c r="C291">
        <f t="shared" si="11"/>
        <v>131.68724279835391</v>
      </c>
      <c r="D291">
        <v>256</v>
      </c>
    </row>
    <row r="292" spans="1:4">
      <c r="A292">
        <f t="shared" ref="A292:A355" si="12">B292/1000</f>
        <v>113.7581191806385</v>
      </c>
      <c r="B292">
        <f t="shared" ref="B292:B355" si="13">(($C$12/$C$16)*C292)/$C$18</f>
        <v>113758.1191806385</v>
      </c>
      <c r="C292">
        <f t="shared" ref="C292:C355" si="14">D292/1.944</f>
        <v>132.20164609053498</v>
      </c>
      <c r="D292">
        <v>257</v>
      </c>
    </row>
    <row r="293" spans="1:4">
      <c r="A293">
        <f t="shared" si="12"/>
        <v>114.20075777667211</v>
      </c>
      <c r="B293">
        <f t="shared" si="13"/>
        <v>114200.75777667211</v>
      </c>
      <c r="C293">
        <f t="shared" si="14"/>
        <v>132.71604938271605</v>
      </c>
      <c r="D293">
        <v>258</v>
      </c>
    </row>
    <row r="294" spans="1:4">
      <c r="A294">
        <f t="shared" si="12"/>
        <v>114.64339637270572</v>
      </c>
      <c r="B294">
        <f t="shared" si="13"/>
        <v>114643.39637270573</v>
      </c>
      <c r="C294">
        <f t="shared" si="14"/>
        <v>133.23045267489712</v>
      </c>
      <c r="D294">
        <v>259</v>
      </c>
    </row>
    <row r="295" spans="1:4">
      <c r="A295">
        <f t="shared" si="12"/>
        <v>115.08603496873933</v>
      </c>
      <c r="B295">
        <f t="shared" si="13"/>
        <v>115086.03496873933</v>
      </c>
      <c r="C295">
        <f t="shared" si="14"/>
        <v>133.74485596707819</v>
      </c>
      <c r="D295">
        <v>260</v>
      </c>
    </row>
    <row r="296" spans="1:4">
      <c r="A296">
        <f t="shared" si="12"/>
        <v>115.52867356477294</v>
      </c>
      <c r="B296">
        <f t="shared" si="13"/>
        <v>115528.67356477295</v>
      </c>
      <c r="C296">
        <f t="shared" si="14"/>
        <v>134.25925925925927</v>
      </c>
      <c r="D296">
        <v>261</v>
      </c>
    </row>
    <row r="297" spans="1:4">
      <c r="A297">
        <f t="shared" si="12"/>
        <v>115.97131216080656</v>
      </c>
      <c r="B297">
        <f t="shared" si="13"/>
        <v>115971.31216080656</v>
      </c>
      <c r="C297">
        <f t="shared" si="14"/>
        <v>134.77366255144034</v>
      </c>
      <c r="D297">
        <v>262</v>
      </c>
    </row>
    <row r="298" spans="1:4">
      <c r="A298">
        <f t="shared" si="12"/>
        <v>116.41395075684018</v>
      </c>
      <c r="B298">
        <f t="shared" si="13"/>
        <v>116413.95075684018</v>
      </c>
      <c r="C298">
        <f t="shared" si="14"/>
        <v>135.28806584362141</v>
      </c>
      <c r="D298">
        <v>263</v>
      </c>
    </row>
    <row r="299" spans="1:4">
      <c r="A299">
        <f t="shared" si="12"/>
        <v>116.85658935287381</v>
      </c>
      <c r="B299">
        <f t="shared" si="13"/>
        <v>116856.58935287381</v>
      </c>
      <c r="C299">
        <f t="shared" si="14"/>
        <v>135.80246913580248</v>
      </c>
      <c r="D299">
        <v>264</v>
      </c>
    </row>
    <row r="300" spans="1:4">
      <c r="A300">
        <f t="shared" si="12"/>
        <v>117.29922794890741</v>
      </c>
      <c r="B300">
        <f t="shared" si="13"/>
        <v>117299.22794890741</v>
      </c>
      <c r="C300">
        <f t="shared" si="14"/>
        <v>136.31687242798355</v>
      </c>
      <c r="D300">
        <v>265</v>
      </c>
    </row>
    <row r="301" spans="1:4">
      <c r="A301">
        <f t="shared" si="12"/>
        <v>117.74186654494103</v>
      </c>
      <c r="B301">
        <f t="shared" si="13"/>
        <v>117741.86654494103</v>
      </c>
      <c r="C301">
        <f t="shared" si="14"/>
        <v>136.83127572016463</v>
      </c>
      <c r="D301">
        <v>266</v>
      </c>
    </row>
    <row r="302" spans="1:4">
      <c r="A302">
        <f t="shared" si="12"/>
        <v>118.18450514097462</v>
      </c>
      <c r="B302">
        <f t="shared" si="13"/>
        <v>118184.50514097462</v>
      </c>
      <c r="C302">
        <f t="shared" si="14"/>
        <v>137.34567901234567</v>
      </c>
      <c r="D302">
        <v>267</v>
      </c>
    </row>
    <row r="303" spans="1:4">
      <c r="A303">
        <f t="shared" si="12"/>
        <v>118.62714373700823</v>
      </c>
      <c r="B303">
        <f t="shared" si="13"/>
        <v>118627.14373700823</v>
      </c>
      <c r="C303">
        <f t="shared" si="14"/>
        <v>137.86008230452674</v>
      </c>
      <c r="D303">
        <v>268</v>
      </c>
    </row>
    <row r="304" spans="1:4">
      <c r="A304">
        <f t="shared" si="12"/>
        <v>119.06978233304184</v>
      </c>
      <c r="B304">
        <f t="shared" si="13"/>
        <v>119069.78233304185</v>
      </c>
      <c r="C304">
        <f t="shared" si="14"/>
        <v>138.37448559670781</v>
      </c>
      <c r="D304">
        <v>269</v>
      </c>
    </row>
    <row r="305" spans="1:4">
      <c r="A305">
        <f t="shared" si="12"/>
        <v>119.51242092907545</v>
      </c>
      <c r="B305">
        <f t="shared" si="13"/>
        <v>119512.42092907545</v>
      </c>
      <c r="C305">
        <f t="shared" si="14"/>
        <v>138.88888888888889</v>
      </c>
      <c r="D305">
        <v>270</v>
      </c>
    </row>
    <row r="306" spans="1:4">
      <c r="A306">
        <f t="shared" si="12"/>
        <v>119.95505952510906</v>
      </c>
      <c r="B306">
        <f t="shared" si="13"/>
        <v>119955.05952510907</v>
      </c>
      <c r="C306">
        <f t="shared" si="14"/>
        <v>139.40329218106996</v>
      </c>
      <c r="D306">
        <v>271</v>
      </c>
    </row>
    <row r="307" spans="1:4">
      <c r="A307">
        <f t="shared" si="12"/>
        <v>120.3976981211427</v>
      </c>
      <c r="B307">
        <f t="shared" si="13"/>
        <v>120397.69812114269</v>
      </c>
      <c r="C307">
        <f t="shared" si="14"/>
        <v>139.91769547325103</v>
      </c>
      <c r="D307">
        <v>272</v>
      </c>
    </row>
    <row r="308" spans="1:4">
      <c r="A308">
        <f t="shared" si="12"/>
        <v>120.84033671717631</v>
      </c>
      <c r="B308">
        <f t="shared" si="13"/>
        <v>120840.33671717631</v>
      </c>
      <c r="C308">
        <f t="shared" si="14"/>
        <v>140.4320987654321</v>
      </c>
      <c r="D308">
        <v>273</v>
      </c>
    </row>
    <row r="309" spans="1:4">
      <c r="A309">
        <f t="shared" si="12"/>
        <v>121.28297531320992</v>
      </c>
      <c r="B309">
        <f t="shared" si="13"/>
        <v>121282.97531320991</v>
      </c>
      <c r="C309">
        <f t="shared" si="14"/>
        <v>140.94650205761317</v>
      </c>
      <c r="D309">
        <v>274</v>
      </c>
    </row>
    <row r="310" spans="1:4">
      <c r="A310">
        <f t="shared" si="12"/>
        <v>121.72561390924353</v>
      </c>
      <c r="B310">
        <f t="shared" si="13"/>
        <v>121725.61390924353</v>
      </c>
      <c r="C310">
        <f t="shared" si="14"/>
        <v>141.46090534979425</v>
      </c>
      <c r="D310">
        <v>275</v>
      </c>
    </row>
    <row r="311" spans="1:4">
      <c r="A311">
        <f t="shared" si="12"/>
        <v>122.16825250527714</v>
      </c>
      <c r="B311">
        <f t="shared" si="13"/>
        <v>122168.25250527714</v>
      </c>
      <c r="C311">
        <f t="shared" si="14"/>
        <v>141.97530864197532</v>
      </c>
      <c r="D311">
        <v>276</v>
      </c>
    </row>
    <row r="312" spans="1:4">
      <c r="A312">
        <f t="shared" si="12"/>
        <v>122.61089110131076</v>
      </c>
      <c r="B312">
        <f t="shared" si="13"/>
        <v>122610.89110131076</v>
      </c>
      <c r="C312">
        <f t="shared" si="14"/>
        <v>142.48971193415639</v>
      </c>
      <c r="D312">
        <v>277</v>
      </c>
    </row>
    <row r="313" spans="1:4">
      <c r="A313">
        <f t="shared" si="12"/>
        <v>123.05352969734436</v>
      </c>
      <c r="B313">
        <f t="shared" si="13"/>
        <v>123053.52969734436</v>
      </c>
      <c r="C313">
        <f t="shared" si="14"/>
        <v>143.00411522633746</v>
      </c>
      <c r="D313">
        <v>278</v>
      </c>
    </row>
    <row r="314" spans="1:4">
      <c r="A314">
        <f t="shared" si="12"/>
        <v>123.49616829337799</v>
      </c>
      <c r="B314">
        <f t="shared" si="13"/>
        <v>123496.168293378</v>
      </c>
      <c r="C314">
        <f t="shared" si="14"/>
        <v>143.51851851851853</v>
      </c>
      <c r="D314">
        <v>279</v>
      </c>
    </row>
    <row r="315" spans="1:4">
      <c r="A315">
        <f t="shared" si="12"/>
        <v>123.93880688941159</v>
      </c>
      <c r="B315">
        <f t="shared" si="13"/>
        <v>123938.8068894116</v>
      </c>
      <c r="C315">
        <f t="shared" si="14"/>
        <v>144.03292181069961</v>
      </c>
      <c r="D315">
        <v>280</v>
      </c>
    </row>
    <row r="316" spans="1:4">
      <c r="A316">
        <f t="shared" si="12"/>
        <v>124.3814454854452</v>
      </c>
      <c r="B316">
        <f t="shared" si="13"/>
        <v>124381.44548544521</v>
      </c>
      <c r="C316">
        <f t="shared" si="14"/>
        <v>144.54732510288065</v>
      </c>
      <c r="D316">
        <v>281</v>
      </c>
    </row>
    <row r="317" spans="1:4">
      <c r="A317">
        <f t="shared" si="12"/>
        <v>124.82408408147882</v>
      </c>
      <c r="B317">
        <f t="shared" si="13"/>
        <v>124824.08408147881</v>
      </c>
      <c r="C317">
        <f t="shared" si="14"/>
        <v>145.06172839506172</v>
      </c>
      <c r="D317">
        <v>282</v>
      </c>
    </row>
    <row r="318" spans="1:4">
      <c r="A318">
        <f t="shared" si="12"/>
        <v>125.26672267751243</v>
      </c>
      <c r="B318">
        <f t="shared" si="13"/>
        <v>125266.72267751243</v>
      </c>
      <c r="C318">
        <f t="shared" si="14"/>
        <v>145.57613168724279</v>
      </c>
      <c r="D318">
        <v>283</v>
      </c>
    </row>
    <row r="319" spans="1:4">
      <c r="A319">
        <f t="shared" si="12"/>
        <v>125.70936127354604</v>
      </c>
      <c r="B319">
        <f t="shared" si="13"/>
        <v>125709.36127354603</v>
      </c>
      <c r="C319">
        <f t="shared" si="14"/>
        <v>146.09053497942386</v>
      </c>
      <c r="D319">
        <v>284</v>
      </c>
    </row>
    <row r="320" spans="1:4">
      <c r="A320">
        <f t="shared" si="12"/>
        <v>126.15199986957965</v>
      </c>
      <c r="B320">
        <f t="shared" si="13"/>
        <v>126151.99986957965</v>
      </c>
      <c r="C320">
        <f t="shared" si="14"/>
        <v>146.60493827160494</v>
      </c>
      <c r="D320">
        <v>285</v>
      </c>
    </row>
    <row r="321" spans="1:4">
      <c r="A321">
        <f t="shared" si="12"/>
        <v>126.59463846561326</v>
      </c>
      <c r="B321">
        <f t="shared" si="13"/>
        <v>126594.63846561326</v>
      </c>
      <c r="C321">
        <f t="shared" si="14"/>
        <v>147.11934156378601</v>
      </c>
      <c r="D321">
        <v>286</v>
      </c>
    </row>
    <row r="322" spans="1:4">
      <c r="A322">
        <f t="shared" si="12"/>
        <v>127.03727706164689</v>
      </c>
      <c r="B322">
        <f t="shared" si="13"/>
        <v>127037.27706164689</v>
      </c>
      <c r="C322">
        <f t="shared" si="14"/>
        <v>147.63374485596708</v>
      </c>
      <c r="D322">
        <v>287</v>
      </c>
    </row>
    <row r="323" spans="1:4">
      <c r="A323">
        <f t="shared" si="12"/>
        <v>127.47991565768049</v>
      </c>
      <c r="B323">
        <f t="shared" si="13"/>
        <v>127479.9156576805</v>
      </c>
      <c r="C323">
        <f t="shared" si="14"/>
        <v>148.14814814814815</v>
      </c>
      <c r="D323">
        <v>288</v>
      </c>
    </row>
    <row r="324" spans="1:4">
      <c r="A324">
        <f t="shared" si="12"/>
        <v>127.92255425371411</v>
      </c>
      <c r="B324">
        <f t="shared" si="13"/>
        <v>127922.55425371412</v>
      </c>
      <c r="C324">
        <f t="shared" si="14"/>
        <v>148.66255144032922</v>
      </c>
      <c r="D324">
        <v>289</v>
      </c>
    </row>
    <row r="325" spans="1:4">
      <c r="A325">
        <f t="shared" si="12"/>
        <v>128.36519284974773</v>
      </c>
      <c r="B325">
        <f t="shared" si="13"/>
        <v>128365.19284974772</v>
      </c>
      <c r="C325">
        <f t="shared" si="14"/>
        <v>149.1769547325103</v>
      </c>
      <c r="D325">
        <v>290</v>
      </c>
    </row>
    <row r="326" spans="1:4">
      <c r="A326">
        <f t="shared" si="12"/>
        <v>128.80783144578135</v>
      </c>
      <c r="B326">
        <f t="shared" si="13"/>
        <v>128807.83144578134</v>
      </c>
      <c r="C326">
        <f t="shared" si="14"/>
        <v>149.69135802469137</v>
      </c>
      <c r="D326">
        <v>291</v>
      </c>
    </row>
    <row r="327" spans="1:4">
      <c r="A327">
        <f t="shared" si="12"/>
        <v>129.25047004181494</v>
      </c>
      <c r="B327">
        <f t="shared" si="13"/>
        <v>129250.47004181494</v>
      </c>
      <c r="C327">
        <f t="shared" si="14"/>
        <v>150.20576131687244</v>
      </c>
      <c r="D327">
        <v>292</v>
      </c>
    </row>
    <row r="328" spans="1:4">
      <c r="A328">
        <f t="shared" si="12"/>
        <v>129.69310863784858</v>
      </c>
      <c r="B328">
        <f t="shared" si="13"/>
        <v>129693.10863784858</v>
      </c>
      <c r="C328">
        <f t="shared" si="14"/>
        <v>150.72016460905351</v>
      </c>
      <c r="D328">
        <v>293</v>
      </c>
    </row>
    <row r="329" spans="1:4">
      <c r="A329">
        <f t="shared" si="12"/>
        <v>130.13574723388217</v>
      </c>
      <c r="B329">
        <f t="shared" si="13"/>
        <v>130135.74723388218</v>
      </c>
      <c r="C329">
        <f t="shared" si="14"/>
        <v>151.23456790123458</v>
      </c>
      <c r="D329">
        <v>294</v>
      </c>
    </row>
    <row r="330" spans="1:4">
      <c r="A330">
        <f t="shared" si="12"/>
        <v>130.57838582991576</v>
      </c>
      <c r="B330">
        <f t="shared" si="13"/>
        <v>130578.38582991576</v>
      </c>
      <c r="C330">
        <f t="shared" si="14"/>
        <v>151.74897119341563</v>
      </c>
      <c r="D330">
        <v>295</v>
      </c>
    </row>
    <row r="331" spans="1:4">
      <c r="A331">
        <f t="shared" si="12"/>
        <v>131.02102442594941</v>
      </c>
      <c r="B331">
        <f t="shared" si="13"/>
        <v>131021.02442594939</v>
      </c>
      <c r="C331">
        <f t="shared" si="14"/>
        <v>152.2633744855967</v>
      </c>
      <c r="D331">
        <v>296</v>
      </c>
    </row>
    <row r="332" spans="1:4">
      <c r="A332">
        <f t="shared" si="12"/>
        <v>131.463663021983</v>
      </c>
      <c r="B332">
        <f t="shared" si="13"/>
        <v>131463.663021983</v>
      </c>
      <c r="C332">
        <f t="shared" si="14"/>
        <v>152.77777777777777</v>
      </c>
      <c r="D332">
        <v>297</v>
      </c>
    </row>
    <row r="333" spans="1:4">
      <c r="A333">
        <f t="shared" si="12"/>
        <v>131.90630161801661</v>
      </c>
      <c r="B333">
        <f t="shared" si="13"/>
        <v>131906.30161801662</v>
      </c>
      <c r="C333">
        <f t="shared" si="14"/>
        <v>153.29218106995884</v>
      </c>
      <c r="D333">
        <v>298</v>
      </c>
    </row>
    <row r="334" spans="1:4">
      <c r="A334">
        <f t="shared" si="12"/>
        <v>132.34894021405023</v>
      </c>
      <c r="B334">
        <f t="shared" si="13"/>
        <v>132348.94021405024</v>
      </c>
      <c r="C334">
        <f t="shared" si="14"/>
        <v>153.80658436213992</v>
      </c>
      <c r="D334">
        <v>299</v>
      </c>
    </row>
    <row r="335" spans="1:4">
      <c r="A335">
        <f t="shared" si="12"/>
        <v>132.79157881008385</v>
      </c>
      <c r="B335">
        <f t="shared" si="13"/>
        <v>132791.57881008385</v>
      </c>
      <c r="C335">
        <f t="shared" si="14"/>
        <v>154.32098765432099</v>
      </c>
      <c r="D335">
        <v>300</v>
      </c>
    </row>
    <row r="336" spans="1:4">
      <c r="A336">
        <f t="shared" si="12"/>
        <v>133.23421740611747</v>
      </c>
      <c r="B336">
        <f t="shared" si="13"/>
        <v>133234.21740611747</v>
      </c>
      <c r="C336">
        <f t="shared" si="14"/>
        <v>154.83539094650206</v>
      </c>
      <c r="D336">
        <v>301</v>
      </c>
    </row>
    <row r="337" spans="1:4">
      <c r="A337">
        <f t="shared" si="12"/>
        <v>133.67685600215106</v>
      </c>
      <c r="B337">
        <f t="shared" si="13"/>
        <v>133676.85600215106</v>
      </c>
      <c r="C337">
        <f t="shared" si="14"/>
        <v>155.34979423868313</v>
      </c>
      <c r="D337">
        <v>302</v>
      </c>
    </row>
    <row r="338" spans="1:4">
      <c r="A338">
        <f t="shared" si="12"/>
        <v>134.11949459818467</v>
      </c>
      <c r="B338">
        <f t="shared" si="13"/>
        <v>134119.49459818468</v>
      </c>
      <c r="C338">
        <f t="shared" si="14"/>
        <v>155.8641975308642</v>
      </c>
      <c r="D338">
        <v>303</v>
      </c>
    </row>
    <row r="339" spans="1:4">
      <c r="A339">
        <f t="shared" si="12"/>
        <v>134.56213319421829</v>
      </c>
      <c r="B339">
        <f t="shared" si="13"/>
        <v>134562.1331942183</v>
      </c>
      <c r="C339">
        <f t="shared" si="14"/>
        <v>156.37860082304528</v>
      </c>
      <c r="D339">
        <v>304</v>
      </c>
    </row>
    <row r="340" spans="1:4">
      <c r="A340">
        <f t="shared" si="12"/>
        <v>135.00477179025191</v>
      </c>
      <c r="B340">
        <f t="shared" si="13"/>
        <v>135004.77179025192</v>
      </c>
      <c r="C340">
        <f t="shared" si="14"/>
        <v>156.89300411522635</v>
      </c>
      <c r="D340">
        <v>305</v>
      </c>
    </row>
    <row r="341" spans="1:4">
      <c r="A341">
        <f t="shared" si="12"/>
        <v>135.44741038628555</v>
      </c>
      <c r="B341">
        <f t="shared" si="13"/>
        <v>135447.41038628554</v>
      </c>
      <c r="C341">
        <f t="shared" si="14"/>
        <v>157.40740740740742</v>
      </c>
      <c r="D341">
        <v>306</v>
      </c>
    </row>
    <row r="342" spans="1:4">
      <c r="A342">
        <f t="shared" si="12"/>
        <v>135.89004898231917</v>
      </c>
      <c r="B342">
        <f t="shared" si="13"/>
        <v>135890.04898231916</v>
      </c>
      <c r="C342">
        <f t="shared" si="14"/>
        <v>157.92181069958849</v>
      </c>
      <c r="D342">
        <v>307</v>
      </c>
    </row>
    <row r="343" spans="1:4">
      <c r="A343">
        <f t="shared" si="12"/>
        <v>136.33268757835276</v>
      </c>
      <c r="B343">
        <f t="shared" si="13"/>
        <v>136332.68757835275</v>
      </c>
      <c r="C343">
        <f t="shared" si="14"/>
        <v>158.43621399176956</v>
      </c>
      <c r="D343">
        <v>308</v>
      </c>
    </row>
    <row r="344" spans="1:4">
      <c r="A344">
        <f t="shared" si="12"/>
        <v>136.77532617438638</v>
      </c>
      <c r="B344">
        <f t="shared" si="13"/>
        <v>136775.32617438637</v>
      </c>
      <c r="C344">
        <f t="shared" si="14"/>
        <v>158.95061728395063</v>
      </c>
      <c r="D344">
        <v>309</v>
      </c>
    </row>
    <row r="345" spans="1:4">
      <c r="A345">
        <f t="shared" si="12"/>
        <v>137.21796477041997</v>
      </c>
      <c r="B345">
        <f t="shared" si="13"/>
        <v>137217.96477041996</v>
      </c>
      <c r="C345">
        <f t="shared" si="14"/>
        <v>159.46502057613168</v>
      </c>
      <c r="D345">
        <v>310</v>
      </c>
    </row>
    <row r="346" spans="1:4">
      <c r="A346">
        <f t="shared" si="12"/>
        <v>137.66060336645359</v>
      </c>
      <c r="B346">
        <f t="shared" si="13"/>
        <v>137660.60336645358</v>
      </c>
      <c r="C346">
        <f t="shared" si="14"/>
        <v>159.97942386831275</v>
      </c>
      <c r="D346">
        <v>311</v>
      </c>
    </row>
    <row r="347" spans="1:4">
      <c r="A347">
        <f t="shared" si="12"/>
        <v>138.1032419624872</v>
      </c>
      <c r="B347">
        <f t="shared" si="13"/>
        <v>138103.2419624872</v>
      </c>
      <c r="C347">
        <f t="shared" si="14"/>
        <v>160.49382716049382</v>
      </c>
      <c r="D347">
        <v>312</v>
      </c>
    </row>
    <row r="348" spans="1:4">
      <c r="A348">
        <f t="shared" si="12"/>
        <v>138.54588055852079</v>
      </c>
      <c r="B348">
        <f t="shared" si="13"/>
        <v>138545.88055852079</v>
      </c>
      <c r="C348">
        <f t="shared" si="14"/>
        <v>161.00823045267489</v>
      </c>
      <c r="D348">
        <v>313</v>
      </c>
    </row>
    <row r="349" spans="1:4">
      <c r="A349">
        <f t="shared" si="12"/>
        <v>138.98851915455444</v>
      </c>
      <c r="B349">
        <f t="shared" si="13"/>
        <v>138988.51915455444</v>
      </c>
      <c r="C349">
        <f t="shared" si="14"/>
        <v>161.52263374485597</v>
      </c>
      <c r="D349">
        <v>314</v>
      </c>
    </row>
    <row r="350" spans="1:4">
      <c r="A350">
        <f t="shared" si="12"/>
        <v>139.43115775058806</v>
      </c>
      <c r="B350">
        <f t="shared" si="13"/>
        <v>139431.15775058806</v>
      </c>
      <c r="C350">
        <f t="shared" si="14"/>
        <v>162.03703703703704</v>
      </c>
      <c r="D350">
        <v>315</v>
      </c>
    </row>
    <row r="351" spans="1:4">
      <c r="A351">
        <f t="shared" si="12"/>
        <v>139.87379634662165</v>
      </c>
      <c r="B351">
        <f t="shared" si="13"/>
        <v>139873.79634662165</v>
      </c>
      <c r="C351">
        <f t="shared" si="14"/>
        <v>162.55144032921811</v>
      </c>
      <c r="D351">
        <v>316</v>
      </c>
    </row>
    <row r="352" spans="1:4">
      <c r="A352">
        <f t="shared" si="12"/>
        <v>140.31643494265526</v>
      </c>
      <c r="B352">
        <f t="shared" si="13"/>
        <v>140316.43494265527</v>
      </c>
      <c r="C352">
        <f t="shared" si="14"/>
        <v>163.06584362139918</v>
      </c>
      <c r="D352">
        <v>317</v>
      </c>
    </row>
    <row r="353" spans="1:4">
      <c r="A353">
        <f t="shared" si="12"/>
        <v>140.75907353868888</v>
      </c>
      <c r="B353">
        <f t="shared" si="13"/>
        <v>140759.07353868888</v>
      </c>
      <c r="C353">
        <f t="shared" si="14"/>
        <v>163.58024691358025</v>
      </c>
      <c r="D353">
        <v>318</v>
      </c>
    </row>
    <row r="354" spans="1:4">
      <c r="A354">
        <f t="shared" si="12"/>
        <v>141.2017121347225</v>
      </c>
      <c r="B354">
        <f t="shared" si="13"/>
        <v>141201.7121347225</v>
      </c>
      <c r="C354">
        <f t="shared" si="14"/>
        <v>164.09465020576133</v>
      </c>
      <c r="D354">
        <v>319</v>
      </c>
    </row>
    <row r="355" spans="1:4">
      <c r="A355">
        <f t="shared" si="12"/>
        <v>141.64435073075612</v>
      </c>
      <c r="B355">
        <f t="shared" si="13"/>
        <v>141644.35073075612</v>
      </c>
      <c r="C355">
        <f t="shared" si="14"/>
        <v>164.6090534979424</v>
      </c>
      <c r="D355">
        <v>320</v>
      </c>
    </row>
    <row r="356" spans="1:4">
      <c r="A356">
        <f t="shared" ref="A356:A385" si="15">B356/1000</f>
        <v>142.08698932678973</v>
      </c>
      <c r="B356">
        <f t="shared" ref="B356:B385" si="16">(($C$12/$C$16)*C356)/$C$18</f>
        <v>142086.98932678974</v>
      </c>
      <c r="C356">
        <f t="shared" ref="C356:C385" si="17">D356/1.944</f>
        <v>165.12345679012347</v>
      </c>
      <c r="D356">
        <v>321</v>
      </c>
    </row>
    <row r="357" spans="1:4">
      <c r="A357">
        <f t="shared" si="15"/>
        <v>142.52962792282332</v>
      </c>
      <c r="B357">
        <f t="shared" si="16"/>
        <v>142529.62792282333</v>
      </c>
      <c r="C357">
        <f t="shared" si="17"/>
        <v>165.63786008230454</v>
      </c>
      <c r="D357">
        <v>322</v>
      </c>
    </row>
    <row r="358" spans="1:4">
      <c r="A358">
        <f t="shared" si="15"/>
        <v>142.97226651885694</v>
      </c>
      <c r="B358">
        <f t="shared" si="16"/>
        <v>142972.26651885695</v>
      </c>
      <c r="C358">
        <f t="shared" si="17"/>
        <v>166.15226337448561</v>
      </c>
      <c r="D358">
        <v>323</v>
      </c>
    </row>
    <row r="359" spans="1:4">
      <c r="A359">
        <f t="shared" si="15"/>
        <v>143.41490511489053</v>
      </c>
      <c r="B359">
        <f t="shared" si="16"/>
        <v>143414.90511489054</v>
      </c>
      <c r="C359">
        <f t="shared" si="17"/>
        <v>166.66666666666666</v>
      </c>
      <c r="D359">
        <v>324</v>
      </c>
    </row>
    <row r="360" spans="1:4">
      <c r="A360">
        <f t="shared" si="15"/>
        <v>143.85754371092415</v>
      </c>
      <c r="B360">
        <f t="shared" si="16"/>
        <v>143857.54371092416</v>
      </c>
      <c r="C360">
        <f t="shared" si="17"/>
        <v>167.18106995884773</v>
      </c>
      <c r="D360">
        <v>325</v>
      </c>
    </row>
    <row r="361" spans="1:4">
      <c r="A361">
        <f t="shared" si="15"/>
        <v>144.30018230695779</v>
      </c>
      <c r="B361">
        <f t="shared" si="16"/>
        <v>144300.18230695778</v>
      </c>
      <c r="C361">
        <f t="shared" si="17"/>
        <v>167.6954732510288</v>
      </c>
      <c r="D361">
        <v>326</v>
      </c>
    </row>
    <row r="362" spans="1:4">
      <c r="A362">
        <f t="shared" si="15"/>
        <v>144.74282090299138</v>
      </c>
      <c r="B362">
        <f t="shared" si="16"/>
        <v>144742.82090299137</v>
      </c>
      <c r="C362">
        <f t="shared" si="17"/>
        <v>168.20987654320987</v>
      </c>
      <c r="D362">
        <v>327</v>
      </c>
    </row>
    <row r="363" spans="1:4">
      <c r="A363">
        <f t="shared" si="15"/>
        <v>145.18545949902503</v>
      </c>
      <c r="B363">
        <f t="shared" si="16"/>
        <v>145185.45949902502</v>
      </c>
      <c r="C363">
        <f t="shared" si="17"/>
        <v>168.72427983539094</v>
      </c>
      <c r="D363">
        <v>328</v>
      </c>
    </row>
    <row r="364" spans="1:4">
      <c r="A364">
        <f t="shared" si="15"/>
        <v>145.62809809505862</v>
      </c>
      <c r="B364">
        <f t="shared" si="16"/>
        <v>145628.09809505861</v>
      </c>
      <c r="C364">
        <f t="shared" si="17"/>
        <v>169.23868312757202</v>
      </c>
      <c r="D364">
        <v>329</v>
      </c>
    </row>
    <row r="365" spans="1:4">
      <c r="A365">
        <f t="shared" si="15"/>
        <v>146.07073669109224</v>
      </c>
      <c r="B365">
        <f t="shared" si="16"/>
        <v>146070.73669109223</v>
      </c>
      <c r="C365">
        <f t="shared" si="17"/>
        <v>169.75308641975309</v>
      </c>
      <c r="D365">
        <v>330</v>
      </c>
    </row>
    <row r="366" spans="1:4">
      <c r="A366">
        <f t="shared" si="15"/>
        <v>146.51337528712585</v>
      </c>
      <c r="B366">
        <f t="shared" si="16"/>
        <v>146513.37528712585</v>
      </c>
      <c r="C366">
        <f t="shared" si="17"/>
        <v>170.26748971193416</v>
      </c>
      <c r="D366">
        <v>331</v>
      </c>
    </row>
    <row r="367" spans="1:4">
      <c r="A367">
        <f t="shared" si="15"/>
        <v>146.95601388315947</v>
      </c>
      <c r="B367">
        <f t="shared" si="16"/>
        <v>146956.01388315947</v>
      </c>
      <c r="C367">
        <f t="shared" si="17"/>
        <v>170.78189300411523</v>
      </c>
      <c r="D367">
        <v>332</v>
      </c>
    </row>
    <row r="368" spans="1:4">
      <c r="A368">
        <f t="shared" si="15"/>
        <v>147.39865247919309</v>
      </c>
      <c r="B368">
        <f t="shared" si="16"/>
        <v>147398.65247919309</v>
      </c>
      <c r="C368">
        <f t="shared" si="17"/>
        <v>171.2962962962963</v>
      </c>
      <c r="D368">
        <v>333</v>
      </c>
    </row>
    <row r="369" spans="1:4">
      <c r="A369">
        <f t="shared" si="15"/>
        <v>147.84129107522668</v>
      </c>
      <c r="B369">
        <f t="shared" si="16"/>
        <v>147841.29107522668</v>
      </c>
      <c r="C369">
        <f t="shared" si="17"/>
        <v>171.81069958847738</v>
      </c>
      <c r="D369">
        <v>334</v>
      </c>
    </row>
    <row r="370" spans="1:4">
      <c r="A370">
        <f t="shared" si="15"/>
        <v>148.28392967126032</v>
      </c>
      <c r="B370">
        <f t="shared" si="16"/>
        <v>148283.92967126032</v>
      </c>
      <c r="C370">
        <f t="shared" si="17"/>
        <v>172.32510288065845</v>
      </c>
      <c r="D370">
        <v>335</v>
      </c>
    </row>
    <row r="371" spans="1:4">
      <c r="A371">
        <f t="shared" si="15"/>
        <v>148.72656826729391</v>
      </c>
      <c r="B371">
        <f t="shared" si="16"/>
        <v>148726.56826729391</v>
      </c>
      <c r="C371">
        <f t="shared" si="17"/>
        <v>172.83950617283952</v>
      </c>
      <c r="D371">
        <v>336</v>
      </c>
    </row>
    <row r="372" spans="1:4">
      <c r="A372">
        <f t="shared" si="15"/>
        <v>149.16920686332753</v>
      </c>
      <c r="B372">
        <f t="shared" si="16"/>
        <v>149169.20686332753</v>
      </c>
      <c r="C372">
        <f t="shared" si="17"/>
        <v>173.35390946502059</v>
      </c>
      <c r="D372">
        <v>337</v>
      </c>
    </row>
    <row r="373" spans="1:4">
      <c r="A373">
        <f t="shared" si="15"/>
        <v>149.61184545936115</v>
      </c>
      <c r="B373">
        <f t="shared" si="16"/>
        <v>149611.84545936115</v>
      </c>
      <c r="C373">
        <f t="shared" si="17"/>
        <v>173.86831275720166</v>
      </c>
      <c r="D373">
        <v>338</v>
      </c>
    </row>
    <row r="374" spans="1:4">
      <c r="A374">
        <f t="shared" si="15"/>
        <v>150.05448405539474</v>
      </c>
      <c r="B374">
        <f t="shared" si="16"/>
        <v>150054.48405539474</v>
      </c>
      <c r="C374">
        <f t="shared" si="17"/>
        <v>174.38271604938271</v>
      </c>
      <c r="D374">
        <v>339</v>
      </c>
    </row>
    <row r="375" spans="1:4">
      <c r="A375">
        <f t="shared" si="15"/>
        <v>150.49712265142836</v>
      </c>
      <c r="B375">
        <f t="shared" si="16"/>
        <v>150497.12265142836</v>
      </c>
      <c r="C375">
        <f t="shared" si="17"/>
        <v>174.89711934156378</v>
      </c>
      <c r="D375">
        <v>340</v>
      </c>
    </row>
    <row r="376" spans="1:4">
      <c r="A376">
        <f t="shared" si="15"/>
        <v>150.93976124746195</v>
      </c>
      <c r="B376">
        <f t="shared" si="16"/>
        <v>150939.76124746195</v>
      </c>
      <c r="C376">
        <f t="shared" si="17"/>
        <v>175.41152263374485</v>
      </c>
      <c r="D376">
        <v>341</v>
      </c>
    </row>
    <row r="377" spans="1:4">
      <c r="A377">
        <f t="shared" si="15"/>
        <v>151.38239984349556</v>
      </c>
      <c r="B377">
        <f t="shared" si="16"/>
        <v>151382.39984349557</v>
      </c>
      <c r="C377">
        <f t="shared" si="17"/>
        <v>175.92592592592592</v>
      </c>
      <c r="D377">
        <v>342</v>
      </c>
    </row>
    <row r="378" spans="1:4">
      <c r="A378">
        <f t="shared" si="15"/>
        <v>151.82503843952918</v>
      </c>
      <c r="B378">
        <f t="shared" si="16"/>
        <v>151825.03843952919</v>
      </c>
      <c r="C378">
        <f t="shared" si="17"/>
        <v>176.440329218107</v>
      </c>
      <c r="D378">
        <v>343</v>
      </c>
    </row>
    <row r="379" spans="1:4">
      <c r="A379">
        <f t="shared" si="15"/>
        <v>152.2676770355628</v>
      </c>
      <c r="B379">
        <f t="shared" si="16"/>
        <v>152267.67703556281</v>
      </c>
      <c r="C379">
        <f t="shared" si="17"/>
        <v>176.95473251028807</v>
      </c>
      <c r="D379">
        <v>344</v>
      </c>
    </row>
    <row r="380" spans="1:4">
      <c r="A380">
        <f t="shared" si="15"/>
        <v>152.71031563159642</v>
      </c>
      <c r="B380">
        <f t="shared" si="16"/>
        <v>152710.31563159643</v>
      </c>
      <c r="C380">
        <f t="shared" si="17"/>
        <v>177.46913580246914</v>
      </c>
      <c r="D380">
        <v>345</v>
      </c>
    </row>
    <row r="381" spans="1:4">
      <c r="A381">
        <f t="shared" si="15"/>
        <v>153.15295422763006</v>
      </c>
      <c r="B381">
        <f t="shared" si="16"/>
        <v>153152.95422763005</v>
      </c>
      <c r="C381">
        <f t="shared" si="17"/>
        <v>177.98353909465021</v>
      </c>
      <c r="D381">
        <v>346</v>
      </c>
    </row>
    <row r="382" spans="1:4">
      <c r="A382">
        <f t="shared" si="15"/>
        <v>153.59559282366365</v>
      </c>
      <c r="B382">
        <f t="shared" si="16"/>
        <v>153595.59282366364</v>
      </c>
      <c r="C382">
        <f t="shared" si="17"/>
        <v>178.49794238683128</v>
      </c>
      <c r="D382">
        <v>347</v>
      </c>
    </row>
    <row r="383" spans="1:4">
      <c r="A383">
        <f t="shared" si="15"/>
        <v>154.03823141969727</v>
      </c>
      <c r="B383">
        <f t="shared" si="16"/>
        <v>154038.23141969726</v>
      </c>
      <c r="C383">
        <f t="shared" si="17"/>
        <v>179.01234567901236</v>
      </c>
      <c r="D383">
        <v>348</v>
      </c>
    </row>
    <row r="384" spans="1:4">
      <c r="A384">
        <f t="shared" si="15"/>
        <v>154.48087001573091</v>
      </c>
      <c r="B384">
        <f t="shared" si="16"/>
        <v>154480.87001573091</v>
      </c>
      <c r="C384">
        <f t="shared" si="17"/>
        <v>179.52674897119343</v>
      </c>
      <c r="D384">
        <v>349</v>
      </c>
    </row>
    <row r="385" spans="1:4">
      <c r="A385">
        <f t="shared" si="15"/>
        <v>154.92350861176448</v>
      </c>
      <c r="B385">
        <f t="shared" si="16"/>
        <v>154923.50861176447</v>
      </c>
      <c r="C385">
        <f t="shared" si="17"/>
        <v>180.0411522633745</v>
      </c>
      <c r="D385">
        <v>350</v>
      </c>
    </row>
  </sheetData>
  <mergeCells count="1">
    <mergeCell ref="A1:D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8F813-8652-4347-9BFF-01AF3E23FDC5}">
  <sheetPr codeName="Sheet9"/>
  <dimension ref="A1:R17"/>
  <sheetViews>
    <sheetView zoomScale="40" zoomScaleNormal="40" workbookViewId="0">
      <selection activeCell="B22" sqref="B22"/>
    </sheetView>
  </sheetViews>
  <sheetFormatPr defaultColWidth="8.42578125" defaultRowHeight="15"/>
  <cols>
    <col min="1" max="1" width="16.42578125" bestFit="1" customWidth="1"/>
    <col min="2" max="2" width="36.42578125" bestFit="1" customWidth="1"/>
    <col min="3" max="3" width="21" customWidth="1"/>
    <col min="5" max="5" width="12.42578125" bestFit="1" customWidth="1"/>
    <col min="6" max="7" width="11.42578125" bestFit="1" customWidth="1"/>
    <col min="9" max="9" width="16.42578125" bestFit="1" customWidth="1"/>
    <col min="10" max="10" width="13.42578125" bestFit="1" customWidth="1"/>
    <col min="11" max="12" width="12.42578125" bestFit="1" customWidth="1"/>
    <col min="13" max="13" width="14.42578125" bestFit="1" customWidth="1"/>
    <col min="15" max="15" width="12.42578125" customWidth="1"/>
    <col min="17" max="17" width="16" customWidth="1"/>
  </cols>
  <sheetData>
    <row r="1" spans="1:18">
      <c r="A1" s="2" t="s">
        <v>2101</v>
      </c>
      <c r="B1" s="3" t="s">
        <v>327</v>
      </c>
      <c r="C1" s="4" t="s">
        <v>2102</v>
      </c>
      <c r="E1" t="s">
        <v>2103</v>
      </c>
      <c r="F1" t="s">
        <v>66</v>
      </c>
      <c r="G1" t="s">
        <v>2104</v>
      </c>
      <c r="I1" t="s">
        <v>2105</v>
      </c>
      <c r="J1" t="s">
        <v>2106</v>
      </c>
      <c r="K1" t="s">
        <v>2107</v>
      </c>
      <c r="L1" t="s">
        <v>2108</v>
      </c>
      <c r="M1" t="s">
        <v>2109</v>
      </c>
    </row>
    <row r="2" spans="1:18" ht="32.1">
      <c r="A2" t="s">
        <v>2110</v>
      </c>
      <c r="B2">
        <v>4000</v>
      </c>
      <c r="C2" s="1" t="s">
        <v>2111</v>
      </c>
      <c r="E2" t="s">
        <v>2112</v>
      </c>
      <c r="F2">
        <v>36</v>
      </c>
      <c r="H2" t="s">
        <v>2113</v>
      </c>
      <c r="I2" t="s">
        <v>2114</v>
      </c>
      <c r="J2">
        <v>895</v>
      </c>
      <c r="K2">
        <v>5000</v>
      </c>
      <c r="L2">
        <v>72</v>
      </c>
      <c r="M2">
        <v>42.4</v>
      </c>
      <c r="O2" t="s">
        <v>2115</v>
      </c>
      <c r="P2">
        <v>594.66999999999996</v>
      </c>
      <c r="Q2" t="s">
        <v>2116</v>
      </c>
      <c r="R2">
        <v>0.88</v>
      </c>
    </row>
    <row r="3" spans="1:18" ht="48">
      <c r="A3" t="s">
        <v>2117</v>
      </c>
      <c r="B3">
        <v>2650</v>
      </c>
      <c r="C3" s="1" t="s">
        <v>2118</v>
      </c>
      <c r="E3" t="s">
        <v>2119</v>
      </c>
      <c r="F3">
        <v>6</v>
      </c>
      <c r="I3" t="s">
        <v>2120</v>
      </c>
      <c r="J3">
        <v>658</v>
      </c>
      <c r="K3">
        <v>3600</v>
      </c>
      <c r="L3">
        <v>52.8</v>
      </c>
      <c r="M3">
        <v>25.3</v>
      </c>
    </row>
    <row r="4" spans="1:18">
      <c r="A4" t="s">
        <v>2121</v>
      </c>
      <c r="B4">
        <v>1000</v>
      </c>
      <c r="C4" t="s">
        <v>2122</v>
      </c>
      <c r="E4" t="s">
        <v>2123</v>
      </c>
      <c r="F4">
        <v>60</v>
      </c>
    </row>
    <row r="5" spans="1:18" ht="15.95">
      <c r="A5" t="s">
        <v>2124</v>
      </c>
      <c r="B5">
        <v>1000</v>
      </c>
      <c r="C5" s="1" t="s">
        <v>2125</v>
      </c>
    </row>
    <row r="6" spans="1:18">
      <c r="A6" t="s">
        <v>2126</v>
      </c>
      <c r="B6">
        <v>1163</v>
      </c>
      <c r="C6" t="s">
        <v>2127</v>
      </c>
    </row>
    <row r="7" spans="1:18" ht="15.95">
      <c r="A7" t="s">
        <v>1694</v>
      </c>
      <c r="B7">
        <v>261</v>
      </c>
      <c r="C7" s="1" t="s">
        <v>2128</v>
      </c>
    </row>
    <row r="8" spans="1:18">
      <c r="A8" t="s">
        <v>2129</v>
      </c>
      <c r="B8">
        <v>570</v>
      </c>
    </row>
    <row r="9" spans="1:18">
      <c r="A9" t="s">
        <v>2130</v>
      </c>
      <c r="B9">
        <v>400</v>
      </c>
    </row>
    <row r="10" spans="1:18">
      <c r="A10" t="s">
        <v>2131</v>
      </c>
      <c r="B10">
        <v>400</v>
      </c>
    </row>
    <row r="11" spans="1:18">
      <c r="A11" t="s">
        <v>2132</v>
      </c>
      <c r="B11">
        <v>280</v>
      </c>
    </row>
    <row r="12" spans="1:18">
      <c r="A12" t="s">
        <v>2133</v>
      </c>
      <c r="B12">
        <f>SUM(B2:B11)</f>
        <v>11724</v>
      </c>
    </row>
    <row r="13" spans="1:18" ht="15.95">
      <c r="B13" s="1" t="s">
        <v>2134</v>
      </c>
    </row>
    <row r="14" spans="1:18">
      <c r="A14" t="s">
        <v>2135</v>
      </c>
    </row>
    <row r="15" spans="1:18">
      <c r="A15" t="s">
        <v>2136</v>
      </c>
    </row>
    <row r="17" spans="1:2">
      <c r="A17" t="s">
        <v>2137</v>
      </c>
      <c r="B17" t="s">
        <v>2138</v>
      </c>
    </row>
  </sheetData>
  <pageMargins left="0.7" right="0.7" top="0.75" bottom="0.75" header="0.3" footer="0.3"/>
  <tableParts count="2">
    <tablePart r:id="rId1"/>
    <tablePart r:id="rId2"/>
  </tablePart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2703C-3970-4DDD-A00B-8AD43029779A}">
  <dimension ref="A1:X105"/>
  <sheetViews>
    <sheetView topLeftCell="F83" zoomScale="80" zoomScaleNormal="80" zoomScaleSheetLayoutView="90" workbookViewId="0">
      <selection activeCell="O96" sqref="O96"/>
    </sheetView>
  </sheetViews>
  <sheetFormatPr defaultColWidth="8.42578125" defaultRowHeight="15"/>
  <cols>
    <col min="1" max="1" width="9.42578125" customWidth="1"/>
    <col min="2" max="2" width="15.42578125" customWidth="1"/>
    <col min="3" max="3" width="18" customWidth="1"/>
    <col min="4" max="6" width="18.42578125" customWidth="1"/>
    <col min="7" max="7" width="16.42578125" customWidth="1"/>
    <col min="9" max="9" width="16.42578125" customWidth="1"/>
    <col min="10" max="10" width="12.42578125" customWidth="1"/>
    <col min="13" max="13" width="25.42578125" customWidth="1"/>
    <col min="14" max="14" width="12.42578125" customWidth="1"/>
    <col min="15" max="15" width="19.42578125" customWidth="1"/>
    <col min="16" max="16" width="14.42578125" bestFit="1" customWidth="1"/>
    <col min="17" max="17" width="20.42578125" bestFit="1" customWidth="1"/>
    <col min="18" max="18" width="18.7109375" customWidth="1"/>
    <col min="19" max="19" width="20" customWidth="1"/>
    <col min="20" max="20" width="18.7109375" customWidth="1"/>
    <col min="21" max="21" width="22.7109375" customWidth="1"/>
    <col min="22" max="22" width="17.7109375" customWidth="1"/>
    <col min="25" max="25" width="8.7109375" customWidth="1"/>
  </cols>
  <sheetData>
    <row r="1" spans="1:17">
      <c r="A1" s="309" t="s">
        <v>2139</v>
      </c>
      <c r="B1" s="309"/>
      <c r="C1" s="309"/>
      <c r="D1" s="309"/>
      <c r="E1" s="309"/>
      <c r="F1" s="309"/>
      <c r="G1" s="309"/>
      <c r="H1" s="309"/>
      <c r="I1" s="309"/>
      <c r="J1" s="309"/>
      <c r="K1" s="309"/>
      <c r="L1" s="309"/>
      <c r="M1" s="309"/>
    </row>
    <row r="2" spans="1:17">
      <c r="A2" s="385" t="s">
        <v>2140</v>
      </c>
      <c r="B2" s="386"/>
      <c r="C2" s="27" t="s">
        <v>191</v>
      </c>
      <c r="D2" s="385" t="s">
        <v>193</v>
      </c>
      <c r="E2" s="387"/>
      <c r="F2" s="386"/>
      <c r="G2" s="8"/>
      <c r="H2" s="385" t="s">
        <v>2140</v>
      </c>
      <c r="I2" s="386"/>
      <c r="J2" s="28" t="s">
        <v>191</v>
      </c>
      <c r="K2" s="385" t="s">
        <v>193</v>
      </c>
      <c r="L2" s="387"/>
      <c r="M2" s="386"/>
    </row>
    <row r="3" spans="1:17">
      <c r="A3" s="319" t="s">
        <v>2141</v>
      </c>
      <c r="B3" s="312"/>
      <c r="C3" s="25">
        <v>0.95</v>
      </c>
      <c r="D3" s="319" t="s">
        <v>2142</v>
      </c>
      <c r="E3" s="319"/>
      <c r="F3" s="319"/>
      <c r="G3" s="8"/>
      <c r="H3" s="319" t="s">
        <v>2143</v>
      </c>
      <c r="I3" s="312"/>
      <c r="J3" s="25">
        <f>C4/60</f>
        <v>8.3333333333333339</v>
      </c>
      <c r="K3" s="319" t="s">
        <v>2144</v>
      </c>
      <c r="L3" s="319"/>
      <c r="M3" s="319"/>
      <c r="O3" t="s">
        <v>2145</v>
      </c>
      <c r="P3">
        <f>0.3+(-0.15)+0+0.02+0.02+0.04+0.01+0+0</f>
        <v>0.24</v>
      </c>
    </row>
    <row r="4" spans="1:17">
      <c r="A4" s="319" t="s">
        <v>2146</v>
      </c>
      <c r="B4" s="319"/>
      <c r="C4" s="25">
        <f>J33</f>
        <v>500</v>
      </c>
      <c r="D4" s="319" t="s">
        <v>2147</v>
      </c>
      <c r="E4" s="319"/>
      <c r="F4" s="319"/>
      <c r="G4" s="8"/>
      <c r="H4" s="319" t="s">
        <v>2148</v>
      </c>
      <c r="I4" s="319"/>
      <c r="J4" s="25">
        <v>1</v>
      </c>
      <c r="K4" s="319" t="s">
        <v>2149</v>
      </c>
      <c r="L4" s="319"/>
      <c r="M4" s="319"/>
      <c r="O4" t="s">
        <v>2150</v>
      </c>
    </row>
    <row r="5" spans="1:17">
      <c r="A5" s="319" t="s">
        <v>2151</v>
      </c>
      <c r="B5" s="319"/>
      <c r="C5" s="264">
        <f>General!C9</f>
        <v>6800</v>
      </c>
      <c r="D5" s="319" t="s">
        <v>2152</v>
      </c>
      <c r="E5" s="319"/>
      <c r="F5" s="319"/>
      <c r="G5" s="8"/>
      <c r="H5" s="319" t="s">
        <v>2153</v>
      </c>
      <c r="I5" s="319"/>
      <c r="J5" s="25">
        <v>1.01</v>
      </c>
      <c r="K5" s="319" t="s">
        <v>2154</v>
      </c>
      <c r="L5" s="319"/>
      <c r="M5" s="319"/>
      <c r="O5" t="s">
        <v>2155</v>
      </c>
      <c r="P5">
        <v>500</v>
      </c>
    </row>
    <row r="6" spans="1:17">
      <c r="A6" s="319" t="s">
        <v>231</v>
      </c>
      <c r="B6" s="319"/>
      <c r="C6" s="25">
        <v>300</v>
      </c>
      <c r="D6" s="319" t="s">
        <v>2156</v>
      </c>
      <c r="E6" s="319"/>
      <c r="F6" s="319"/>
      <c r="G6" s="8"/>
      <c r="H6" s="319" t="s">
        <v>2157</v>
      </c>
      <c r="I6" s="319"/>
      <c r="J6" s="25">
        <f>1+0.25*C9</f>
        <v>1.075</v>
      </c>
      <c r="K6" s="319" t="s">
        <v>2158</v>
      </c>
      <c r="L6" s="319"/>
      <c r="M6" s="319"/>
    </row>
    <row r="7" spans="1:17">
      <c r="A7" s="319" t="s">
        <v>2159</v>
      </c>
      <c r="B7" s="319"/>
      <c r="C7" s="25">
        <v>1</v>
      </c>
      <c r="D7" s="319" t="s">
        <v>2160</v>
      </c>
      <c r="E7" s="319"/>
      <c r="F7" s="319"/>
      <c r="G7" s="8"/>
      <c r="H7" s="319" t="s">
        <v>2161</v>
      </c>
      <c r="I7" s="319"/>
      <c r="J7" s="25">
        <v>1.4</v>
      </c>
      <c r="K7" s="319" t="s">
        <v>2162</v>
      </c>
      <c r="L7" s="319"/>
      <c r="M7" s="319"/>
      <c r="O7" t="s">
        <v>2163</v>
      </c>
      <c r="P7">
        <v>804.6</v>
      </c>
    </row>
    <row r="8" spans="1:17">
      <c r="A8" s="319" t="s">
        <v>2164</v>
      </c>
      <c r="B8" s="319"/>
      <c r="C8" s="25">
        <v>1</v>
      </c>
      <c r="D8" s="319" t="s">
        <v>2165</v>
      </c>
      <c r="E8" s="319"/>
      <c r="F8" s="319"/>
      <c r="G8" s="8"/>
      <c r="H8" s="319" t="s">
        <v>2166</v>
      </c>
      <c r="I8" s="319"/>
      <c r="J8" s="25">
        <f>1+0.5*C9</f>
        <v>1.1499999999999999</v>
      </c>
      <c r="K8" s="319" t="s">
        <v>2167</v>
      </c>
      <c r="L8" s="319"/>
      <c r="M8" s="319"/>
      <c r="O8" t="s">
        <v>1822</v>
      </c>
      <c r="P8">
        <v>0.47</v>
      </c>
    </row>
    <row r="9" spans="1:17" ht="17.25" customHeight="1">
      <c r="A9" s="319" t="s">
        <v>2168</v>
      </c>
      <c r="B9" s="319"/>
      <c r="C9" s="25">
        <v>0.3</v>
      </c>
      <c r="D9" s="319" t="s">
        <v>2169</v>
      </c>
      <c r="E9" s="319"/>
      <c r="F9" s="319"/>
      <c r="G9" s="25"/>
      <c r="H9" s="319" t="s">
        <v>2170</v>
      </c>
      <c r="I9" s="319"/>
      <c r="J9" s="25">
        <v>2</v>
      </c>
      <c r="K9" s="319" t="s">
        <v>2171</v>
      </c>
      <c r="L9" s="319"/>
      <c r="M9" s="319"/>
      <c r="O9" t="s">
        <v>2172</v>
      </c>
      <c r="P9">
        <v>6.3</v>
      </c>
    </row>
    <row r="10" spans="1:17">
      <c r="A10" s="319" t="s">
        <v>2173</v>
      </c>
      <c r="B10" s="319"/>
      <c r="C10" s="25">
        <f>1+C9</f>
        <v>1.3</v>
      </c>
      <c r="D10" s="319" t="s">
        <v>2169</v>
      </c>
      <c r="E10" s="319"/>
      <c r="F10" s="319"/>
      <c r="G10" s="25"/>
      <c r="H10" s="319" t="s">
        <v>2174</v>
      </c>
      <c r="I10" s="319"/>
      <c r="J10" s="25">
        <v>1</v>
      </c>
      <c r="K10" s="319" t="s">
        <v>2175</v>
      </c>
      <c r="L10" s="319"/>
      <c r="M10" s="319"/>
    </row>
    <row r="11" spans="1:17">
      <c r="A11" s="319" t="s">
        <v>2176</v>
      </c>
      <c r="B11" s="319"/>
      <c r="C11" s="25">
        <v>1.03</v>
      </c>
      <c r="D11" s="319" t="s">
        <v>2177</v>
      </c>
      <c r="E11" s="319"/>
      <c r="F11" s="319"/>
      <c r="G11" s="25"/>
      <c r="H11" s="319" t="s">
        <v>2178</v>
      </c>
      <c r="I11" s="319"/>
      <c r="J11" s="25">
        <v>2</v>
      </c>
      <c r="K11" s="319" t="s">
        <v>2179</v>
      </c>
      <c r="L11" s="319"/>
      <c r="M11" s="319"/>
      <c r="O11" t="s">
        <v>2180</v>
      </c>
      <c r="P11">
        <v>534000</v>
      </c>
    </row>
    <row r="12" spans="1:17">
      <c r="A12" s="319" t="s">
        <v>2181</v>
      </c>
      <c r="B12" s="319"/>
      <c r="C12" s="34">
        <f>1035.9*J10*(J13^0.8356)*J7</f>
        <v>1358601.9649874039</v>
      </c>
      <c r="D12" s="319" t="s">
        <v>2182</v>
      </c>
      <c r="E12" s="319"/>
      <c r="F12" s="319"/>
      <c r="G12" s="25"/>
      <c r="H12" s="319" t="s">
        <v>2183</v>
      </c>
      <c r="I12" s="319"/>
      <c r="J12" s="25">
        <v>804.6</v>
      </c>
      <c r="K12" s="319" t="s">
        <v>2184</v>
      </c>
      <c r="L12" s="319"/>
      <c r="M12" s="319"/>
      <c r="O12" s="42" t="s">
        <v>2185</v>
      </c>
      <c r="P12" s="42">
        <f>500+0.015*P11</f>
        <v>8510</v>
      </c>
      <c r="Q12" t="s">
        <v>2186</v>
      </c>
    </row>
    <row r="13" spans="1:17">
      <c r="A13" s="319" t="s">
        <v>2187</v>
      </c>
      <c r="B13" s="319"/>
      <c r="C13" s="34">
        <f>377.4*J11*J12*J7</f>
        <v>850236.91199999989</v>
      </c>
      <c r="D13" s="319" t="s">
        <v>2188</v>
      </c>
      <c r="E13" s="319"/>
      <c r="F13" s="319"/>
      <c r="G13" s="25"/>
      <c r="H13" s="319" t="s">
        <v>1962</v>
      </c>
      <c r="I13" s="319"/>
      <c r="J13" s="25">
        <v>3600</v>
      </c>
      <c r="K13" s="319" t="s">
        <v>2189</v>
      </c>
      <c r="L13" s="319"/>
      <c r="M13" s="319"/>
    </row>
    <row r="14" spans="1:17">
      <c r="A14" s="319" t="s">
        <v>2190</v>
      </c>
      <c r="B14" s="319"/>
      <c r="C14" s="25">
        <v>8.75</v>
      </c>
      <c r="D14" s="319" t="s">
        <v>2191</v>
      </c>
      <c r="E14" s="319"/>
      <c r="F14" s="319"/>
      <c r="G14" s="25"/>
      <c r="H14" s="319" t="s">
        <v>1822</v>
      </c>
      <c r="I14" s="319"/>
      <c r="J14" s="25">
        <f>0.47</f>
        <v>0.47</v>
      </c>
      <c r="K14" s="319" t="s">
        <v>2192</v>
      </c>
      <c r="L14" s="319"/>
      <c r="M14" s="319"/>
      <c r="O14" s="42" t="s">
        <v>2193</v>
      </c>
      <c r="P14" s="42">
        <v>500</v>
      </c>
      <c r="Q14" t="s">
        <v>2194</v>
      </c>
    </row>
    <row r="15" spans="1:17">
      <c r="A15" s="319" t="s">
        <v>2195</v>
      </c>
      <c r="B15" s="319"/>
      <c r="C15" s="25">
        <f>0.3-0.15+0+0.02+0.02+0.04+0.01+0+0</f>
        <v>0.24</v>
      </c>
      <c r="D15" s="319" t="s">
        <v>2196</v>
      </c>
      <c r="E15" s="319"/>
      <c r="F15" s="319"/>
      <c r="G15" s="25"/>
      <c r="H15" s="319" t="s">
        <v>2172</v>
      </c>
      <c r="I15" s="319"/>
      <c r="J15" s="25">
        <v>6.3</v>
      </c>
      <c r="K15" s="319" t="s">
        <v>2197</v>
      </c>
      <c r="L15" s="319"/>
      <c r="M15" s="319"/>
    </row>
    <row r="16" spans="1:17">
      <c r="A16" s="319" t="s">
        <v>2198</v>
      </c>
      <c r="B16" s="319"/>
      <c r="C16" s="41">
        <v>60</v>
      </c>
      <c r="D16" s="319" t="s">
        <v>2199</v>
      </c>
      <c r="E16" s="319"/>
      <c r="F16" s="319"/>
      <c r="G16" s="25"/>
      <c r="H16" s="319"/>
      <c r="I16" s="319"/>
      <c r="J16" s="25"/>
      <c r="K16" s="319"/>
      <c r="L16" s="319"/>
      <c r="M16" s="319"/>
      <c r="O16" t="s">
        <v>2200</v>
      </c>
      <c r="P16">
        <v>2</v>
      </c>
    </row>
    <row r="17" spans="1:17">
      <c r="A17" s="319" t="s">
        <v>2201</v>
      </c>
      <c r="B17" s="319"/>
      <c r="C17" s="25">
        <v>550</v>
      </c>
      <c r="D17" s="319" t="s">
        <v>2202</v>
      </c>
      <c r="E17" s="319"/>
      <c r="F17" s="319"/>
      <c r="G17" s="25"/>
      <c r="H17" s="319"/>
      <c r="I17" s="319"/>
      <c r="J17" s="25"/>
      <c r="K17" s="319"/>
      <c r="L17" s="319"/>
      <c r="M17" s="319"/>
      <c r="O17" s="42" t="s">
        <v>2203</v>
      </c>
      <c r="P17" s="42">
        <f>5*P16*P5</f>
        <v>5000</v>
      </c>
      <c r="Q17" t="s">
        <v>2204</v>
      </c>
    </row>
    <row r="18" spans="1:17">
      <c r="A18" s="319" t="s">
        <v>2205</v>
      </c>
      <c r="B18" s="319"/>
      <c r="C18" s="25">
        <v>250</v>
      </c>
      <c r="D18" s="319" t="s">
        <v>2206</v>
      </c>
      <c r="E18" s="319"/>
      <c r="F18" s="319"/>
      <c r="G18" s="25"/>
      <c r="H18" s="319"/>
      <c r="I18" s="319"/>
      <c r="J18" s="25"/>
      <c r="K18" s="319"/>
      <c r="L18" s="319"/>
      <c r="M18" s="319"/>
    </row>
    <row r="19" spans="1:17">
      <c r="A19" s="319"/>
      <c r="B19" s="319"/>
      <c r="C19" s="25"/>
      <c r="D19" s="319"/>
      <c r="E19" s="319"/>
      <c r="F19" s="319"/>
      <c r="G19" s="25"/>
      <c r="H19" s="319"/>
      <c r="I19" s="319"/>
      <c r="J19" s="25"/>
      <c r="K19" s="319"/>
      <c r="L19" s="319"/>
      <c r="M19" s="319"/>
      <c r="O19" t="s">
        <v>2207</v>
      </c>
      <c r="P19">
        <f>P11</f>
        <v>534000</v>
      </c>
    </row>
    <row r="20" spans="1:17">
      <c r="A20" s="319"/>
      <c r="B20" s="319"/>
      <c r="C20" s="25"/>
      <c r="D20" s="319"/>
      <c r="E20" s="319"/>
      <c r="F20" s="319"/>
      <c r="G20" s="25"/>
      <c r="H20" s="319"/>
      <c r="I20" s="319"/>
      <c r="J20" s="25"/>
      <c r="K20" s="319"/>
      <c r="L20" s="319"/>
      <c r="M20" s="319"/>
      <c r="O20" t="s">
        <v>2208</v>
      </c>
      <c r="P20">
        <v>6</v>
      </c>
    </row>
    <row r="21" spans="1:17">
      <c r="A21" s="319"/>
      <c r="B21" s="319"/>
      <c r="C21" s="25"/>
      <c r="D21" s="319"/>
      <c r="E21" s="319"/>
      <c r="F21" s="319"/>
      <c r="G21" s="25"/>
      <c r="H21" s="319"/>
      <c r="I21" s="319"/>
      <c r="J21" s="25"/>
      <c r="K21" s="319"/>
      <c r="L21" s="319"/>
      <c r="M21" s="319"/>
      <c r="O21" t="s">
        <v>205</v>
      </c>
      <c r="P21">
        <f>180</f>
        <v>180</v>
      </c>
    </row>
    <row r="22" spans="1:17">
      <c r="A22" s="319"/>
      <c r="B22" s="319"/>
      <c r="C22" s="25"/>
      <c r="D22" s="319"/>
      <c r="E22" s="319"/>
      <c r="F22" s="319"/>
      <c r="G22" s="25"/>
      <c r="H22" s="319"/>
      <c r="I22" s="319"/>
      <c r="J22" s="25"/>
      <c r="K22" s="319"/>
      <c r="L22" s="319"/>
      <c r="M22" s="319"/>
      <c r="O22" s="42" t="s">
        <v>2209</v>
      </c>
      <c r="P22" s="42">
        <f>12*P19*P20/(1-(1/((1+P20)^(P21))))</f>
        <v>38448000</v>
      </c>
      <c r="Q22" t="s">
        <v>2210</v>
      </c>
    </row>
    <row r="23" spans="1:17">
      <c r="A23" s="319"/>
      <c r="B23" s="319"/>
      <c r="C23" s="25"/>
      <c r="D23" s="319"/>
      <c r="E23" s="319"/>
      <c r="F23" s="319"/>
      <c r="G23" s="25"/>
      <c r="H23" s="319"/>
      <c r="I23" s="319"/>
      <c r="J23" s="25"/>
      <c r="K23" s="319"/>
      <c r="L23" s="319"/>
      <c r="M23" s="319"/>
    </row>
    <row r="24" spans="1:17" ht="15.95">
      <c r="A24" s="375"/>
      <c r="B24" s="375"/>
      <c r="C24" s="375"/>
      <c r="D24" s="222" t="s">
        <v>2211</v>
      </c>
      <c r="E24" s="30" t="s">
        <v>2212</v>
      </c>
      <c r="F24" s="366" t="s">
        <v>2213</v>
      </c>
      <c r="G24" s="366"/>
      <c r="H24" s="366" t="s">
        <v>2214</v>
      </c>
      <c r="I24" s="366"/>
      <c r="J24" s="366"/>
      <c r="K24" s="366" t="s">
        <v>193</v>
      </c>
      <c r="L24" s="366"/>
      <c r="M24" s="366"/>
    </row>
    <row r="25" spans="1:17">
      <c r="A25" s="367" t="s">
        <v>2215</v>
      </c>
      <c r="B25" s="367"/>
      <c r="C25" s="367"/>
      <c r="D25" s="26">
        <f>0.0396*(C5^0.791)*(C6^1.526)*(C4^0.183)*(C7)*(C8)*(C10)*(C11)</f>
        <v>1071491.8162775645</v>
      </c>
      <c r="E25">
        <v>45</v>
      </c>
      <c r="F25" s="384">
        <f>2.0969*D25*E25*J7</f>
        <v>141549104.9418028</v>
      </c>
      <c r="G25" s="384"/>
      <c r="H25" s="390">
        <f>F25/C4</f>
        <v>283098.2098836056</v>
      </c>
      <c r="I25" s="390"/>
      <c r="J25" s="390"/>
      <c r="K25" s="390">
        <f>SUM(I36:I40,J41)</f>
        <v>6649895.8435778618</v>
      </c>
      <c r="L25" s="319"/>
      <c r="M25" s="319"/>
    </row>
    <row r="26" spans="1:17">
      <c r="A26" s="367" t="s">
        <v>2216</v>
      </c>
      <c r="B26" s="367"/>
      <c r="C26" s="367"/>
      <c r="D26" s="382"/>
      <c r="E26" s="382"/>
      <c r="F26" s="383">
        <f>0.06458*(C5^0.873)*(C6^1.89)*(J9^0.346)*(J7)*(C7)*(C8)*(J8)*(C11)</f>
        <v>14502970.785241699</v>
      </c>
      <c r="G26" s="383"/>
      <c r="H26" s="389">
        <f>F26/C4</f>
        <v>29005.941570483399</v>
      </c>
      <c r="I26" s="389"/>
      <c r="J26" s="389"/>
      <c r="K26" s="319"/>
      <c r="L26" s="319"/>
      <c r="M26" s="319"/>
    </row>
    <row r="27" spans="1:17">
      <c r="A27" s="367" t="s">
        <v>2217</v>
      </c>
      <c r="B27" s="367"/>
      <c r="C27" s="367"/>
      <c r="D27" s="382"/>
      <c r="E27" s="382"/>
      <c r="F27" s="383">
        <f>0.009646*(C5^1.16)*(C6^1.3718)*(J9^1.281)*(J7)*(C7)</f>
        <v>2290445.6648493051</v>
      </c>
      <c r="G27" s="383"/>
      <c r="H27" s="389">
        <f>F27/C4</f>
        <v>4580.8913296986102</v>
      </c>
      <c r="I27" s="389"/>
      <c r="J27" s="389"/>
      <c r="K27" s="319"/>
      <c r="L27" s="319"/>
      <c r="M27" s="319"/>
    </row>
    <row r="28" spans="1:17">
      <c r="A28" s="367" t="s">
        <v>2218</v>
      </c>
      <c r="B28" s="367"/>
      <c r="C28" s="367"/>
      <c r="D28" s="29">
        <f>1.0032*(C5^0.764)*(C6^0.899)*(C4^0.178)*(J3^0.066)*(J4)*(C8)*(C10)*(J5)</f>
        <v>654352.4991030558</v>
      </c>
      <c r="E28">
        <v>25</v>
      </c>
      <c r="F28" s="383">
        <f>2.0969*D28*E28*J7</f>
        <v>48023911.437921919</v>
      </c>
      <c r="G28" s="383"/>
      <c r="H28" s="389">
        <f>F28/C4</f>
        <v>96047.822875843834</v>
      </c>
      <c r="I28" s="389"/>
      <c r="J28" s="389"/>
      <c r="K28" s="319"/>
      <c r="L28" s="319"/>
      <c r="M28" s="319"/>
    </row>
    <row r="29" spans="1:17" ht="16.5" customHeight="1">
      <c r="A29" s="378" t="s">
        <v>2219</v>
      </c>
      <c r="B29" s="379"/>
      <c r="C29" s="380"/>
      <c r="D29" s="382"/>
      <c r="E29" s="382"/>
      <c r="F29" s="391">
        <f>SUM(F25:G28)</f>
        <v>206366432.82981572</v>
      </c>
      <c r="G29" s="391"/>
      <c r="H29" s="393"/>
      <c r="I29" s="393"/>
      <c r="J29" s="393"/>
      <c r="K29" s="319"/>
      <c r="L29" s="319"/>
      <c r="M29" s="319"/>
    </row>
    <row r="30" spans="1:17">
      <c r="A30" s="367" t="s">
        <v>1307</v>
      </c>
      <c r="B30" s="367"/>
      <c r="C30" s="367"/>
      <c r="D30" s="29">
        <f>9.6613*(C5^0.74)*(C6^0.543)*(C4^0.524)*(C7)*(C8)*(J6)</f>
        <v>4091077.9186662347</v>
      </c>
      <c r="E30">
        <v>35</v>
      </c>
      <c r="F30" s="383">
        <f>2.0969*D30*E30*J7</f>
        <v>420350483.09491009</v>
      </c>
      <c r="G30" s="383"/>
      <c r="H30" s="389">
        <f>F30/C4</f>
        <v>840700.9661898202</v>
      </c>
      <c r="I30" s="389"/>
      <c r="J30" s="389"/>
      <c r="K30" s="319"/>
      <c r="L30" s="319"/>
      <c r="M30" s="319"/>
    </row>
    <row r="31" spans="1:17">
      <c r="A31" s="367" t="s">
        <v>2220</v>
      </c>
      <c r="B31" s="367"/>
      <c r="C31" s="367"/>
      <c r="D31" s="382"/>
      <c r="E31" s="382"/>
      <c r="F31" s="383">
        <f>0.13*F30*C7*J8</f>
        <v>62842397.222689047</v>
      </c>
      <c r="G31" s="383"/>
      <c r="H31" s="389">
        <f>F31/C4</f>
        <v>125684.79444537809</v>
      </c>
      <c r="I31" s="389"/>
      <c r="J31" s="389"/>
      <c r="K31" s="319"/>
      <c r="L31" s="319"/>
      <c r="M31" s="319"/>
    </row>
    <row r="32" spans="1:17">
      <c r="A32" s="367" t="s">
        <v>2221</v>
      </c>
      <c r="B32" s="367"/>
      <c r="C32" s="367"/>
      <c r="D32" s="382"/>
      <c r="E32" s="382"/>
      <c r="F32" s="383">
        <f>24.896*(C5^0.689)*(C6^0.624)*(C4^0.792)*(J7)*C7*C8*J5</f>
        <v>74213947.384751901</v>
      </c>
      <c r="G32" s="383"/>
      <c r="H32" s="389">
        <f>F32/C4</f>
        <v>148427.89476950379</v>
      </c>
      <c r="I32" s="389"/>
      <c r="J32" s="389"/>
      <c r="K32" s="389">
        <f>SUM(H30:J32,J36:J39)</f>
        <v>2716041.4609155189</v>
      </c>
      <c r="L32" s="319"/>
      <c r="M32" s="319"/>
    </row>
    <row r="33" spans="1:15">
      <c r="A33" s="367" t="s">
        <v>2222</v>
      </c>
      <c r="B33" s="367"/>
      <c r="C33" s="367"/>
      <c r="D33" s="388"/>
      <c r="E33" s="388"/>
      <c r="F33" s="388"/>
      <c r="G33" s="388"/>
      <c r="H33" s="388"/>
      <c r="I33" s="388"/>
      <c r="J33">
        <v>500</v>
      </c>
      <c r="K33" s="319"/>
      <c r="L33" s="319"/>
      <c r="M33" s="319"/>
    </row>
    <row r="34" spans="1:15">
      <c r="A34" s="367" t="s">
        <v>2223</v>
      </c>
      <c r="B34" s="367"/>
      <c r="C34" s="367"/>
      <c r="D34" s="388"/>
      <c r="E34" s="388"/>
      <c r="F34" s="388"/>
      <c r="G34" s="388"/>
      <c r="H34" s="388"/>
      <c r="I34" s="388"/>
      <c r="J34" s="31">
        <f>0.95^(1.4427*LN(C4))</f>
        <v>0.63135549375662958</v>
      </c>
      <c r="K34" s="319"/>
      <c r="L34" s="319"/>
      <c r="M34" s="319"/>
    </row>
    <row r="35" spans="1:15">
      <c r="A35" s="377"/>
      <c r="B35" s="377"/>
      <c r="C35" s="377"/>
      <c r="D35" s="39"/>
      <c r="E35" s="39"/>
      <c r="F35" s="39"/>
      <c r="G35" s="366" t="s">
        <v>2224</v>
      </c>
      <c r="H35" s="366"/>
      <c r="I35" s="24" t="s">
        <v>2225</v>
      </c>
      <c r="J35" s="24" t="s">
        <v>2226</v>
      </c>
      <c r="K35" s="319"/>
      <c r="L35" s="319"/>
      <c r="M35" s="319"/>
    </row>
    <row r="36" spans="1:15">
      <c r="A36" s="367" t="s">
        <v>2227</v>
      </c>
      <c r="B36" s="367"/>
      <c r="C36" s="367"/>
      <c r="D36" s="38"/>
      <c r="E36" s="38"/>
      <c r="F36" s="38"/>
      <c r="G36" s="38"/>
      <c r="H36" s="38"/>
      <c r="I36" s="32">
        <v>0</v>
      </c>
      <c r="J36" s="32">
        <v>0</v>
      </c>
      <c r="K36" s="319" t="s">
        <v>2228</v>
      </c>
      <c r="L36" s="319"/>
      <c r="M36" s="319"/>
    </row>
    <row r="37" spans="1:15">
      <c r="A37" s="367" t="s">
        <v>2229</v>
      </c>
      <c r="B37" s="367"/>
      <c r="C37" s="367"/>
      <c r="D37" s="38"/>
      <c r="E37" s="38"/>
      <c r="F37" s="38"/>
      <c r="G37" s="389">
        <f>SUM(C12:C13)</f>
        <v>2208838.8769874037</v>
      </c>
      <c r="H37" s="319"/>
      <c r="I37" s="33">
        <f>G37</f>
        <v>2208838.8769874037</v>
      </c>
      <c r="J37" s="35">
        <f>I37*J34</f>
        <v>1394562.5598092214</v>
      </c>
      <c r="K37" s="392" t="s">
        <v>2230</v>
      </c>
      <c r="L37" s="319"/>
      <c r="M37" s="319"/>
      <c r="N37" s="33"/>
      <c r="O37" s="45"/>
    </row>
    <row r="38" spans="1:15">
      <c r="A38" s="367" t="s">
        <v>2231</v>
      </c>
      <c r="B38" s="367"/>
      <c r="C38" s="367"/>
      <c r="D38" s="38"/>
      <c r="E38" s="38"/>
      <c r="F38" s="38"/>
      <c r="G38" s="38"/>
      <c r="H38" s="38"/>
      <c r="I38" s="33">
        <f>209.69*J11*J7*(C14^2)*(J12/C14)^0.12</f>
        <v>77335.784269360141</v>
      </c>
      <c r="J38" s="33">
        <f>I38*J34</f>
        <v>48826.372262438061</v>
      </c>
      <c r="K38" s="319"/>
      <c r="L38" s="319"/>
      <c r="M38" s="319"/>
    </row>
    <row r="39" spans="1:15">
      <c r="A39" s="367" t="s">
        <v>2232</v>
      </c>
      <c r="B39" s="367"/>
      <c r="C39" s="367"/>
      <c r="D39" s="38"/>
      <c r="E39" s="38"/>
      <c r="F39" s="38"/>
      <c r="G39" s="38"/>
      <c r="H39" s="38"/>
      <c r="I39" s="33">
        <v>250000</v>
      </c>
      <c r="J39" s="33">
        <f>I39*J34</f>
        <v>157838.87343915738</v>
      </c>
      <c r="K39" s="319" t="s">
        <v>2233</v>
      </c>
      <c r="L39" s="319"/>
      <c r="M39" s="319"/>
      <c r="O39" s="45"/>
    </row>
    <row r="40" spans="1:15">
      <c r="A40" s="378" t="s">
        <v>2234</v>
      </c>
      <c r="B40" s="379"/>
      <c r="C40" s="380"/>
      <c r="D40" s="38"/>
      <c r="E40" s="38"/>
      <c r="F40" s="38"/>
      <c r="G40" s="38"/>
      <c r="H40" s="38"/>
      <c r="I40" s="36">
        <f>SUM(H25:J28,H30:J32,I36:I39)</f>
        <v>4063721.1823210972</v>
      </c>
      <c r="J40" s="37">
        <f>SUM(H25:J28,H30:J32,J36:J39)</f>
        <v>3128774.3265751498</v>
      </c>
      <c r="K40" s="319"/>
      <c r="L40" s="319"/>
      <c r="M40" s="319"/>
      <c r="O40" s="45"/>
    </row>
    <row r="41" spans="1:15">
      <c r="A41" s="381" t="s">
        <v>2235</v>
      </c>
      <c r="B41" s="367"/>
      <c r="C41" s="367"/>
      <c r="D41" s="38"/>
      <c r="E41" s="38"/>
      <c r="F41" s="38"/>
      <c r="G41" s="38"/>
      <c r="H41" s="38"/>
      <c r="I41" s="38"/>
      <c r="J41" s="33">
        <v>50000</v>
      </c>
      <c r="K41" s="319"/>
      <c r="L41" s="319"/>
      <c r="M41" s="319"/>
      <c r="O41" s="45"/>
    </row>
    <row r="42" spans="1:15" ht="15.95" thickBot="1">
      <c r="A42" s="378" t="s">
        <v>2236</v>
      </c>
      <c r="B42" s="379"/>
      <c r="C42" s="380"/>
      <c r="D42" s="38"/>
      <c r="E42" s="38"/>
      <c r="F42" s="38"/>
      <c r="G42" s="38"/>
      <c r="H42" s="38"/>
      <c r="I42" s="38"/>
      <c r="J42" s="33">
        <f>J40+J41+J39+J38+J37+J36</f>
        <v>4780002.1320859659</v>
      </c>
      <c r="K42" s="319"/>
      <c r="L42" s="319"/>
      <c r="M42" s="319"/>
      <c r="O42" s="45"/>
    </row>
    <row r="43" spans="1:15">
      <c r="I43" s="32">
        <f>SUM(I36:I40)</f>
        <v>6599895.8435778618</v>
      </c>
      <c r="M43" s="33">
        <v>2208838.8769874037</v>
      </c>
      <c r="O43" s="46"/>
    </row>
    <row r="44" spans="1:15">
      <c r="I44" s="32"/>
      <c r="M44" s="33">
        <v>77335.784269360141</v>
      </c>
      <c r="O44" s="46"/>
    </row>
    <row r="45" spans="1:15" ht="15.95" thickBot="1">
      <c r="A45" s="374" t="s">
        <v>2237</v>
      </c>
      <c r="B45" s="374"/>
      <c r="C45" s="366"/>
      <c r="D45" s="374"/>
      <c r="E45" s="374"/>
      <c r="G45" s="366" t="s">
        <v>2238</v>
      </c>
      <c r="H45" s="366"/>
      <c r="I45" s="366"/>
      <c r="J45" s="366"/>
      <c r="K45" s="366"/>
      <c r="M45" s="33">
        <v>250000</v>
      </c>
    </row>
    <row r="46" spans="1:15" ht="15.95" thickBot="1">
      <c r="A46" s="368" t="s">
        <v>2140</v>
      </c>
      <c r="B46" s="376"/>
      <c r="C46" s="44" t="s">
        <v>191</v>
      </c>
      <c r="D46" s="376" t="s">
        <v>193</v>
      </c>
      <c r="E46" s="371"/>
      <c r="G46" s="368" t="s">
        <v>2140</v>
      </c>
      <c r="H46" s="369"/>
      <c r="I46" s="44" t="s">
        <v>191</v>
      </c>
      <c r="J46" s="370" t="s">
        <v>193</v>
      </c>
      <c r="K46" s="371"/>
      <c r="M46" s="36">
        <v>4063721.1823210972</v>
      </c>
    </row>
    <row r="47" spans="1:15">
      <c r="A47" s="319" t="s">
        <v>2239</v>
      </c>
      <c r="B47" s="319"/>
      <c r="C47" s="33">
        <f>F29</f>
        <v>206366432.82981572</v>
      </c>
      <c r="D47" s="319" t="s">
        <v>2240</v>
      </c>
      <c r="E47" s="319"/>
      <c r="F47" s="33"/>
      <c r="G47" s="372" t="s">
        <v>2239</v>
      </c>
      <c r="H47" s="372"/>
      <c r="I47" s="33">
        <f>F29</f>
        <v>206366432.82981572</v>
      </c>
      <c r="J47" s="372" t="s">
        <v>2240</v>
      </c>
      <c r="K47" s="372"/>
      <c r="M47" s="33">
        <v>50000</v>
      </c>
    </row>
    <row r="48" spans="1:15">
      <c r="A48" s="319" t="s">
        <v>2241</v>
      </c>
      <c r="B48" s="319"/>
      <c r="C48" s="33">
        <f>SUM(H30:J32,J36:J39)</f>
        <v>2716041.4609155189</v>
      </c>
      <c r="D48" s="319"/>
      <c r="E48" s="319"/>
      <c r="G48" s="319" t="s">
        <v>2241</v>
      </c>
      <c r="H48" s="319"/>
      <c r="I48" s="33">
        <f>SUM(H30:J32,I36:I39)</f>
        <v>3650988.3166614664</v>
      </c>
      <c r="J48" s="319"/>
      <c r="K48" s="319"/>
    </row>
    <row r="49" spans="1:24">
      <c r="A49" s="319"/>
      <c r="B49" s="319"/>
      <c r="D49" s="319"/>
      <c r="E49" s="319"/>
      <c r="G49" s="319"/>
      <c r="H49" s="319"/>
      <c r="J49" s="319"/>
      <c r="K49" s="319"/>
    </row>
    <row r="50" spans="1:24">
      <c r="A50" s="367" t="s">
        <v>2242</v>
      </c>
      <c r="B50" s="367"/>
      <c r="C50" s="367"/>
      <c r="D50" s="367"/>
      <c r="E50" s="367"/>
      <c r="G50" s="367" t="s">
        <v>2243</v>
      </c>
      <c r="H50" s="367"/>
      <c r="I50" s="367"/>
      <c r="J50" s="367"/>
      <c r="K50" s="367"/>
    </row>
    <row r="51" spans="1:24">
      <c r="A51" s="319" t="s">
        <v>2244</v>
      </c>
      <c r="B51" s="319"/>
      <c r="C51" s="43">
        <f>C47/(J42-C48)</f>
        <v>99.985642029112796</v>
      </c>
      <c r="D51" s="319" t="s">
        <v>2245</v>
      </c>
      <c r="E51" s="319"/>
      <c r="G51" s="319" t="s">
        <v>2244</v>
      </c>
      <c r="H51" s="319"/>
      <c r="I51" s="43">
        <f>I47/(P42-I48)</f>
        <v>-56.523443772211557</v>
      </c>
      <c r="J51" s="319" t="s">
        <v>2245</v>
      </c>
      <c r="K51" s="319"/>
    </row>
    <row r="52" spans="1:24">
      <c r="A52" s="319"/>
      <c r="B52" s="319"/>
      <c r="D52" s="319"/>
      <c r="E52" s="319"/>
    </row>
    <row r="53" spans="1:24">
      <c r="A53" s="319"/>
      <c r="B53" s="319"/>
      <c r="D53" s="319"/>
      <c r="E53" s="319"/>
    </row>
    <row r="54" spans="1:24">
      <c r="A54" s="319"/>
      <c r="B54" s="319"/>
      <c r="D54" s="319"/>
      <c r="E54" s="319"/>
    </row>
    <row r="55" spans="1:24">
      <c r="A55" s="366" t="s">
        <v>2246</v>
      </c>
      <c r="B55" s="366"/>
      <c r="C55" s="366"/>
      <c r="D55" s="366"/>
      <c r="E55" s="366"/>
      <c r="F55" s="366"/>
      <c r="G55" s="366"/>
    </row>
    <row r="56" spans="1:24">
      <c r="A56" t="s">
        <v>2247</v>
      </c>
      <c r="B56" t="s">
        <v>2248</v>
      </c>
      <c r="C56" s="181">
        <v>4500000</v>
      </c>
      <c r="D56" s="182">
        <v>5500000</v>
      </c>
      <c r="E56" s="182">
        <v>6500000</v>
      </c>
      <c r="F56" s="25" t="s">
        <v>2249</v>
      </c>
      <c r="G56" t="s">
        <v>2250</v>
      </c>
      <c r="P56" s="366" t="s">
        <v>2251</v>
      </c>
      <c r="Q56" s="366"/>
      <c r="R56" s="366"/>
      <c r="S56" s="366"/>
      <c r="T56" s="366"/>
      <c r="U56" s="366"/>
      <c r="V56" s="366"/>
      <c r="W56" s="366"/>
      <c r="X56" s="366"/>
    </row>
    <row r="57" spans="1:24">
      <c r="A57">
        <v>0</v>
      </c>
      <c r="B57" s="40">
        <f>C48</f>
        <v>2716041.4609155189</v>
      </c>
      <c r="C57" s="40">
        <v>4500000</v>
      </c>
      <c r="D57" s="32">
        <v>5500000</v>
      </c>
      <c r="E57" s="32">
        <v>6500000</v>
      </c>
      <c r="F57" s="32">
        <f>$F$29</f>
        <v>206366432.82981572</v>
      </c>
      <c r="G57" s="33">
        <f>C47+C48</f>
        <v>209082474.29073122</v>
      </c>
      <c r="P57" t="s">
        <v>2247</v>
      </c>
      <c r="Q57" t="s">
        <v>2248</v>
      </c>
      <c r="R57" s="181">
        <v>6500000</v>
      </c>
      <c r="S57" s="182">
        <v>7500000</v>
      </c>
      <c r="T57" s="182">
        <v>8500000</v>
      </c>
      <c r="U57" s="25" t="s">
        <v>2249</v>
      </c>
      <c r="V57" t="s">
        <v>2250</v>
      </c>
    </row>
    <row r="58" spans="1:24">
      <c r="A58">
        <v>5</v>
      </c>
      <c r="B58" s="33">
        <f>$B$57*A58</f>
        <v>13580207.304577595</v>
      </c>
      <c r="C58" s="32">
        <f t="shared" ref="C58:C65" si="0">$C$57*A58</f>
        <v>22500000</v>
      </c>
      <c r="D58" s="32">
        <f t="shared" ref="D58:D63" si="1">$D$57*A58</f>
        <v>27500000</v>
      </c>
      <c r="E58" s="32">
        <f t="shared" ref="E58:E64" si="2">$E$57*A58</f>
        <v>32500000</v>
      </c>
      <c r="F58" s="32">
        <f t="shared" ref="F58:F83" si="3">$F$29</f>
        <v>206366432.82981572</v>
      </c>
      <c r="G58" s="33">
        <f>$C$47+$C$48*A58</f>
        <v>219946640.1343933</v>
      </c>
      <c r="P58">
        <v>0</v>
      </c>
      <c r="Q58" s="33">
        <f>I48</f>
        <v>3650988.3166614664</v>
      </c>
      <c r="R58" s="40">
        <f>R57</f>
        <v>6500000</v>
      </c>
      <c r="S58" s="291">
        <f>S57</f>
        <v>7500000</v>
      </c>
      <c r="T58" s="292">
        <f>T57</f>
        <v>8500000</v>
      </c>
      <c r="U58" s="182">
        <v>206366432.82981572</v>
      </c>
      <c r="V58" s="25">
        <v>209082474.29073122</v>
      </c>
    </row>
    <row r="59" spans="1:24">
      <c r="A59">
        <v>10</v>
      </c>
      <c r="B59" s="33">
        <f t="shared" ref="B59:B63" si="4">$B$57*A59</f>
        <v>27160414.609155189</v>
      </c>
      <c r="C59" s="32">
        <f t="shared" si="0"/>
        <v>45000000</v>
      </c>
      <c r="D59" s="32">
        <f t="shared" si="1"/>
        <v>55000000</v>
      </c>
      <c r="E59" s="32">
        <f t="shared" si="2"/>
        <v>65000000</v>
      </c>
      <c r="F59" s="32">
        <f t="shared" si="3"/>
        <v>206366432.82981572</v>
      </c>
      <c r="G59" s="33">
        <f t="shared" ref="G59:G83" si="5">$C$47+$C$48*A59</f>
        <v>233526847.43897089</v>
      </c>
      <c r="P59">
        <v>5</v>
      </c>
      <c r="Q59" s="33">
        <f>$Q$58*P59</f>
        <v>18254941.583307333</v>
      </c>
      <c r="R59" s="40">
        <f>$R$58*P59</f>
        <v>32500000</v>
      </c>
      <c r="S59" s="40">
        <f>$S$58*P59</f>
        <v>37500000</v>
      </c>
      <c r="T59" s="32">
        <f>$T$58*P59</f>
        <v>42500000</v>
      </c>
      <c r="U59" s="32">
        <v>206366432.82981572</v>
      </c>
      <c r="V59" s="32">
        <f>$I$47+$I$48*P59</f>
        <v>224621374.41312304</v>
      </c>
    </row>
    <row r="60" spans="1:24">
      <c r="A60">
        <v>15</v>
      </c>
      <c r="B60" s="33">
        <f t="shared" si="4"/>
        <v>40740621.913732782</v>
      </c>
      <c r="C60" s="32">
        <f t="shared" si="0"/>
        <v>67500000</v>
      </c>
      <c r="D60" s="32">
        <f t="shared" si="1"/>
        <v>82500000</v>
      </c>
      <c r="E60" s="32">
        <f t="shared" si="2"/>
        <v>97500000</v>
      </c>
      <c r="F60" s="32">
        <f t="shared" si="3"/>
        <v>206366432.82981572</v>
      </c>
      <c r="G60" s="33">
        <f t="shared" si="5"/>
        <v>247107054.74354851</v>
      </c>
      <c r="P60">
        <v>10</v>
      </c>
      <c r="Q60" s="33">
        <f t="shared" ref="Q60:Q84" si="6">$Q$58*P60</f>
        <v>36509883.166614667</v>
      </c>
      <c r="R60" s="40">
        <f t="shared" ref="R60:R84" si="7">$R$58*P60</f>
        <v>65000000</v>
      </c>
      <c r="S60" s="40">
        <f t="shared" ref="S60:S84" si="8">$S$58*P60</f>
        <v>75000000</v>
      </c>
      <c r="T60" s="32">
        <f t="shared" ref="T60:T84" si="9">$T$58*P60</f>
        <v>85000000</v>
      </c>
      <c r="U60" s="32">
        <v>206366432.82981572</v>
      </c>
      <c r="V60" s="32">
        <f t="shared" ref="V60:V84" si="10">$I$47+$I$48*P60</f>
        <v>242876315.9964304</v>
      </c>
    </row>
    <row r="61" spans="1:24">
      <c r="A61">
        <v>20</v>
      </c>
      <c r="B61" s="33">
        <f t="shared" si="4"/>
        <v>54320829.218310378</v>
      </c>
      <c r="C61" s="32">
        <f t="shared" si="0"/>
        <v>90000000</v>
      </c>
      <c r="D61" s="32">
        <f t="shared" si="1"/>
        <v>110000000</v>
      </c>
      <c r="E61" s="32">
        <f t="shared" si="2"/>
        <v>130000000</v>
      </c>
      <c r="F61" s="32">
        <f t="shared" si="3"/>
        <v>206366432.82981572</v>
      </c>
      <c r="G61" s="33">
        <f t="shared" si="5"/>
        <v>260687262.0481261</v>
      </c>
      <c r="P61">
        <v>15</v>
      </c>
      <c r="Q61" s="33">
        <f t="shared" si="6"/>
        <v>54764824.749921992</v>
      </c>
      <c r="R61" s="40">
        <f t="shared" si="7"/>
        <v>97500000</v>
      </c>
      <c r="S61" s="40">
        <f t="shared" si="8"/>
        <v>112500000</v>
      </c>
      <c r="T61" s="32">
        <f t="shared" si="9"/>
        <v>127500000</v>
      </c>
      <c r="U61" s="32">
        <v>206366432.82981572</v>
      </c>
      <c r="V61" s="32">
        <f t="shared" si="10"/>
        <v>261131257.57973772</v>
      </c>
    </row>
    <row r="62" spans="1:24">
      <c r="A62">
        <v>25</v>
      </c>
      <c r="B62" s="33">
        <f>$B$57*A62</f>
        <v>67901036.522887975</v>
      </c>
      <c r="C62" s="32">
        <f>$C$57*A62</f>
        <v>112500000</v>
      </c>
      <c r="D62" s="32">
        <f>$D$57*A62</f>
        <v>137500000</v>
      </c>
      <c r="E62" s="32">
        <f>$E$57*A62</f>
        <v>162500000</v>
      </c>
      <c r="F62" s="32">
        <f>$F$29</f>
        <v>206366432.82981572</v>
      </c>
      <c r="G62" s="33">
        <f>$C$47+$C$48*A62</f>
        <v>274267469.35270369</v>
      </c>
      <c r="P62">
        <v>20</v>
      </c>
      <c r="Q62" s="33">
        <f t="shared" si="6"/>
        <v>73019766.333229333</v>
      </c>
      <c r="R62" s="40">
        <f t="shared" si="7"/>
        <v>130000000</v>
      </c>
      <c r="S62" s="40">
        <f t="shared" si="8"/>
        <v>150000000</v>
      </c>
      <c r="T62" s="32">
        <f t="shared" si="9"/>
        <v>170000000</v>
      </c>
      <c r="U62" s="32">
        <v>206366432.82981572</v>
      </c>
      <c r="V62" s="32">
        <f t="shared" si="10"/>
        <v>279386199.16304505</v>
      </c>
    </row>
    <row r="63" spans="1:24">
      <c r="A63">
        <v>30</v>
      </c>
      <c r="B63" s="33">
        <f t="shared" si="4"/>
        <v>81481243.827465564</v>
      </c>
      <c r="C63" s="32">
        <f t="shared" si="0"/>
        <v>135000000</v>
      </c>
      <c r="D63" s="32">
        <f t="shared" si="1"/>
        <v>165000000</v>
      </c>
      <c r="E63" s="32">
        <f t="shared" si="2"/>
        <v>195000000</v>
      </c>
      <c r="F63" s="32">
        <f t="shared" si="3"/>
        <v>206366432.82981572</v>
      </c>
      <c r="G63" s="33">
        <f t="shared" si="5"/>
        <v>287847676.65728128</v>
      </c>
      <c r="P63">
        <v>25</v>
      </c>
      <c r="Q63" s="33">
        <f t="shared" si="6"/>
        <v>91274707.916536659</v>
      </c>
      <c r="R63" s="40">
        <f t="shared" si="7"/>
        <v>162500000</v>
      </c>
      <c r="S63" s="40">
        <f t="shared" si="8"/>
        <v>187500000</v>
      </c>
      <c r="T63" s="32">
        <f t="shared" si="9"/>
        <v>212500000</v>
      </c>
      <c r="U63" s="32">
        <v>206366432.82981572</v>
      </c>
      <c r="V63" s="32">
        <f t="shared" si="10"/>
        <v>297641140.74635237</v>
      </c>
    </row>
    <row r="64" spans="1:24">
      <c r="A64">
        <v>35</v>
      </c>
      <c r="B64" s="33">
        <f t="shared" ref="B64:B83" si="11">$B$57*A64</f>
        <v>95061451.132043168</v>
      </c>
      <c r="C64" s="32">
        <f t="shared" si="0"/>
        <v>157500000</v>
      </c>
      <c r="D64" s="32">
        <f t="shared" ref="D64:D83" si="12">$D$57*A64</f>
        <v>192500000</v>
      </c>
      <c r="E64" s="32">
        <f t="shared" si="2"/>
        <v>227500000</v>
      </c>
      <c r="F64" s="32">
        <f t="shared" si="3"/>
        <v>206366432.82981572</v>
      </c>
      <c r="G64" s="33">
        <f t="shared" si="5"/>
        <v>301427883.96185887</v>
      </c>
      <c r="P64">
        <v>30</v>
      </c>
      <c r="Q64" s="33">
        <f t="shared" si="6"/>
        <v>109529649.49984398</v>
      </c>
      <c r="R64" s="40">
        <f t="shared" si="7"/>
        <v>195000000</v>
      </c>
      <c r="S64" s="40">
        <f t="shared" si="8"/>
        <v>225000000</v>
      </c>
      <c r="T64" s="32">
        <f t="shared" si="9"/>
        <v>255000000</v>
      </c>
      <c r="U64" s="32">
        <v>206366432.82981572</v>
      </c>
      <c r="V64" s="32">
        <f t="shared" si="10"/>
        <v>315896082.3296597</v>
      </c>
    </row>
    <row r="65" spans="1:22">
      <c r="A65">
        <v>40</v>
      </c>
      <c r="B65" s="33">
        <f t="shared" si="11"/>
        <v>108641658.43662076</v>
      </c>
      <c r="C65" s="32">
        <f t="shared" si="0"/>
        <v>180000000</v>
      </c>
      <c r="D65" s="32">
        <f t="shared" si="12"/>
        <v>220000000</v>
      </c>
      <c r="E65" s="32">
        <f t="shared" ref="E65:E83" si="13">$E$57*A65</f>
        <v>260000000</v>
      </c>
      <c r="F65" s="32">
        <f t="shared" si="3"/>
        <v>206366432.82981572</v>
      </c>
      <c r="G65" s="33">
        <f t="shared" si="5"/>
        <v>315008091.26643646</v>
      </c>
      <c r="P65">
        <v>35</v>
      </c>
      <c r="Q65" s="33">
        <f t="shared" si="6"/>
        <v>127784591.08315133</v>
      </c>
      <c r="R65" s="40">
        <f t="shared" si="7"/>
        <v>227500000</v>
      </c>
      <c r="S65" s="40">
        <f t="shared" si="8"/>
        <v>262500000</v>
      </c>
      <c r="T65" s="32">
        <f t="shared" si="9"/>
        <v>297500000</v>
      </c>
      <c r="U65" s="32">
        <v>206366432.82981572</v>
      </c>
      <c r="V65" s="32">
        <f t="shared" si="10"/>
        <v>334151023.91296703</v>
      </c>
    </row>
    <row r="66" spans="1:22">
      <c r="A66">
        <v>45</v>
      </c>
      <c r="B66" s="33">
        <f t="shared" si="11"/>
        <v>122221865.74119835</v>
      </c>
      <c r="C66" s="32">
        <f t="shared" ref="C66:C83" si="14">$C$57*A66</f>
        <v>202500000</v>
      </c>
      <c r="D66" s="32">
        <f t="shared" si="12"/>
        <v>247500000</v>
      </c>
      <c r="E66" s="32">
        <f t="shared" si="13"/>
        <v>292500000</v>
      </c>
      <c r="F66" s="32">
        <f t="shared" si="3"/>
        <v>206366432.82981572</v>
      </c>
      <c r="G66" s="33">
        <f t="shared" si="5"/>
        <v>328588298.57101405</v>
      </c>
      <c r="P66">
        <v>40</v>
      </c>
      <c r="Q66" s="33">
        <f t="shared" si="6"/>
        <v>146039532.66645867</v>
      </c>
      <c r="R66" s="40">
        <f t="shared" si="7"/>
        <v>260000000</v>
      </c>
      <c r="S66" s="40">
        <f t="shared" si="8"/>
        <v>300000000</v>
      </c>
      <c r="T66" s="32">
        <f t="shared" si="9"/>
        <v>340000000</v>
      </c>
      <c r="U66" s="32">
        <v>206366432.82981572</v>
      </c>
      <c r="V66" s="32">
        <f t="shared" si="10"/>
        <v>352405965.49627435</v>
      </c>
    </row>
    <row r="67" spans="1:22">
      <c r="A67">
        <v>50</v>
      </c>
      <c r="B67" s="33">
        <f t="shared" si="11"/>
        <v>135802073.04577595</v>
      </c>
      <c r="C67" s="32">
        <f t="shared" si="14"/>
        <v>225000000</v>
      </c>
      <c r="D67" s="32">
        <f t="shared" si="12"/>
        <v>275000000</v>
      </c>
      <c r="E67" s="32">
        <f t="shared" si="13"/>
        <v>325000000</v>
      </c>
      <c r="F67" s="32">
        <f t="shared" si="3"/>
        <v>206366432.82981572</v>
      </c>
      <c r="G67" s="33">
        <f t="shared" si="5"/>
        <v>342168505.87559164</v>
      </c>
      <c r="P67">
        <v>45</v>
      </c>
      <c r="Q67" s="33">
        <f t="shared" si="6"/>
        <v>164294474.24976599</v>
      </c>
      <c r="R67" s="40">
        <f t="shared" si="7"/>
        <v>292500000</v>
      </c>
      <c r="S67" s="40">
        <f t="shared" si="8"/>
        <v>337500000</v>
      </c>
      <c r="T67" s="32">
        <f t="shared" si="9"/>
        <v>382500000</v>
      </c>
      <c r="U67" s="32">
        <v>206366432.82981572</v>
      </c>
      <c r="V67" s="32">
        <f t="shared" si="10"/>
        <v>370660907.07958174</v>
      </c>
    </row>
    <row r="68" spans="1:22">
      <c r="A68">
        <v>55</v>
      </c>
      <c r="B68" s="33">
        <f t="shared" si="11"/>
        <v>149382280.35035354</v>
      </c>
      <c r="C68" s="32">
        <f t="shared" si="14"/>
        <v>247500000</v>
      </c>
      <c r="D68" s="32">
        <f t="shared" si="12"/>
        <v>302500000</v>
      </c>
      <c r="E68" s="32">
        <f t="shared" si="13"/>
        <v>357500000</v>
      </c>
      <c r="F68" s="32">
        <f t="shared" si="3"/>
        <v>206366432.82981572</v>
      </c>
      <c r="G68" s="33">
        <f t="shared" si="5"/>
        <v>355748713.18016922</v>
      </c>
      <c r="P68">
        <v>50</v>
      </c>
      <c r="Q68" s="33">
        <f t="shared" si="6"/>
        <v>182549415.83307332</v>
      </c>
      <c r="R68" s="40">
        <f t="shared" si="7"/>
        <v>325000000</v>
      </c>
      <c r="S68" s="40">
        <f t="shared" si="8"/>
        <v>375000000</v>
      </c>
      <c r="T68" s="32">
        <f t="shared" si="9"/>
        <v>425000000</v>
      </c>
      <c r="U68" s="32">
        <v>206366432.82981572</v>
      </c>
      <c r="V68" s="32">
        <f t="shared" si="10"/>
        <v>388915848.662889</v>
      </c>
    </row>
    <row r="69" spans="1:22">
      <c r="A69">
        <v>60</v>
      </c>
      <c r="B69" s="33">
        <f t="shared" si="11"/>
        <v>162962487.65493113</v>
      </c>
      <c r="C69" s="32">
        <f t="shared" si="14"/>
        <v>270000000</v>
      </c>
      <c r="D69" s="32">
        <f t="shared" si="12"/>
        <v>330000000</v>
      </c>
      <c r="E69" s="32">
        <f t="shared" si="13"/>
        <v>390000000</v>
      </c>
      <c r="F69" s="32">
        <f t="shared" si="3"/>
        <v>206366432.82981572</v>
      </c>
      <c r="G69" s="33">
        <f t="shared" si="5"/>
        <v>369328920.48474681</v>
      </c>
      <c r="P69">
        <v>55</v>
      </c>
      <c r="Q69" s="33">
        <f t="shared" si="6"/>
        <v>200804357.41638064</v>
      </c>
      <c r="R69" s="40">
        <f t="shared" si="7"/>
        <v>357500000</v>
      </c>
      <c r="S69" s="40">
        <f t="shared" si="8"/>
        <v>412500000</v>
      </c>
      <c r="T69" s="32">
        <f t="shared" si="9"/>
        <v>467500000</v>
      </c>
      <c r="U69" s="32">
        <v>206366432.82981572</v>
      </c>
      <c r="V69" s="32">
        <f t="shared" si="10"/>
        <v>407170790.24619639</v>
      </c>
    </row>
    <row r="70" spans="1:22">
      <c r="A70">
        <v>65</v>
      </c>
      <c r="B70" s="33">
        <f t="shared" si="11"/>
        <v>176542694.95950872</v>
      </c>
      <c r="C70" s="32">
        <f t="shared" si="14"/>
        <v>292500000</v>
      </c>
      <c r="D70" s="32">
        <f t="shared" si="12"/>
        <v>357500000</v>
      </c>
      <c r="E70" s="32">
        <f t="shared" si="13"/>
        <v>422500000</v>
      </c>
      <c r="F70" s="32">
        <f t="shared" si="3"/>
        <v>206366432.82981572</v>
      </c>
      <c r="G70" s="33">
        <f t="shared" si="5"/>
        <v>382909127.7893244</v>
      </c>
      <c r="P70">
        <v>60</v>
      </c>
      <c r="Q70" s="33">
        <f t="shared" si="6"/>
        <v>219059298.99968797</v>
      </c>
      <c r="R70" s="40">
        <f t="shared" si="7"/>
        <v>390000000</v>
      </c>
      <c r="S70" s="40">
        <f t="shared" si="8"/>
        <v>450000000</v>
      </c>
      <c r="T70" s="32">
        <f t="shared" si="9"/>
        <v>510000000</v>
      </c>
      <c r="U70" s="32">
        <v>206366432.82981572</v>
      </c>
      <c r="V70" s="32">
        <f t="shared" si="10"/>
        <v>425425731.82950366</v>
      </c>
    </row>
    <row r="71" spans="1:22">
      <c r="A71">
        <v>70</v>
      </c>
      <c r="B71" s="33">
        <f t="shared" si="11"/>
        <v>190122902.26408634</v>
      </c>
      <c r="C71" s="32">
        <f t="shared" si="14"/>
        <v>315000000</v>
      </c>
      <c r="D71" s="32">
        <f t="shared" si="12"/>
        <v>385000000</v>
      </c>
      <c r="E71" s="32">
        <f t="shared" si="13"/>
        <v>455000000</v>
      </c>
      <c r="F71" s="32">
        <f t="shared" si="3"/>
        <v>206366432.82981572</v>
      </c>
      <c r="G71" s="33">
        <f t="shared" si="5"/>
        <v>396489335.09390205</v>
      </c>
      <c r="P71">
        <v>65</v>
      </c>
      <c r="Q71" s="33">
        <f t="shared" si="6"/>
        <v>237314240.58299533</v>
      </c>
      <c r="R71" s="40">
        <f t="shared" si="7"/>
        <v>422500000</v>
      </c>
      <c r="S71" s="40">
        <f t="shared" si="8"/>
        <v>487500000</v>
      </c>
      <c r="T71" s="32">
        <f t="shared" si="9"/>
        <v>552500000</v>
      </c>
      <c r="U71" s="32">
        <v>206366432.82981572</v>
      </c>
      <c r="V71" s="32">
        <f t="shared" si="10"/>
        <v>443680673.41281104</v>
      </c>
    </row>
    <row r="72" spans="1:22">
      <c r="A72">
        <v>75</v>
      </c>
      <c r="B72" s="33">
        <f t="shared" si="11"/>
        <v>203703109.56866392</v>
      </c>
      <c r="C72" s="32">
        <f t="shared" si="14"/>
        <v>337500000</v>
      </c>
      <c r="D72" s="32">
        <f t="shared" si="12"/>
        <v>412500000</v>
      </c>
      <c r="E72" s="32">
        <f t="shared" si="13"/>
        <v>487500000</v>
      </c>
      <c r="F72" s="32">
        <f t="shared" si="3"/>
        <v>206366432.82981572</v>
      </c>
      <c r="G72" s="33">
        <f t="shared" si="5"/>
        <v>410069542.39847964</v>
      </c>
      <c r="P72">
        <v>70</v>
      </c>
      <c r="Q72" s="33">
        <f t="shared" si="6"/>
        <v>255569182.16630265</v>
      </c>
      <c r="R72" s="40">
        <f t="shared" si="7"/>
        <v>455000000</v>
      </c>
      <c r="S72" s="40">
        <f t="shared" si="8"/>
        <v>525000000</v>
      </c>
      <c r="T72" s="32">
        <f t="shared" si="9"/>
        <v>595000000</v>
      </c>
      <c r="U72" s="32">
        <v>206366432.82981572</v>
      </c>
      <c r="V72" s="32">
        <f t="shared" si="10"/>
        <v>461935614.99611837</v>
      </c>
    </row>
    <row r="73" spans="1:22">
      <c r="A73">
        <v>80</v>
      </c>
      <c r="B73" s="33">
        <f t="shared" si="11"/>
        <v>217283316.87324151</v>
      </c>
      <c r="C73" s="32">
        <f t="shared" si="14"/>
        <v>360000000</v>
      </c>
      <c r="D73" s="32">
        <f t="shared" si="12"/>
        <v>440000000</v>
      </c>
      <c r="E73" s="32">
        <f t="shared" si="13"/>
        <v>520000000</v>
      </c>
      <c r="F73" s="32">
        <f t="shared" si="3"/>
        <v>206366432.82981572</v>
      </c>
      <c r="G73" s="33">
        <f t="shared" si="5"/>
        <v>423649749.70305723</v>
      </c>
      <c r="P73">
        <v>75</v>
      </c>
      <c r="Q73" s="33">
        <f t="shared" si="6"/>
        <v>273824123.74961001</v>
      </c>
      <c r="R73" s="40">
        <f t="shared" si="7"/>
        <v>487500000</v>
      </c>
      <c r="S73" s="40">
        <f t="shared" si="8"/>
        <v>562500000</v>
      </c>
      <c r="T73" s="32">
        <f t="shared" si="9"/>
        <v>637500000</v>
      </c>
      <c r="U73" s="32">
        <v>206366432.82981572</v>
      </c>
      <c r="V73" s="32">
        <f t="shared" si="10"/>
        <v>480190556.57942569</v>
      </c>
    </row>
    <row r="74" spans="1:22">
      <c r="A74">
        <v>85</v>
      </c>
      <c r="B74" s="33">
        <f t="shared" si="11"/>
        <v>230863524.1778191</v>
      </c>
      <c r="C74" s="32">
        <f t="shared" si="14"/>
        <v>382500000</v>
      </c>
      <c r="D74" s="32">
        <f t="shared" si="12"/>
        <v>467500000</v>
      </c>
      <c r="E74" s="32">
        <f t="shared" si="13"/>
        <v>552500000</v>
      </c>
      <c r="F74" s="32">
        <f t="shared" si="3"/>
        <v>206366432.82981572</v>
      </c>
      <c r="G74" s="33">
        <f t="shared" si="5"/>
        <v>437229957.00763482</v>
      </c>
      <c r="P74">
        <v>80</v>
      </c>
      <c r="Q74" s="33">
        <f t="shared" si="6"/>
        <v>292079065.33291733</v>
      </c>
      <c r="R74" s="40">
        <f t="shared" si="7"/>
        <v>520000000</v>
      </c>
      <c r="S74" s="40">
        <f t="shared" si="8"/>
        <v>600000000</v>
      </c>
      <c r="T74" s="32">
        <f t="shared" si="9"/>
        <v>680000000</v>
      </c>
      <c r="U74" s="32">
        <v>206366432.82981572</v>
      </c>
      <c r="V74" s="32">
        <f t="shared" si="10"/>
        <v>498445498.16273308</v>
      </c>
    </row>
    <row r="75" spans="1:22">
      <c r="A75">
        <v>90</v>
      </c>
      <c r="B75" s="33">
        <f t="shared" si="11"/>
        <v>244443731.48239669</v>
      </c>
      <c r="C75" s="32">
        <f t="shared" si="14"/>
        <v>405000000</v>
      </c>
      <c r="D75" s="32">
        <f t="shared" si="12"/>
        <v>495000000</v>
      </c>
      <c r="E75" s="32">
        <f t="shared" si="13"/>
        <v>585000000</v>
      </c>
      <c r="F75" s="32">
        <f t="shared" si="3"/>
        <v>206366432.82981572</v>
      </c>
      <c r="G75" s="33">
        <f t="shared" si="5"/>
        <v>450810164.31221241</v>
      </c>
      <c r="P75">
        <v>85</v>
      </c>
      <c r="Q75" s="33">
        <f t="shared" si="6"/>
        <v>310334006.91622466</v>
      </c>
      <c r="R75" s="40">
        <f t="shared" si="7"/>
        <v>552500000</v>
      </c>
      <c r="S75" s="40">
        <f t="shared" si="8"/>
        <v>637500000</v>
      </c>
      <c r="T75" s="32">
        <f t="shared" si="9"/>
        <v>722500000</v>
      </c>
      <c r="U75" s="32">
        <v>206366432.82981572</v>
      </c>
      <c r="V75" s="32">
        <f t="shared" si="10"/>
        <v>516700439.74604034</v>
      </c>
    </row>
    <row r="76" spans="1:22">
      <c r="A76">
        <v>95</v>
      </c>
      <c r="B76" s="33">
        <f t="shared" si="11"/>
        <v>258023938.78697431</v>
      </c>
      <c r="C76" s="32">
        <f t="shared" si="14"/>
        <v>427500000</v>
      </c>
      <c r="D76" s="32">
        <f t="shared" si="12"/>
        <v>522500000</v>
      </c>
      <c r="E76" s="32">
        <f t="shared" si="13"/>
        <v>617500000</v>
      </c>
      <c r="F76" s="32">
        <f t="shared" si="3"/>
        <v>206366432.82981572</v>
      </c>
      <c r="G76" s="33">
        <f t="shared" si="5"/>
        <v>464390371.61679006</v>
      </c>
      <c r="P76">
        <v>90</v>
      </c>
      <c r="Q76" s="33">
        <f t="shared" si="6"/>
        <v>328588948.49953198</v>
      </c>
      <c r="R76" s="40">
        <f t="shared" si="7"/>
        <v>585000000</v>
      </c>
      <c r="S76" s="40">
        <f t="shared" si="8"/>
        <v>675000000</v>
      </c>
      <c r="T76" s="32">
        <f t="shared" si="9"/>
        <v>765000000</v>
      </c>
      <c r="U76" s="32">
        <v>206366432.82981572</v>
      </c>
      <c r="V76" s="32">
        <f t="shared" si="10"/>
        <v>534955381.32934773</v>
      </c>
    </row>
    <row r="77" spans="1:22">
      <c r="A77">
        <v>100</v>
      </c>
      <c r="B77" s="33">
        <f t="shared" si="11"/>
        <v>271604146.0915519</v>
      </c>
      <c r="C77" s="32">
        <f t="shared" si="14"/>
        <v>450000000</v>
      </c>
      <c r="D77" s="32">
        <f t="shared" si="12"/>
        <v>550000000</v>
      </c>
      <c r="E77" s="32">
        <f t="shared" si="13"/>
        <v>650000000</v>
      </c>
      <c r="F77" s="32">
        <f t="shared" si="3"/>
        <v>206366432.82981572</v>
      </c>
      <c r="G77" s="33">
        <f t="shared" si="5"/>
        <v>477970578.92136765</v>
      </c>
      <c r="P77">
        <v>95</v>
      </c>
      <c r="Q77" s="33">
        <f t="shared" si="6"/>
        <v>346843890.08283931</v>
      </c>
      <c r="R77" s="40">
        <f t="shared" si="7"/>
        <v>617500000</v>
      </c>
      <c r="S77" s="40">
        <f t="shared" si="8"/>
        <v>712500000</v>
      </c>
      <c r="T77" s="32">
        <f t="shared" si="9"/>
        <v>807500000</v>
      </c>
      <c r="U77" s="32">
        <v>206366432.82981572</v>
      </c>
      <c r="V77" s="32">
        <f t="shared" si="10"/>
        <v>553210322.912655</v>
      </c>
    </row>
    <row r="78" spans="1:22">
      <c r="A78">
        <v>105</v>
      </c>
      <c r="B78" s="33">
        <f t="shared" si="11"/>
        <v>285184353.39612949</v>
      </c>
      <c r="C78" s="32">
        <f t="shared" si="14"/>
        <v>472500000</v>
      </c>
      <c r="D78" s="32">
        <f t="shared" si="12"/>
        <v>577500000</v>
      </c>
      <c r="E78" s="32">
        <f t="shared" si="13"/>
        <v>682500000</v>
      </c>
      <c r="F78" s="32">
        <f t="shared" si="3"/>
        <v>206366432.82981572</v>
      </c>
      <c r="G78" s="33">
        <f t="shared" si="5"/>
        <v>491550786.22594523</v>
      </c>
      <c r="P78">
        <v>100</v>
      </c>
      <c r="Q78" s="33">
        <f t="shared" si="6"/>
        <v>365098831.66614664</v>
      </c>
      <c r="R78" s="40">
        <f t="shared" si="7"/>
        <v>650000000</v>
      </c>
      <c r="S78" s="40">
        <f t="shared" si="8"/>
        <v>750000000</v>
      </c>
      <c r="T78" s="32">
        <f t="shared" si="9"/>
        <v>850000000</v>
      </c>
      <c r="U78" s="32">
        <v>206366432.82981572</v>
      </c>
      <c r="V78" s="32">
        <f t="shared" si="10"/>
        <v>571465264.49596238</v>
      </c>
    </row>
    <row r="79" spans="1:22">
      <c r="A79">
        <v>110</v>
      </c>
      <c r="B79" s="33">
        <f t="shared" si="11"/>
        <v>298764560.70070708</v>
      </c>
      <c r="C79" s="32">
        <f t="shared" si="14"/>
        <v>495000000</v>
      </c>
      <c r="D79" s="32">
        <f t="shared" si="12"/>
        <v>605000000</v>
      </c>
      <c r="E79" s="32">
        <f t="shared" si="13"/>
        <v>715000000</v>
      </c>
      <c r="F79" s="32">
        <f t="shared" si="3"/>
        <v>206366432.82981572</v>
      </c>
      <c r="G79" s="33">
        <f t="shared" si="5"/>
        <v>505130993.53052282</v>
      </c>
      <c r="P79">
        <v>105</v>
      </c>
      <c r="Q79" s="33">
        <f t="shared" si="6"/>
        <v>383353773.24945396</v>
      </c>
      <c r="R79" s="40">
        <f t="shared" si="7"/>
        <v>682500000</v>
      </c>
      <c r="S79" s="40">
        <f t="shared" si="8"/>
        <v>787500000</v>
      </c>
      <c r="T79" s="32">
        <f t="shared" si="9"/>
        <v>892500000</v>
      </c>
      <c r="U79" s="32">
        <v>206366432.82981572</v>
      </c>
      <c r="V79" s="32">
        <f t="shared" si="10"/>
        <v>589720206.07926965</v>
      </c>
    </row>
    <row r="80" spans="1:22">
      <c r="A80">
        <v>115</v>
      </c>
      <c r="B80" s="33">
        <f t="shared" si="11"/>
        <v>312344768.00528467</v>
      </c>
      <c r="C80" s="32">
        <f t="shared" si="14"/>
        <v>517500000</v>
      </c>
      <c r="D80" s="32">
        <f t="shared" si="12"/>
        <v>632500000</v>
      </c>
      <c r="E80" s="32">
        <f t="shared" si="13"/>
        <v>747500000</v>
      </c>
      <c r="F80" s="32">
        <f t="shared" si="3"/>
        <v>206366432.82981572</v>
      </c>
      <c r="G80" s="33">
        <f t="shared" si="5"/>
        <v>518711200.83510041</v>
      </c>
      <c r="P80">
        <v>110</v>
      </c>
      <c r="Q80" s="33">
        <f t="shared" si="6"/>
        <v>401608714.83276129</v>
      </c>
      <c r="R80" s="40">
        <f t="shared" si="7"/>
        <v>715000000</v>
      </c>
      <c r="S80" s="40">
        <f t="shared" si="8"/>
        <v>825000000</v>
      </c>
      <c r="T80" s="32">
        <f t="shared" si="9"/>
        <v>935000000</v>
      </c>
      <c r="U80" s="32">
        <v>206366432.82981572</v>
      </c>
      <c r="V80" s="32">
        <f t="shared" si="10"/>
        <v>607975147.66257703</v>
      </c>
    </row>
    <row r="81" spans="1:22">
      <c r="A81">
        <v>120</v>
      </c>
      <c r="B81" s="33">
        <f t="shared" si="11"/>
        <v>325924975.30986226</v>
      </c>
      <c r="C81" s="32">
        <f t="shared" si="14"/>
        <v>540000000</v>
      </c>
      <c r="D81" s="32">
        <f t="shared" si="12"/>
        <v>660000000</v>
      </c>
      <c r="E81" s="32">
        <f t="shared" si="13"/>
        <v>780000000</v>
      </c>
      <c r="F81" s="32">
        <f t="shared" si="3"/>
        <v>206366432.82981572</v>
      </c>
      <c r="G81" s="33">
        <f t="shared" si="5"/>
        <v>532291408.139678</v>
      </c>
      <c r="P81">
        <v>115</v>
      </c>
      <c r="Q81" s="33">
        <f t="shared" si="6"/>
        <v>419863656.41606861</v>
      </c>
      <c r="R81" s="40">
        <f t="shared" si="7"/>
        <v>747500000</v>
      </c>
      <c r="S81" s="40">
        <f t="shared" si="8"/>
        <v>862500000</v>
      </c>
      <c r="T81" s="32">
        <f t="shared" si="9"/>
        <v>977500000</v>
      </c>
      <c r="U81" s="32">
        <v>206366432.82981572</v>
      </c>
      <c r="V81" s="32">
        <f t="shared" si="10"/>
        <v>626230089.2458843</v>
      </c>
    </row>
    <row r="82" spans="1:22">
      <c r="A82">
        <v>125</v>
      </c>
      <c r="B82" s="33">
        <f t="shared" si="11"/>
        <v>339505182.61443985</v>
      </c>
      <c r="C82" s="32">
        <f t="shared" si="14"/>
        <v>562500000</v>
      </c>
      <c r="D82" s="32">
        <f t="shared" si="12"/>
        <v>687500000</v>
      </c>
      <c r="E82" s="32">
        <f t="shared" si="13"/>
        <v>812500000</v>
      </c>
      <c r="F82" s="32">
        <f t="shared" si="3"/>
        <v>206366432.82981572</v>
      </c>
      <c r="G82" s="33">
        <f t="shared" si="5"/>
        <v>545871615.44425559</v>
      </c>
      <c r="P82">
        <v>120</v>
      </c>
      <c r="Q82" s="33">
        <f t="shared" si="6"/>
        <v>438118597.99937594</v>
      </c>
      <c r="R82" s="40">
        <f t="shared" si="7"/>
        <v>780000000</v>
      </c>
      <c r="S82" s="40">
        <f t="shared" si="8"/>
        <v>900000000</v>
      </c>
      <c r="T82" s="32">
        <f t="shared" si="9"/>
        <v>1020000000</v>
      </c>
      <c r="U82" s="32">
        <v>206366432.82981572</v>
      </c>
      <c r="V82" s="32">
        <f t="shared" si="10"/>
        <v>644485030.82919168</v>
      </c>
    </row>
    <row r="83" spans="1:22">
      <c r="A83">
        <v>130</v>
      </c>
      <c r="B83" s="33">
        <f t="shared" si="11"/>
        <v>353085389.91901743</v>
      </c>
      <c r="C83" s="32">
        <f t="shared" si="14"/>
        <v>585000000</v>
      </c>
      <c r="D83" s="32">
        <f t="shared" si="12"/>
        <v>715000000</v>
      </c>
      <c r="E83" s="32">
        <f t="shared" si="13"/>
        <v>845000000</v>
      </c>
      <c r="F83" s="32">
        <f t="shared" si="3"/>
        <v>206366432.82981572</v>
      </c>
      <c r="G83" s="33">
        <f t="shared" si="5"/>
        <v>559451822.74883318</v>
      </c>
      <c r="P83">
        <v>125</v>
      </c>
      <c r="Q83" s="33">
        <f t="shared" si="6"/>
        <v>456373539.58268332</v>
      </c>
      <c r="R83" s="40">
        <f t="shared" si="7"/>
        <v>812500000</v>
      </c>
      <c r="S83" s="40">
        <f t="shared" si="8"/>
        <v>937500000</v>
      </c>
      <c r="T83" s="32">
        <f t="shared" si="9"/>
        <v>1062500000</v>
      </c>
      <c r="U83" s="32">
        <v>206366432.82981572</v>
      </c>
      <c r="V83" s="32">
        <f t="shared" si="10"/>
        <v>662739972.41249907</v>
      </c>
    </row>
    <row r="84" spans="1:22">
      <c r="B84" s="33"/>
      <c r="C84" s="32"/>
      <c r="D84" s="32"/>
      <c r="E84" s="32"/>
      <c r="F84" s="32"/>
      <c r="G84" s="33"/>
      <c r="P84">
        <v>130</v>
      </c>
      <c r="Q84" s="33">
        <f t="shared" si="6"/>
        <v>474628481.16599065</v>
      </c>
      <c r="R84" s="40">
        <f t="shared" si="7"/>
        <v>845000000</v>
      </c>
      <c r="S84" s="40">
        <f t="shared" si="8"/>
        <v>975000000</v>
      </c>
      <c r="T84" s="32">
        <f t="shared" si="9"/>
        <v>1105000000</v>
      </c>
      <c r="U84" s="32">
        <v>206366432.82981572</v>
      </c>
      <c r="V84" s="32">
        <f t="shared" si="10"/>
        <v>680994913.99580634</v>
      </c>
    </row>
    <row r="85" spans="1:22">
      <c r="B85" s="33"/>
      <c r="C85" s="32"/>
      <c r="D85" s="32"/>
      <c r="E85" s="32"/>
      <c r="F85" s="32"/>
      <c r="G85" s="33"/>
      <c r="T85" s="33"/>
      <c r="U85" s="33"/>
    </row>
    <row r="86" spans="1:22">
      <c r="A86" s="319"/>
      <c r="B86" s="319"/>
      <c r="C86" s="375" t="s">
        <v>2252</v>
      </c>
      <c r="D86" s="375"/>
      <c r="E86" s="375"/>
      <c r="F86" s="375"/>
      <c r="T86" s="33"/>
      <c r="U86" s="33"/>
    </row>
    <row r="87" spans="1:22">
      <c r="C87" s="8" t="s">
        <v>190</v>
      </c>
      <c r="D87" s="8" t="s">
        <v>191</v>
      </c>
      <c r="E87" s="312" t="s">
        <v>193</v>
      </c>
      <c r="F87" s="312"/>
      <c r="T87" s="33"/>
      <c r="U87" s="33"/>
    </row>
    <row r="88" spans="1:22">
      <c r="A88" s="319" t="s">
        <v>2253</v>
      </c>
      <c r="B88" s="319"/>
      <c r="C88" t="s">
        <v>2254</v>
      </c>
      <c r="D88" s="33">
        <f>C15*C16*C17</f>
        <v>7919.9999999999991</v>
      </c>
      <c r="E88" s="319" t="s">
        <v>2255</v>
      </c>
      <c r="F88" s="319"/>
      <c r="T88" s="33"/>
      <c r="U88" s="33"/>
    </row>
    <row r="89" spans="1:22">
      <c r="C89" t="s">
        <v>2256</v>
      </c>
      <c r="D89" s="33">
        <f>12*C18</f>
        <v>3000</v>
      </c>
      <c r="E89" s="319" t="s">
        <v>2257</v>
      </c>
      <c r="F89" s="319"/>
      <c r="T89" s="33"/>
      <c r="U89" s="33"/>
    </row>
    <row r="90" spans="1:22">
      <c r="C90" t="s">
        <v>2258</v>
      </c>
      <c r="D90" s="32">
        <f>(J12*J14*C17*J15)/6.5</f>
        <v>201589.43538461535</v>
      </c>
      <c r="E90" s="319" t="s">
        <v>2259</v>
      </c>
      <c r="F90" s="319"/>
      <c r="T90" s="33"/>
      <c r="U90" s="33"/>
    </row>
    <row r="91" spans="1:22">
      <c r="C91" t="s">
        <v>2185</v>
      </c>
      <c r="D91" s="32">
        <f>P12</f>
        <v>8510</v>
      </c>
      <c r="E91" s="319" t="s">
        <v>2260</v>
      </c>
      <c r="F91" s="319"/>
      <c r="T91" s="33"/>
      <c r="U91" s="33"/>
    </row>
    <row r="92" spans="1:22">
      <c r="C92" t="s">
        <v>2193</v>
      </c>
      <c r="D92" s="32">
        <f>P14</f>
        <v>500</v>
      </c>
      <c r="E92" s="319" t="s">
        <v>2261</v>
      </c>
      <c r="F92" s="319"/>
    </row>
    <row r="93" spans="1:22">
      <c r="C93" t="s">
        <v>2203</v>
      </c>
      <c r="D93" s="32">
        <f>P17</f>
        <v>5000</v>
      </c>
      <c r="E93" s="319" t="s">
        <v>2262</v>
      </c>
      <c r="F93" s="319"/>
      <c r="L93" s="319"/>
      <c r="M93" s="319"/>
      <c r="N93" s="319"/>
      <c r="O93" s="319"/>
    </row>
    <row r="94" spans="1:22">
      <c r="C94" t="s">
        <v>2209</v>
      </c>
      <c r="D94" s="32">
        <f>(12*(J42)*(0.09/12))/(1-1/(1+(0.09/12))^(12*15))</f>
        <v>581783.57217562268</v>
      </c>
      <c r="E94" s="319" t="s">
        <v>2263</v>
      </c>
      <c r="F94" s="319"/>
    </row>
    <row r="95" spans="1:22">
      <c r="C95" t="s">
        <v>2264</v>
      </c>
      <c r="D95" s="32">
        <f>SUM(D88:D89,D91:D94,D90)</f>
        <v>808303.00756023801</v>
      </c>
      <c r="E95" s="319" t="s">
        <v>2265</v>
      </c>
      <c r="F95" s="319"/>
    </row>
    <row r="96" spans="1:22">
      <c r="C96" t="s">
        <v>2266</v>
      </c>
      <c r="D96" s="32">
        <f>D95/C17</f>
        <v>1469.6418319277054</v>
      </c>
      <c r="E96" s="319" t="s">
        <v>2267</v>
      </c>
      <c r="F96" s="319"/>
    </row>
    <row r="97" spans="1:17">
      <c r="D97" s="32"/>
      <c r="E97" s="319"/>
      <c r="F97" s="319"/>
    </row>
    <row r="99" spans="1:17">
      <c r="C99" s="177" t="s">
        <v>2268</v>
      </c>
      <c r="D99" s="177" t="s">
        <v>2269</v>
      </c>
      <c r="E99" s="177" t="s">
        <v>2270</v>
      </c>
      <c r="F99" s="7"/>
      <c r="G99" s="7"/>
    </row>
    <row r="100" spans="1:17">
      <c r="A100" s="312" t="s">
        <v>2271</v>
      </c>
      <c r="B100" s="312"/>
      <c r="C100">
        <v>9</v>
      </c>
      <c r="D100">
        <v>8</v>
      </c>
      <c r="E100">
        <v>19</v>
      </c>
    </row>
    <row r="101" spans="1:17">
      <c r="A101" s="312" t="s">
        <v>2272</v>
      </c>
      <c r="B101" s="312"/>
      <c r="C101">
        <v>2</v>
      </c>
      <c r="D101">
        <v>2</v>
      </c>
      <c r="E101">
        <v>2</v>
      </c>
    </row>
    <row r="102" spans="1:17">
      <c r="A102" s="312" t="s">
        <v>2273</v>
      </c>
      <c r="B102" s="312"/>
      <c r="C102" s="178">
        <v>6.6</v>
      </c>
      <c r="D102" s="178">
        <v>8</v>
      </c>
      <c r="E102" s="266">
        <v>7</v>
      </c>
    </row>
    <row r="103" spans="1:17" ht="38.25" customHeight="1">
      <c r="A103" s="373" t="s">
        <v>2274</v>
      </c>
      <c r="B103" s="373"/>
      <c r="C103" s="178">
        <f>C102*12/C100</f>
        <v>8.7999999999999989</v>
      </c>
      <c r="D103" s="178">
        <f>D102*12/D100</f>
        <v>12</v>
      </c>
      <c r="E103" s="178">
        <f>E102*12/E100</f>
        <v>4.4210526315789478</v>
      </c>
      <c r="Q103" t="s">
        <v>2275</v>
      </c>
    </row>
    <row r="104" spans="1:17">
      <c r="A104" s="373" t="s">
        <v>2252</v>
      </c>
      <c r="B104" s="373"/>
      <c r="C104" s="389">
        <f>1100264/550</f>
        <v>2000.48</v>
      </c>
      <c r="D104" s="392">
        <v>2054</v>
      </c>
      <c r="E104" s="392">
        <v>1600</v>
      </c>
    </row>
    <row r="105" spans="1:17">
      <c r="A105" s="373"/>
      <c r="B105" s="373"/>
      <c r="C105" s="389"/>
      <c r="D105" s="392"/>
      <c r="E105" s="392"/>
    </row>
  </sheetData>
  <mergeCells count="209">
    <mergeCell ref="A104:B105"/>
    <mergeCell ref="C104:C105"/>
    <mergeCell ref="D104:D105"/>
    <mergeCell ref="E104:E105"/>
    <mergeCell ref="L93:O93"/>
    <mergeCell ref="F26:G26"/>
    <mergeCell ref="K42:M42"/>
    <mergeCell ref="K24:M24"/>
    <mergeCell ref="G35:H35"/>
    <mergeCell ref="G37:H37"/>
    <mergeCell ref="K37:M37"/>
    <mergeCell ref="K38:M38"/>
    <mergeCell ref="K39:M39"/>
    <mergeCell ref="K40:M40"/>
    <mergeCell ref="K41:M41"/>
    <mergeCell ref="K31:M31"/>
    <mergeCell ref="K32:M32"/>
    <mergeCell ref="K33:M33"/>
    <mergeCell ref="K34:M34"/>
    <mergeCell ref="K35:M35"/>
    <mergeCell ref="H29:J29"/>
    <mergeCell ref="H30:J30"/>
    <mergeCell ref="F32:G32"/>
    <mergeCell ref="K36:M36"/>
    <mergeCell ref="K25:M25"/>
    <mergeCell ref="K26:M26"/>
    <mergeCell ref="F28:G28"/>
    <mergeCell ref="F29:G29"/>
    <mergeCell ref="K21:M21"/>
    <mergeCell ref="H10:I10"/>
    <mergeCell ref="H11:I11"/>
    <mergeCell ref="K16:M16"/>
    <mergeCell ref="K17:M17"/>
    <mergeCell ref="K18:M18"/>
    <mergeCell ref="H16:I16"/>
    <mergeCell ref="H17:I17"/>
    <mergeCell ref="H18:I18"/>
    <mergeCell ref="K19:M19"/>
    <mergeCell ref="K20:M20"/>
    <mergeCell ref="K15:M15"/>
    <mergeCell ref="H15:I15"/>
    <mergeCell ref="K10:M10"/>
    <mergeCell ref="K11:M11"/>
    <mergeCell ref="H12:I12"/>
    <mergeCell ref="K12:M12"/>
    <mergeCell ref="H13:I13"/>
    <mergeCell ref="K13:M13"/>
    <mergeCell ref="H14:I14"/>
    <mergeCell ref="K14:M14"/>
    <mergeCell ref="K22:M22"/>
    <mergeCell ref="D33:I33"/>
    <mergeCell ref="D34:I34"/>
    <mergeCell ref="F27:G27"/>
    <mergeCell ref="H31:J31"/>
    <mergeCell ref="H32:J32"/>
    <mergeCell ref="K29:M29"/>
    <mergeCell ref="K30:M30"/>
    <mergeCell ref="K28:M28"/>
    <mergeCell ref="K27:M27"/>
    <mergeCell ref="H25:J25"/>
    <mergeCell ref="H26:J26"/>
    <mergeCell ref="H27:J27"/>
    <mergeCell ref="H23:I23"/>
    <mergeCell ref="K23:M23"/>
    <mergeCell ref="H24:J24"/>
    <mergeCell ref="F24:G24"/>
    <mergeCell ref="D26:E26"/>
    <mergeCell ref="D27:E27"/>
    <mergeCell ref="D23:F23"/>
    <mergeCell ref="H28:J28"/>
    <mergeCell ref="D29:E29"/>
    <mergeCell ref="D31:E31"/>
    <mergeCell ref="A24:C24"/>
    <mergeCell ref="D19:F19"/>
    <mergeCell ref="D21:F21"/>
    <mergeCell ref="A25:C25"/>
    <mergeCell ref="A26:C26"/>
    <mergeCell ref="A27:C27"/>
    <mergeCell ref="A28:C28"/>
    <mergeCell ref="A10:B10"/>
    <mergeCell ref="A16:B16"/>
    <mergeCell ref="A17:B17"/>
    <mergeCell ref="A18:B18"/>
    <mergeCell ref="A15:B15"/>
    <mergeCell ref="A19:B19"/>
    <mergeCell ref="A20:B20"/>
    <mergeCell ref="A21:B21"/>
    <mergeCell ref="A22:B22"/>
    <mergeCell ref="A11:B11"/>
    <mergeCell ref="A12:B12"/>
    <mergeCell ref="A13:B13"/>
    <mergeCell ref="A14:B14"/>
    <mergeCell ref="D20:F20"/>
    <mergeCell ref="D22:F22"/>
    <mergeCell ref="A23:B23"/>
    <mergeCell ref="D15:F15"/>
    <mergeCell ref="K9:M9"/>
    <mergeCell ref="H4:I4"/>
    <mergeCell ref="K4:M4"/>
    <mergeCell ref="H5:I5"/>
    <mergeCell ref="K5:M5"/>
    <mergeCell ref="H6:I6"/>
    <mergeCell ref="K6:M6"/>
    <mergeCell ref="A7:B7"/>
    <mergeCell ref="A8:B8"/>
    <mergeCell ref="H2:I2"/>
    <mergeCell ref="K2:M2"/>
    <mergeCell ref="A1:M1"/>
    <mergeCell ref="H3:I3"/>
    <mergeCell ref="K3:M3"/>
    <mergeCell ref="A9:B9"/>
    <mergeCell ref="D2:F2"/>
    <mergeCell ref="D3:F3"/>
    <mergeCell ref="D4:F4"/>
    <mergeCell ref="D5:F5"/>
    <mergeCell ref="D6:F6"/>
    <mergeCell ref="D7:F7"/>
    <mergeCell ref="D8:F8"/>
    <mergeCell ref="D9:F9"/>
    <mergeCell ref="H7:I7"/>
    <mergeCell ref="K7:M7"/>
    <mergeCell ref="H8:I8"/>
    <mergeCell ref="K8:M8"/>
    <mergeCell ref="H9:I9"/>
    <mergeCell ref="A2:B2"/>
    <mergeCell ref="A3:B3"/>
    <mergeCell ref="A4:B4"/>
    <mergeCell ref="A5:B5"/>
    <mergeCell ref="A6:B6"/>
    <mergeCell ref="F30:G30"/>
    <mergeCell ref="F31:G31"/>
    <mergeCell ref="D10:F10"/>
    <mergeCell ref="D11:F11"/>
    <mergeCell ref="F25:G25"/>
    <mergeCell ref="D12:F12"/>
    <mergeCell ref="D13:F13"/>
    <mergeCell ref="D14:F14"/>
    <mergeCell ref="D16:F16"/>
    <mergeCell ref="D17:F17"/>
    <mergeCell ref="D18:F18"/>
    <mergeCell ref="D53:E53"/>
    <mergeCell ref="D54:E54"/>
    <mergeCell ref="A48:B48"/>
    <mergeCell ref="A49:B49"/>
    <mergeCell ref="A51:B51"/>
    <mergeCell ref="A52:B52"/>
    <mergeCell ref="A53:B53"/>
    <mergeCell ref="A50:E50"/>
    <mergeCell ref="A55:G55"/>
    <mergeCell ref="A35:C35"/>
    <mergeCell ref="A36:C36"/>
    <mergeCell ref="A37:C37"/>
    <mergeCell ref="A38:C38"/>
    <mergeCell ref="A29:C29"/>
    <mergeCell ref="A30:C30"/>
    <mergeCell ref="A40:C40"/>
    <mergeCell ref="A39:C39"/>
    <mergeCell ref="D52:E52"/>
    <mergeCell ref="A41:C41"/>
    <mergeCell ref="A42:C42"/>
    <mergeCell ref="A32:C32"/>
    <mergeCell ref="A31:C31"/>
    <mergeCell ref="D32:E32"/>
    <mergeCell ref="A88:B88"/>
    <mergeCell ref="E87:F87"/>
    <mergeCell ref="E88:F88"/>
    <mergeCell ref="E89:F89"/>
    <mergeCell ref="E90:F90"/>
    <mergeCell ref="E91:F91"/>
    <mergeCell ref="E92:F92"/>
    <mergeCell ref="H19:I19"/>
    <mergeCell ref="H20:I20"/>
    <mergeCell ref="H21:I21"/>
    <mergeCell ref="H22:I22"/>
    <mergeCell ref="A54:B54"/>
    <mergeCell ref="A45:E45"/>
    <mergeCell ref="C86:F86"/>
    <mergeCell ref="A86:B86"/>
    <mergeCell ref="A47:B47"/>
    <mergeCell ref="A46:B46"/>
    <mergeCell ref="D46:E46"/>
    <mergeCell ref="D47:E47"/>
    <mergeCell ref="D48:E48"/>
    <mergeCell ref="D49:E49"/>
    <mergeCell ref="D51:E51"/>
    <mergeCell ref="A33:C33"/>
    <mergeCell ref="A34:C34"/>
    <mergeCell ref="A100:B100"/>
    <mergeCell ref="A101:B101"/>
    <mergeCell ref="A102:B102"/>
    <mergeCell ref="A103:B103"/>
    <mergeCell ref="E93:F93"/>
    <mergeCell ref="E94:F94"/>
    <mergeCell ref="E95:F95"/>
    <mergeCell ref="E96:F96"/>
    <mergeCell ref="E97:F97"/>
    <mergeCell ref="P56:X56"/>
    <mergeCell ref="G51:H51"/>
    <mergeCell ref="J51:K51"/>
    <mergeCell ref="G50:K50"/>
    <mergeCell ref="G45:K45"/>
    <mergeCell ref="G46:H46"/>
    <mergeCell ref="J46:K46"/>
    <mergeCell ref="G47:H47"/>
    <mergeCell ref="J47:K47"/>
    <mergeCell ref="G48:H48"/>
    <mergeCell ref="J48:K48"/>
    <mergeCell ref="G49:H49"/>
    <mergeCell ref="J49:K49"/>
  </mergeCells>
  <phoneticPr fontId="4" type="noConversion"/>
  <pageMargins left="0.7" right="0.7" top="0.75" bottom="0.75" header="0.3" footer="0.3"/>
  <pageSetup orientation="portrait" horizontalDpi="4294967293" verticalDpi="4294967293" r:id="rId1"/>
  <drawing r:id="rId2"/>
  <legacy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4DE70-8466-448E-AEED-2B3EE578E9B4}">
  <dimension ref="C30"/>
  <sheetViews>
    <sheetView zoomScale="60" zoomScaleNormal="60" workbookViewId="0">
      <selection activeCell="I12" sqref="I12"/>
    </sheetView>
  </sheetViews>
  <sheetFormatPr defaultColWidth="11.42578125" defaultRowHeight="15"/>
  <sheetData>
    <row r="30" spans="3:3">
      <c r="C30" s="7"/>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C97CB111E6A3241A207A5A43F5D1462" ma:contentTypeVersion="12" ma:contentTypeDescription="Create a new document." ma:contentTypeScope="" ma:versionID="7fdedbbc7554a3f154f961891f5051fd">
  <xsd:schema xmlns:xsd="http://www.w3.org/2001/XMLSchema" xmlns:xs="http://www.w3.org/2001/XMLSchema" xmlns:p="http://schemas.microsoft.com/office/2006/metadata/properties" xmlns:ns2="09b49576-27df-41e0-bd98-7ad6a61fa38b" xmlns:ns3="503560ad-1209-4b7d-bc7d-ff21d3be53fb" targetNamespace="http://schemas.microsoft.com/office/2006/metadata/properties" ma:root="true" ma:fieldsID="8fb76e00d2869a807495aac5c4bba6e0" ns2:_="" ns3:_="">
    <xsd:import namespace="09b49576-27df-41e0-bd98-7ad6a61fa38b"/>
    <xsd:import namespace="503560ad-1209-4b7d-bc7d-ff21d3be53fb"/>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b49576-27df-41e0-bd98-7ad6a61fa38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4ee6b6e-1dad-49a7-85d1-bf6bd711290a"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03560ad-1209-4b7d-bc7d-ff21d3be53fb"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2d65291-d6b7-4ff5-9fe9-62c585179a98}" ma:internalName="TaxCatchAll" ma:showField="CatchAllData" ma:web="503560ad-1209-4b7d-bc7d-ff21d3be53f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503560ad-1209-4b7d-bc7d-ff21d3be53fb" xsi:nil="true"/>
    <lcf76f155ced4ddcb4097134ff3c332f xmlns="09b49576-27df-41e0-bd98-7ad6a61fa38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BCF0ABEF-7684-4C86-A530-C39BBE419017}"/>
</file>

<file path=customXml/itemProps2.xml><?xml version="1.0" encoding="utf-8"?>
<ds:datastoreItem xmlns:ds="http://schemas.openxmlformats.org/officeDocument/2006/customXml" ds:itemID="{ED06128B-012B-4E0C-A63C-9F1CC9AD35CF}"/>
</file>

<file path=customXml/itemProps3.xml><?xml version="1.0" encoding="utf-8"?>
<ds:datastoreItem xmlns:ds="http://schemas.openxmlformats.org/officeDocument/2006/customXml" ds:itemID="{12EFBF4D-E5E9-42C6-81A2-24096B7632B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2025-01-29T16:38:24Z</dcterms:created>
  <dcterms:modified xsi:type="dcterms:W3CDTF">2025-11-10T23:47:49Z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0x0101003C97CB111E6A3241A207A5A43F5D1462</vt:lpwstr>
  </property>
  <property fmtid="{D5CDD505-2E9C-101B-9397-08002B2CF9AE}" pid="3" name="MediaServiceImageTags">
    <vt:lpwstr/>
  </property>
</Properties>
</file>